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pivotTables/pivotTable1.xml" ContentType="application/vnd.openxmlformats-officedocument.spreadsheetml.pivotTable+xml"/>
  <Override PartName="/xl/drawings/drawing6.xml" ContentType="application/vnd.openxmlformats-officedocument.drawing+xml"/>
  <Override PartName="/xl/charts/chart1.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120" windowWidth="20490" windowHeight="7635" tabRatio="430" firstSheet="5" activeTab="7"/>
  </bookViews>
  <sheets>
    <sheet name="1024" sheetId="25" state="hidden" r:id="rId1"/>
    <sheet name="1107" sheetId="18" state="hidden" r:id="rId2"/>
    <sheet name="1110" sheetId="4" state="hidden" r:id="rId3"/>
    <sheet name="1112" sheetId="19" state="hidden" r:id="rId4"/>
    <sheet name="1114" sheetId="20" state="hidden" r:id="rId5"/>
    <sheet name="Listas" sheetId="21" r:id="rId6"/>
    <sheet name="Hoja1" sheetId="58" r:id="rId7"/>
    <sheet name="Seguimiento_PAA" sheetId="22" r:id="rId8"/>
    <sheet name="SECOP II" sheetId="57" r:id="rId9"/>
    <sheet name="Validación_Conceptos" sheetId="35" state="hidden" r:id="rId10"/>
    <sheet name="Validación_Componentes" sheetId="43" state="hidden" r:id="rId11"/>
    <sheet name="Estimación CRP" sheetId="36" state="hidden" r:id="rId12"/>
  </sheets>
  <definedNames>
    <definedName name="_CPI1024">Listas!$D$182:$D$184</definedName>
    <definedName name="_CPI1107">Listas!$D$188:$D$190</definedName>
    <definedName name="_CPI1110">Listas!$D$191:$D$197</definedName>
    <definedName name="_CPI1112">Listas!$D$185:$D$187</definedName>
    <definedName name="_CPI1114">Listas!$D$198:$D$216</definedName>
    <definedName name="_xlnm._FilterDatabase" localSheetId="4" hidden="1">'1114'!$A$15:$X$15</definedName>
    <definedName name="_xlnm._FilterDatabase" localSheetId="8" hidden="1">'SECOP II'!$A$4:$V$428</definedName>
    <definedName name="_xlnm._FilterDatabase" localSheetId="7" hidden="1">Seguimiento_PAA!$A$31:$CH$31</definedName>
    <definedName name="_xlnm._FilterDatabase" localSheetId="9" hidden="1">Validación_Conceptos!$A$1:$W$1</definedName>
    <definedName name="_xlnm.Print_Area" localSheetId="0">'1024'!$A$1:$K$36</definedName>
    <definedName name="_xlnm.Print_Area" localSheetId="1">'1107'!$A$1:$L$63</definedName>
    <definedName name="_xlnm.Print_Area" localSheetId="2">'1110'!$A$1:$L$64</definedName>
    <definedName name="_xlnm.Print_Area" localSheetId="3">'1112'!$A$1:$L$40</definedName>
    <definedName name="_xlnm.Print_Area" localSheetId="4">'1114'!$A$1:$L$108</definedName>
    <definedName name="COMP1024">Listas!$I$221:$I$223</definedName>
    <definedName name="COMP1107">Listas!$I$225:$I$227</definedName>
    <definedName name="COMP1110">Listas!$I$230:$I$235</definedName>
    <definedName name="COMP1112">Listas!$I$237:$I$239</definedName>
    <definedName name="COMP1114">Listas!$I$241:$I$246</definedName>
    <definedName name="CONC1024">Listas!$K$221</definedName>
    <definedName name="CONC1107">Listas!$K$225:$K$226</definedName>
    <definedName name="CONC1110">Listas!$K$230:$K$233</definedName>
    <definedName name="CONC1112">Listas!$K$237</definedName>
    <definedName name="CONC1114">Listas!$K$241:$K$243</definedName>
    <definedName name="CONCEP_PREDIS1024">Listas!$E$85</definedName>
    <definedName name="CONCEP_PREDIS1107">Listas!$E$96:$E$99</definedName>
    <definedName name="CONCEP_PREDIS1110">Listas!$E$100:$E$105</definedName>
    <definedName name="CONCEP_PREDIS1112">Listas!$E$86</definedName>
    <definedName name="CONCEP_PREDIS1114">Listas!$E$87:$E$95</definedName>
    <definedName name="_xlnm.Criteria" localSheetId="8">'SECOP II'!#REF!</definedName>
    <definedName name="_xlnm.Criteria" localSheetId="7">Seguimiento_PAA!#REF!</definedName>
    <definedName name="FONT1024">Listas!$M$221</definedName>
    <definedName name="FONT1107">Listas!$M$225:$M$228</definedName>
    <definedName name="FONT1110">Listas!$M$230:$M$232</definedName>
    <definedName name="FONT1112">Listas!$M$237</definedName>
    <definedName name="FONT1114">Listas!$M$241:$M$247</definedName>
    <definedName name="fuentes">Listas!$I$85:$I$91</definedName>
    <definedName name="ME20181024">Listas!$D$127:$D$129</definedName>
    <definedName name="ME20181107">Listas!$D$135:$D$137</definedName>
    <definedName name="ME20181110">Listas!$D$138:$D$139</definedName>
    <definedName name="ME20181112">Listas!$D$130:$D$132</definedName>
    <definedName name="ME20181114">Listas!$D$133:$D$134</definedName>
    <definedName name="modalidad_desc">Listas!$A$60:$A$73</definedName>
    <definedName name="MPDD1024">Listas!$C$117:$C$119</definedName>
    <definedName name="MPDD1107">Listas!$C$122</definedName>
    <definedName name="MPDD1110">Listas!$C$123</definedName>
    <definedName name="MPDD1112">Listas!$C$121</definedName>
    <definedName name="MPDD1114">Listas!$C$120</definedName>
    <definedName name="MPPDD1024">Listas!$E$127:$E$129</definedName>
    <definedName name="MPPDD1107">Listas!$E$135:$E$137</definedName>
    <definedName name="MPPDD1110">Listas!$E$138:$E$139</definedName>
    <definedName name="MPPDD1112">Listas!$E$130:$E$132</definedName>
    <definedName name="MPPDD1114">Listas!$E$133:$E$134</definedName>
    <definedName name="proyecto_inv">Listas!$A$108:$A$114</definedName>
    <definedName name="Responsable">Listas!$A$77:$A$83</definedName>
  </definedNames>
  <calcPr calcId="144525"/>
  <pivotCaches>
    <pivotCache cacheId="0" r:id="rId13"/>
  </pivotCaches>
</workbook>
</file>

<file path=xl/calcChain.xml><?xml version="1.0" encoding="utf-8"?>
<calcChain xmlns="http://schemas.openxmlformats.org/spreadsheetml/2006/main">
  <c r="E23" i="58" l="1"/>
  <c r="E24" i="58"/>
  <c r="E25" i="58"/>
  <c r="E26" i="58"/>
  <c r="E27" i="58"/>
  <c r="E28" i="58"/>
  <c r="E29" i="58"/>
  <c r="E30" i="58"/>
  <c r="E31" i="58"/>
  <c r="E22" i="58"/>
  <c r="D22" i="58"/>
  <c r="D23" i="58"/>
  <c r="D25" i="58"/>
  <c r="D26" i="58" s="1"/>
  <c r="D27" i="58" s="1"/>
  <c r="D28" i="58" s="1"/>
  <c r="D29" i="58" s="1"/>
  <c r="D30" i="58" s="1"/>
  <c r="D24" i="58"/>
  <c r="P33" i="22" l="1"/>
  <c r="Q33" i="22"/>
  <c r="R33" i="22"/>
  <c r="S33" i="22"/>
  <c r="T33" i="22"/>
  <c r="P34" i="22"/>
  <c r="Q34" i="22"/>
  <c r="R34" i="22"/>
  <c r="S34" i="22"/>
  <c r="T34" i="22"/>
  <c r="P35" i="22"/>
  <c r="Q35" i="22"/>
  <c r="R35" i="22"/>
  <c r="S35" i="22"/>
  <c r="T35" i="22"/>
  <c r="P36" i="22"/>
  <c r="Q36" i="22"/>
  <c r="R36" i="22"/>
  <c r="S36" i="22"/>
  <c r="T36" i="22"/>
  <c r="P37" i="22"/>
  <c r="Q37" i="22"/>
  <c r="R37" i="22"/>
  <c r="S37" i="22"/>
  <c r="T37" i="22"/>
  <c r="P38" i="22"/>
  <c r="Q38" i="22"/>
  <c r="R38" i="22"/>
  <c r="S38" i="22"/>
  <c r="T38" i="22"/>
  <c r="P39" i="22"/>
  <c r="Q39" i="22"/>
  <c r="R39" i="22"/>
  <c r="S39" i="22"/>
  <c r="T39" i="22"/>
  <c r="P40" i="22"/>
  <c r="Q40" i="22"/>
  <c r="R40" i="22"/>
  <c r="S40" i="22"/>
  <c r="T40" i="22"/>
  <c r="P41" i="22"/>
  <c r="Q41" i="22"/>
  <c r="R41" i="22"/>
  <c r="S41" i="22"/>
  <c r="T41" i="22"/>
  <c r="P42" i="22"/>
  <c r="Q42" i="22"/>
  <c r="R42" i="22"/>
  <c r="S42" i="22"/>
  <c r="T42" i="22"/>
  <c r="P43" i="22"/>
  <c r="Q43" i="22"/>
  <c r="R43" i="22"/>
  <c r="S43" i="22"/>
  <c r="T43" i="22"/>
  <c r="P44" i="22"/>
  <c r="Q44" i="22"/>
  <c r="R44" i="22"/>
  <c r="S44" i="22"/>
  <c r="T44" i="22"/>
  <c r="P45" i="22"/>
  <c r="Q45" i="22"/>
  <c r="R45" i="22"/>
  <c r="S45" i="22"/>
  <c r="T45" i="22"/>
  <c r="P46" i="22"/>
  <c r="Q46" i="22"/>
  <c r="R46" i="22"/>
  <c r="S46" i="22"/>
  <c r="T46" i="22"/>
  <c r="P47" i="22"/>
  <c r="Q47" i="22"/>
  <c r="R47" i="22"/>
  <c r="S47" i="22"/>
  <c r="T47" i="22"/>
  <c r="P48" i="22"/>
  <c r="Q48" i="22"/>
  <c r="R48" i="22"/>
  <c r="S48" i="22"/>
  <c r="T48" i="22"/>
  <c r="P49" i="22"/>
  <c r="Q49" i="22"/>
  <c r="R49" i="22"/>
  <c r="S49" i="22"/>
  <c r="T49" i="22"/>
  <c r="P50" i="22"/>
  <c r="Q50" i="22"/>
  <c r="R50" i="22"/>
  <c r="S50" i="22"/>
  <c r="T50" i="22"/>
  <c r="P51" i="22"/>
  <c r="Q51" i="22"/>
  <c r="R51" i="22"/>
  <c r="S51" i="22"/>
  <c r="T51" i="22"/>
  <c r="P52" i="22"/>
  <c r="Q52" i="22"/>
  <c r="R52" i="22"/>
  <c r="S52" i="22"/>
  <c r="T52" i="22"/>
  <c r="P53" i="22"/>
  <c r="Q53" i="22"/>
  <c r="R53" i="22"/>
  <c r="S53" i="22"/>
  <c r="T53" i="22"/>
  <c r="P54" i="22"/>
  <c r="Q54" i="22"/>
  <c r="R54" i="22"/>
  <c r="S54" i="22"/>
  <c r="T54" i="22"/>
  <c r="P55" i="22"/>
  <c r="Q55" i="22"/>
  <c r="R55" i="22"/>
  <c r="S55" i="22"/>
  <c r="T55" i="22"/>
  <c r="P56" i="22"/>
  <c r="Q56" i="22"/>
  <c r="R56" i="22"/>
  <c r="S56" i="22"/>
  <c r="T56" i="22"/>
  <c r="P57" i="22"/>
  <c r="Q57" i="22"/>
  <c r="R57" i="22"/>
  <c r="S57" i="22"/>
  <c r="T57" i="22"/>
  <c r="P58" i="22"/>
  <c r="Q58" i="22"/>
  <c r="R58" i="22"/>
  <c r="S58" i="22"/>
  <c r="T58" i="22"/>
  <c r="P59" i="22"/>
  <c r="Q59" i="22"/>
  <c r="R59" i="22"/>
  <c r="S59" i="22"/>
  <c r="T59" i="22"/>
  <c r="P60" i="22"/>
  <c r="Q60" i="22"/>
  <c r="R60" i="22"/>
  <c r="S60" i="22"/>
  <c r="T60" i="22"/>
  <c r="P61" i="22"/>
  <c r="Q61" i="22"/>
  <c r="R61" i="22"/>
  <c r="S61" i="22"/>
  <c r="T61" i="22"/>
  <c r="P62" i="22"/>
  <c r="Q62" i="22"/>
  <c r="R62" i="22"/>
  <c r="S62" i="22"/>
  <c r="T62" i="22"/>
  <c r="P63" i="22"/>
  <c r="Q63" i="22"/>
  <c r="R63" i="22"/>
  <c r="S63" i="22"/>
  <c r="T63" i="22"/>
  <c r="P64" i="22"/>
  <c r="Q64" i="22"/>
  <c r="R64" i="22"/>
  <c r="S64" i="22"/>
  <c r="T64" i="22"/>
  <c r="P65" i="22"/>
  <c r="Q65" i="22"/>
  <c r="R65" i="22"/>
  <c r="S65" i="22"/>
  <c r="T65" i="22"/>
  <c r="P66" i="22"/>
  <c r="Q66" i="22"/>
  <c r="R66" i="22"/>
  <c r="S66" i="22"/>
  <c r="T66" i="22"/>
  <c r="P67" i="22"/>
  <c r="Q67" i="22"/>
  <c r="R67" i="22"/>
  <c r="S67" i="22"/>
  <c r="T67" i="22"/>
  <c r="P68" i="22"/>
  <c r="Q68" i="22"/>
  <c r="R68" i="22"/>
  <c r="S68" i="22"/>
  <c r="T68" i="22"/>
  <c r="P69" i="22"/>
  <c r="Q69" i="22"/>
  <c r="R69" i="22"/>
  <c r="S69" i="22"/>
  <c r="T69" i="22"/>
  <c r="P70" i="22"/>
  <c r="Q70" i="22"/>
  <c r="R70" i="22"/>
  <c r="S70" i="22"/>
  <c r="T70" i="22"/>
  <c r="P71" i="22"/>
  <c r="Q71" i="22"/>
  <c r="R71" i="22"/>
  <c r="S71" i="22"/>
  <c r="T71" i="22"/>
  <c r="P72" i="22"/>
  <c r="Q72" i="22"/>
  <c r="R72" i="22"/>
  <c r="S72" i="22"/>
  <c r="T72" i="22"/>
  <c r="P73" i="22"/>
  <c r="Q73" i="22"/>
  <c r="R73" i="22"/>
  <c r="S73" i="22"/>
  <c r="T73" i="22"/>
  <c r="P74" i="22"/>
  <c r="Q74" i="22"/>
  <c r="R74" i="22"/>
  <c r="S74" i="22"/>
  <c r="T74" i="22"/>
  <c r="P75" i="22"/>
  <c r="Q75" i="22"/>
  <c r="R75" i="22"/>
  <c r="S75" i="22"/>
  <c r="T75" i="22"/>
  <c r="P76" i="22"/>
  <c r="Q76" i="22"/>
  <c r="R76" i="22"/>
  <c r="S76" i="22"/>
  <c r="T76" i="22"/>
  <c r="P77" i="22"/>
  <c r="Q77" i="22"/>
  <c r="R77" i="22"/>
  <c r="S77" i="22"/>
  <c r="T77" i="22"/>
  <c r="P78" i="22"/>
  <c r="Q78" i="22"/>
  <c r="R78" i="22"/>
  <c r="S78" i="22"/>
  <c r="T78" i="22"/>
  <c r="P79" i="22"/>
  <c r="Q79" i="22"/>
  <c r="R79" i="22"/>
  <c r="S79" i="22"/>
  <c r="T79" i="22"/>
  <c r="P80" i="22"/>
  <c r="Q80" i="22"/>
  <c r="R80" i="22"/>
  <c r="S80" i="22"/>
  <c r="T80" i="22"/>
  <c r="P81" i="22"/>
  <c r="Q81" i="22"/>
  <c r="R81" i="22"/>
  <c r="S81" i="22"/>
  <c r="T81" i="22"/>
  <c r="P82" i="22"/>
  <c r="Q82" i="22"/>
  <c r="R82" i="22"/>
  <c r="S82" i="22"/>
  <c r="T82" i="22"/>
  <c r="P83" i="22"/>
  <c r="Q83" i="22"/>
  <c r="R83" i="22"/>
  <c r="S83" i="22"/>
  <c r="T83" i="22"/>
  <c r="P84" i="22"/>
  <c r="Q84" i="22"/>
  <c r="R84" i="22"/>
  <c r="S84" i="22"/>
  <c r="T84" i="22"/>
  <c r="P85" i="22"/>
  <c r="Q85" i="22"/>
  <c r="R85" i="22"/>
  <c r="S85" i="22"/>
  <c r="T85" i="22"/>
  <c r="P86" i="22"/>
  <c r="Q86" i="22"/>
  <c r="R86" i="22"/>
  <c r="S86" i="22"/>
  <c r="T86" i="22"/>
  <c r="P87" i="22"/>
  <c r="Q87" i="22"/>
  <c r="R87" i="22"/>
  <c r="S87" i="22"/>
  <c r="T87" i="22"/>
  <c r="P88" i="22"/>
  <c r="Q88" i="22"/>
  <c r="R88" i="22"/>
  <c r="S88" i="22"/>
  <c r="T88" i="22"/>
  <c r="P89" i="22"/>
  <c r="Q89" i="22"/>
  <c r="R89" i="22"/>
  <c r="S89" i="22"/>
  <c r="T89" i="22"/>
  <c r="P90" i="22"/>
  <c r="Q90" i="22"/>
  <c r="R90" i="22"/>
  <c r="S90" i="22"/>
  <c r="T90" i="22"/>
  <c r="P91" i="22"/>
  <c r="Q91" i="22"/>
  <c r="R91" i="22"/>
  <c r="S91" i="22"/>
  <c r="T91" i="22"/>
  <c r="P92" i="22"/>
  <c r="Q92" i="22"/>
  <c r="R92" i="22"/>
  <c r="S92" i="22"/>
  <c r="T92" i="22"/>
  <c r="P93" i="22"/>
  <c r="Q93" i="22"/>
  <c r="R93" i="22"/>
  <c r="S93" i="22"/>
  <c r="T93" i="22"/>
  <c r="P94" i="22"/>
  <c r="Q94" i="22"/>
  <c r="R94" i="22"/>
  <c r="S94" i="22"/>
  <c r="T94" i="22"/>
  <c r="P95" i="22"/>
  <c r="Q95" i="22"/>
  <c r="R95" i="22"/>
  <c r="S95" i="22"/>
  <c r="T95" i="22"/>
  <c r="P96" i="22"/>
  <c r="Q96" i="22"/>
  <c r="R96" i="22"/>
  <c r="S96" i="22"/>
  <c r="T96" i="22"/>
  <c r="P97" i="22"/>
  <c r="Q97" i="22"/>
  <c r="R97" i="22"/>
  <c r="S97" i="22"/>
  <c r="T97" i="22"/>
  <c r="P98" i="22"/>
  <c r="Q98" i="22"/>
  <c r="R98" i="22"/>
  <c r="S98" i="22"/>
  <c r="T98" i="22"/>
  <c r="P99" i="22"/>
  <c r="Q99" i="22"/>
  <c r="R99" i="22"/>
  <c r="S99" i="22"/>
  <c r="T99" i="22"/>
  <c r="P100" i="22"/>
  <c r="Q100" i="22"/>
  <c r="R100" i="22"/>
  <c r="S100" i="22"/>
  <c r="T100" i="22"/>
  <c r="P101" i="22"/>
  <c r="Q101" i="22"/>
  <c r="R101" i="22"/>
  <c r="S101" i="22"/>
  <c r="T101" i="22"/>
  <c r="P102" i="22"/>
  <c r="Q102" i="22"/>
  <c r="R102" i="22"/>
  <c r="S102" i="22"/>
  <c r="T102" i="22"/>
  <c r="P103" i="22"/>
  <c r="Q103" i="22"/>
  <c r="R103" i="22"/>
  <c r="S103" i="22"/>
  <c r="T103" i="22"/>
  <c r="P104" i="22"/>
  <c r="Q104" i="22"/>
  <c r="R104" i="22"/>
  <c r="S104" i="22"/>
  <c r="T104" i="22"/>
  <c r="P105" i="22"/>
  <c r="Q105" i="22"/>
  <c r="R105" i="22"/>
  <c r="S105" i="22"/>
  <c r="T105" i="22"/>
  <c r="P106" i="22"/>
  <c r="Q106" i="22"/>
  <c r="R106" i="22"/>
  <c r="S106" i="22"/>
  <c r="T106" i="22"/>
  <c r="P107" i="22"/>
  <c r="Q107" i="22"/>
  <c r="R107" i="22"/>
  <c r="S107" i="22"/>
  <c r="T107" i="22"/>
  <c r="P108" i="22"/>
  <c r="Q108" i="22"/>
  <c r="R108" i="22"/>
  <c r="S108" i="22"/>
  <c r="T108" i="22"/>
  <c r="P109" i="22"/>
  <c r="Q109" i="22"/>
  <c r="R109" i="22"/>
  <c r="S109" i="22"/>
  <c r="T109" i="22"/>
  <c r="P110" i="22"/>
  <c r="Q110" i="22"/>
  <c r="R110" i="22"/>
  <c r="S110" i="22"/>
  <c r="T110" i="22"/>
  <c r="P111" i="22"/>
  <c r="Q111" i="22"/>
  <c r="R111" i="22"/>
  <c r="S111" i="22"/>
  <c r="T111" i="22"/>
  <c r="P112" i="22"/>
  <c r="Q112" i="22"/>
  <c r="R112" i="22"/>
  <c r="S112" i="22"/>
  <c r="T112" i="22"/>
  <c r="P113" i="22"/>
  <c r="Q113" i="22"/>
  <c r="R113" i="22"/>
  <c r="S113" i="22"/>
  <c r="T113" i="22"/>
  <c r="P114" i="22"/>
  <c r="Q114" i="22"/>
  <c r="R114" i="22"/>
  <c r="S114" i="22"/>
  <c r="T114" i="22"/>
  <c r="P115" i="22"/>
  <c r="Q115" i="22"/>
  <c r="R115" i="22"/>
  <c r="S115" i="22"/>
  <c r="T115" i="22"/>
  <c r="P116" i="22"/>
  <c r="Q116" i="22"/>
  <c r="R116" i="22"/>
  <c r="S116" i="22"/>
  <c r="T116" i="22"/>
  <c r="P117" i="22"/>
  <c r="Q117" i="22"/>
  <c r="R117" i="22"/>
  <c r="S117" i="22"/>
  <c r="T117" i="22"/>
  <c r="P118" i="22"/>
  <c r="Q118" i="22"/>
  <c r="R118" i="22"/>
  <c r="S118" i="22"/>
  <c r="T118" i="22"/>
  <c r="P119" i="22"/>
  <c r="Q119" i="22"/>
  <c r="R119" i="22"/>
  <c r="S119" i="22"/>
  <c r="T119" i="22"/>
  <c r="P120" i="22"/>
  <c r="Q120" i="22"/>
  <c r="R120" i="22"/>
  <c r="S120" i="22"/>
  <c r="T120" i="22"/>
  <c r="P121" i="22"/>
  <c r="Q121" i="22"/>
  <c r="R121" i="22"/>
  <c r="S121" i="22"/>
  <c r="T121" i="22"/>
  <c r="P122" i="22"/>
  <c r="Q122" i="22"/>
  <c r="R122" i="22"/>
  <c r="S122" i="22"/>
  <c r="T122" i="22"/>
  <c r="P123" i="22"/>
  <c r="Q123" i="22"/>
  <c r="R123" i="22"/>
  <c r="S123" i="22"/>
  <c r="T123" i="22"/>
  <c r="P124" i="22"/>
  <c r="Q124" i="22"/>
  <c r="R124" i="22"/>
  <c r="S124" i="22"/>
  <c r="T124" i="22"/>
  <c r="P125" i="22"/>
  <c r="Q125" i="22"/>
  <c r="R125" i="22"/>
  <c r="S125" i="22"/>
  <c r="T125" i="22"/>
  <c r="P126" i="22"/>
  <c r="Q126" i="22"/>
  <c r="R126" i="22"/>
  <c r="S126" i="22"/>
  <c r="T126" i="22"/>
  <c r="P127" i="22"/>
  <c r="Q127" i="22"/>
  <c r="R127" i="22"/>
  <c r="S127" i="22"/>
  <c r="T127" i="22"/>
  <c r="P128" i="22"/>
  <c r="Q128" i="22"/>
  <c r="R128" i="22"/>
  <c r="S128" i="22"/>
  <c r="T128" i="22"/>
  <c r="P129" i="22"/>
  <c r="Q129" i="22"/>
  <c r="R129" i="22"/>
  <c r="S129" i="22"/>
  <c r="T129" i="22"/>
  <c r="P130" i="22"/>
  <c r="Q130" i="22"/>
  <c r="R130" i="22"/>
  <c r="S130" i="22"/>
  <c r="T130" i="22"/>
  <c r="P131" i="22"/>
  <c r="Q131" i="22"/>
  <c r="R131" i="22"/>
  <c r="S131" i="22"/>
  <c r="T131" i="22"/>
  <c r="P132" i="22"/>
  <c r="Q132" i="22"/>
  <c r="R132" i="22"/>
  <c r="S132" i="22"/>
  <c r="T132" i="22"/>
  <c r="P133" i="22"/>
  <c r="Q133" i="22"/>
  <c r="R133" i="22"/>
  <c r="S133" i="22"/>
  <c r="T133" i="22"/>
  <c r="P134" i="22"/>
  <c r="Q134" i="22"/>
  <c r="R134" i="22"/>
  <c r="S134" i="22"/>
  <c r="T134" i="22"/>
  <c r="P135" i="22"/>
  <c r="Q135" i="22"/>
  <c r="R135" i="22"/>
  <c r="S135" i="22"/>
  <c r="T135" i="22"/>
  <c r="P136" i="22"/>
  <c r="Q136" i="22"/>
  <c r="R136" i="22"/>
  <c r="S136" i="22"/>
  <c r="T136" i="22"/>
  <c r="P137" i="22"/>
  <c r="Q137" i="22"/>
  <c r="R137" i="22"/>
  <c r="S137" i="22"/>
  <c r="T137" i="22"/>
  <c r="P138" i="22"/>
  <c r="Q138" i="22"/>
  <c r="R138" i="22"/>
  <c r="S138" i="22"/>
  <c r="T138" i="22"/>
  <c r="P139" i="22"/>
  <c r="Q139" i="22"/>
  <c r="R139" i="22"/>
  <c r="S139" i="22"/>
  <c r="T139" i="22"/>
  <c r="P140" i="22"/>
  <c r="Q140" i="22"/>
  <c r="R140" i="22"/>
  <c r="S140" i="22"/>
  <c r="T140" i="22"/>
  <c r="P141" i="22"/>
  <c r="Q141" i="22"/>
  <c r="R141" i="22"/>
  <c r="S141" i="22"/>
  <c r="T141" i="22"/>
  <c r="P142" i="22"/>
  <c r="Q142" i="22"/>
  <c r="R142" i="22"/>
  <c r="S142" i="22"/>
  <c r="T142" i="22"/>
  <c r="P143" i="22"/>
  <c r="Q143" i="22"/>
  <c r="R143" i="22"/>
  <c r="S143" i="22"/>
  <c r="T143" i="22"/>
  <c r="P144" i="22"/>
  <c r="Q144" i="22"/>
  <c r="R144" i="22"/>
  <c r="S144" i="22"/>
  <c r="T144" i="22"/>
  <c r="P145" i="22"/>
  <c r="Q145" i="22"/>
  <c r="R145" i="22"/>
  <c r="S145" i="22"/>
  <c r="T145" i="22"/>
  <c r="P146" i="22"/>
  <c r="Q146" i="22"/>
  <c r="R146" i="22"/>
  <c r="S146" i="22"/>
  <c r="T146" i="22"/>
  <c r="P147" i="22"/>
  <c r="Q147" i="22"/>
  <c r="R147" i="22"/>
  <c r="S147" i="22"/>
  <c r="T147" i="22"/>
  <c r="P148" i="22"/>
  <c r="Q148" i="22"/>
  <c r="R148" i="22"/>
  <c r="S148" i="22"/>
  <c r="T148" i="22"/>
  <c r="P149" i="22"/>
  <c r="Q149" i="22"/>
  <c r="R149" i="22"/>
  <c r="S149" i="22"/>
  <c r="T149" i="22"/>
  <c r="P150" i="22"/>
  <c r="Q150" i="22"/>
  <c r="R150" i="22"/>
  <c r="S150" i="22"/>
  <c r="T150" i="22"/>
  <c r="P151" i="22"/>
  <c r="Q151" i="22"/>
  <c r="R151" i="22"/>
  <c r="S151" i="22"/>
  <c r="T151" i="22"/>
  <c r="P152" i="22"/>
  <c r="Q152" i="22"/>
  <c r="R152" i="22"/>
  <c r="S152" i="22"/>
  <c r="T152" i="22"/>
  <c r="P153" i="22"/>
  <c r="Q153" i="22"/>
  <c r="R153" i="22"/>
  <c r="S153" i="22"/>
  <c r="T153" i="22"/>
  <c r="P154" i="22"/>
  <c r="Q154" i="22"/>
  <c r="R154" i="22"/>
  <c r="S154" i="22"/>
  <c r="T154" i="22"/>
  <c r="P155" i="22"/>
  <c r="Q155" i="22"/>
  <c r="R155" i="22"/>
  <c r="S155" i="22"/>
  <c r="T155" i="22"/>
  <c r="P156" i="22"/>
  <c r="Q156" i="22"/>
  <c r="R156" i="22"/>
  <c r="S156" i="22"/>
  <c r="T156" i="22"/>
  <c r="P157" i="22"/>
  <c r="Q157" i="22"/>
  <c r="R157" i="22"/>
  <c r="S157" i="22"/>
  <c r="T157" i="22"/>
  <c r="P158" i="22"/>
  <c r="Q158" i="22"/>
  <c r="R158" i="22"/>
  <c r="S158" i="22"/>
  <c r="T158" i="22"/>
  <c r="P159" i="22"/>
  <c r="Q159" i="22"/>
  <c r="R159" i="22"/>
  <c r="S159" i="22"/>
  <c r="T159" i="22"/>
  <c r="P160" i="22"/>
  <c r="Q160" i="22"/>
  <c r="R160" i="22"/>
  <c r="S160" i="22"/>
  <c r="T160" i="22"/>
  <c r="P161" i="22"/>
  <c r="Q161" i="22"/>
  <c r="R161" i="22"/>
  <c r="S161" i="22"/>
  <c r="T161" i="22"/>
  <c r="P162" i="22"/>
  <c r="Q162" i="22"/>
  <c r="R162" i="22"/>
  <c r="S162" i="22"/>
  <c r="T162" i="22"/>
  <c r="P163" i="22"/>
  <c r="Q163" i="22"/>
  <c r="R163" i="22"/>
  <c r="S163" i="22"/>
  <c r="T163" i="22"/>
  <c r="P164" i="22"/>
  <c r="Q164" i="22"/>
  <c r="R164" i="22"/>
  <c r="S164" i="22"/>
  <c r="T164" i="22"/>
  <c r="P165" i="22"/>
  <c r="Q165" i="22"/>
  <c r="R165" i="22"/>
  <c r="S165" i="22"/>
  <c r="T165" i="22"/>
  <c r="P166" i="22"/>
  <c r="Q166" i="22"/>
  <c r="R166" i="22"/>
  <c r="S166" i="22"/>
  <c r="T166" i="22"/>
  <c r="P167" i="22"/>
  <c r="Q167" i="22"/>
  <c r="R167" i="22"/>
  <c r="S167" i="22"/>
  <c r="T167" i="22"/>
  <c r="P168" i="22"/>
  <c r="Q168" i="22"/>
  <c r="R168" i="22"/>
  <c r="S168" i="22"/>
  <c r="T168" i="22"/>
  <c r="P169" i="22"/>
  <c r="Q169" i="22"/>
  <c r="R169" i="22"/>
  <c r="S169" i="22"/>
  <c r="T169" i="22"/>
  <c r="P170" i="22"/>
  <c r="Q170" i="22"/>
  <c r="R170" i="22"/>
  <c r="S170" i="22"/>
  <c r="T170" i="22"/>
  <c r="P171" i="22"/>
  <c r="Q171" i="22"/>
  <c r="R171" i="22"/>
  <c r="S171" i="22"/>
  <c r="T171" i="22"/>
  <c r="P172" i="22"/>
  <c r="Q172" i="22"/>
  <c r="R172" i="22"/>
  <c r="S172" i="22"/>
  <c r="T172" i="22"/>
  <c r="P173" i="22"/>
  <c r="Q173" i="22"/>
  <c r="R173" i="22"/>
  <c r="S173" i="22"/>
  <c r="T173" i="22"/>
  <c r="P174" i="22"/>
  <c r="Q174" i="22"/>
  <c r="R174" i="22"/>
  <c r="S174" i="22"/>
  <c r="T174" i="22"/>
  <c r="P175" i="22"/>
  <c r="Q175" i="22"/>
  <c r="R175" i="22"/>
  <c r="S175" i="22"/>
  <c r="T175" i="22"/>
  <c r="P176" i="22"/>
  <c r="Q176" i="22"/>
  <c r="R176" i="22"/>
  <c r="S176" i="22"/>
  <c r="T176" i="22"/>
  <c r="P177" i="22"/>
  <c r="Q177" i="22"/>
  <c r="R177" i="22"/>
  <c r="S177" i="22"/>
  <c r="T177" i="22"/>
  <c r="P178" i="22"/>
  <c r="Q178" i="22"/>
  <c r="R178" i="22"/>
  <c r="S178" i="22"/>
  <c r="T178" i="22"/>
  <c r="P179" i="22"/>
  <c r="Q179" i="22"/>
  <c r="R179" i="22"/>
  <c r="S179" i="22"/>
  <c r="T179" i="22"/>
  <c r="P180" i="22"/>
  <c r="Q180" i="22"/>
  <c r="R180" i="22"/>
  <c r="S180" i="22"/>
  <c r="T180" i="22"/>
  <c r="P181" i="22"/>
  <c r="Q181" i="22"/>
  <c r="R181" i="22"/>
  <c r="S181" i="22"/>
  <c r="T181" i="22"/>
  <c r="P182" i="22"/>
  <c r="Q182" i="22"/>
  <c r="R182" i="22"/>
  <c r="S182" i="22"/>
  <c r="T182" i="22"/>
  <c r="P183" i="22"/>
  <c r="Q183" i="22"/>
  <c r="R183" i="22"/>
  <c r="S183" i="22"/>
  <c r="T183" i="22"/>
  <c r="P184" i="22"/>
  <c r="Q184" i="22"/>
  <c r="R184" i="22"/>
  <c r="S184" i="22"/>
  <c r="T184" i="22"/>
  <c r="P185" i="22"/>
  <c r="Q185" i="22"/>
  <c r="R185" i="22"/>
  <c r="S185" i="22"/>
  <c r="T185" i="22"/>
  <c r="P186" i="22"/>
  <c r="Q186" i="22"/>
  <c r="R186" i="22"/>
  <c r="S186" i="22"/>
  <c r="T186" i="22"/>
  <c r="P187" i="22"/>
  <c r="Q187" i="22"/>
  <c r="R187" i="22"/>
  <c r="S187" i="22"/>
  <c r="T187" i="22"/>
  <c r="P188" i="22"/>
  <c r="Q188" i="22"/>
  <c r="R188" i="22"/>
  <c r="S188" i="22"/>
  <c r="T188" i="22"/>
  <c r="P189" i="22"/>
  <c r="Q189" i="22"/>
  <c r="R189" i="22"/>
  <c r="S189" i="22"/>
  <c r="T189" i="22"/>
  <c r="P190" i="22"/>
  <c r="Q190" i="22"/>
  <c r="R190" i="22"/>
  <c r="S190" i="22"/>
  <c r="T190" i="22"/>
  <c r="P191" i="22"/>
  <c r="Q191" i="22"/>
  <c r="R191" i="22"/>
  <c r="S191" i="22"/>
  <c r="T191" i="22"/>
  <c r="P192" i="22"/>
  <c r="Q192" i="22"/>
  <c r="R192" i="22"/>
  <c r="S192" i="22"/>
  <c r="T192" i="22"/>
  <c r="P193" i="22"/>
  <c r="Q193" i="22"/>
  <c r="R193" i="22"/>
  <c r="S193" i="22"/>
  <c r="T193" i="22"/>
  <c r="P194" i="22"/>
  <c r="Q194" i="22"/>
  <c r="R194" i="22"/>
  <c r="S194" i="22"/>
  <c r="T194" i="22"/>
  <c r="P195" i="22"/>
  <c r="Q195" i="22"/>
  <c r="R195" i="22"/>
  <c r="S195" i="22"/>
  <c r="T195" i="22"/>
  <c r="P196" i="22"/>
  <c r="Q196" i="22"/>
  <c r="R196" i="22"/>
  <c r="S196" i="22"/>
  <c r="T196" i="22"/>
  <c r="P197" i="22"/>
  <c r="Q197" i="22"/>
  <c r="R197" i="22"/>
  <c r="S197" i="22"/>
  <c r="T197" i="22"/>
  <c r="P198" i="22"/>
  <c r="Q198" i="22"/>
  <c r="R198" i="22"/>
  <c r="S198" i="22"/>
  <c r="T198" i="22"/>
  <c r="P199" i="22"/>
  <c r="Q199" i="22"/>
  <c r="R199" i="22"/>
  <c r="S199" i="22"/>
  <c r="T199" i="22"/>
  <c r="P200" i="22"/>
  <c r="Q200" i="22"/>
  <c r="R200" i="22"/>
  <c r="S200" i="22"/>
  <c r="T200" i="22"/>
  <c r="P201" i="22"/>
  <c r="Q201" i="22"/>
  <c r="R201" i="22"/>
  <c r="S201" i="22"/>
  <c r="T201" i="22"/>
  <c r="P202" i="22"/>
  <c r="Q202" i="22"/>
  <c r="R202" i="22"/>
  <c r="S202" i="22"/>
  <c r="T202" i="22"/>
  <c r="P203" i="22"/>
  <c r="Q203" i="22"/>
  <c r="R203" i="22"/>
  <c r="S203" i="22"/>
  <c r="T203" i="22"/>
  <c r="P204" i="22"/>
  <c r="Q204" i="22"/>
  <c r="R204" i="22"/>
  <c r="S204" i="22"/>
  <c r="T204" i="22"/>
  <c r="P205" i="22"/>
  <c r="Q205" i="22"/>
  <c r="R205" i="22"/>
  <c r="S205" i="22"/>
  <c r="T205" i="22"/>
  <c r="P206" i="22"/>
  <c r="Q206" i="22"/>
  <c r="R206" i="22"/>
  <c r="S206" i="22"/>
  <c r="T206" i="22"/>
  <c r="P207" i="22"/>
  <c r="Q207" i="22"/>
  <c r="R207" i="22"/>
  <c r="S207" i="22"/>
  <c r="T207" i="22"/>
  <c r="P208" i="22"/>
  <c r="Q208" i="22"/>
  <c r="R208" i="22"/>
  <c r="S208" i="22"/>
  <c r="T208" i="22"/>
  <c r="P209" i="22"/>
  <c r="Q209" i="22"/>
  <c r="R209" i="22"/>
  <c r="S209" i="22"/>
  <c r="T209" i="22"/>
  <c r="P210" i="22"/>
  <c r="Q210" i="22"/>
  <c r="R210" i="22"/>
  <c r="S210" i="22"/>
  <c r="T210" i="22"/>
  <c r="P211" i="22"/>
  <c r="Q211" i="22"/>
  <c r="R211" i="22"/>
  <c r="S211" i="22"/>
  <c r="T211" i="22"/>
  <c r="P212" i="22"/>
  <c r="Q212" i="22"/>
  <c r="R212" i="22"/>
  <c r="S212" i="22"/>
  <c r="T212" i="22"/>
  <c r="P213" i="22"/>
  <c r="Q213" i="22"/>
  <c r="R213" i="22"/>
  <c r="S213" i="22"/>
  <c r="T213" i="22"/>
  <c r="P214" i="22"/>
  <c r="Q214" i="22"/>
  <c r="R214" i="22"/>
  <c r="S214" i="22"/>
  <c r="T214" i="22"/>
  <c r="P215" i="22"/>
  <c r="Q215" i="22"/>
  <c r="R215" i="22"/>
  <c r="S215" i="22"/>
  <c r="T215" i="22"/>
  <c r="P216" i="22"/>
  <c r="Q216" i="22"/>
  <c r="R216" i="22"/>
  <c r="S216" i="22"/>
  <c r="T216" i="22"/>
  <c r="P217" i="22"/>
  <c r="Q217" i="22"/>
  <c r="R217" i="22"/>
  <c r="S217" i="22"/>
  <c r="T217" i="22"/>
  <c r="P218" i="22"/>
  <c r="Q218" i="22"/>
  <c r="R218" i="22"/>
  <c r="S218" i="22"/>
  <c r="T218" i="22"/>
  <c r="P219" i="22"/>
  <c r="Q219" i="22"/>
  <c r="R219" i="22"/>
  <c r="S219" i="22"/>
  <c r="T219" i="22"/>
  <c r="P220" i="22"/>
  <c r="Q220" i="22"/>
  <c r="R220" i="22"/>
  <c r="S220" i="22"/>
  <c r="T220" i="22"/>
  <c r="P221" i="22"/>
  <c r="Q221" i="22"/>
  <c r="R221" i="22"/>
  <c r="S221" i="22"/>
  <c r="T221" i="22"/>
  <c r="P222" i="22"/>
  <c r="Q222" i="22"/>
  <c r="R222" i="22"/>
  <c r="S222" i="22"/>
  <c r="T222" i="22"/>
  <c r="P223" i="22"/>
  <c r="Q223" i="22"/>
  <c r="R223" i="22"/>
  <c r="S223" i="22"/>
  <c r="T223" i="22"/>
  <c r="P224" i="22"/>
  <c r="Q224" i="22"/>
  <c r="R224" i="22"/>
  <c r="S224" i="22"/>
  <c r="T224" i="22"/>
  <c r="P225" i="22"/>
  <c r="Q225" i="22"/>
  <c r="R225" i="22"/>
  <c r="S225" i="22"/>
  <c r="T225" i="22"/>
  <c r="P226" i="22"/>
  <c r="Q226" i="22"/>
  <c r="R226" i="22"/>
  <c r="S226" i="22"/>
  <c r="T226" i="22"/>
  <c r="P227" i="22"/>
  <c r="Q227" i="22"/>
  <c r="R227" i="22"/>
  <c r="S227" i="22"/>
  <c r="T227" i="22"/>
  <c r="P228" i="22"/>
  <c r="Q228" i="22"/>
  <c r="R228" i="22"/>
  <c r="S228" i="22"/>
  <c r="T228" i="22"/>
  <c r="P229" i="22"/>
  <c r="Q229" i="22"/>
  <c r="R229" i="22"/>
  <c r="S229" i="22"/>
  <c r="T229" i="22"/>
  <c r="P230" i="22"/>
  <c r="Q230" i="22"/>
  <c r="R230" i="22"/>
  <c r="S230" i="22"/>
  <c r="T230" i="22"/>
  <c r="P231" i="22"/>
  <c r="Q231" i="22"/>
  <c r="R231" i="22"/>
  <c r="S231" i="22"/>
  <c r="T231" i="22"/>
  <c r="P232" i="22"/>
  <c r="Q232" i="22"/>
  <c r="R232" i="22"/>
  <c r="S232" i="22"/>
  <c r="T232" i="22"/>
  <c r="P233" i="22"/>
  <c r="Q233" i="22"/>
  <c r="R233" i="22"/>
  <c r="S233" i="22"/>
  <c r="T233" i="22"/>
  <c r="P234" i="22"/>
  <c r="Q234" i="22"/>
  <c r="R234" i="22"/>
  <c r="S234" i="22"/>
  <c r="T234" i="22"/>
  <c r="P235" i="22"/>
  <c r="Q235" i="22"/>
  <c r="R235" i="22"/>
  <c r="S235" i="22"/>
  <c r="T235" i="22"/>
  <c r="P236" i="22"/>
  <c r="Q236" i="22"/>
  <c r="R236" i="22"/>
  <c r="S236" i="22"/>
  <c r="T236" i="22"/>
  <c r="P237" i="22"/>
  <c r="Q237" i="22"/>
  <c r="R237" i="22"/>
  <c r="S237" i="22"/>
  <c r="T237" i="22"/>
  <c r="P238" i="22"/>
  <c r="Q238" i="22"/>
  <c r="R238" i="22"/>
  <c r="S238" i="22"/>
  <c r="T238" i="22"/>
  <c r="P239" i="22"/>
  <c r="Q239" i="22"/>
  <c r="R239" i="22"/>
  <c r="S239" i="22"/>
  <c r="T239" i="22"/>
  <c r="P240" i="22"/>
  <c r="Q240" i="22"/>
  <c r="R240" i="22"/>
  <c r="S240" i="22"/>
  <c r="T240" i="22"/>
  <c r="P241" i="22"/>
  <c r="Q241" i="22"/>
  <c r="R241" i="22"/>
  <c r="S241" i="22"/>
  <c r="T241" i="22"/>
  <c r="P242" i="22"/>
  <c r="Q242" i="22"/>
  <c r="R242" i="22"/>
  <c r="S242" i="22"/>
  <c r="T242" i="22"/>
  <c r="P243" i="22"/>
  <c r="Q243" i="22"/>
  <c r="R243" i="22"/>
  <c r="S243" i="22"/>
  <c r="T243" i="22"/>
  <c r="P244" i="22"/>
  <c r="Q244" i="22"/>
  <c r="R244" i="22"/>
  <c r="S244" i="22"/>
  <c r="T244" i="22"/>
  <c r="P245" i="22"/>
  <c r="Q245" i="22"/>
  <c r="R245" i="22"/>
  <c r="S245" i="22"/>
  <c r="T245" i="22"/>
  <c r="P246" i="22"/>
  <c r="Q246" i="22"/>
  <c r="R246" i="22"/>
  <c r="S246" i="22"/>
  <c r="T246" i="22"/>
  <c r="P247" i="22"/>
  <c r="Q247" i="22"/>
  <c r="R247" i="22"/>
  <c r="S247" i="22"/>
  <c r="T247" i="22"/>
  <c r="P248" i="22"/>
  <c r="Q248" i="22"/>
  <c r="R248" i="22"/>
  <c r="S248" i="22"/>
  <c r="T248" i="22"/>
  <c r="P249" i="22"/>
  <c r="Q249" i="22"/>
  <c r="R249" i="22"/>
  <c r="S249" i="22"/>
  <c r="T249" i="22"/>
  <c r="P250" i="22"/>
  <c r="Q250" i="22"/>
  <c r="R250" i="22"/>
  <c r="S250" i="22"/>
  <c r="T250" i="22"/>
  <c r="P251" i="22"/>
  <c r="Q251" i="22"/>
  <c r="R251" i="22"/>
  <c r="S251" i="22"/>
  <c r="T251" i="22"/>
  <c r="P252" i="22"/>
  <c r="Q252" i="22"/>
  <c r="R252" i="22"/>
  <c r="S252" i="22"/>
  <c r="T252" i="22"/>
  <c r="P253" i="22"/>
  <c r="Q253" i="22"/>
  <c r="R253" i="22"/>
  <c r="S253" i="22"/>
  <c r="T253" i="22"/>
  <c r="P254" i="22"/>
  <c r="Q254" i="22"/>
  <c r="R254" i="22"/>
  <c r="S254" i="22"/>
  <c r="T254" i="22"/>
  <c r="P255" i="22"/>
  <c r="Q255" i="22"/>
  <c r="R255" i="22"/>
  <c r="S255" i="22"/>
  <c r="T255" i="22"/>
  <c r="P256" i="22"/>
  <c r="Q256" i="22"/>
  <c r="R256" i="22"/>
  <c r="S256" i="22"/>
  <c r="T256" i="22"/>
  <c r="P257" i="22"/>
  <c r="Q257" i="22"/>
  <c r="R257" i="22"/>
  <c r="S257" i="22"/>
  <c r="T257" i="22"/>
  <c r="P258" i="22"/>
  <c r="Q258" i="22"/>
  <c r="R258" i="22"/>
  <c r="S258" i="22"/>
  <c r="T258" i="22"/>
  <c r="P259" i="22"/>
  <c r="Q259" i="22"/>
  <c r="R259" i="22"/>
  <c r="S259" i="22"/>
  <c r="T259" i="22"/>
  <c r="P260" i="22"/>
  <c r="Q260" i="22"/>
  <c r="R260" i="22"/>
  <c r="S260" i="22"/>
  <c r="T260" i="22"/>
  <c r="P261" i="22"/>
  <c r="Q261" i="22"/>
  <c r="R261" i="22"/>
  <c r="S261" i="22"/>
  <c r="T261" i="22"/>
  <c r="P262" i="22"/>
  <c r="Q262" i="22"/>
  <c r="R262" i="22"/>
  <c r="S262" i="22"/>
  <c r="T262" i="22"/>
  <c r="P263" i="22"/>
  <c r="Q263" i="22"/>
  <c r="R263" i="22"/>
  <c r="S263" i="22"/>
  <c r="T263" i="22"/>
  <c r="P264" i="22"/>
  <c r="Q264" i="22"/>
  <c r="R264" i="22"/>
  <c r="S264" i="22"/>
  <c r="T264" i="22"/>
  <c r="P265" i="22"/>
  <c r="Q265" i="22"/>
  <c r="R265" i="22"/>
  <c r="S265" i="22"/>
  <c r="T265" i="22"/>
  <c r="P266" i="22"/>
  <c r="Q266" i="22"/>
  <c r="R266" i="22"/>
  <c r="S266" i="22"/>
  <c r="T266" i="22"/>
  <c r="P267" i="22"/>
  <c r="Q267" i="22"/>
  <c r="R267" i="22"/>
  <c r="S267" i="22"/>
  <c r="T267" i="22"/>
  <c r="P268" i="22"/>
  <c r="Q268" i="22"/>
  <c r="R268" i="22"/>
  <c r="S268" i="22"/>
  <c r="T268" i="22"/>
  <c r="P269" i="22"/>
  <c r="Q269" i="22"/>
  <c r="R269" i="22"/>
  <c r="S269" i="22"/>
  <c r="T269" i="22"/>
  <c r="P270" i="22"/>
  <c r="Q270" i="22"/>
  <c r="R270" i="22"/>
  <c r="S270" i="22"/>
  <c r="T270" i="22"/>
  <c r="P271" i="22"/>
  <c r="Q271" i="22"/>
  <c r="R271" i="22"/>
  <c r="S271" i="22"/>
  <c r="T271" i="22"/>
  <c r="P272" i="22"/>
  <c r="Q272" i="22"/>
  <c r="R272" i="22"/>
  <c r="S272" i="22"/>
  <c r="T272" i="22"/>
  <c r="P273" i="22"/>
  <c r="Q273" i="22"/>
  <c r="R273" i="22"/>
  <c r="S273" i="22"/>
  <c r="T273" i="22"/>
  <c r="P274" i="22"/>
  <c r="Q274" i="22"/>
  <c r="R274" i="22"/>
  <c r="S274" i="22"/>
  <c r="T274" i="22"/>
  <c r="P275" i="22"/>
  <c r="Q275" i="22"/>
  <c r="R275" i="22"/>
  <c r="S275" i="22"/>
  <c r="T275" i="22"/>
  <c r="P276" i="22"/>
  <c r="Q276" i="22"/>
  <c r="R276" i="22"/>
  <c r="S276" i="22"/>
  <c r="T276" i="22"/>
  <c r="P277" i="22"/>
  <c r="Q277" i="22"/>
  <c r="R277" i="22"/>
  <c r="S277" i="22"/>
  <c r="T277" i="22"/>
  <c r="P278" i="22"/>
  <c r="Q278" i="22"/>
  <c r="R278" i="22"/>
  <c r="S278" i="22"/>
  <c r="T278" i="22"/>
  <c r="P279" i="22"/>
  <c r="Q279" i="22"/>
  <c r="R279" i="22"/>
  <c r="S279" i="22"/>
  <c r="T279" i="22"/>
  <c r="P280" i="22"/>
  <c r="Q280" i="22"/>
  <c r="R280" i="22"/>
  <c r="S280" i="22"/>
  <c r="T280" i="22"/>
  <c r="P281" i="22"/>
  <c r="Q281" i="22"/>
  <c r="R281" i="22"/>
  <c r="S281" i="22"/>
  <c r="T281" i="22"/>
  <c r="P282" i="22"/>
  <c r="Q282" i="22"/>
  <c r="R282" i="22"/>
  <c r="S282" i="22"/>
  <c r="T282" i="22"/>
  <c r="P283" i="22"/>
  <c r="Q283" i="22"/>
  <c r="R283" i="22"/>
  <c r="S283" i="22"/>
  <c r="T283" i="22"/>
  <c r="P284" i="22"/>
  <c r="Q284" i="22"/>
  <c r="R284" i="22"/>
  <c r="S284" i="22"/>
  <c r="T284" i="22"/>
  <c r="P285" i="22"/>
  <c r="Q285" i="22"/>
  <c r="R285" i="22"/>
  <c r="S285" i="22"/>
  <c r="T285" i="22"/>
  <c r="P286" i="22"/>
  <c r="Q286" i="22"/>
  <c r="R286" i="22"/>
  <c r="S286" i="22"/>
  <c r="T286" i="22"/>
  <c r="P287" i="22"/>
  <c r="Q287" i="22"/>
  <c r="R287" i="22"/>
  <c r="S287" i="22"/>
  <c r="T287" i="22"/>
  <c r="P288" i="22"/>
  <c r="Q288" i="22"/>
  <c r="R288" i="22"/>
  <c r="S288" i="22"/>
  <c r="T288" i="22"/>
  <c r="P289" i="22"/>
  <c r="Q289" i="22"/>
  <c r="R289" i="22"/>
  <c r="S289" i="22"/>
  <c r="T289" i="22"/>
  <c r="P290" i="22"/>
  <c r="Q290" i="22"/>
  <c r="R290" i="22"/>
  <c r="S290" i="22"/>
  <c r="T290" i="22"/>
  <c r="P291" i="22"/>
  <c r="Q291" i="22"/>
  <c r="R291" i="22"/>
  <c r="S291" i="22"/>
  <c r="T291" i="22"/>
  <c r="P292" i="22"/>
  <c r="Q292" i="22"/>
  <c r="R292" i="22"/>
  <c r="S292" i="22"/>
  <c r="T292" i="22"/>
  <c r="P293" i="22"/>
  <c r="Q293" i="22"/>
  <c r="R293" i="22"/>
  <c r="S293" i="22"/>
  <c r="T293" i="22"/>
  <c r="P294" i="22"/>
  <c r="Q294" i="22"/>
  <c r="R294" i="22"/>
  <c r="S294" i="22"/>
  <c r="T294" i="22"/>
  <c r="P295" i="22"/>
  <c r="Q295" i="22"/>
  <c r="R295" i="22"/>
  <c r="S295" i="22"/>
  <c r="T295" i="22"/>
  <c r="P296" i="22"/>
  <c r="Q296" i="22"/>
  <c r="R296" i="22"/>
  <c r="S296" i="22"/>
  <c r="T296" i="22"/>
  <c r="P297" i="22"/>
  <c r="Q297" i="22"/>
  <c r="R297" i="22"/>
  <c r="S297" i="22"/>
  <c r="T297" i="22"/>
  <c r="P298" i="22"/>
  <c r="Q298" i="22"/>
  <c r="R298" i="22"/>
  <c r="S298" i="22"/>
  <c r="T298" i="22"/>
  <c r="P299" i="22"/>
  <c r="Q299" i="22"/>
  <c r="R299" i="22"/>
  <c r="S299" i="22"/>
  <c r="T299" i="22"/>
  <c r="P300" i="22"/>
  <c r="Q300" i="22"/>
  <c r="R300" i="22"/>
  <c r="S300" i="22"/>
  <c r="T300" i="22"/>
  <c r="P301" i="22"/>
  <c r="Q301" i="22"/>
  <c r="R301" i="22"/>
  <c r="S301" i="22"/>
  <c r="T301" i="22"/>
  <c r="P302" i="22"/>
  <c r="Q302" i="22"/>
  <c r="R302" i="22"/>
  <c r="S302" i="22"/>
  <c r="T302" i="22"/>
  <c r="P303" i="22"/>
  <c r="Q303" i="22"/>
  <c r="R303" i="22"/>
  <c r="S303" i="22"/>
  <c r="T303" i="22"/>
  <c r="P304" i="22"/>
  <c r="Q304" i="22"/>
  <c r="R304" i="22"/>
  <c r="S304" i="22"/>
  <c r="T304" i="22"/>
  <c r="P305" i="22"/>
  <c r="Q305" i="22"/>
  <c r="R305" i="22"/>
  <c r="S305" i="22"/>
  <c r="T305" i="22"/>
  <c r="P306" i="22"/>
  <c r="Q306" i="22"/>
  <c r="R306" i="22"/>
  <c r="S306" i="22"/>
  <c r="T306" i="22"/>
  <c r="P307" i="22"/>
  <c r="Q307" i="22"/>
  <c r="R307" i="22"/>
  <c r="S307" i="22"/>
  <c r="T307" i="22"/>
  <c r="P308" i="22"/>
  <c r="Q308" i="22"/>
  <c r="R308" i="22"/>
  <c r="S308" i="22"/>
  <c r="T308" i="22"/>
  <c r="P309" i="22"/>
  <c r="Q309" i="22"/>
  <c r="R309" i="22"/>
  <c r="S309" i="22"/>
  <c r="T309" i="22"/>
  <c r="P310" i="22"/>
  <c r="Q310" i="22"/>
  <c r="R310" i="22"/>
  <c r="S310" i="22"/>
  <c r="T310" i="22"/>
  <c r="P311" i="22"/>
  <c r="Q311" i="22"/>
  <c r="R311" i="22"/>
  <c r="S311" i="22"/>
  <c r="T311" i="22"/>
  <c r="P312" i="22"/>
  <c r="Q312" i="22"/>
  <c r="R312" i="22"/>
  <c r="S312" i="22"/>
  <c r="T312" i="22"/>
  <c r="P313" i="22"/>
  <c r="Q313" i="22"/>
  <c r="R313" i="22"/>
  <c r="S313" i="22"/>
  <c r="T313" i="22"/>
  <c r="P314" i="22"/>
  <c r="Q314" i="22"/>
  <c r="R314" i="22"/>
  <c r="S314" i="22"/>
  <c r="T314" i="22"/>
  <c r="P315" i="22"/>
  <c r="Q315" i="22"/>
  <c r="R315" i="22"/>
  <c r="S315" i="22"/>
  <c r="T315" i="22"/>
  <c r="P316" i="22"/>
  <c r="Q316" i="22"/>
  <c r="R316" i="22"/>
  <c r="S316" i="22"/>
  <c r="T316" i="22"/>
  <c r="P317" i="22"/>
  <c r="Q317" i="22"/>
  <c r="R317" i="22"/>
  <c r="S317" i="22"/>
  <c r="T317" i="22"/>
  <c r="P318" i="22"/>
  <c r="Q318" i="22"/>
  <c r="R318" i="22"/>
  <c r="S318" i="22"/>
  <c r="T318" i="22"/>
  <c r="P319" i="22"/>
  <c r="Q319" i="22"/>
  <c r="R319" i="22"/>
  <c r="S319" i="22"/>
  <c r="T319" i="22"/>
  <c r="P320" i="22"/>
  <c r="Q320" i="22"/>
  <c r="R320" i="22"/>
  <c r="S320" i="22"/>
  <c r="T320" i="22"/>
  <c r="P321" i="22"/>
  <c r="Q321" i="22"/>
  <c r="R321" i="22"/>
  <c r="S321" i="22"/>
  <c r="T321" i="22"/>
  <c r="P322" i="22"/>
  <c r="Q322" i="22"/>
  <c r="R322" i="22"/>
  <c r="S322" i="22"/>
  <c r="T322" i="22"/>
  <c r="P323" i="22"/>
  <c r="Q323" i="22"/>
  <c r="R323" i="22"/>
  <c r="S323" i="22"/>
  <c r="T323" i="22"/>
  <c r="P324" i="22"/>
  <c r="Q324" i="22"/>
  <c r="R324" i="22"/>
  <c r="S324" i="22"/>
  <c r="T324" i="22"/>
  <c r="P325" i="22"/>
  <c r="Q325" i="22"/>
  <c r="R325" i="22"/>
  <c r="S325" i="22"/>
  <c r="T325" i="22"/>
  <c r="P326" i="22"/>
  <c r="Q326" i="22"/>
  <c r="R326" i="22"/>
  <c r="S326" i="22"/>
  <c r="T326" i="22"/>
  <c r="P327" i="22"/>
  <c r="Q327" i="22"/>
  <c r="R327" i="22"/>
  <c r="S327" i="22"/>
  <c r="T327" i="22"/>
  <c r="P328" i="22"/>
  <c r="Q328" i="22"/>
  <c r="R328" i="22"/>
  <c r="S328" i="22"/>
  <c r="T328" i="22"/>
  <c r="P329" i="22"/>
  <c r="Q329" i="22"/>
  <c r="R329" i="22"/>
  <c r="S329" i="22"/>
  <c r="T329" i="22"/>
  <c r="P330" i="22"/>
  <c r="Q330" i="22"/>
  <c r="R330" i="22"/>
  <c r="S330" i="22"/>
  <c r="T330" i="22"/>
  <c r="P331" i="22"/>
  <c r="Q331" i="22"/>
  <c r="R331" i="22"/>
  <c r="S331" i="22"/>
  <c r="T331" i="22"/>
  <c r="P332" i="22"/>
  <c r="Q332" i="22"/>
  <c r="R332" i="22"/>
  <c r="S332" i="22"/>
  <c r="T332" i="22"/>
  <c r="P333" i="22"/>
  <c r="Q333" i="22"/>
  <c r="R333" i="22"/>
  <c r="S333" i="22"/>
  <c r="T333" i="22"/>
  <c r="P334" i="22"/>
  <c r="Q334" i="22"/>
  <c r="R334" i="22"/>
  <c r="S334" i="22"/>
  <c r="T334" i="22"/>
  <c r="P335" i="22"/>
  <c r="Q335" i="22"/>
  <c r="R335" i="22"/>
  <c r="S335" i="22"/>
  <c r="T335" i="22"/>
  <c r="P336" i="22"/>
  <c r="Q336" i="22"/>
  <c r="R336" i="22"/>
  <c r="S336" i="22"/>
  <c r="T336" i="22"/>
  <c r="P337" i="22"/>
  <c r="Q337" i="22"/>
  <c r="R337" i="22"/>
  <c r="S337" i="22"/>
  <c r="T337" i="22"/>
  <c r="P338" i="22"/>
  <c r="Q338" i="22"/>
  <c r="R338" i="22"/>
  <c r="S338" i="22"/>
  <c r="T338" i="22"/>
  <c r="P339" i="22"/>
  <c r="Q339" i="22"/>
  <c r="R339" i="22"/>
  <c r="S339" i="22"/>
  <c r="T339" i="22"/>
  <c r="P340" i="22"/>
  <c r="Q340" i="22"/>
  <c r="R340" i="22"/>
  <c r="S340" i="22"/>
  <c r="T340" i="22"/>
  <c r="P341" i="22"/>
  <c r="Q341" i="22"/>
  <c r="R341" i="22"/>
  <c r="S341" i="22"/>
  <c r="T341" i="22"/>
  <c r="P342" i="22"/>
  <c r="Q342" i="22"/>
  <c r="R342" i="22"/>
  <c r="S342" i="22"/>
  <c r="T342" i="22"/>
  <c r="P343" i="22"/>
  <c r="Q343" i="22"/>
  <c r="R343" i="22"/>
  <c r="S343" i="22"/>
  <c r="T343" i="22"/>
  <c r="P344" i="22"/>
  <c r="Q344" i="22"/>
  <c r="R344" i="22"/>
  <c r="S344" i="22"/>
  <c r="T344" i="22"/>
  <c r="P345" i="22"/>
  <c r="Q345" i="22"/>
  <c r="R345" i="22"/>
  <c r="S345" i="22"/>
  <c r="T345" i="22"/>
  <c r="P346" i="22"/>
  <c r="Q346" i="22"/>
  <c r="R346" i="22"/>
  <c r="S346" i="22"/>
  <c r="T346" i="22"/>
  <c r="P347" i="22"/>
  <c r="Q347" i="22"/>
  <c r="R347" i="22"/>
  <c r="S347" i="22"/>
  <c r="T347" i="22"/>
  <c r="P348" i="22"/>
  <c r="Q348" i="22"/>
  <c r="R348" i="22"/>
  <c r="S348" i="22"/>
  <c r="T348" i="22"/>
  <c r="P349" i="22"/>
  <c r="Q349" i="22"/>
  <c r="R349" i="22"/>
  <c r="S349" i="22"/>
  <c r="T349" i="22"/>
  <c r="P350" i="22"/>
  <c r="Q350" i="22"/>
  <c r="R350" i="22"/>
  <c r="S350" i="22"/>
  <c r="T350" i="22"/>
  <c r="P351" i="22"/>
  <c r="Q351" i="22"/>
  <c r="R351" i="22"/>
  <c r="S351" i="22"/>
  <c r="T351" i="22"/>
  <c r="P352" i="22"/>
  <c r="Q352" i="22"/>
  <c r="R352" i="22"/>
  <c r="S352" i="22"/>
  <c r="T352" i="22"/>
  <c r="P353" i="22"/>
  <c r="Q353" i="22"/>
  <c r="R353" i="22"/>
  <c r="S353" i="22"/>
  <c r="T353" i="22"/>
  <c r="P354" i="22"/>
  <c r="Q354" i="22"/>
  <c r="R354" i="22"/>
  <c r="S354" i="22"/>
  <c r="T354" i="22"/>
  <c r="P355" i="22"/>
  <c r="Q355" i="22"/>
  <c r="R355" i="22"/>
  <c r="S355" i="22"/>
  <c r="T355" i="22"/>
  <c r="P356" i="22"/>
  <c r="Q356" i="22"/>
  <c r="R356" i="22"/>
  <c r="S356" i="22"/>
  <c r="T356" i="22"/>
  <c r="P357" i="22"/>
  <c r="Q357" i="22"/>
  <c r="R357" i="22"/>
  <c r="S357" i="22"/>
  <c r="T357" i="22"/>
  <c r="P358" i="22"/>
  <c r="Q358" i="22"/>
  <c r="R358" i="22"/>
  <c r="S358" i="22"/>
  <c r="T358" i="22"/>
  <c r="P359" i="22"/>
  <c r="Q359" i="22"/>
  <c r="R359" i="22"/>
  <c r="S359" i="22"/>
  <c r="T359" i="22"/>
  <c r="P360" i="22"/>
  <c r="Q360" i="22"/>
  <c r="R360" i="22"/>
  <c r="S360" i="22"/>
  <c r="T360" i="22"/>
  <c r="P361" i="22"/>
  <c r="Q361" i="22"/>
  <c r="R361" i="22"/>
  <c r="S361" i="22"/>
  <c r="T361" i="22"/>
  <c r="P362" i="22"/>
  <c r="Q362" i="22"/>
  <c r="R362" i="22"/>
  <c r="S362" i="22"/>
  <c r="T362" i="22"/>
  <c r="P363" i="22"/>
  <c r="Q363" i="22"/>
  <c r="R363" i="22"/>
  <c r="S363" i="22"/>
  <c r="T363" i="22"/>
  <c r="P364" i="22"/>
  <c r="Q364" i="22"/>
  <c r="R364" i="22"/>
  <c r="S364" i="22"/>
  <c r="T364" i="22"/>
  <c r="P365" i="22"/>
  <c r="Q365" i="22"/>
  <c r="R365" i="22"/>
  <c r="S365" i="22"/>
  <c r="T365" i="22"/>
  <c r="P366" i="22"/>
  <c r="Q366" i="22"/>
  <c r="R366" i="22"/>
  <c r="S366" i="22"/>
  <c r="T366" i="22"/>
  <c r="P367" i="22"/>
  <c r="Q367" i="22"/>
  <c r="R367" i="22"/>
  <c r="S367" i="22"/>
  <c r="T367" i="22"/>
  <c r="P368" i="22"/>
  <c r="Q368" i="22"/>
  <c r="R368" i="22"/>
  <c r="S368" i="22"/>
  <c r="T368" i="22"/>
  <c r="P369" i="22"/>
  <c r="Q369" i="22"/>
  <c r="R369" i="22"/>
  <c r="S369" i="22"/>
  <c r="T369" i="22"/>
  <c r="P370" i="22"/>
  <c r="Q370" i="22"/>
  <c r="R370" i="22"/>
  <c r="S370" i="22"/>
  <c r="T370" i="22"/>
  <c r="P371" i="22"/>
  <c r="Q371" i="22"/>
  <c r="R371" i="22"/>
  <c r="S371" i="22"/>
  <c r="T371" i="22"/>
  <c r="P372" i="22"/>
  <c r="Q372" i="22"/>
  <c r="R372" i="22"/>
  <c r="S372" i="22"/>
  <c r="T372" i="22"/>
  <c r="P373" i="22"/>
  <c r="Q373" i="22"/>
  <c r="R373" i="22"/>
  <c r="S373" i="22"/>
  <c r="T373" i="22"/>
  <c r="P374" i="22"/>
  <c r="Q374" i="22"/>
  <c r="R374" i="22"/>
  <c r="S374" i="22"/>
  <c r="T374" i="22"/>
  <c r="P375" i="22"/>
  <c r="Q375" i="22"/>
  <c r="R375" i="22"/>
  <c r="S375" i="22"/>
  <c r="T375" i="22"/>
  <c r="P376" i="22"/>
  <c r="Q376" i="22"/>
  <c r="R376" i="22"/>
  <c r="S376" i="22"/>
  <c r="T376" i="22"/>
  <c r="P377" i="22"/>
  <c r="Q377" i="22"/>
  <c r="R377" i="22"/>
  <c r="S377" i="22"/>
  <c r="T377" i="22"/>
  <c r="P378" i="22"/>
  <c r="Q378" i="22"/>
  <c r="R378" i="22"/>
  <c r="S378" i="22"/>
  <c r="T378" i="22"/>
  <c r="P379" i="22"/>
  <c r="Q379" i="22"/>
  <c r="R379" i="22"/>
  <c r="S379" i="22"/>
  <c r="T379" i="22"/>
  <c r="P380" i="22"/>
  <c r="Q380" i="22"/>
  <c r="R380" i="22"/>
  <c r="S380" i="22"/>
  <c r="T380" i="22"/>
  <c r="P381" i="22"/>
  <c r="Q381" i="22"/>
  <c r="R381" i="22"/>
  <c r="S381" i="22"/>
  <c r="T381" i="22"/>
  <c r="P382" i="22"/>
  <c r="Q382" i="22"/>
  <c r="R382" i="22"/>
  <c r="S382" i="22"/>
  <c r="T382" i="22"/>
  <c r="P383" i="22"/>
  <c r="Q383" i="22"/>
  <c r="R383" i="22"/>
  <c r="S383" i="22"/>
  <c r="T383" i="22"/>
  <c r="P384" i="22"/>
  <c r="Q384" i="22"/>
  <c r="R384" i="22"/>
  <c r="S384" i="22"/>
  <c r="T384" i="22"/>
  <c r="P385" i="22"/>
  <c r="Q385" i="22"/>
  <c r="R385" i="22"/>
  <c r="S385" i="22"/>
  <c r="T385" i="22"/>
  <c r="P386" i="22"/>
  <c r="Q386" i="22"/>
  <c r="R386" i="22"/>
  <c r="S386" i="22"/>
  <c r="T386" i="22"/>
  <c r="P387" i="22"/>
  <c r="Q387" i="22"/>
  <c r="R387" i="22"/>
  <c r="S387" i="22"/>
  <c r="T387" i="22"/>
  <c r="P388" i="22"/>
  <c r="Q388" i="22"/>
  <c r="R388" i="22"/>
  <c r="S388" i="22"/>
  <c r="T388" i="22"/>
  <c r="P389" i="22"/>
  <c r="Q389" i="22"/>
  <c r="R389" i="22"/>
  <c r="S389" i="22"/>
  <c r="T389" i="22"/>
  <c r="P390" i="22"/>
  <c r="Q390" i="22"/>
  <c r="R390" i="22"/>
  <c r="S390" i="22"/>
  <c r="T390" i="22"/>
  <c r="P391" i="22"/>
  <c r="Q391" i="22"/>
  <c r="R391" i="22"/>
  <c r="S391" i="22"/>
  <c r="T391" i="22"/>
  <c r="P392" i="22"/>
  <c r="Q392" i="22"/>
  <c r="R392" i="22"/>
  <c r="S392" i="22"/>
  <c r="T392" i="22"/>
  <c r="P393" i="22"/>
  <c r="Q393" i="22"/>
  <c r="R393" i="22"/>
  <c r="S393" i="22"/>
  <c r="T393" i="22"/>
  <c r="P394" i="22"/>
  <c r="Q394" i="22"/>
  <c r="R394" i="22"/>
  <c r="S394" i="22"/>
  <c r="T394" i="22"/>
  <c r="P395" i="22"/>
  <c r="Q395" i="22"/>
  <c r="R395" i="22"/>
  <c r="S395" i="22"/>
  <c r="T395" i="22"/>
  <c r="P396" i="22"/>
  <c r="Q396" i="22"/>
  <c r="R396" i="22"/>
  <c r="S396" i="22"/>
  <c r="T396" i="22"/>
  <c r="P397" i="22"/>
  <c r="Q397" i="22"/>
  <c r="R397" i="22"/>
  <c r="S397" i="22"/>
  <c r="T397" i="22"/>
  <c r="P398" i="22"/>
  <c r="Q398" i="22"/>
  <c r="R398" i="22"/>
  <c r="S398" i="22"/>
  <c r="T398" i="22"/>
  <c r="P399" i="22"/>
  <c r="Q399" i="22"/>
  <c r="R399" i="22"/>
  <c r="S399" i="22"/>
  <c r="T399" i="22"/>
  <c r="P400" i="22"/>
  <c r="Q400" i="22"/>
  <c r="R400" i="22"/>
  <c r="S400" i="22"/>
  <c r="T400" i="22"/>
  <c r="P401" i="22"/>
  <c r="Q401" i="22"/>
  <c r="R401" i="22"/>
  <c r="S401" i="22"/>
  <c r="T401" i="22"/>
  <c r="P402" i="22"/>
  <c r="Q402" i="22"/>
  <c r="R402" i="22"/>
  <c r="S402" i="22"/>
  <c r="T402" i="22"/>
  <c r="P403" i="22"/>
  <c r="Q403" i="22"/>
  <c r="R403" i="22"/>
  <c r="S403" i="22"/>
  <c r="T403" i="22"/>
  <c r="P404" i="22"/>
  <c r="Q404" i="22"/>
  <c r="R404" i="22"/>
  <c r="S404" i="22"/>
  <c r="T404" i="22"/>
  <c r="P405" i="22"/>
  <c r="Q405" i="22"/>
  <c r="R405" i="22"/>
  <c r="S405" i="22"/>
  <c r="T405" i="22"/>
  <c r="P406" i="22"/>
  <c r="Q406" i="22"/>
  <c r="R406" i="22"/>
  <c r="S406" i="22"/>
  <c r="T406" i="22"/>
  <c r="P407" i="22"/>
  <c r="Q407" i="22"/>
  <c r="R407" i="22"/>
  <c r="S407" i="22"/>
  <c r="T407" i="22"/>
  <c r="P408" i="22"/>
  <c r="Q408" i="22"/>
  <c r="R408" i="22"/>
  <c r="S408" i="22"/>
  <c r="T408" i="22"/>
  <c r="P409" i="22"/>
  <c r="Q409" i="22"/>
  <c r="R409" i="22"/>
  <c r="S409" i="22"/>
  <c r="T409" i="22"/>
  <c r="P410" i="22"/>
  <c r="Q410" i="22"/>
  <c r="R410" i="22"/>
  <c r="S410" i="22"/>
  <c r="T410" i="22"/>
  <c r="P411" i="22"/>
  <c r="Q411" i="22"/>
  <c r="R411" i="22"/>
  <c r="S411" i="22"/>
  <c r="T411" i="22"/>
  <c r="P412" i="22"/>
  <c r="Q412" i="22"/>
  <c r="R412" i="22"/>
  <c r="S412" i="22"/>
  <c r="T412" i="22"/>
  <c r="P413" i="22"/>
  <c r="Q413" i="22"/>
  <c r="R413" i="22"/>
  <c r="S413" i="22"/>
  <c r="T413" i="22"/>
  <c r="P414" i="22"/>
  <c r="Q414" i="22"/>
  <c r="R414" i="22"/>
  <c r="S414" i="22"/>
  <c r="T414" i="22"/>
  <c r="P415" i="22"/>
  <c r="Q415" i="22"/>
  <c r="R415" i="22"/>
  <c r="S415" i="22"/>
  <c r="T415" i="22"/>
  <c r="P416" i="22"/>
  <c r="Q416" i="22"/>
  <c r="R416" i="22"/>
  <c r="S416" i="22"/>
  <c r="T416" i="22"/>
  <c r="P417" i="22"/>
  <c r="Q417" i="22"/>
  <c r="R417" i="22"/>
  <c r="S417" i="22"/>
  <c r="T417" i="22"/>
  <c r="P418" i="22"/>
  <c r="Q418" i="22"/>
  <c r="R418" i="22"/>
  <c r="S418" i="22"/>
  <c r="T418" i="22"/>
  <c r="P419" i="22"/>
  <c r="Q419" i="22"/>
  <c r="R419" i="22"/>
  <c r="S419" i="22"/>
  <c r="T419" i="22"/>
  <c r="P420" i="22"/>
  <c r="Q420" i="22"/>
  <c r="R420" i="22"/>
  <c r="S420" i="22"/>
  <c r="T420" i="22"/>
  <c r="P421" i="22"/>
  <c r="Q421" i="22"/>
  <c r="R421" i="22"/>
  <c r="S421" i="22"/>
  <c r="T421" i="22"/>
  <c r="P422" i="22"/>
  <c r="Q422" i="22"/>
  <c r="R422" i="22"/>
  <c r="S422" i="22"/>
  <c r="T422" i="22"/>
  <c r="P423" i="22"/>
  <c r="Q423" i="22"/>
  <c r="R423" i="22"/>
  <c r="S423" i="22"/>
  <c r="T423" i="22"/>
  <c r="P424" i="22"/>
  <c r="Q424" i="22"/>
  <c r="R424" i="22"/>
  <c r="S424" i="22"/>
  <c r="T424" i="22"/>
  <c r="P425" i="22"/>
  <c r="Q425" i="22"/>
  <c r="R425" i="22"/>
  <c r="S425" i="22"/>
  <c r="T425" i="22"/>
  <c r="P426" i="22"/>
  <c r="Q426" i="22"/>
  <c r="R426" i="22"/>
  <c r="S426" i="22"/>
  <c r="T426" i="22"/>
  <c r="P427" i="22"/>
  <c r="Q427" i="22"/>
  <c r="R427" i="22"/>
  <c r="S427" i="22"/>
  <c r="T427" i="22"/>
  <c r="P428" i="22"/>
  <c r="Q428" i="22"/>
  <c r="R428" i="22"/>
  <c r="S428" i="22"/>
  <c r="T428" i="22"/>
  <c r="P429" i="22"/>
  <c r="Q429" i="22"/>
  <c r="R429" i="22"/>
  <c r="S429" i="22"/>
  <c r="T429" i="22"/>
  <c r="P430" i="22"/>
  <c r="Q430" i="22"/>
  <c r="R430" i="22"/>
  <c r="S430" i="22"/>
  <c r="T430" i="22"/>
  <c r="P431" i="22"/>
  <c r="Q431" i="22"/>
  <c r="R431" i="22"/>
  <c r="S431" i="22"/>
  <c r="T431" i="22"/>
  <c r="P432" i="22"/>
  <c r="Q432" i="22"/>
  <c r="R432" i="22"/>
  <c r="S432" i="22"/>
  <c r="T432" i="22"/>
  <c r="P433" i="22"/>
  <c r="Q433" i="22"/>
  <c r="R433" i="22"/>
  <c r="S433" i="22"/>
  <c r="T433" i="22"/>
  <c r="P434" i="22"/>
  <c r="Q434" i="22"/>
  <c r="R434" i="22"/>
  <c r="S434" i="22"/>
  <c r="T434" i="22"/>
  <c r="P435" i="22"/>
  <c r="Q435" i="22"/>
  <c r="R435" i="22"/>
  <c r="S435" i="22"/>
  <c r="T435" i="22"/>
  <c r="P436" i="22"/>
  <c r="Q436" i="22"/>
  <c r="R436" i="22"/>
  <c r="S436" i="22"/>
  <c r="T436" i="22"/>
  <c r="P437" i="22"/>
  <c r="Q437" i="22"/>
  <c r="R437" i="22"/>
  <c r="S437" i="22"/>
  <c r="T437" i="22"/>
  <c r="P438" i="22"/>
  <c r="Q438" i="22"/>
  <c r="R438" i="22"/>
  <c r="S438" i="22"/>
  <c r="T438" i="22"/>
  <c r="P439" i="22"/>
  <c r="Q439" i="22"/>
  <c r="R439" i="22"/>
  <c r="S439" i="22"/>
  <c r="T439" i="22"/>
  <c r="P440" i="22"/>
  <c r="Q440" i="22"/>
  <c r="R440" i="22"/>
  <c r="S440" i="22"/>
  <c r="T440" i="22"/>
  <c r="P441" i="22"/>
  <c r="Q441" i="22"/>
  <c r="R441" i="22"/>
  <c r="S441" i="22"/>
  <c r="T441" i="22"/>
  <c r="P442" i="22"/>
  <c r="Q442" i="22"/>
  <c r="R442" i="22"/>
  <c r="S442" i="22"/>
  <c r="T442" i="22"/>
  <c r="P443" i="22"/>
  <c r="Q443" i="22"/>
  <c r="R443" i="22"/>
  <c r="S443" i="22"/>
  <c r="T443" i="22"/>
  <c r="P444" i="22"/>
  <c r="Q444" i="22"/>
  <c r="R444" i="22"/>
  <c r="S444" i="22"/>
  <c r="T444" i="22"/>
  <c r="P445" i="22"/>
  <c r="Q445" i="22"/>
  <c r="R445" i="22"/>
  <c r="S445" i="22"/>
  <c r="T445" i="22"/>
  <c r="P446" i="22"/>
  <c r="Q446" i="22"/>
  <c r="R446" i="22"/>
  <c r="S446" i="22"/>
  <c r="T446" i="22"/>
  <c r="P447" i="22"/>
  <c r="Q447" i="22"/>
  <c r="R447" i="22"/>
  <c r="S447" i="22"/>
  <c r="T447" i="22"/>
  <c r="P448" i="22"/>
  <c r="Q448" i="22"/>
  <c r="R448" i="22"/>
  <c r="S448" i="22"/>
  <c r="T448" i="22"/>
  <c r="P449" i="22"/>
  <c r="Q449" i="22"/>
  <c r="R449" i="22"/>
  <c r="S449" i="22"/>
  <c r="T449" i="22"/>
  <c r="P450" i="22"/>
  <c r="Q450" i="22"/>
  <c r="R450" i="22"/>
  <c r="S450" i="22"/>
  <c r="T450" i="22"/>
  <c r="P451" i="22"/>
  <c r="Q451" i="22"/>
  <c r="R451" i="22"/>
  <c r="S451" i="22"/>
  <c r="T451" i="22"/>
  <c r="P452" i="22"/>
  <c r="Q452" i="22"/>
  <c r="R452" i="22"/>
  <c r="S452" i="22"/>
  <c r="T452" i="22"/>
  <c r="P453" i="22"/>
  <c r="Q453" i="22"/>
  <c r="R453" i="22"/>
  <c r="S453" i="22"/>
  <c r="T453" i="22"/>
  <c r="P454" i="22"/>
  <c r="Q454" i="22"/>
  <c r="R454" i="22"/>
  <c r="S454" i="22"/>
  <c r="T454" i="22"/>
  <c r="P455" i="22"/>
  <c r="Q455" i="22"/>
  <c r="R455" i="22"/>
  <c r="S455" i="22"/>
  <c r="T455" i="22"/>
  <c r="P456" i="22"/>
  <c r="Q456" i="22"/>
  <c r="R456" i="22"/>
  <c r="S456" i="22"/>
  <c r="T456" i="22"/>
  <c r="P457" i="22"/>
  <c r="Q457" i="22"/>
  <c r="R457" i="22"/>
  <c r="S457" i="22"/>
  <c r="T457" i="22"/>
  <c r="P458" i="22"/>
  <c r="Q458" i="22"/>
  <c r="R458" i="22"/>
  <c r="S458" i="22"/>
  <c r="T458" i="22"/>
  <c r="P459" i="22"/>
  <c r="Q459" i="22"/>
  <c r="R459" i="22"/>
  <c r="S459" i="22"/>
  <c r="T459" i="22"/>
  <c r="P460" i="22"/>
  <c r="Q460" i="22"/>
  <c r="R460" i="22"/>
  <c r="S460" i="22"/>
  <c r="T460" i="22"/>
  <c r="P461" i="22"/>
  <c r="Q461" i="22"/>
  <c r="R461" i="22"/>
  <c r="S461" i="22"/>
  <c r="T461" i="22"/>
  <c r="P462" i="22"/>
  <c r="Q462" i="22"/>
  <c r="R462" i="22"/>
  <c r="S462" i="22"/>
  <c r="T462" i="22"/>
  <c r="P463" i="22"/>
  <c r="Q463" i="22"/>
  <c r="R463" i="22"/>
  <c r="S463" i="22"/>
  <c r="T463" i="22"/>
  <c r="P464" i="22"/>
  <c r="Q464" i="22"/>
  <c r="R464" i="22"/>
  <c r="S464" i="22"/>
  <c r="T464" i="22"/>
  <c r="P465" i="22"/>
  <c r="Q465" i="22"/>
  <c r="R465" i="22"/>
  <c r="S465" i="22"/>
  <c r="T465" i="22"/>
  <c r="P466" i="22"/>
  <c r="Q466" i="22"/>
  <c r="R466" i="22"/>
  <c r="S466" i="22"/>
  <c r="T466" i="22"/>
  <c r="P467" i="22"/>
  <c r="Q467" i="22"/>
  <c r="R467" i="22"/>
  <c r="S467" i="22"/>
  <c r="T467" i="22"/>
  <c r="P468" i="22"/>
  <c r="Q468" i="22"/>
  <c r="R468" i="22"/>
  <c r="S468" i="22"/>
  <c r="T468" i="22"/>
  <c r="P469" i="22"/>
  <c r="Q469" i="22"/>
  <c r="R469" i="22"/>
  <c r="S469" i="22"/>
  <c r="T469" i="22"/>
  <c r="P470" i="22"/>
  <c r="Q470" i="22"/>
  <c r="R470" i="22"/>
  <c r="S470" i="22"/>
  <c r="T470" i="22"/>
  <c r="P471" i="22"/>
  <c r="Q471" i="22"/>
  <c r="R471" i="22"/>
  <c r="S471" i="22"/>
  <c r="T471" i="22"/>
  <c r="P472" i="22"/>
  <c r="Q472" i="22"/>
  <c r="R472" i="22"/>
  <c r="S472" i="22"/>
  <c r="T472" i="22"/>
  <c r="P473" i="22"/>
  <c r="Q473" i="22"/>
  <c r="R473" i="22"/>
  <c r="S473" i="22"/>
  <c r="T473" i="22"/>
  <c r="P474" i="22"/>
  <c r="Q474" i="22"/>
  <c r="R474" i="22"/>
  <c r="S474" i="22"/>
  <c r="T474" i="22"/>
  <c r="P475" i="22"/>
  <c r="Q475" i="22"/>
  <c r="R475" i="22"/>
  <c r="S475" i="22"/>
  <c r="T475" i="22"/>
  <c r="P476" i="22"/>
  <c r="Q476" i="22"/>
  <c r="R476" i="22"/>
  <c r="S476" i="22"/>
  <c r="T476" i="22"/>
  <c r="P477" i="22"/>
  <c r="Q477" i="22"/>
  <c r="R477" i="22"/>
  <c r="S477" i="22"/>
  <c r="T477" i="22"/>
  <c r="P478" i="22"/>
  <c r="Q478" i="22"/>
  <c r="R478" i="22"/>
  <c r="S478" i="22"/>
  <c r="T478" i="22"/>
  <c r="P479" i="22"/>
  <c r="Q479" i="22"/>
  <c r="R479" i="22"/>
  <c r="S479" i="22"/>
  <c r="T479" i="22"/>
  <c r="P480" i="22"/>
  <c r="Q480" i="22"/>
  <c r="R480" i="22"/>
  <c r="S480" i="22"/>
  <c r="T480" i="22"/>
  <c r="P481" i="22"/>
  <c r="Q481" i="22"/>
  <c r="R481" i="22"/>
  <c r="S481" i="22"/>
  <c r="T481" i="22"/>
  <c r="P482" i="22"/>
  <c r="Q482" i="22"/>
  <c r="R482" i="22"/>
  <c r="S482" i="22"/>
  <c r="T482" i="22"/>
  <c r="P483" i="22"/>
  <c r="Q483" i="22"/>
  <c r="R483" i="22"/>
  <c r="S483" i="22"/>
  <c r="T483" i="22"/>
  <c r="P484" i="22"/>
  <c r="Q484" i="22"/>
  <c r="R484" i="22"/>
  <c r="S484" i="22"/>
  <c r="T484" i="22"/>
  <c r="P485" i="22"/>
  <c r="Q485" i="22"/>
  <c r="R485" i="22"/>
  <c r="S485" i="22"/>
  <c r="T485" i="22"/>
  <c r="P486" i="22"/>
  <c r="Q486" i="22"/>
  <c r="R486" i="22"/>
  <c r="S486" i="22"/>
  <c r="T486" i="22"/>
  <c r="P487" i="22"/>
  <c r="Q487" i="22"/>
  <c r="R487" i="22"/>
  <c r="S487" i="22"/>
  <c r="T487" i="22"/>
  <c r="P488" i="22"/>
  <c r="Q488" i="22"/>
  <c r="R488" i="22"/>
  <c r="S488" i="22"/>
  <c r="T488" i="22"/>
  <c r="P489" i="22"/>
  <c r="Q489" i="22"/>
  <c r="R489" i="22"/>
  <c r="S489" i="22"/>
  <c r="T489" i="22"/>
  <c r="P490" i="22"/>
  <c r="Q490" i="22"/>
  <c r="R490" i="22"/>
  <c r="S490" i="22"/>
  <c r="T490" i="22"/>
  <c r="P491" i="22"/>
  <c r="Q491" i="22"/>
  <c r="R491" i="22"/>
  <c r="S491" i="22"/>
  <c r="T491" i="22"/>
  <c r="P492" i="22"/>
  <c r="Q492" i="22"/>
  <c r="R492" i="22"/>
  <c r="S492" i="22"/>
  <c r="T492" i="22"/>
  <c r="P493" i="22"/>
  <c r="Q493" i="22"/>
  <c r="R493" i="22"/>
  <c r="S493" i="22"/>
  <c r="T493" i="22"/>
  <c r="P494" i="22"/>
  <c r="Q494" i="22"/>
  <c r="R494" i="22"/>
  <c r="S494" i="22"/>
  <c r="T494" i="22"/>
  <c r="P495" i="22"/>
  <c r="Q495" i="22"/>
  <c r="R495" i="22"/>
  <c r="S495" i="22"/>
  <c r="T495" i="22"/>
  <c r="P496" i="22"/>
  <c r="Q496" i="22"/>
  <c r="R496" i="22"/>
  <c r="S496" i="22"/>
  <c r="T496" i="22"/>
  <c r="P497" i="22"/>
  <c r="Q497" i="22"/>
  <c r="R497" i="22"/>
  <c r="S497" i="22"/>
  <c r="T497" i="22"/>
  <c r="P498" i="22"/>
  <c r="Q498" i="22"/>
  <c r="R498" i="22"/>
  <c r="S498" i="22"/>
  <c r="T498" i="22"/>
  <c r="P499" i="22"/>
  <c r="Q499" i="22"/>
  <c r="R499" i="22"/>
  <c r="S499" i="22"/>
  <c r="T499" i="22"/>
  <c r="P500" i="22"/>
  <c r="Q500" i="22"/>
  <c r="R500" i="22"/>
  <c r="S500" i="22"/>
  <c r="T500" i="22"/>
  <c r="P501" i="22"/>
  <c r="Q501" i="22"/>
  <c r="R501" i="22"/>
  <c r="S501" i="22"/>
  <c r="T501" i="22"/>
  <c r="P502" i="22"/>
  <c r="Q502" i="22"/>
  <c r="R502" i="22"/>
  <c r="S502" i="22"/>
  <c r="T502" i="22"/>
  <c r="P503" i="22"/>
  <c r="Q503" i="22"/>
  <c r="R503" i="22"/>
  <c r="S503" i="22"/>
  <c r="T503" i="22"/>
  <c r="P504" i="22"/>
  <c r="Q504" i="22"/>
  <c r="R504" i="22"/>
  <c r="S504" i="22"/>
  <c r="T504" i="22"/>
  <c r="P505" i="22"/>
  <c r="Q505" i="22"/>
  <c r="R505" i="22"/>
  <c r="S505" i="22"/>
  <c r="T505" i="22"/>
  <c r="P506" i="22"/>
  <c r="Q506" i="22"/>
  <c r="R506" i="22"/>
  <c r="S506" i="22"/>
  <c r="T506" i="22"/>
  <c r="P507" i="22"/>
  <c r="Q507" i="22"/>
  <c r="R507" i="22"/>
  <c r="S507" i="22"/>
  <c r="T507" i="22"/>
  <c r="P508" i="22"/>
  <c r="Q508" i="22"/>
  <c r="R508" i="22"/>
  <c r="S508" i="22"/>
  <c r="T508" i="22"/>
  <c r="P509" i="22"/>
  <c r="Q509" i="22"/>
  <c r="R509" i="22"/>
  <c r="S509" i="22"/>
  <c r="T509" i="22"/>
  <c r="P510" i="22"/>
  <c r="Q510" i="22"/>
  <c r="R510" i="22"/>
  <c r="S510" i="22"/>
  <c r="T510" i="22"/>
  <c r="P511" i="22"/>
  <c r="Q511" i="22"/>
  <c r="R511" i="22"/>
  <c r="S511" i="22"/>
  <c r="T511" i="22"/>
  <c r="P512" i="22"/>
  <c r="Q512" i="22"/>
  <c r="R512" i="22"/>
  <c r="S512" i="22"/>
  <c r="T512" i="22"/>
  <c r="P513" i="22"/>
  <c r="Q513" i="22"/>
  <c r="R513" i="22"/>
  <c r="S513" i="22"/>
  <c r="T513" i="22"/>
  <c r="P514" i="22"/>
  <c r="Q514" i="22"/>
  <c r="R514" i="22"/>
  <c r="S514" i="22"/>
  <c r="T514" i="22"/>
  <c r="P515" i="22"/>
  <c r="Q515" i="22"/>
  <c r="R515" i="22"/>
  <c r="S515" i="22"/>
  <c r="T515" i="22"/>
  <c r="P516" i="22"/>
  <c r="Q516" i="22"/>
  <c r="R516" i="22"/>
  <c r="S516" i="22"/>
  <c r="T516" i="22"/>
  <c r="P517" i="22"/>
  <c r="Q517" i="22"/>
  <c r="R517" i="22"/>
  <c r="S517" i="22"/>
  <c r="T517" i="22"/>
  <c r="P518" i="22"/>
  <c r="Q518" i="22"/>
  <c r="R518" i="22"/>
  <c r="S518" i="22"/>
  <c r="T518" i="22"/>
  <c r="P519" i="22"/>
  <c r="Q519" i="22"/>
  <c r="R519" i="22"/>
  <c r="S519" i="22"/>
  <c r="T519" i="22"/>
  <c r="P520" i="22"/>
  <c r="Q520" i="22"/>
  <c r="R520" i="22"/>
  <c r="S520" i="22"/>
  <c r="T520" i="22"/>
  <c r="P521" i="22"/>
  <c r="Q521" i="22"/>
  <c r="R521" i="22"/>
  <c r="S521" i="22"/>
  <c r="T521" i="22"/>
  <c r="P522" i="22"/>
  <c r="Q522" i="22"/>
  <c r="R522" i="22"/>
  <c r="S522" i="22"/>
  <c r="T522" i="22"/>
  <c r="P523" i="22"/>
  <c r="Q523" i="22"/>
  <c r="R523" i="22"/>
  <c r="S523" i="22"/>
  <c r="T523" i="22"/>
  <c r="P524" i="22"/>
  <c r="Q524" i="22"/>
  <c r="R524" i="22"/>
  <c r="S524" i="22"/>
  <c r="T524" i="22"/>
  <c r="P525" i="22"/>
  <c r="Q525" i="22"/>
  <c r="R525" i="22"/>
  <c r="S525" i="22"/>
  <c r="T525" i="22"/>
  <c r="P526" i="22"/>
  <c r="Q526" i="22"/>
  <c r="R526" i="22"/>
  <c r="S526" i="22"/>
  <c r="T526" i="22"/>
  <c r="P527" i="22"/>
  <c r="Q527" i="22"/>
  <c r="R527" i="22"/>
  <c r="S527" i="22"/>
  <c r="T527" i="22"/>
  <c r="P528" i="22"/>
  <c r="Q528" i="22"/>
  <c r="R528" i="22"/>
  <c r="S528" i="22"/>
  <c r="T528" i="22"/>
  <c r="P529" i="22"/>
  <c r="Q529" i="22"/>
  <c r="R529" i="22"/>
  <c r="S529" i="22"/>
  <c r="T529" i="22"/>
  <c r="P530" i="22"/>
  <c r="Q530" i="22"/>
  <c r="R530" i="22"/>
  <c r="S530" i="22"/>
  <c r="T530" i="22"/>
  <c r="P531" i="22"/>
  <c r="Q531" i="22"/>
  <c r="R531" i="22"/>
  <c r="S531" i="22"/>
  <c r="T531" i="22"/>
  <c r="P532" i="22"/>
  <c r="Q532" i="22"/>
  <c r="R532" i="22"/>
  <c r="S532" i="22"/>
  <c r="T532" i="22"/>
  <c r="P533" i="22"/>
  <c r="Q533" i="22"/>
  <c r="R533" i="22"/>
  <c r="S533" i="22"/>
  <c r="T533" i="22"/>
  <c r="P534" i="22"/>
  <c r="Q534" i="22"/>
  <c r="R534" i="22"/>
  <c r="S534" i="22"/>
  <c r="T534" i="22"/>
  <c r="P535" i="22"/>
  <c r="Q535" i="22"/>
  <c r="R535" i="22"/>
  <c r="S535" i="22"/>
  <c r="T535" i="22"/>
  <c r="P536" i="22"/>
  <c r="Q536" i="22"/>
  <c r="R536" i="22"/>
  <c r="S536" i="22"/>
  <c r="T536" i="22"/>
  <c r="P537" i="22"/>
  <c r="Q537" i="22"/>
  <c r="R537" i="22"/>
  <c r="S537" i="22"/>
  <c r="T537" i="22"/>
  <c r="P538" i="22"/>
  <c r="Q538" i="22"/>
  <c r="R538" i="22"/>
  <c r="S538" i="22"/>
  <c r="T538" i="22"/>
  <c r="P539" i="22"/>
  <c r="Q539" i="22"/>
  <c r="R539" i="22"/>
  <c r="S539" i="22"/>
  <c r="T539" i="22"/>
  <c r="P540" i="22"/>
  <c r="Q540" i="22"/>
  <c r="R540" i="22"/>
  <c r="S540" i="22"/>
  <c r="T540" i="22"/>
  <c r="P541" i="22"/>
  <c r="Q541" i="22"/>
  <c r="R541" i="22"/>
  <c r="S541" i="22"/>
  <c r="T541" i="22"/>
  <c r="P542" i="22"/>
  <c r="Q542" i="22"/>
  <c r="R542" i="22"/>
  <c r="S542" i="22"/>
  <c r="T542" i="22"/>
  <c r="P543" i="22"/>
  <c r="Q543" i="22"/>
  <c r="R543" i="22"/>
  <c r="S543" i="22"/>
  <c r="T543" i="22"/>
  <c r="P544" i="22"/>
  <c r="Q544" i="22"/>
  <c r="R544" i="22"/>
  <c r="S544" i="22"/>
  <c r="T544" i="22"/>
  <c r="P545" i="22"/>
  <c r="Q545" i="22"/>
  <c r="R545" i="22"/>
  <c r="S545" i="22"/>
  <c r="T545" i="22"/>
  <c r="P546" i="22"/>
  <c r="Q546" i="22"/>
  <c r="R546" i="22"/>
  <c r="S546" i="22"/>
  <c r="T546" i="22"/>
  <c r="P547" i="22"/>
  <c r="Q547" i="22"/>
  <c r="R547" i="22"/>
  <c r="S547" i="22"/>
  <c r="T547" i="22"/>
  <c r="P548" i="22"/>
  <c r="Q548" i="22"/>
  <c r="R548" i="22"/>
  <c r="S548" i="22"/>
  <c r="T548" i="22"/>
  <c r="P549" i="22"/>
  <c r="Q549" i="22"/>
  <c r="R549" i="22"/>
  <c r="S549" i="22"/>
  <c r="T549" i="22"/>
  <c r="P550" i="22"/>
  <c r="Q550" i="22"/>
  <c r="R550" i="22"/>
  <c r="S550" i="22"/>
  <c r="T550" i="22"/>
  <c r="P551" i="22"/>
  <c r="Q551" i="22"/>
  <c r="R551" i="22"/>
  <c r="S551" i="22"/>
  <c r="T551" i="22"/>
  <c r="P552" i="22"/>
  <c r="Q552" i="22"/>
  <c r="R552" i="22"/>
  <c r="S552" i="22"/>
  <c r="T552" i="22"/>
  <c r="P553" i="22"/>
  <c r="Q553" i="22"/>
  <c r="R553" i="22"/>
  <c r="S553" i="22"/>
  <c r="T553" i="22"/>
  <c r="P554" i="22"/>
  <c r="Q554" i="22"/>
  <c r="R554" i="22"/>
  <c r="S554" i="22"/>
  <c r="T554" i="22"/>
  <c r="P555" i="22"/>
  <c r="Q555" i="22"/>
  <c r="R555" i="22"/>
  <c r="S555" i="22"/>
  <c r="T555" i="22"/>
  <c r="P556" i="22"/>
  <c r="Q556" i="22"/>
  <c r="R556" i="22"/>
  <c r="S556" i="22"/>
  <c r="T556" i="22"/>
  <c r="P557" i="22"/>
  <c r="Q557" i="22"/>
  <c r="R557" i="22"/>
  <c r="S557" i="22"/>
  <c r="T557" i="22"/>
  <c r="P558" i="22"/>
  <c r="Q558" i="22"/>
  <c r="R558" i="22"/>
  <c r="S558" i="22"/>
  <c r="T558" i="22"/>
  <c r="P559" i="22"/>
  <c r="Q559" i="22"/>
  <c r="R559" i="22"/>
  <c r="S559" i="22"/>
  <c r="T559" i="22"/>
  <c r="P560" i="22"/>
  <c r="Q560" i="22"/>
  <c r="R560" i="22"/>
  <c r="S560" i="22"/>
  <c r="T560" i="22"/>
  <c r="P561" i="22"/>
  <c r="Q561" i="22"/>
  <c r="R561" i="22"/>
  <c r="S561" i="22"/>
  <c r="T561" i="22"/>
  <c r="P562" i="22"/>
  <c r="Q562" i="22"/>
  <c r="R562" i="22"/>
  <c r="S562" i="22"/>
  <c r="T562" i="22"/>
  <c r="P563" i="22"/>
  <c r="Q563" i="22"/>
  <c r="R563" i="22"/>
  <c r="S563" i="22"/>
  <c r="T563" i="22"/>
  <c r="P564" i="22"/>
  <c r="Q564" i="22"/>
  <c r="R564" i="22"/>
  <c r="S564" i="22"/>
  <c r="T564" i="22"/>
  <c r="P565" i="22"/>
  <c r="Q565" i="22"/>
  <c r="R565" i="22"/>
  <c r="S565" i="22"/>
  <c r="T565" i="22"/>
  <c r="P566" i="22"/>
  <c r="Q566" i="22"/>
  <c r="R566" i="22"/>
  <c r="S566" i="22"/>
  <c r="T566" i="22"/>
  <c r="P567" i="22"/>
  <c r="Q567" i="22"/>
  <c r="R567" i="22"/>
  <c r="S567" i="22"/>
  <c r="T567" i="22"/>
  <c r="P568" i="22"/>
  <c r="Q568" i="22"/>
  <c r="R568" i="22"/>
  <c r="S568" i="22"/>
  <c r="T568" i="22"/>
  <c r="P569" i="22"/>
  <c r="Q569" i="22"/>
  <c r="R569" i="22"/>
  <c r="S569" i="22"/>
  <c r="T569" i="22"/>
  <c r="P570" i="22"/>
  <c r="Q570" i="22"/>
  <c r="R570" i="22"/>
  <c r="S570" i="22"/>
  <c r="T570" i="22"/>
  <c r="P571" i="22"/>
  <c r="Q571" i="22"/>
  <c r="R571" i="22"/>
  <c r="S571" i="22"/>
  <c r="T571" i="22"/>
  <c r="P572" i="22"/>
  <c r="Q572" i="22"/>
  <c r="R572" i="22"/>
  <c r="S572" i="22"/>
  <c r="T572" i="22"/>
  <c r="P573" i="22"/>
  <c r="Q573" i="22"/>
  <c r="R573" i="22"/>
  <c r="S573" i="22"/>
  <c r="T573" i="22"/>
  <c r="P574" i="22"/>
  <c r="Q574" i="22"/>
  <c r="R574" i="22"/>
  <c r="S574" i="22"/>
  <c r="T574" i="22"/>
  <c r="P575" i="22"/>
  <c r="Q575" i="22"/>
  <c r="R575" i="22"/>
  <c r="S575" i="22"/>
  <c r="T575" i="22"/>
  <c r="P576" i="22"/>
  <c r="Q576" i="22"/>
  <c r="R576" i="22"/>
  <c r="S576" i="22"/>
  <c r="T576" i="22"/>
  <c r="P577" i="22"/>
  <c r="Q577" i="22"/>
  <c r="R577" i="22"/>
  <c r="S577" i="22"/>
  <c r="T577" i="22"/>
  <c r="P578" i="22"/>
  <c r="Q578" i="22"/>
  <c r="R578" i="22"/>
  <c r="S578" i="22"/>
  <c r="T578" i="22"/>
  <c r="P579" i="22"/>
  <c r="Q579" i="22"/>
  <c r="R579" i="22"/>
  <c r="S579" i="22"/>
  <c r="T579" i="22"/>
  <c r="P580" i="22"/>
  <c r="Q580" i="22"/>
  <c r="R580" i="22"/>
  <c r="S580" i="22"/>
  <c r="T580" i="22"/>
  <c r="P581" i="22"/>
  <c r="Q581" i="22"/>
  <c r="R581" i="22"/>
  <c r="S581" i="22"/>
  <c r="T581" i="22"/>
  <c r="P582" i="22"/>
  <c r="Q582" i="22"/>
  <c r="R582" i="22"/>
  <c r="S582" i="22"/>
  <c r="T582" i="22"/>
  <c r="P583" i="22"/>
  <c r="Q583" i="22"/>
  <c r="R583" i="22"/>
  <c r="S583" i="22"/>
  <c r="T583" i="22"/>
  <c r="P584" i="22"/>
  <c r="Q584" i="22"/>
  <c r="R584" i="22"/>
  <c r="S584" i="22"/>
  <c r="T584" i="22"/>
  <c r="P585" i="22"/>
  <c r="Q585" i="22"/>
  <c r="R585" i="22"/>
  <c r="S585" i="22"/>
  <c r="T585" i="22"/>
  <c r="P586" i="22"/>
  <c r="Q586" i="22"/>
  <c r="R586" i="22"/>
  <c r="S586" i="22"/>
  <c r="T586" i="22"/>
  <c r="P587" i="22"/>
  <c r="Q587" i="22"/>
  <c r="R587" i="22"/>
  <c r="S587" i="22"/>
  <c r="T587" i="22"/>
  <c r="P588" i="22"/>
  <c r="Q588" i="22"/>
  <c r="R588" i="22"/>
  <c r="S588" i="22"/>
  <c r="T588" i="22"/>
  <c r="P589" i="22"/>
  <c r="Q589" i="22"/>
  <c r="R589" i="22"/>
  <c r="S589" i="22"/>
  <c r="T589" i="22"/>
  <c r="P590" i="22"/>
  <c r="Q590" i="22"/>
  <c r="R590" i="22"/>
  <c r="S590" i="22"/>
  <c r="T590" i="22"/>
  <c r="P591" i="22"/>
  <c r="Q591" i="22"/>
  <c r="R591" i="22"/>
  <c r="S591" i="22"/>
  <c r="T591" i="22"/>
  <c r="P592" i="22"/>
  <c r="Q592" i="22"/>
  <c r="R592" i="22"/>
  <c r="S592" i="22"/>
  <c r="T592" i="22"/>
  <c r="P593" i="22"/>
  <c r="Q593" i="22"/>
  <c r="R593" i="22"/>
  <c r="S593" i="22"/>
  <c r="T593" i="22"/>
  <c r="P594" i="22"/>
  <c r="Q594" i="22"/>
  <c r="R594" i="22"/>
  <c r="S594" i="22"/>
  <c r="T594" i="22"/>
  <c r="P595" i="22"/>
  <c r="Q595" i="22"/>
  <c r="R595" i="22"/>
  <c r="S595" i="22"/>
  <c r="T595" i="22"/>
  <c r="P596" i="22"/>
  <c r="Q596" i="22"/>
  <c r="R596" i="22"/>
  <c r="S596" i="22"/>
  <c r="T596" i="22"/>
  <c r="P597" i="22"/>
  <c r="Q597" i="22"/>
  <c r="R597" i="22"/>
  <c r="S597" i="22"/>
  <c r="T597" i="22"/>
  <c r="P598" i="22"/>
  <c r="Q598" i="22"/>
  <c r="R598" i="22"/>
  <c r="S598" i="22"/>
  <c r="T598" i="22"/>
  <c r="P599" i="22"/>
  <c r="Q599" i="22"/>
  <c r="R599" i="22"/>
  <c r="S599" i="22"/>
  <c r="T599" i="22"/>
  <c r="P600" i="22"/>
  <c r="Q600" i="22"/>
  <c r="R600" i="22"/>
  <c r="S600" i="22"/>
  <c r="T600" i="22"/>
  <c r="P601" i="22"/>
  <c r="Q601" i="22"/>
  <c r="R601" i="22"/>
  <c r="S601" i="22"/>
  <c r="T601" i="22"/>
  <c r="P602" i="22"/>
  <c r="Q602" i="22"/>
  <c r="R602" i="22"/>
  <c r="S602" i="22"/>
  <c r="T602" i="22"/>
  <c r="P603" i="22"/>
  <c r="Q603" i="22"/>
  <c r="R603" i="22"/>
  <c r="S603" i="22"/>
  <c r="T603" i="22"/>
  <c r="P604" i="22"/>
  <c r="Q604" i="22"/>
  <c r="R604" i="22"/>
  <c r="S604" i="22"/>
  <c r="T604" i="22"/>
  <c r="P605" i="22"/>
  <c r="Q605" i="22"/>
  <c r="R605" i="22"/>
  <c r="S605" i="22"/>
  <c r="T605" i="22"/>
  <c r="P606" i="22"/>
  <c r="Q606" i="22"/>
  <c r="R606" i="22"/>
  <c r="S606" i="22"/>
  <c r="T606" i="22"/>
  <c r="P607" i="22"/>
  <c r="Q607" i="22"/>
  <c r="R607" i="22"/>
  <c r="S607" i="22"/>
  <c r="T607" i="22"/>
  <c r="P608" i="22"/>
  <c r="Q608" i="22"/>
  <c r="R608" i="22"/>
  <c r="S608" i="22"/>
  <c r="T608" i="22"/>
  <c r="P609" i="22"/>
  <c r="Q609" i="22"/>
  <c r="R609" i="22"/>
  <c r="S609" i="22"/>
  <c r="T609" i="22"/>
  <c r="P610" i="22"/>
  <c r="Q610" i="22"/>
  <c r="R610" i="22"/>
  <c r="S610" i="22"/>
  <c r="T610" i="22"/>
  <c r="P611" i="22"/>
  <c r="Q611" i="22"/>
  <c r="R611" i="22"/>
  <c r="S611" i="22"/>
  <c r="T611" i="22"/>
  <c r="P612" i="22"/>
  <c r="Q612" i="22"/>
  <c r="R612" i="22"/>
  <c r="S612" i="22"/>
  <c r="T612" i="22"/>
  <c r="P613" i="22"/>
  <c r="Q613" i="22"/>
  <c r="R613" i="22"/>
  <c r="S613" i="22"/>
  <c r="T613" i="22"/>
  <c r="P614" i="22"/>
  <c r="Q614" i="22"/>
  <c r="R614" i="22"/>
  <c r="S614" i="22"/>
  <c r="T614" i="22"/>
  <c r="P615" i="22"/>
  <c r="Q615" i="22"/>
  <c r="R615" i="22"/>
  <c r="S615" i="22"/>
  <c r="T615" i="22"/>
  <c r="P616" i="22"/>
  <c r="Q616" i="22"/>
  <c r="R616" i="22"/>
  <c r="S616" i="22"/>
  <c r="T616" i="22"/>
  <c r="P617" i="22"/>
  <c r="Q617" i="22"/>
  <c r="R617" i="22"/>
  <c r="S617" i="22"/>
  <c r="T617" i="22"/>
  <c r="P618" i="22"/>
  <c r="Q618" i="22"/>
  <c r="R618" i="22"/>
  <c r="S618" i="22"/>
  <c r="T618" i="22"/>
  <c r="P619" i="22"/>
  <c r="Q619" i="22"/>
  <c r="R619" i="22"/>
  <c r="S619" i="22"/>
  <c r="T619" i="22"/>
  <c r="P620" i="22"/>
  <c r="Q620" i="22"/>
  <c r="R620" i="22"/>
  <c r="S620" i="22"/>
  <c r="T620" i="22"/>
  <c r="P621" i="22"/>
  <c r="Q621" i="22"/>
  <c r="R621" i="22"/>
  <c r="S621" i="22"/>
  <c r="T621" i="22"/>
  <c r="P622" i="22"/>
  <c r="Q622" i="22"/>
  <c r="R622" i="22"/>
  <c r="S622" i="22"/>
  <c r="T622" i="22"/>
  <c r="P623" i="22"/>
  <c r="Q623" i="22"/>
  <c r="R623" i="22"/>
  <c r="S623" i="22"/>
  <c r="T623" i="22"/>
  <c r="P624" i="22"/>
  <c r="Q624" i="22"/>
  <c r="R624" i="22"/>
  <c r="S624" i="22"/>
  <c r="T624" i="22"/>
  <c r="P625" i="22"/>
  <c r="Q625" i="22"/>
  <c r="R625" i="22"/>
  <c r="S625" i="22"/>
  <c r="T625" i="22"/>
  <c r="P626" i="22"/>
  <c r="Q626" i="22"/>
  <c r="R626" i="22"/>
  <c r="S626" i="22"/>
  <c r="T626" i="22"/>
  <c r="P627" i="22"/>
  <c r="Q627" i="22"/>
  <c r="R627" i="22"/>
  <c r="S627" i="22"/>
  <c r="T627" i="22"/>
  <c r="P628" i="22"/>
  <c r="Q628" i="22"/>
  <c r="R628" i="22"/>
  <c r="S628" i="22"/>
  <c r="T628" i="22"/>
  <c r="P629" i="22"/>
  <c r="Q629" i="22"/>
  <c r="R629" i="22"/>
  <c r="S629" i="22"/>
  <c r="T629" i="22"/>
  <c r="P630" i="22"/>
  <c r="Q630" i="22"/>
  <c r="R630" i="22"/>
  <c r="S630" i="22"/>
  <c r="T630" i="22"/>
  <c r="P631" i="22"/>
  <c r="Q631" i="22"/>
  <c r="R631" i="22"/>
  <c r="S631" i="22"/>
  <c r="T631" i="22"/>
  <c r="P632" i="22"/>
  <c r="Q632" i="22"/>
  <c r="R632" i="22"/>
  <c r="S632" i="22"/>
  <c r="T632" i="22"/>
  <c r="P633" i="22"/>
  <c r="Q633" i="22"/>
  <c r="R633" i="22"/>
  <c r="S633" i="22"/>
  <c r="T633" i="22"/>
  <c r="P634" i="22"/>
  <c r="Q634" i="22"/>
  <c r="R634" i="22"/>
  <c r="S634" i="22"/>
  <c r="T634" i="22"/>
  <c r="P635" i="22"/>
  <c r="Q635" i="22"/>
  <c r="R635" i="22"/>
  <c r="S635" i="22"/>
  <c r="T635" i="22"/>
  <c r="P636" i="22"/>
  <c r="Q636" i="22"/>
  <c r="R636" i="22"/>
  <c r="S636" i="22"/>
  <c r="T636" i="22"/>
  <c r="P637" i="22"/>
  <c r="Q637" i="22"/>
  <c r="R637" i="22"/>
  <c r="S637" i="22"/>
  <c r="T637" i="22"/>
  <c r="P638" i="22"/>
  <c r="Q638" i="22"/>
  <c r="R638" i="22"/>
  <c r="S638" i="22"/>
  <c r="T638" i="22"/>
  <c r="P639" i="22"/>
  <c r="Q639" i="22"/>
  <c r="R639" i="22"/>
  <c r="S639" i="22"/>
  <c r="T639" i="22"/>
  <c r="P640" i="22"/>
  <c r="Q640" i="22"/>
  <c r="R640" i="22"/>
  <c r="S640" i="22"/>
  <c r="T640" i="22"/>
  <c r="P641" i="22"/>
  <c r="Q641" i="22"/>
  <c r="R641" i="22"/>
  <c r="S641" i="22"/>
  <c r="T641" i="22"/>
  <c r="P642" i="22"/>
  <c r="Q642" i="22"/>
  <c r="R642" i="22"/>
  <c r="S642" i="22"/>
  <c r="T642" i="22"/>
  <c r="P643" i="22"/>
  <c r="Q643" i="22"/>
  <c r="R643" i="22"/>
  <c r="S643" i="22"/>
  <c r="T643" i="22"/>
  <c r="P644" i="22"/>
  <c r="Q644" i="22"/>
  <c r="R644" i="22"/>
  <c r="S644" i="22"/>
  <c r="T644" i="22"/>
  <c r="P645" i="22"/>
  <c r="Q645" i="22"/>
  <c r="R645" i="22"/>
  <c r="S645" i="22"/>
  <c r="T645" i="22"/>
  <c r="P646" i="22"/>
  <c r="Q646" i="22"/>
  <c r="R646" i="22"/>
  <c r="S646" i="22"/>
  <c r="T646" i="22"/>
  <c r="P647" i="22"/>
  <c r="Q647" i="22"/>
  <c r="R647" i="22"/>
  <c r="S647" i="22"/>
  <c r="T647" i="22"/>
  <c r="P648" i="22"/>
  <c r="Q648" i="22"/>
  <c r="R648" i="22"/>
  <c r="S648" i="22"/>
  <c r="T648" i="22"/>
  <c r="P649" i="22"/>
  <c r="Q649" i="22"/>
  <c r="R649" i="22"/>
  <c r="S649" i="22"/>
  <c r="T649" i="22"/>
  <c r="P650" i="22"/>
  <c r="Q650" i="22"/>
  <c r="R650" i="22"/>
  <c r="S650" i="22"/>
  <c r="T650" i="22"/>
  <c r="P651" i="22"/>
  <c r="Q651" i="22"/>
  <c r="R651" i="22"/>
  <c r="S651" i="22"/>
  <c r="T651" i="22"/>
  <c r="P652" i="22"/>
  <c r="Q652" i="22"/>
  <c r="R652" i="22"/>
  <c r="S652" i="22"/>
  <c r="T652" i="22"/>
  <c r="P653" i="22"/>
  <c r="Q653" i="22"/>
  <c r="R653" i="22"/>
  <c r="S653" i="22"/>
  <c r="T653" i="22"/>
  <c r="P654" i="22"/>
  <c r="Q654" i="22"/>
  <c r="R654" i="22"/>
  <c r="S654" i="22"/>
  <c r="T654" i="22"/>
  <c r="P655" i="22"/>
  <c r="Q655" i="22"/>
  <c r="R655" i="22"/>
  <c r="S655" i="22"/>
  <c r="T655" i="22"/>
  <c r="P656" i="22"/>
  <c r="Q656" i="22"/>
  <c r="R656" i="22"/>
  <c r="S656" i="22"/>
  <c r="T656" i="22"/>
  <c r="P657" i="22"/>
  <c r="Q657" i="22"/>
  <c r="R657" i="22"/>
  <c r="S657" i="22"/>
  <c r="T657" i="22"/>
  <c r="P658" i="22"/>
  <c r="Q658" i="22"/>
  <c r="R658" i="22"/>
  <c r="S658" i="22"/>
  <c r="T658" i="22"/>
  <c r="P659" i="22"/>
  <c r="Q659" i="22"/>
  <c r="R659" i="22"/>
  <c r="S659" i="22"/>
  <c r="T659" i="22"/>
  <c r="P660" i="22"/>
  <c r="Q660" i="22"/>
  <c r="R660" i="22"/>
  <c r="S660" i="22"/>
  <c r="T660" i="22"/>
  <c r="P661" i="22"/>
  <c r="Q661" i="22"/>
  <c r="R661" i="22"/>
  <c r="S661" i="22"/>
  <c r="T661" i="22"/>
  <c r="P662" i="22"/>
  <c r="Q662" i="22"/>
  <c r="R662" i="22"/>
  <c r="S662" i="22"/>
  <c r="T662" i="22"/>
  <c r="P663" i="22"/>
  <c r="Q663" i="22"/>
  <c r="R663" i="22"/>
  <c r="S663" i="22"/>
  <c r="T663" i="22"/>
  <c r="P664" i="22"/>
  <c r="Q664" i="22"/>
  <c r="R664" i="22"/>
  <c r="S664" i="22"/>
  <c r="T664" i="22"/>
  <c r="P665" i="22"/>
  <c r="Q665" i="22"/>
  <c r="R665" i="22"/>
  <c r="S665" i="22"/>
  <c r="T665" i="22"/>
  <c r="P666" i="22"/>
  <c r="Q666" i="22"/>
  <c r="R666" i="22"/>
  <c r="S666" i="22"/>
  <c r="T666" i="22"/>
  <c r="P667" i="22"/>
  <c r="Q667" i="22"/>
  <c r="R667" i="22"/>
  <c r="S667" i="22"/>
  <c r="T667" i="22"/>
  <c r="P668" i="22"/>
  <c r="Q668" i="22"/>
  <c r="R668" i="22"/>
  <c r="S668" i="22"/>
  <c r="T668" i="22"/>
  <c r="P669" i="22"/>
  <c r="Q669" i="22"/>
  <c r="R669" i="22"/>
  <c r="S669" i="22"/>
  <c r="T669" i="22"/>
  <c r="P670" i="22"/>
  <c r="Q670" i="22"/>
  <c r="R670" i="22"/>
  <c r="S670" i="22"/>
  <c r="T670" i="22"/>
  <c r="P671" i="22"/>
  <c r="Q671" i="22"/>
  <c r="R671" i="22"/>
  <c r="S671" i="22"/>
  <c r="T671" i="22"/>
  <c r="P672" i="22"/>
  <c r="Q672" i="22"/>
  <c r="R672" i="22"/>
  <c r="S672" i="22"/>
  <c r="T672" i="22"/>
  <c r="P673" i="22"/>
  <c r="Q673" i="22"/>
  <c r="R673" i="22"/>
  <c r="S673" i="22"/>
  <c r="T673" i="22"/>
  <c r="P674" i="22"/>
  <c r="Q674" i="22"/>
  <c r="R674" i="22"/>
  <c r="S674" i="22"/>
  <c r="T674" i="22"/>
  <c r="P675" i="22"/>
  <c r="Q675" i="22"/>
  <c r="R675" i="22"/>
  <c r="S675" i="22"/>
  <c r="T675" i="22"/>
  <c r="P676" i="22"/>
  <c r="Q676" i="22"/>
  <c r="R676" i="22"/>
  <c r="S676" i="22"/>
  <c r="T676" i="22"/>
  <c r="P677" i="22"/>
  <c r="Q677" i="22"/>
  <c r="R677" i="22"/>
  <c r="S677" i="22"/>
  <c r="T677" i="22"/>
  <c r="P678" i="22"/>
  <c r="Q678" i="22"/>
  <c r="R678" i="22"/>
  <c r="S678" i="22"/>
  <c r="T678" i="22"/>
  <c r="P679" i="22"/>
  <c r="Q679" i="22"/>
  <c r="R679" i="22"/>
  <c r="S679" i="22"/>
  <c r="T679" i="22"/>
  <c r="P680" i="22"/>
  <c r="Q680" i="22"/>
  <c r="R680" i="22"/>
  <c r="S680" i="22"/>
  <c r="T680" i="22"/>
  <c r="P681" i="22"/>
  <c r="Q681" i="22"/>
  <c r="R681" i="22"/>
  <c r="S681" i="22"/>
  <c r="T681" i="22"/>
  <c r="P682" i="22"/>
  <c r="Q682" i="22"/>
  <c r="R682" i="22"/>
  <c r="S682" i="22"/>
  <c r="T682" i="22"/>
  <c r="P683" i="22"/>
  <c r="Q683" i="22"/>
  <c r="R683" i="22"/>
  <c r="S683" i="22"/>
  <c r="T683" i="22"/>
  <c r="P684" i="22"/>
  <c r="Q684" i="22"/>
  <c r="R684" i="22"/>
  <c r="S684" i="22"/>
  <c r="T684" i="22"/>
  <c r="P685" i="22"/>
  <c r="Q685" i="22"/>
  <c r="R685" i="22"/>
  <c r="S685" i="22"/>
  <c r="T685" i="22"/>
  <c r="P686" i="22"/>
  <c r="Q686" i="22"/>
  <c r="R686" i="22"/>
  <c r="S686" i="22"/>
  <c r="T686" i="22"/>
  <c r="P687" i="22"/>
  <c r="Q687" i="22"/>
  <c r="R687" i="22"/>
  <c r="S687" i="22"/>
  <c r="T687" i="22"/>
  <c r="P688" i="22"/>
  <c r="Q688" i="22"/>
  <c r="R688" i="22"/>
  <c r="S688" i="22"/>
  <c r="T688" i="22"/>
  <c r="P689" i="22"/>
  <c r="Q689" i="22"/>
  <c r="R689" i="22"/>
  <c r="S689" i="22"/>
  <c r="T689" i="22"/>
  <c r="P690" i="22"/>
  <c r="Q690" i="22"/>
  <c r="R690" i="22"/>
  <c r="S690" i="22"/>
  <c r="T690" i="22"/>
  <c r="P691" i="22"/>
  <c r="Q691" i="22"/>
  <c r="R691" i="22"/>
  <c r="S691" i="22"/>
  <c r="T691" i="22"/>
  <c r="P692" i="22"/>
  <c r="Q692" i="22"/>
  <c r="R692" i="22"/>
  <c r="S692" i="22"/>
  <c r="T692" i="22"/>
  <c r="P693" i="22"/>
  <c r="Q693" i="22"/>
  <c r="R693" i="22"/>
  <c r="S693" i="22"/>
  <c r="T693" i="22"/>
  <c r="P694" i="22"/>
  <c r="Q694" i="22"/>
  <c r="R694" i="22"/>
  <c r="S694" i="22"/>
  <c r="T694" i="22"/>
  <c r="P695" i="22"/>
  <c r="Q695" i="22"/>
  <c r="R695" i="22"/>
  <c r="S695" i="22"/>
  <c r="T695" i="22"/>
  <c r="P696" i="22"/>
  <c r="Q696" i="22"/>
  <c r="R696" i="22"/>
  <c r="S696" i="22"/>
  <c r="T696" i="22"/>
  <c r="P697" i="22"/>
  <c r="Q697" i="22"/>
  <c r="R697" i="22"/>
  <c r="S697" i="22"/>
  <c r="T697" i="22"/>
  <c r="P698" i="22"/>
  <c r="Q698" i="22"/>
  <c r="R698" i="22"/>
  <c r="S698" i="22"/>
  <c r="T698" i="22"/>
  <c r="P699" i="22"/>
  <c r="Q699" i="22"/>
  <c r="R699" i="22"/>
  <c r="S699" i="22"/>
  <c r="T699" i="22"/>
  <c r="P700" i="22"/>
  <c r="Q700" i="22"/>
  <c r="R700" i="22"/>
  <c r="S700" i="22"/>
  <c r="T700" i="22"/>
  <c r="P701" i="22"/>
  <c r="Q701" i="22"/>
  <c r="R701" i="22"/>
  <c r="S701" i="22"/>
  <c r="T701" i="22"/>
  <c r="P702" i="22"/>
  <c r="Q702" i="22"/>
  <c r="R702" i="22"/>
  <c r="S702" i="22"/>
  <c r="T702" i="22"/>
  <c r="P703" i="22"/>
  <c r="Q703" i="22"/>
  <c r="R703" i="22"/>
  <c r="S703" i="22"/>
  <c r="T703" i="22"/>
  <c r="P704" i="22"/>
  <c r="Q704" i="22"/>
  <c r="R704" i="22"/>
  <c r="S704" i="22"/>
  <c r="T704" i="22"/>
  <c r="P705" i="22"/>
  <c r="Q705" i="22"/>
  <c r="R705" i="22"/>
  <c r="S705" i="22"/>
  <c r="T705" i="22"/>
  <c r="P706" i="22"/>
  <c r="Q706" i="22"/>
  <c r="R706" i="22"/>
  <c r="S706" i="22"/>
  <c r="T706" i="22"/>
  <c r="P707" i="22"/>
  <c r="Q707" i="22"/>
  <c r="R707" i="22"/>
  <c r="S707" i="22"/>
  <c r="T707" i="22"/>
  <c r="P708" i="22"/>
  <c r="Q708" i="22"/>
  <c r="R708" i="22"/>
  <c r="S708" i="22"/>
  <c r="T708" i="22"/>
  <c r="P709" i="22"/>
  <c r="Q709" i="22"/>
  <c r="R709" i="22"/>
  <c r="S709" i="22"/>
  <c r="T709" i="22"/>
  <c r="P710" i="22"/>
  <c r="Q710" i="22"/>
  <c r="R710" i="22"/>
  <c r="S710" i="22"/>
  <c r="T710" i="22"/>
  <c r="P711" i="22"/>
  <c r="Q711" i="22"/>
  <c r="R711" i="22"/>
  <c r="S711" i="22"/>
  <c r="T711" i="22"/>
  <c r="P712" i="22"/>
  <c r="Q712" i="22"/>
  <c r="R712" i="22"/>
  <c r="S712" i="22"/>
  <c r="T712" i="22"/>
  <c r="P713" i="22"/>
  <c r="Q713" i="22"/>
  <c r="R713" i="22"/>
  <c r="S713" i="22"/>
  <c r="T713" i="22"/>
  <c r="P714" i="22"/>
  <c r="Q714" i="22"/>
  <c r="R714" i="22"/>
  <c r="S714" i="22"/>
  <c r="T714" i="22"/>
  <c r="P715" i="22"/>
  <c r="Q715" i="22"/>
  <c r="R715" i="22"/>
  <c r="S715" i="22"/>
  <c r="T715" i="22"/>
  <c r="P716" i="22"/>
  <c r="Q716" i="22"/>
  <c r="R716" i="22"/>
  <c r="S716" i="22"/>
  <c r="T716" i="22"/>
  <c r="P717" i="22"/>
  <c r="Q717" i="22"/>
  <c r="R717" i="22"/>
  <c r="S717" i="22"/>
  <c r="T717" i="22"/>
  <c r="P718" i="22"/>
  <c r="Q718" i="22"/>
  <c r="R718" i="22"/>
  <c r="S718" i="22"/>
  <c r="T718" i="22"/>
  <c r="P719" i="22"/>
  <c r="Q719" i="22"/>
  <c r="R719" i="22"/>
  <c r="S719" i="22"/>
  <c r="T719" i="22"/>
  <c r="P720" i="22"/>
  <c r="Q720" i="22"/>
  <c r="R720" i="22"/>
  <c r="S720" i="22"/>
  <c r="T720" i="22"/>
  <c r="P721" i="22"/>
  <c r="Q721" i="22"/>
  <c r="R721" i="22"/>
  <c r="S721" i="22"/>
  <c r="T721" i="22"/>
  <c r="P722" i="22"/>
  <c r="Q722" i="22"/>
  <c r="R722" i="22"/>
  <c r="S722" i="22"/>
  <c r="T722" i="22"/>
  <c r="P723" i="22"/>
  <c r="Q723" i="22"/>
  <c r="R723" i="22"/>
  <c r="S723" i="22"/>
  <c r="T723" i="22"/>
  <c r="P724" i="22"/>
  <c r="Q724" i="22"/>
  <c r="R724" i="22"/>
  <c r="S724" i="22"/>
  <c r="T724" i="22"/>
  <c r="P725" i="22"/>
  <c r="Q725" i="22"/>
  <c r="R725" i="22"/>
  <c r="S725" i="22"/>
  <c r="T725" i="22"/>
  <c r="P726" i="22"/>
  <c r="Q726" i="22"/>
  <c r="R726" i="22"/>
  <c r="S726" i="22"/>
  <c r="T726" i="22"/>
  <c r="P727" i="22"/>
  <c r="Q727" i="22"/>
  <c r="R727" i="22"/>
  <c r="S727" i="22"/>
  <c r="T727" i="22"/>
  <c r="P728" i="22"/>
  <c r="Q728" i="22"/>
  <c r="R728" i="22"/>
  <c r="S728" i="22"/>
  <c r="T728" i="22"/>
  <c r="P729" i="22"/>
  <c r="Q729" i="22"/>
  <c r="R729" i="22"/>
  <c r="S729" i="22"/>
  <c r="T729" i="22"/>
  <c r="P730" i="22"/>
  <c r="Q730" i="22"/>
  <c r="R730" i="22"/>
  <c r="S730" i="22"/>
  <c r="T730" i="22"/>
  <c r="P731" i="22"/>
  <c r="Q731" i="22"/>
  <c r="R731" i="22"/>
  <c r="S731" i="22"/>
  <c r="T731" i="22"/>
  <c r="P732" i="22"/>
  <c r="Q732" i="22"/>
  <c r="R732" i="22"/>
  <c r="S732" i="22"/>
  <c r="T732" i="22"/>
  <c r="P733" i="22"/>
  <c r="Q733" i="22"/>
  <c r="R733" i="22"/>
  <c r="S733" i="22"/>
  <c r="T733" i="22"/>
  <c r="P734" i="22"/>
  <c r="Q734" i="22"/>
  <c r="R734" i="22"/>
  <c r="S734" i="22"/>
  <c r="T734" i="22"/>
  <c r="P735" i="22"/>
  <c r="Q735" i="22"/>
  <c r="R735" i="22"/>
  <c r="S735" i="22"/>
  <c r="T735" i="22"/>
  <c r="P736" i="22"/>
  <c r="Q736" i="22"/>
  <c r="R736" i="22"/>
  <c r="S736" i="22"/>
  <c r="T736" i="22"/>
  <c r="P737" i="22"/>
  <c r="Q737" i="22"/>
  <c r="R737" i="22"/>
  <c r="S737" i="22"/>
  <c r="T737" i="22"/>
  <c r="P738" i="22"/>
  <c r="Q738" i="22"/>
  <c r="R738" i="22"/>
  <c r="S738" i="22"/>
  <c r="T738" i="22"/>
  <c r="P739" i="22"/>
  <c r="Q739" i="22"/>
  <c r="R739" i="22"/>
  <c r="S739" i="22"/>
  <c r="T739" i="22"/>
  <c r="P740" i="22"/>
  <c r="Q740" i="22"/>
  <c r="R740" i="22"/>
  <c r="S740" i="22"/>
  <c r="T740" i="22"/>
  <c r="P741" i="22"/>
  <c r="Q741" i="22"/>
  <c r="R741" i="22"/>
  <c r="S741" i="22"/>
  <c r="T741" i="22"/>
  <c r="P742" i="22"/>
  <c r="Q742" i="22"/>
  <c r="R742" i="22"/>
  <c r="S742" i="22"/>
  <c r="T742" i="22"/>
  <c r="P743" i="22"/>
  <c r="Q743" i="22"/>
  <c r="R743" i="22"/>
  <c r="S743" i="22"/>
  <c r="T743" i="22"/>
  <c r="P744" i="22"/>
  <c r="Q744" i="22"/>
  <c r="R744" i="22"/>
  <c r="S744" i="22"/>
  <c r="T744" i="22"/>
  <c r="P745" i="22"/>
  <c r="Q745" i="22"/>
  <c r="R745" i="22"/>
  <c r="S745" i="22"/>
  <c r="T745" i="22"/>
  <c r="P746" i="22"/>
  <c r="Q746" i="22"/>
  <c r="R746" i="22"/>
  <c r="S746" i="22"/>
  <c r="T746" i="22"/>
  <c r="P747" i="22"/>
  <c r="Q747" i="22"/>
  <c r="R747" i="22"/>
  <c r="S747" i="22"/>
  <c r="T747" i="22"/>
  <c r="P748" i="22"/>
  <c r="Q748" i="22"/>
  <c r="R748" i="22"/>
  <c r="S748" i="22"/>
  <c r="T748" i="22"/>
  <c r="P749" i="22"/>
  <c r="Q749" i="22"/>
  <c r="R749" i="22"/>
  <c r="S749" i="22"/>
  <c r="T749" i="22"/>
  <c r="P750" i="22"/>
  <c r="Q750" i="22"/>
  <c r="R750" i="22"/>
  <c r="S750" i="22"/>
  <c r="T750" i="22"/>
  <c r="P751" i="22"/>
  <c r="Q751" i="22"/>
  <c r="R751" i="22"/>
  <c r="S751" i="22"/>
  <c r="T751" i="22"/>
  <c r="P752" i="22"/>
  <c r="Q752" i="22"/>
  <c r="R752" i="22"/>
  <c r="S752" i="22"/>
  <c r="T752" i="22"/>
  <c r="P753" i="22"/>
  <c r="Q753" i="22"/>
  <c r="R753" i="22"/>
  <c r="S753" i="22"/>
  <c r="T753" i="22"/>
  <c r="P754" i="22"/>
  <c r="Q754" i="22"/>
  <c r="R754" i="22"/>
  <c r="S754" i="22"/>
  <c r="T754" i="22"/>
  <c r="P755" i="22"/>
  <c r="Q755" i="22"/>
  <c r="R755" i="22"/>
  <c r="S755" i="22"/>
  <c r="T755" i="22"/>
  <c r="P756" i="22"/>
  <c r="Q756" i="22"/>
  <c r="R756" i="22"/>
  <c r="S756" i="22"/>
  <c r="T756" i="22"/>
  <c r="P757" i="22"/>
  <c r="Q757" i="22"/>
  <c r="R757" i="22"/>
  <c r="S757" i="22"/>
  <c r="T757" i="22"/>
  <c r="P758" i="22"/>
  <c r="Q758" i="22"/>
  <c r="R758" i="22"/>
  <c r="S758" i="22"/>
  <c r="T758" i="22"/>
  <c r="P759" i="22"/>
  <c r="Q759" i="22"/>
  <c r="R759" i="22"/>
  <c r="S759" i="22"/>
  <c r="T759" i="22"/>
  <c r="P760" i="22"/>
  <c r="Q760" i="22"/>
  <c r="R760" i="22"/>
  <c r="S760" i="22"/>
  <c r="T760" i="22"/>
  <c r="P761" i="22"/>
  <c r="Q761" i="22"/>
  <c r="R761" i="22"/>
  <c r="S761" i="22"/>
  <c r="T761" i="22"/>
  <c r="P762" i="22"/>
  <c r="Q762" i="22"/>
  <c r="R762" i="22"/>
  <c r="S762" i="22"/>
  <c r="T762" i="22"/>
  <c r="P763" i="22"/>
  <c r="Q763" i="22"/>
  <c r="R763" i="22"/>
  <c r="S763" i="22"/>
  <c r="T763" i="22"/>
  <c r="P764" i="22"/>
  <c r="Q764" i="22"/>
  <c r="R764" i="22"/>
  <c r="S764" i="22"/>
  <c r="T764" i="22"/>
  <c r="P765" i="22"/>
  <c r="Q765" i="22"/>
  <c r="R765" i="22"/>
  <c r="S765" i="22"/>
  <c r="T765" i="22"/>
  <c r="P766" i="22"/>
  <c r="Q766" i="22"/>
  <c r="R766" i="22"/>
  <c r="S766" i="22"/>
  <c r="T766" i="22"/>
  <c r="P767" i="22"/>
  <c r="Q767" i="22"/>
  <c r="R767" i="22"/>
  <c r="S767" i="22"/>
  <c r="T767" i="22"/>
  <c r="P768" i="22"/>
  <c r="Q768" i="22"/>
  <c r="R768" i="22"/>
  <c r="S768" i="22"/>
  <c r="T768" i="22"/>
  <c r="P769" i="22"/>
  <c r="Q769" i="22"/>
  <c r="R769" i="22"/>
  <c r="S769" i="22"/>
  <c r="T769" i="22"/>
  <c r="P770" i="22"/>
  <c r="Q770" i="22"/>
  <c r="R770" i="22"/>
  <c r="S770" i="22"/>
  <c r="T770" i="22"/>
  <c r="P771" i="22"/>
  <c r="Q771" i="22"/>
  <c r="R771" i="22"/>
  <c r="S771" i="22"/>
  <c r="T771" i="22"/>
  <c r="P772" i="22"/>
  <c r="Q772" i="22"/>
  <c r="R772" i="22"/>
  <c r="S772" i="22"/>
  <c r="T772" i="22"/>
  <c r="P773" i="22"/>
  <c r="Q773" i="22"/>
  <c r="R773" i="22"/>
  <c r="S773" i="22"/>
  <c r="T773" i="22"/>
  <c r="P774" i="22"/>
  <c r="Q774" i="22"/>
  <c r="R774" i="22"/>
  <c r="S774" i="22"/>
  <c r="T774" i="22"/>
  <c r="P775" i="22"/>
  <c r="Q775" i="22"/>
  <c r="R775" i="22"/>
  <c r="S775" i="22"/>
  <c r="T775" i="22"/>
  <c r="P776" i="22"/>
  <c r="Q776" i="22"/>
  <c r="R776" i="22"/>
  <c r="S776" i="22"/>
  <c r="T776" i="22"/>
  <c r="P777" i="22"/>
  <c r="Q777" i="22"/>
  <c r="R777" i="22"/>
  <c r="S777" i="22"/>
  <c r="T777" i="22"/>
  <c r="P778" i="22"/>
  <c r="Q778" i="22"/>
  <c r="R778" i="22"/>
  <c r="S778" i="22"/>
  <c r="T778" i="22"/>
  <c r="P779" i="22"/>
  <c r="Q779" i="22"/>
  <c r="R779" i="22"/>
  <c r="S779" i="22"/>
  <c r="T779" i="22"/>
  <c r="P780" i="22"/>
  <c r="Q780" i="22"/>
  <c r="R780" i="22"/>
  <c r="S780" i="22"/>
  <c r="T780" i="22"/>
  <c r="P781" i="22"/>
  <c r="Q781" i="22"/>
  <c r="R781" i="22"/>
  <c r="S781" i="22"/>
  <c r="T781" i="22"/>
  <c r="P782" i="22"/>
  <c r="Q782" i="22"/>
  <c r="R782" i="22"/>
  <c r="S782" i="22"/>
  <c r="T782" i="22"/>
  <c r="P783" i="22"/>
  <c r="Q783" i="22"/>
  <c r="R783" i="22"/>
  <c r="S783" i="22"/>
  <c r="T783" i="22"/>
  <c r="P784" i="22"/>
  <c r="Q784" i="22"/>
  <c r="R784" i="22"/>
  <c r="S784" i="22"/>
  <c r="T784" i="22"/>
  <c r="P785" i="22"/>
  <c r="Q785" i="22"/>
  <c r="R785" i="22"/>
  <c r="S785" i="22"/>
  <c r="T785" i="22"/>
  <c r="P786" i="22"/>
  <c r="Q786" i="22"/>
  <c r="R786" i="22"/>
  <c r="S786" i="22"/>
  <c r="T786" i="22"/>
  <c r="P787" i="22"/>
  <c r="Q787" i="22"/>
  <c r="R787" i="22"/>
  <c r="S787" i="22"/>
  <c r="T787" i="22"/>
  <c r="P788" i="22"/>
  <c r="Q788" i="22"/>
  <c r="R788" i="22"/>
  <c r="S788" i="22"/>
  <c r="T788" i="22"/>
  <c r="P789" i="22"/>
  <c r="Q789" i="22"/>
  <c r="R789" i="22"/>
  <c r="S789" i="22"/>
  <c r="T789" i="22"/>
  <c r="P790" i="22"/>
  <c r="Q790" i="22"/>
  <c r="R790" i="22"/>
  <c r="S790" i="22"/>
  <c r="T790" i="22"/>
  <c r="P791" i="22"/>
  <c r="Q791" i="22"/>
  <c r="R791" i="22"/>
  <c r="S791" i="22"/>
  <c r="T791" i="22"/>
  <c r="P792" i="22"/>
  <c r="Q792" i="22"/>
  <c r="R792" i="22"/>
  <c r="S792" i="22"/>
  <c r="T792" i="22"/>
  <c r="P793" i="22"/>
  <c r="Q793" i="22"/>
  <c r="R793" i="22"/>
  <c r="S793" i="22"/>
  <c r="T793" i="22"/>
  <c r="P794" i="22"/>
  <c r="Q794" i="22"/>
  <c r="R794" i="22"/>
  <c r="S794" i="22"/>
  <c r="T794" i="22"/>
  <c r="P795" i="22"/>
  <c r="Q795" i="22"/>
  <c r="R795" i="22"/>
  <c r="S795" i="22"/>
  <c r="T795" i="22"/>
  <c r="P796" i="22"/>
  <c r="Q796" i="22"/>
  <c r="R796" i="22"/>
  <c r="S796" i="22"/>
  <c r="T796" i="22"/>
  <c r="P797" i="22"/>
  <c r="Q797" i="22"/>
  <c r="R797" i="22"/>
  <c r="S797" i="22"/>
  <c r="T797" i="22"/>
  <c r="P798" i="22"/>
  <c r="Q798" i="22"/>
  <c r="R798" i="22"/>
  <c r="S798" i="22"/>
  <c r="T798" i="22"/>
  <c r="P799" i="22"/>
  <c r="Q799" i="22"/>
  <c r="R799" i="22"/>
  <c r="S799" i="22"/>
  <c r="T799" i="22"/>
  <c r="P800" i="22"/>
  <c r="Q800" i="22"/>
  <c r="R800" i="22"/>
  <c r="S800" i="22"/>
  <c r="T800" i="22"/>
  <c r="P801" i="22"/>
  <c r="Q801" i="22"/>
  <c r="R801" i="22"/>
  <c r="S801" i="22"/>
  <c r="T801" i="22"/>
  <c r="P802" i="22"/>
  <c r="Q802" i="22"/>
  <c r="R802" i="22"/>
  <c r="S802" i="22"/>
  <c r="T802" i="22"/>
  <c r="P803" i="22"/>
  <c r="Q803" i="22"/>
  <c r="R803" i="22"/>
  <c r="S803" i="22"/>
  <c r="T803" i="22"/>
  <c r="P804" i="22"/>
  <c r="Q804" i="22"/>
  <c r="R804" i="22"/>
  <c r="S804" i="22"/>
  <c r="T804" i="22"/>
  <c r="P805" i="22"/>
  <c r="Q805" i="22"/>
  <c r="R805" i="22"/>
  <c r="S805" i="22"/>
  <c r="T805" i="22"/>
  <c r="P806" i="22"/>
  <c r="Q806" i="22"/>
  <c r="R806" i="22"/>
  <c r="S806" i="22"/>
  <c r="T806" i="22"/>
  <c r="P807" i="22"/>
  <c r="Q807" i="22"/>
  <c r="R807" i="22"/>
  <c r="S807" i="22"/>
  <c r="T807" i="22"/>
  <c r="P808" i="22"/>
  <c r="Q808" i="22"/>
  <c r="R808" i="22"/>
  <c r="S808" i="22"/>
  <c r="T808" i="22"/>
  <c r="P809" i="22"/>
  <c r="Q809" i="22"/>
  <c r="R809" i="22"/>
  <c r="S809" i="22"/>
  <c r="T809" i="22"/>
  <c r="P810" i="22"/>
  <c r="Q810" i="22"/>
  <c r="R810" i="22"/>
  <c r="S810" i="22"/>
  <c r="T810" i="22"/>
  <c r="P811" i="22"/>
  <c r="Q811" i="22"/>
  <c r="R811" i="22"/>
  <c r="S811" i="22"/>
  <c r="T811" i="22"/>
  <c r="P812" i="22"/>
  <c r="Q812" i="22"/>
  <c r="R812" i="22"/>
  <c r="S812" i="22"/>
  <c r="T812" i="22"/>
  <c r="P813" i="22"/>
  <c r="Q813" i="22"/>
  <c r="R813" i="22"/>
  <c r="S813" i="22"/>
  <c r="T813" i="22"/>
  <c r="P814" i="22"/>
  <c r="Q814" i="22"/>
  <c r="R814" i="22"/>
  <c r="S814" i="22"/>
  <c r="T814" i="22"/>
  <c r="P815" i="22"/>
  <c r="Q815" i="22"/>
  <c r="R815" i="22"/>
  <c r="S815" i="22"/>
  <c r="T815" i="22"/>
  <c r="P816" i="22"/>
  <c r="Q816" i="22"/>
  <c r="R816" i="22"/>
  <c r="S816" i="22"/>
  <c r="T816" i="22"/>
  <c r="P817" i="22"/>
  <c r="Q817" i="22"/>
  <c r="R817" i="22"/>
  <c r="S817" i="22"/>
  <c r="T817" i="22"/>
  <c r="P818" i="22"/>
  <c r="Q818" i="22"/>
  <c r="R818" i="22"/>
  <c r="S818" i="22"/>
  <c r="T818" i="22"/>
  <c r="P819" i="22"/>
  <c r="Q819" i="22"/>
  <c r="R819" i="22"/>
  <c r="S819" i="22"/>
  <c r="T819" i="22"/>
  <c r="P820" i="22"/>
  <c r="Q820" i="22"/>
  <c r="R820" i="22"/>
  <c r="S820" i="22"/>
  <c r="T820" i="22"/>
  <c r="P821" i="22"/>
  <c r="Q821" i="22"/>
  <c r="R821" i="22"/>
  <c r="S821" i="22"/>
  <c r="T821" i="22"/>
  <c r="P822" i="22"/>
  <c r="Q822" i="22"/>
  <c r="R822" i="22"/>
  <c r="S822" i="22"/>
  <c r="T822" i="22"/>
  <c r="P823" i="22"/>
  <c r="Q823" i="22"/>
  <c r="R823" i="22"/>
  <c r="S823" i="22"/>
  <c r="T823" i="22"/>
  <c r="P824" i="22"/>
  <c r="Q824" i="22"/>
  <c r="R824" i="22"/>
  <c r="S824" i="22"/>
  <c r="T824" i="22"/>
  <c r="P825" i="22"/>
  <c r="Q825" i="22"/>
  <c r="R825" i="22"/>
  <c r="S825" i="22"/>
  <c r="T825" i="22"/>
  <c r="P826" i="22"/>
  <c r="Q826" i="22"/>
  <c r="R826" i="22"/>
  <c r="S826" i="22"/>
  <c r="T826" i="22"/>
  <c r="P827" i="22"/>
  <c r="Q827" i="22"/>
  <c r="R827" i="22"/>
  <c r="S827" i="22"/>
  <c r="T827" i="22"/>
  <c r="P828" i="22"/>
  <c r="Q828" i="22"/>
  <c r="R828" i="22"/>
  <c r="S828" i="22"/>
  <c r="T828" i="22"/>
  <c r="P829" i="22"/>
  <c r="Q829" i="22"/>
  <c r="R829" i="22"/>
  <c r="S829" i="22"/>
  <c r="T829" i="22"/>
  <c r="P830" i="22"/>
  <c r="Q830" i="22"/>
  <c r="R830" i="22"/>
  <c r="S830" i="22"/>
  <c r="T830" i="22"/>
  <c r="P831" i="22"/>
  <c r="Q831" i="22"/>
  <c r="R831" i="22"/>
  <c r="S831" i="22"/>
  <c r="T831" i="22"/>
  <c r="P832" i="22"/>
  <c r="Q832" i="22"/>
  <c r="R832" i="22"/>
  <c r="S832" i="22"/>
  <c r="T832" i="22"/>
  <c r="P833" i="22"/>
  <c r="Q833" i="22"/>
  <c r="R833" i="22"/>
  <c r="S833" i="22"/>
  <c r="T833" i="22"/>
  <c r="P834" i="22"/>
  <c r="Q834" i="22"/>
  <c r="R834" i="22"/>
  <c r="S834" i="22"/>
  <c r="T834" i="22"/>
  <c r="P835" i="22"/>
  <c r="Q835" i="22"/>
  <c r="R835" i="22"/>
  <c r="S835" i="22"/>
  <c r="T835" i="22"/>
  <c r="P836" i="22"/>
  <c r="Q836" i="22"/>
  <c r="R836" i="22"/>
  <c r="S836" i="22"/>
  <c r="T836" i="22"/>
  <c r="P837" i="22"/>
  <c r="Q837" i="22"/>
  <c r="R837" i="22"/>
  <c r="S837" i="22"/>
  <c r="T837" i="22"/>
  <c r="P838" i="22"/>
  <c r="Q838" i="22"/>
  <c r="R838" i="22"/>
  <c r="S838" i="22"/>
  <c r="T838" i="22"/>
  <c r="P839" i="22"/>
  <c r="Q839" i="22"/>
  <c r="R839" i="22"/>
  <c r="S839" i="22"/>
  <c r="T839" i="22"/>
  <c r="P840" i="22"/>
  <c r="Q840" i="22"/>
  <c r="R840" i="22"/>
  <c r="S840" i="22"/>
  <c r="T840" i="22"/>
  <c r="P841" i="22"/>
  <c r="Q841" i="22"/>
  <c r="R841" i="22"/>
  <c r="S841" i="22"/>
  <c r="T841" i="22"/>
  <c r="P842" i="22"/>
  <c r="Q842" i="22"/>
  <c r="R842" i="22"/>
  <c r="S842" i="22"/>
  <c r="T842" i="22"/>
  <c r="P843" i="22"/>
  <c r="Q843" i="22"/>
  <c r="R843" i="22"/>
  <c r="S843" i="22"/>
  <c r="T843" i="22"/>
  <c r="P844" i="22"/>
  <c r="Q844" i="22"/>
  <c r="R844" i="22"/>
  <c r="S844" i="22"/>
  <c r="T844" i="22"/>
  <c r="P845" i="22"/>
  <c r="Q845" i="22"/>
  <c r="R845" i="22"/>
  <c r="S845" i="22"/>
  <c r="T845" i="22"/>
  <c r="P846" i="22"/>
  <c r="Q846" i="22"/>
  <c r="R846" i="22"/>
  <c r="S846" i="22"/>
  <c r="T846" i="22"/>
  <c r="P847" i="22"/>
  <c r="Q847" i="22"/>
  <c r="R847" i="22"/>
  <c r="S847" i="22"/>
  <c r="T847" i="22"/>
  <c r="P848" i="22"/>
  <c r="Q848" i="22"/>
  <c r="R848" i="22"/>
  <c r="S848" i="22"/>
  <c r="T848" i="22"/>
  <c r="P849" i="22"/>
  <c r="Q849" i="22"/>
  <c r="R849" i="22"/>
  <c r="S849" i="22"/>
  <c r="T849" i="22"/>
  <c r="P850" i="22"/>
  <c r="Q850" i="22"/>
  <c r="R850" i="22"/>
  <c r="S850" i="22"/>
  <c r="T850" i="22"/>
  <c r="P851" i="22"/>
  <c r="Q851" i="22"/>
  <c r="R851" i="22"/>
  <c r="S851" i="22"/>
  <c r="T851" i="22"/>
  <c r="P852" i="22"/>
  <c r="Q852" i="22"/>
  <c r="R852" i="22"/>
  <c r="S852" i="22"/>
  <c r="T852" i="22"/>
  <c r="P853" i="22"/>
  <c r="Q853" i="22"/>
  <c r="R853" i="22"/>
  <c r="S853" i="22"/>
  <c r="T853" i="22"/>
  <c r="P854" i="22"/>
  <c r="Q854" i="22"/>
  <c r="R854" i="22"/>
  <c r="S854" i="22"/>
  <c r="T854" i="22"/>
  <c r="P855" i="22"/>
  <c r="Q855" i="22"/>
  <c r="R855" i="22"/>
  <c r="S855" i="22"/>
  <c r="T855" i="22"/>
  <c r="P856" i="22"/>
  <c r="Q856" i="22"/>
  <c r="R856" i="22"/>
  <c r="S856" i="22"/>
  <c r="T856" i="22"/>
  <c r="P857" i="22"/>
  <c r="Q857" i="22"/>
  <c r="R857" i="22"/>
  <c r="S857" i="22"/>
  <c r="T857" i="22"/>
  <c r="P858" i="22"/>
  <c r="Q858" i="22"/>
  <c r="R858" i="22"/>
  <c r="S858" i="22"/>
  <c r="T858" i="22"/>
  <c r="P859" i="22"/>
  <c r="Q859" i="22"/>
  <c r="R859" i="22"/>
  <c r="S859" i="22"/>
  <c r="T859" i="22"/>
  <c r="P860" i="22"/>
  <c r="Q860" i="22"/>
  <c r="R860" i="22"/>
  <c r="S860" i="22"/>
  <c r="T860" i="22"/>
  <c r="P861" i="22"/>
  <c r="Q861" i="22"/>
  <c r="R861" i="22"/>
  <c r="S861" i="22"/>
  <c r="T861" i="22"/>
  <c r="P862" i="22"/>
  <c r="Q862" i="22"/>
  <c r="R862" i="22"/>
  <c r="S862" i="22"/>
  <c r="T862" i="22"/>
  <c r="P863" i="22"/>
  <c r="Q863" i="22"/>
  <c r="R863" i="22"/>
  <c r="S863" i="22"/>
  <c r="T863" i="22"/>
  <c r="P864" i="22"/>
  <c r="Q864" i="22"/>
  <c r="R864" i="22"/>
  <c r="S864" i="22"/>
  <c r="T864" i="22"/>
  <c r="P865" i="22"/>
  <c r="Q865" i="22"/>
  <c r="R865" i="22"/>
  <c r="S865" i="22"/>
  <c r="T865" i="22"/>
  <c r="P866" i="22"/>
  <c r="Q866" i="22"/>
  <c r="R866" i="22"/>
  <c r="S866" i="22"/>
  <c r="T866" i="22"/>
  <c r="P867" i="22"/>
  <c r="Q867" i="22"/>
  <c r="R867" i="22"/>
  <c r="S867" i="22"/>
  <c r="T867" i="22"/>
  <c r="P868" i="22"/>
  <c r="Q868" i="22"/>
  <c r="R868" i="22"/>
  <c r="S868" i="22"/>
  <c r="T868" i="22"/>
  <c r="P869" i="22"/>
  <c r="Q869" i="22"/>
  <c r="R869" i="22"/>
  <c r="S869" i="22"/>
  <c r="T869" i="22"/>
  <c r="P870" i="22"/>
  <c r="Q870" i="22"/>
  <c r="R870" i="22"/>
  <c r="S870" i="22"/>
  <c r="T870" i="22"/>
  <c r="P871" i="22"/>
  <c r="Q871" i="22"/>
  <c r="R871" i="22"/>
  <c r="S871" i="22"/>
  <c r="T871" i="22"/>
  <c r="P872" i="22"/>
  <c r="Q872" i="22"/>
  <c r="R872" i="22"/>
  <c r="S872" i="22"/>
  <c r="T872" i="22"/>
  <c r="P873" i="22"/>
  <c r="Q873" i="22"/>
  <c r="R873" i="22"/>
  <c r="S873" i="22"/>
  <c r="T873" i="22"/>
  <c r="P874" i="22"/>
  <c r="Q874" i="22"/>
  <c r="R874" i="22"/>
  <c r="S874" i="22"/>
  <c r="T874" i="22"/>
  <c r="P875" i="22"/>
  <c r="Q875" i="22"/>
  <c r="R875" i="22"/>
  <c r="S875" i="22"/>
  <c r="T875" i="22"/>
  <c r="P876" i="22"/>
  <c r="Q876" i="22"/>
  <c r="R876" i="22"/>
  <c r="S876" i="22"/>
  <c r="T876" i="22"/>
  <c r="P877" i="22"/>
  <c r="Q877" i="22"/>
  <c r="R877" i="22"/>
  <c r="S877" i="22"/>
  <c r="T877" i="22"/>
  <c r="P878" i="22"/>
  <c r="Q878" i="22"/>
  <c r="R878" i="22"/>
  <c r="S878" i="22"/>
  <c r="T878" i="22"/>
  <c r="P879" i="22"/>
  <c r="Q879" i="22"/>
  <c r="R879" i="22"/>
  <c r="S879" i="22"/>
  <c r="T879" i="22"/>
  <c r="P880" i="22"/>
  <c r="Q880" i="22"/>
  <c r="R880" i="22"/>
  <c r="S880" i="22"/>
  <c r="T880" i="22"/>
  <c r="P881" i="22"/>
  <c r="Q881" i="22"/>
  <c r="R881" i="22"/>
  <c r="S881" i="22"/>
  <c r="T881" i="22"/>
  <c r="P882" i="22"/>
  <c r="Q882" i="22"/>
  <c r="R882" i="22"/>
  <c r="S882" i="22"/>
  <c r="T882" i="22"/>
  <c r="P883" i="22"/>
  <c r="Q883" i="22"/>
  <c r="R883" i="22"/>
  <c r="S883" i="22"/>
  <c r="T883" i="22"/>
  <c r="P884" i="22"/>
  <c r="Q884" i="22"/>
  <c r="R884" i="22"/>
  <c r="S884" i="22"/>
  <c r="T884" i="22"/>
  <c r="P885" i="22"/>
  <c r="Q885" i="22"/>
  <c r="R885" i="22"/>
  <c r="S885" i="22"/>
  <c r="T885" i="22"/>
  <c r="P886" i="22"/>
  <c r="Q886" i="22"/>
  <c r="R886" i="22"/>
  <c r="S886" i="22"/>
  <c r="T886" i="22"/>
  <c r="P887" i="22"/>
  <c r="Q887" i="22"/>
  <c r="R887" i="22"/>
  <c r="S887" i="22"/>
  <c r="T887" i="22"/>
  <c r="P888" i="22"/>
  <c r="Q888" i="22"/>
  <c r="R888" i="22"/>
  <c r="S888" i="22"/>
  <c r="T888" i="22"/>
  <c r="P889" i="22"/>
  <c r="Q889" i="22"/>
  <c r="R889" i="22"/>
  <c r="S889" i="22"/>
  <c r="T889" i="22"/>
  <c r="P890" i="22"/>
  <c r="Q890" i="22"/>
  <c r="R890" i="22"/>
  <c r="S890" i="22"/>
  <c r="T890" i="22"/>
  <c r="P891" i="22"/>
  <c r="Q891" i="22"/>
  <c r="R891" i="22"/>
  <c r="S891" i="22"/>
  <c r="T891" i="22"/>
  <c r="P892" i="22"/>
  <c r="Q892" i="22"/>
  <c r="R892" i="22"/>
  <c r="S892" i="22"/>
  <c r="T892" i="22"/>
  <c r="P893" i="22"/>
  <c r="Q893" i="22"/>
  <c r="R893" i="22"/>
  <c r="S893" i="22"/>
  <c r="T893" i="22"/>
  <c r="P894" i="22"/>
  <c r="Q894" i="22"/>
  <c r="R894" i="22"/>
  <c r="S894" i="22"/>
  <c r="T894" i="22"/>
  <c r="P895" i="22"/>
  <c r="Q895" i="22"/>
  <c r="R895" i="22"/>
  <c r="S895" i="22"/>
  <c r="T895" i="22"/>
  <c r="P896" i="22"/>
  <c r="Q896" i="22"/>
  <c r="R896" i="22"/>
  <c r="S896" i="22"/>
  <c r="T896" i="22"/>
  <c r="P897" i="22"/>
  <c r="Q897" i="22"/>
  <c r="R897" i="22"/>
  <c r="S897" i="22"/>
  <c r="T897" i="22"/>
  <c r="P898" i="22"/>
  <c r="Q898" i="22"/>
  <c r="R898" i="22"/>
  <c r="S898" i="22"/>
  <c r="T898" i="22"/>
  <c r="P899" i="22"/>
  <c r="Q899" i="22"/>
  <c r="R899" i="22"/>
  <c r="S899" i="22"/>
  <c r="T899" i="22"/>
  <c r="P900" i="22"/>
  <c r="Q900" i="22"/>
  <c r="R900" i="22"/>
  <c r="S900" i="22"/>
  <c r="T900" i="22"/>
  <c r="P901" i="22"/>
  <c r="Q901" i="22"/>
  <c r="R901" i="22"/>
  <c r="S901" i="22"/>
  <c r="T901" i="22"/>
  <c r="P902" i="22"/>
  <c r="Q902" i="22"/>
  <c r="R902" i="22"/>
  <c r="S902" i="22"/>
  <c r="T902" i="22"/>
  <c r="P903" i="22"/>
  <c r="Q903" i="22"/>
  <c r="R903" i="22"/>
  <c r="S903" i="22"/>
  <c r="T903" i="22"/>
  <c r="P904" i="22"/>
  <c r="Q904" i="22"/>
  <c r="R904" i="22"/>
  <c r="S904" i="22"/>
  <c r="T904" i="22"/>
  <c r="P905" i="22"/>
  <c r="Q905" i="22"/>
  <c r="R905" i="22"/>
  <c r="S905" i="22"/>
  <c r="T905" i="22"/>
  <c r="P906" i="22"/>
  <c r="Q906" i="22"/>
  <c r="R906" i="22"/>
  <c r="S906" i="22"/>
  <c r="T906" i="22"/>
  <c r="P907" i="22"/>
  <c r="Q907" i="22"/>
  <c r="R907" i="22"/>
  <c r="S907" i="22"/>
  <c r="T907" i="22"/>
  <c r="P908" i="22"/>
  <c r="Q908" i="22"/>
  <c r="R908" i="22"/>
  <c r="S908" i="22"/>
  <c r="T908" i="22"/>
  <c r="P909" i="22"/>
  <c r="Q909" i="22"/>
  <c r="R909" i="22"/>
  <c r="S909" i="22"/>
  <c r="T909" i="22"/>
  <c r="P910" i="22"/>
  <c r="Q910" i="22"/>
  <c r="R910" i="22"/>
  <c r="S910" i="22"/>
  <c r="T910" i="22"/>
  <c r="P911" i="22"/>
  <c r="Q911" i="22"/>
  <c r="R911" i="22"/>
  <c r="S911" i="22"/>
  <c r="T911" i="22"/>
  <c r="P912" i="22"/>
  <c r="Q912" i="22"/>
  <c r="R912" i="22"/>
  <c r="S912" i="22"/>
  <c r="T912" i="22"/>
  <c r="P913" i="22"/>
  <c r="Q913" i="22"/>
  <c r="R913" i="22"/>
  <c r="S913" i="22"/>
  <c r="T913" i="22"/>
  <c r="P914" i="22"/>
  <c r="Q914" i="22"/>
  <c r="R914" i="22"/>
  <c r="S914" i="22"/>
  <c r="T914" i="22"/>
  <c r="P915" i="22"/>
  <c r="Q915" i="22"/>
  <c r="R915" i="22"/>
  <c r="S915" i="22"/>
  <c r="T915" i="22"/>
  <c r="P916" i="22"/>
  <c r="Q916" i="22"/>
  <c r="R916" i="22"/>
  <c r="S916" i="22"/>
  <c r="T916" i="22"/>
  <c r="P917" i="22"/>
  <c r="Q917" i="22"/>
  <c r="R917" i="22"/>
  <c r="S917" i="22"/>
  <c r="T917" i="22"/>
  <c r="P918" i="22"/>
  <c r="Q918" i="22"/>
  <c r="R918" i="22"/>
  <c r="S918" i="22"/>
  <c r="T918" i="22"/>
  <c r="P919" i="22"/>
  <c r="Q919" i="22"/>
  <c r="R919" i="22"/>
  <c r="S919" i="22"/>
  <c r="T919" i="22"/>
  <c r="P920" i="22"/>
  <c r="Q920" i="22"/>
  <c r="R920" i="22"/>
  <c r="S920" i="22"/>
  <c r="T920" i="22"/>
  <c r="P921" i="22"/>
  <c r="Q921" i="22"/>
  <c r="R921" i="22"/>
  <c r="S921" i="22"/>
  <c r="T921" i="22"/>
  <c r="P922" i="22"/>
  <c r="Q922" i="22"/>
  <c r="R922" i="22"/>
  <c r="S922" i="22"/>
  <c r="T922" i="22"/>
  <c r="P923" i="22"/>
  <c r="Q923" i="22"/>
  <c r="R923" i="22"/>
  <c r="S923" i="22"/>
  <c r="T923" i="22"/>
  <c r="P924" i="22"/>
  <c r="Q924" i="22"/>
  <c r="R924" i="22"/>
  <c r="S924" i="22"/>
  <c r="T924" i="22"/>
  <c r="P925" i="22"/>
  <c r="Q925" i="22"/>
  <c r="R925" i="22"/>
  <c r="S925" i="22"/>
  <c r="T925" i="22"/>
  <c r="P926" i="22"/>
  <c r="Q926" i="22"/>
  <c r="R926" i="22"/>
  <c r="S926" i="22"/>
  <c r="T926" i="22"/>
  <c r="P927" i="22"/>
  <c r="Q927" i="22"/>
  <c r="R927" i="22"/>
  <c r="S927" i="22"/>
  <c r="T927" i="22"/>
  <c r="P928" i="22"/>
  <c r="Q928" i="22"/>
  <c r="R928" i="22"/>
  <c r="S928" i="22"/>
  <c r="T928" i="22"/>
  <c r="P929" i="22"/>
  <c r="Q929" i="22"/>
  <c r="R929" i="22"/>
  <c r="S929" i="22"/>
  <c r="T929" i="22"/>
  <c r="P930" i="22"/>
  <c r="Q930" i="22"/>
  <c r="R930" i="22"/>
  <c r="S930" i="22"/>
  <c r="T930" i="22"/>
  <c r="P931" i="22"/>
  <c r="Q931" i="22"/>
  <c r="R931" i="22"/>
  <c r="S931" i="22"/>
  <c r="T931" i="22"/>
  <c r="P932" i="22"/>
  <c r="Q932" i="22"/>
  <c r="R932" i="22"/>
  <c r="S932" i="22"/>
  <c r="T932" i="22"/>
  <c r="P933" i="22"/>
  <c r="Q933" i="22"/>
  <c r="R933" i="22"/>
  <c r="S933" i="22"/>
  <c r="T933" i="22"/>
  <c r="P934" i="22"/>
  <c r="Q934" i="22"/>
  <c r="R934" i="22"/>
  <c r="S934" i="22"/>
  <c r="T934" i="22"/>
  <c r="P935" i="22"/>
  <c r="Q935" i="22"/>
  <c r="R935" i="22"/>
  <c r="S935" i="22"/>
  <c r="T935" i="22"/>
  <c r="P936" i="22"/>
  <c r="Q936" i="22"/>
  <c r="R936" i="22"/>
  <c r="S936" i="22"/>
  <c r="T936" i="22"/>
  <c r="P937" i="22"/>
  <c r="Q937" i="22"/>
  <c r="R937" i="22"/>
  <c r="S937" i="22"/>
  <c r="T937" i="22"/>
  <c r="P938" i="22"/>
  <c r="Q938" i="22"/>
  <c r="R938" i="22"/>
  <c r="S938" i="22"/>
  <c r="T938" i="22"/>
  <c r="P939" i="22"/>
  <c r="Q939" i="22"/>
  <c r="R939" i="22"/>
  <c r="S939" i="22"/>
  <c r="T939" i="22"/>
  <c r="P940" i="22"/>
  <c r="Q940" i="22"/>
  <c r="R940" i="22"/>
  <c r="S940" i="22"/>
  <c r="T940" i="22"/>
  <c r="P941" i="22"/>
  <c r="Q941" i="22"/>
  <c r="R941" i="22"/>
  <c r="S941" i="22"/>
  <c r="T941" i="22"/>
  <c r="P942" i="22"/>
  <c r="Q942" i="22"/>
  <c r="R942" i="22"/>
  <c r="S942" i="22"/>
  <c r="T942" i="22"/>
  <c r="P943" i="22"/>
  <c r="Q943" i="22"/>
  <c r="R943" i="22"/>
  <c r="S943" i="22"/>
  <c r="T943" i="22"/>
  <c r="P944" i="22"/>
  <c r="Q944" i="22"/>
  <c r="R944" i="22"/>
  <c r="S944" i="22"/>
  <c r="T944" i="22"/>
  <c r="P945" i="22"/>
  <c r="Q945" i="22"/>
  <c r="R945" i="22"/>
  <c r="S945" i="22"/>
  <c r="T945" i="22"/>
  <c r="P946" i="22"/>
  <c r="Q946" i="22"/>
  <c r="R946" i="22"/>
  <c r="S946" i="22"/>
  <c r="T946" i="22"/>
  <c r="P947" i="22"/>
  <c r="Q947" i="22"/>
  <c r="R947" i="22"/>
  <c r="S947" i="22"/>
  <c r="T947" i="22"/>
  <c r="P948" i="22"/>
  <c r="Q948" i="22"/>
  <c r="R948" i="22"/>
  <c r="S948" i="22"/>
  <c r="T948" i="22"/>
  <c r="P949" i="22"/>
  <c r="Q949" i="22"/>
  <c r="R949" i="22"/>
  <c r="S949" i="22"/>
  <c r="T949" i="22"/>
  <c r="P950" i="22"/>
  <c r="Q950" i="22"/>
  <c r="R950" i="22"/>
  <c r="S950" i="22"/>
  <c r="T950" i="22"/>
  <c r="P951" i="22"/>
  <c r="Q951" i="22"/>
  <c r="R951" i="22"/>
  <c r="S951" i="22"/>
  <c r="T951" i="22"/>
  <c r="P952" i="22"/>
  <c r="Q952" i="22"/>
  <c r="R952" i="22"/>
  <c r="S952" i="22"/>
  <c r="T952" i="22"/>
  <c r="P953" i="22"/>
  <c r="Q953" i="22"/>
  <c r="R953" i="22"/>
  <c r="S953" i="22"/>
  <c r="T953" i="22"/>
  <c r="P954" i="22"/>
  <c r="Q954" i="22"/>
  <c r="R954" i="22"/>
  <c r="S954" i="22"/>
  <c r="T954" i="22"/>
  <c r="P955" i="22"/>
  <c r="Q955" i="22"/>
  <c r="R955" i="22"/>
  <c r="S955" i="22"/>
  <c r="T955" i="22"/>
  <c r="P956" i="22"/>
  <c r="Q956" i="22"/>
  <c r="R956" i="22"/>
  <c r="S956" i="22"/>
  <c r="T956" i="22"/>
  <c r="P957" i="22"/>
  <c r="Q957" i="22"/>
  <c r="R957" i="22"/>
  <c r="S957" i="22"/>
  <c r="T957" i="22"/>
  <c r="P958" i="22"/>
  <c r="Q958" i="22"/>
  <c r="R958" i="22"/>
  <c r="S958" i="22"/>
  <c r="T958" i="22"/>
  <c r="P959" i="22"/>
  <c r="Q959" i="22"/>
  <c r="R959" i="22"/>
  <c r="S959" i="22"/>
  <c r="T959" i="22"/>
  <c r="P960" i="22"/>
  <c r="Q960" i="22"/>
  <c r="R960" i="22"/>
  <c r="S960" i="22"/>
  <c r="T960" i="22"/>
  <c r="P961" i="22"/>
  <c r="Q961" i="22"/>
  <c r="R961" i="22"/>
  <c r="S961" i="22"/>
  <c r="T961" i="22"/>
  <c r="P962" i="22"/>
  <c r="Q962" i="22"/>
  <c r="R962" i="22"/>
  <c r="S962" i="22"/>
  <c r="T962" i="22"/>
  <c r="P963" i="22"/>
  <c r="Q963" i="22"/>
  <c r="R963" i="22"/>
  <c r="S963" i="22"/>
  <c r="T963" i="22"/>
  <c r="P964" i="22"/>
  <c r="Q964" i="22"/>
  <c r="R964" i="22"/>
  <c r="S964" i="22"/>
  <c r="T964" i="22"/>
  <c r="P965" i="22"/>
  <c r="Q965" i="22"/>
  <c r="R965" i="22"/>
  <c r="S965" i="22"/>
  <c r="T965" i="22"/>
  <c r="P966" i="22"/>
  <c r="Q966" i="22"/>
  <c r="R966" i="22"/>
  <c r="S966" i="22"/>
  <c r="T966" i="22"/>
  <c r="P967" i="22"/>
  <c r="Q967" i="22"/>
  <c r="R967" i="22"/>
  <c r="S967" i="22"/>
  <c r="T967" i="22"/>
  <c r="Q32" i="22"/>
  <c r="T32" i="22"/>
  <c r="S32" i="22"/>
  <c r="R32" i="22"/>
  <c r="O23" i="22"/>
  <c r="J23" i="22"/>
  <c r="AQ33" i="22"/>
  <c r="AS33" i="22"/>
  <c r="AT33" i="22"/>
  <c r="AQ34" i="22"/>
  <c r="AS34" i="22"/>
  <c r="AT34" i="22"/>
  <c r="AQ35" i="22"/>
  <c r="AS35" i="22"/>
  <c r="AT35" i="22"/>
  <c r="AQ36" i="22"/>
  <c r="AS36" i="22"/>
  <c r="AT36" i="22"/>
  <c r="AQ37" i="22"/>
  <c r="AS37" i="22"/>
  <c r="AT37" i="22"/>
  <c r="AQ38" i="22"/>
  <c r="AS38" i="22"/>
  <c r="AT38" i="22"/>
  <c r="AQ39" i="22"/>
  <c r="AS39" i="22"/>
  <c r="AT39" i="22"/>
  <c r="AQ40" i="22"/>
  <c r="AS40" i="22"/>
  <c r="AT40" i="22"/>
  <c r="AQ41" i="22"/>
  <c r="AS41" i="22"/>
  <c r="AT41" i="22"/>
  <c r="AQ42" i="22"/>
  <c r="AS42" i="22"/>
  <c r="AT42" i="22"/>
  <c r="AQ43" i="22"/>
  <c r="AS43" i="22"/>
  <c r="AT43" i="22"/>
  <c r="AQ44" i="22"/>
  <c r="AS44" i="22"/>
  <c r="AT44" i="22"/>
  <c r="AQ45" i="22"/>
  <c r="AS45" i="22"/>
  <c r="AT45" i="22"/>
  <c r="AQ46" i="22"/>
  <c r="AS46" i="22"/>
  <c r="AT46" i="22"/>
  <c r="AQ47" i="22"/>
  <c r="AS47" i="22"/>
  <c r="AT47" i="22"/>
  <c r="AQ48" i="22"/>
  <c r="AS48" i="22"/>
  <c r="AT48" i="22"/>
  <c r="AQ49" i="22"/>
  <c r="AS49" i="22"/>
  <c r="AT49" i="22"/>
  <c r="AQ50" i="22"/>
  <c r="AS50" i="22"/>
  <c r="AT50" i="22"/>
  <c r="AQ51" i="22"/>
  <c r="AS51" i="22"/>
  <c r="AT51" i="22"/>
  <c r="AQ52" i="22"/>
  <c r="AS52" i="22"/>
  <c r="AT52" i="22"/>
  <c r="AQ53" i="22"/>
  <c r="AS53" i="22"/>
  <c r="AT53" i="22"/>
  <c r="AQ54" i="22"/>
  <c r="AS54" i="22"/>
  <c r="AT54" i="22"/>
  <c r="AQ55" i="22"/>
  <c r="AS55" i="22"/>
  <c r="AT55" i="22"/>
  <c r="AQ56" i="22"/>
  <c r="AS56" i="22"/>
  <c r="AT56" i="22"/>
  <c r="AQ57" i="22"/>
  <c r="AS57" i="22"/>
  <c r="AT57" i="22"/>
  <c r="AQ58" i="22"/>
  <c r="AS58" i="22"/>
  <c r="AT58" i="22"/>
  <c r="AQ59" i="22"/>
  <c r="AS59" i="22"/>
  <c r="AT59" i="22"/>
  <c r="AQ60" i="22"/>
  <c r="AS60" i="22"/>
  <c r="AT60" i="22"/>
  <c r="AQ61" i="22"/>
  <c r="AS61" i="22"/>
  <c r="AT61" i="22"/>
  <c r="AQ62" i="22"/>
  <c r="AS62" i="22"/>
  <c r="AT62" i="22"/>
  <c r="AQ63" i="22"/>
  <c r="AS63" i="22"/>
  <c r="AT63" i="22"/>
  <c r="AQ64" i="22"/>
  <c r="AS64" i="22"/>
  <c r="AT64" i="22"/>
  <c r="AQ65" i="22"/>
  <c r="AS65" i="22"/>
  <c r="AT65" i="22"/>
  <c r="AQ66" i="22"/>
  <c r="AS66" i="22"/>
  <c r="AT66" i="22"/>
  <c r="AQ67" i="22"/>
  <c r="AS67" i="22"/>
  <c r="AT67" i="22"/>
  <c r="AQ68" i="22"/>
  <c r="AS68" i="22"/>
  <c r="AT68" i="22"/>
  <c r="AQ69" i="22"/>
  <c r="AS69" i="22"/>
  <c r="AT69" i="22"/>
  <c r="AQ70" i="22"/>
  <c r="AS70" i="22"/>
  <c r="AT70" i="22"/>
  <c r="AQ71" i="22"/>
  <c r="AS71" i="22"/>
  <c r="AT71" i="22"/>
  <c r="AQ72" i="22"/>
  <c r="AS72" i="22"/>
  <c r="AT72" i="22"/>
  <c r="AQ73" i="22"/>
  <c r="AS73" i="22"/>
  <c r="AT73" i="22"/>
  <c r="AQ74" i="22"/>
  <c r="AS74" i="22"/>
  <c r="AT74" i="22"/>
  <c r="AQ75" i="22"/>
  <c r="AS75" i="22"/>
  <c r="AT75" i="22"/>
  <c r="AQ76" i="22"/>
  <c r="AS76" i="22"/>
  <c r="AT76" i="22"/>
  <c r="AQ77" i="22"/>
  <c r="AS77" i="22"/>
  <c r="AT77" i="22"/>
  <c r="AQ78" i="22"/>
  <c r="AS78" i="22"/>
  <c r="AT78" i="22"/>
  <c r="AQ79" i="22"/>
  <c r="AS79" i="22"/>
  <c r="AT79" i="22"/>
  <c r="AQ80" i="22"/>
  <c r="AS80" i="22"/>
  <c r="AT80" i="22"/>
  <c r="AQ81" i="22"/>
  <c r="AS81" i="22"/>
  <c r="AT81" i="22"/>
  <c r="AQ82" i="22"/>
  <c r="AS82" i="22"/>
  <c r="AT82" i="22"/>
  <c r="AQ83" i="22"/>
  <c r="AS83" i="22"/>
  <c r="AT83" i="22"/>
  <c r="AQ84" i="22"/>
  <c r="AS84" i="22"/>
  <c r="AT84" i="22"/>
  <c r="AQ85" i="22"/>
  <c r="AS85" i="22"/>
  <c r="AT85" i="22"/>
  <c r="AQ86" i="22"/>
  <c r="AS86" i="22"/>
  <c r="AT86" i="22"/>
  <c r="AQ87" i="22"/>
  <c r="AS87" i="22"/>
  <c r="AT87" i="22"/>
  <c r="AQ88" i="22"/>
  <c r="AS88" i="22"/>
  <c r="AT88" i="22"/>
  <c r="AQ89" i="22"/>
  <c r="AS89" i="22"/>
  <c r="AT89" i="22"/>
  <c r="AQ90" i="22"/>
  <c r="AS90" i="22"/>
  <c r="AT90" i="22"/>
  <c r="AQ91" i="22"/>
  <c r="AS91" i="22"/>
  <c r="AT91" i="22"/>
  <c r="AQ92" i="22"/>
  <c r="AS92" i="22"/>
  <c r="AT92" i="22"/>
  <c r="AQ93" i="22"/>
  <c r="AS93" i="22"/>
  <c r="AT93" i="22"/>
  <c r="AQ94" i="22"/>
  <c r="AS94" i="22"/>
  <c r="AT94" i="22"/>
  <c r="AQ95" i="22"/>
  <c r="AS95" i="22"/>
  <c r="AT95" i="22"/>
  <c r="AQ96" i="22"/>
  <c r="AS96" i="22"/>
  <c r="AT96" i="22"/>
  <c r="AQ97" i="22"/>
  <c r="AS97" i="22"/>
  <c r="AT97" i="22"/>
  <c r="AQ98" i="22"/>
  <c r="AS98" i="22"/>
  <c r="AT98" i="22"/>
  <c r="AQ99" i="22"/>
  <c r="AS99" i="22"/>
  <c r="AT99" i="22"/>
  <c r="AQ100" i="22"/>
  <c r="AS100" i="22"/>
  <c r="AT100" i="22"/>
  <c r="AQ101" i="22"/>
  <c r="AS101" i="22"/>
  <c r="AT101" i="22"/>
  <c r="AQ102" i="22"/>
  <c r="AS102" i="22"/>
  <c r="AT102" i="22"/>
  <c r="AQ103" i="22"/>
  <c r="AS103" i="22"/>
  <c r="AT103" i="22"/>
  <c r="AQ104" i="22"/>
  <c r="AS104" i="22"/>
  <c r="AT104" i="22"/>
  <c r="AQ105" i="22"/>
  <c r="AS105" i="22"/>
  <c r="AT105" i="22"/>
  <c r="AQ106" i="22"/>
  <c r="AS106" i="22"/>
  <c r="AT106" i="22"/>
  <c r="AQ107" i="22"/>
  <c r="AS107" i="22"/>
  <c r="AT107" i="22"/>
  <c r="AQ108" i="22"/>
  <c r="AS108" i="22"/>
  <c r="AT108" i="22"/>
  <c r="AQ109" i="22"/>
  <c r="AS109" i="22"/>
  <c r="AT109" i="22"/>
  <c r="AQ110" i="22"/>
  <c r="AS110" i="22"/>
  <c r="AT110" i="22"/>
  <c r="AQ111" i="22"/>
  <c r="AS111" i="22"/>
  <c r="AT111" i="22"/>
  <c r="AQ112" i="22"/>
  <c r="AS112" i="22"/>
  <c r="AT112" i="22"/>
  <c r="AQ113" i="22"/>
  <c r="AS113" i="22"/>
  <c r="AT113" i="22"/>
  <c r="AQ114" i="22"/>
  <c r="AS114" i="22"/>
  <c r="AT114" i="22"/>
  <c r="AQ115" i="22"/>
  <c r="AS115" i="22"/>
  <c r="AT115" i="22"/>
  <c r="AQ116" i="22"/>
  <c r="AS116" i="22"/>
  <c r="AT116" i="22"/>
  <c r="AQ117" i="22"/>
  <c r="AS117" i="22"/>
  <c r="AT117" i="22"/>
  <c r="AQ118" i="22"/>
  <c r="AS118" i="22"/>
  <c r="AT118" i="22"/>
  <c r="AQ119" i="22"/>
  <c r="AS119" i="22"/>
  <c r="AT119" i="22"/>
  <c r="AQ120" i="22"/>
  <c r="AS120" i="22"/>
  <c r="AT120" i="22"/>
  <c r="AQ121" i="22"/>
  <c r="AS121" i="22"/>
  <c r="AT121" i="22"/>
  <c r="AQ122" i="22"/>
  <c r="AS122" i="22"/>
  <c r="AT122" i="22"/>
  <c r="AQ123" i="22"/>
  <c r="AS123" i="22"/>
  <c r="AT123" i="22"/>
  <c r="AQ124" i="22"/>
  <c r="AS124" i="22"/>
  <c r="AT124" i="22"/>
  <c r="AQ125" i="22"/>
  <c r="AS125" i="22"/>
  <c r="AT125" i="22"/>
  <c r="AQ126" i="22"/>
  <c r="AS126" i="22"/>
  <c r="AT126" i="22"/>
  <c r="AQ127" i="22"/>
  <c r="AS127" i="22"/>
  <c r="AT127" i="22"/>
  <c r="AQ128" i="22"/>
  <c r="AS128" i="22"/>
  <c r="AT128" i="22"/>
  <c r="AQ129" i="22"/>
  <c r="AS129" i="22"/>
  <c r="AT129" i="22"/>
  <c r="AQ130" i="22"/>
  <c r="AS130" i="22"/>
  <c r="AT130" i="22"/>
  <c r="AQ131" i="22"/>
  <c r="AS131" i="22"/>
  <c r="AT131" i="22"/>
  <c r="AQ132" i="22"/>
  <c r="AS132" i="22"/>
  <c r="AT132" i="22"/>
  <c r="AQ133" i="22"/>
  <c r="AS133" i="22"/>
  <c r="AT133" i="22"/>
  <c r="AQ134" i="22"/>
  <c r="AS134" i="22"/>
  <c r="AT134" i="22"/>
  <c r="AQ135" i="22"/>
  <c r="AS135" i="22"/>
  <c r="AT135" i="22"/>
  <c r="AQ136" i="22"/>
  <c r="AS136" i="22"/>
  <c r="AT136" i="22"/>
  <c r="AQ137" i="22"/>
  <c r="AS137" i="22"/>
  <c r="AT137" i="22"/>
  <c r="AQ138" i="22"/>
  <c r="AS138" i="22"/>
  <c r="AT138" i="22"/>
  <c r="AQ139" i="22"/>
  <c r="AS139" i="22"/>
  <c r="AT139" i="22"/>
  <c r="AQ140" i="22"/>
  <c r="AS140" i="22"/>
  <c r="AT140" i="22"/>
  <c r="AQ141" i="22"/>
  <c r="AS141" i="22"/>
  <c r="AT141" i="22"/>
  <c r="AQ142" i="22"/>
  <c r="AS142" i="22"/>
  <c r="AT142" i="22"/>
  <c r="AQ143" i="22"/>
  <c r="AS143" i="22"/>
  <c r="AT143" i="22"/>
  <c r="AQ144" i="22"/>
  <c r="AS144" i="22"/>
  <c r="AT144" i="22"/>
  <c r="AQ145" i="22"/>
  <c r="AS145" i="22"/>
  <c r="AT145" i="22"/>
  <c r="AQ146" i="22"/>
  <c r="AS146" i="22"/>
  <c r="AT146" i="22"/>
  <c r="AQ147" i="22"/>
  <c r="AS147" i="22"/>
  <c r="AT147" i="22"/>
  <c r="AQ148" i="22"/>
  <c r="AS148" i="22"/>
  <c r="AT148" i="22"/>
  <c r="AQ149" i="22"/>
  <c r="AS149" i="22"/>
  <c r="AT149" i="22"/>
  <c r="AQ150" i="22"/>
  <c r="AS150" i="22"/>
  <c r="AT150" i="22"/>
  <c r="AQ151" i="22"/>
  <c r="AS151" i="22"/>
  <c r="AT151" i="22"/>
  <c r="AQ152" i="22"/>
  <c r="AS152" i="22"/>
  <c r="AT152" i="22"/>
  <c r="AQ153" i="22"/>
  <c r="AS153" i="22"/>
  <c r="AT153" i="22"/>
  <c r="AQ154" i="22"/>
  <c r="AS154" i="22"/>
  <c r="AT154" i="22"/>
  <c r="AQ155" i="22"/>
  <c r="AS155" i="22"/>
  <c r="AT155" i="22"/>
  <c r="AQ156" i="22"/>
  <c r="AS156" i="22"/>
  <c r="AT156" i="22"/>
  <c r="AQ157" i="22"/>
  <c r="AS157" i="22"/>
  <c r="AT157" i="22"/>
  <c r="AQ158" i="22"/>
  <c r="AS158" i="22"/>
  <c r="AT158" i="22"/>
  <c r="AQ159" i="22"/>
  <c r="AS159" i="22"/>
  <c r="AT159" i="22"/>
  <c r="AQ160" i="22"/>
  <c r="AS160" i="22"/>
  <c r="AT160" i="22"/>
  <c r="AQ161" i="22"/>
  <c r="AS161" i="22"/>
  <c r="AT161" i="22"/>
  <c r="AQ162" i="22"/>
  <c r="AS162" i="22"/>
  <c r="AT162" i="22"/>
  <c r="AQ163" i="22"/>
  <c r="AS163" i="22"/>
  <c r="AT163" i="22"/>
  <c r="AQ164" i="22"/>
  <c r="AS164" i="22"/>
  <c r="AT164" i="22"/>
  <c r="AQ165" i="22"/>
  <c r="AS165" i="22"/>
  <c r="AT165" i="22"/>
  <c r="AQ166" i="22"/>
  <c r="AS166" i="22"/>
  <c r="AT166" i="22"/>
  <c r="AQ167" i="22"/>
  <c r="AS167" i="22"/>
  <c r="AT167" i="22"/>
  <c r="AQ168" i="22"/>
  <c r="AS168" i="22"/>
  <c r="AT168" i="22"/>
  <c r="AQ169" i="22"/>
  <c r="AS169" i="22"/>
  <c r="AT169" i="22"/>
  <c r="AQ170" i="22"/>
  <c r="AS170" i="22"/>
  <c r="AT170" i="22"/>
  <c r="AQ171" i="22"/>
  <c r="AS171" i="22"/>
  <c r="AT171" i="22"/>
  <c r="AQ172" i="22"/>
  <c r="AS172" i="22"/>
  <c r="AT172" i="22"/>
  <c r="AQ173" i="22"/>
  <c r="AS173" i="22"/>
  <c r="AT173" i="22"/>
  <c r="AQ174" i="22"/>
  <c r="AS174" i="22"/>
  <c r="AT174" i="22"/>
  <c r="AQ175" i="22"/>
  <c r="AS175" i="22"/>
  <c r="AT175" i="22"/>
  <c r="AQ176" i="22"/>
  <c r="AS176" i="22"/>
  <c r="AT176" i="22"/>
  <c r="AQ177" i="22"/>
  <c r="AS177" i="22"/>
  <c r="AT177" i="22"/>
  <c r="AQ178" i="22"/>
  <c r="AS178" i="22"/>
  <c r="AT178" i="22"/>
  <c r="AQ179" i="22"/>
  <c r="AS179" i="22"/>
  <c r="AT179" i="22"/>
  <c r="AQ180" i="22"/>
  <c r="AS180" i="22"/>
  <c r="AT180" i="22"/>
  <c r="AQ181" i="22"/>
  <c r="AS181" i="22"/>
  <c r="AT181" i="22"/>
  <c r="AQ182" i="22"/>
  <c r="AS182" i="22"/>
  <c r="AT182" i="22"/>
  <c r="AQ183" i="22"/>
  <c r="AS183" i="22"/>
  <c r="AT183" i="22"/>
  <c r="AQ184" i="22"/>
  <c r="AS184" i="22"/>
  <c r="AT184" i="22"/>
  <c r="AQ185" i="22"/>
  <c r="AS185" i="22"/>
  <c r="AT185" i="22"/>
  <c r="AQ186" i="22"/>
  <c r="AS186" i="22"/>
  <c r="AT186" i="22"/>
  <c r="AQ187" i="22"/>
  <c r="AS187" i="22"/>
  <c r="AT187" i="22"/>
  <c r="AQ188" i="22"/>
  <c r="AS188" i="22"/>
  <c r="AT188" i="22"/>
  <c r="AQ189" i="22"/>
  <c r="AS189" i="22"/>
  <c r="AT189" i="22"/>
  <c r="AQ190" i="22"/>
  <c r="AS190" i="22"/>
  <c r="AT190" i="22"/>
  <c r="AQ191" i="22"/>
  <c r="AS191" i="22"/>
  <c r="AT191" i="22"/>
  <c r="AQ192" i="22"/>
  <c r="AS192" i="22"/>
  <c r="AT192" i="22"/>
  <c r="AQ193" i="22"/>
  <c r="AS193" i="22"/>
  <c r="AT193" i="22"/>
  <c r="AQ194" i="22"/>
  <c r="AS194" i="22"/>
  <c r="AT194" i="22"/>
  <c r="AQ195" i="22"/>
  <c r="AS195" i="22"/>
  <c r="AT195" i="22"/>
  <c r="AQ196" i="22"/>
  <c r="AS196" i="22"/>
  <c r="AT196" i="22"/>
  <c r="AQ197" i="22"/>
  <c r="AS197" i="22"/>
  <c r="AT197" i="22"/>
  <c r="AQ198" i="22"/>
  <c r="AS198" i="22"/>
  <c r="AT198" i="22"/>
  <c r="AQ199" i="22"/>
  <c r="AS199" i="22"/>
  <c r="AT199" i="22"/>
  <c r="AQ200" i="22"/>
  <c r="AS200" i="22"/>
  <c r="AT200" i="22"/>
  <c r="AQ201" i="22"/>
  <c r="AS201" i="22"/>
  <c r="AT201" i="22"/>
  <c r="AQ202" i="22"/>
  <c r="AS202" i="22"/>
  <c r="AT202" i="22"/>
  <c r="AQ203" i="22"/>
  <c r="AS203" i="22"/>
  <c r="AT203" i="22"/>
  <c r="AQ204" i="22"/>
  <c r="AS204" i="22"/>
  <c r="AT204" i="22"/>
  <c r="AQ205" i="22"/>
  <c r="AS205" i="22"/>
  <c r="AT205" i="22"/>
  <c r="AQ206" i="22"/>
  <c r="AS206" i="22"/>
  <c r="AT206" i="22"/>
  <c r="AQ207" i="22"/>
  <c r="AS207" i="22"/>
  <c r="AT207" i="22"/>
  <c r="AQ208" i="22"/>
  <c r="AS208" i="22"/>
  <c r="AT208" i="22"/>
  <c r="AQ209" i="22"/>
  <c r="AS209" i="22"/>
  <c r="AT209" i="22"/>
  <c r="AQ210" i="22"/>
  <c r="AS210" i="22"/>
  <c r="AT210" i="22"/>
  <c r="AQ211" i="22"/>
  <c r="AS211" i="22"/>
  <c r="AT211" i="22"/>
  <c r="AQ212" i="22"/>
  <c r="AS212" i="22"/>
  <c r="AT212" i="22"/>
  <c r="AQ213" i="22"/>
  <c r="AS213" i="22"/>
  <c r="AT213" i="22"/>
  <c r="AQ214" i="22"/>
  <c r="AS214" i="22"/>
  <c r="AT214" i="22"/>
  <c r="AQ215" i="22"/>
  <c r="AS215" i="22"/>
  <c r="AT215" i="22"/>
  <c r="AQ216" i="22"/>
  <c r="AS216" i="22"/>
  <c r="AT216" i="22"/>
  <c r="AQ217" i="22"/>
  <c r="AS217" i="22"/>
  <c r="AT217" i="22"/>
  <c r="AQ218" i="22"/>
  <c r="AS218" i="22"/>
  <c r="AT218" i="22"/>
  <c r="AQ219" i="22"/>
  <c r="AS219" i="22"/>
  <c r="AT219" i="22"/>
  <c r="AQ220" i="22"/>
  <c r="AS220" i="22"/>
  <c r="AT220" i="22"/>
  <c r="AQ221" i="22"/>
  <c r="AS221" i="22"/>
  <c r="AT221" i="22"/>
  <c r="AQ222" i="22"/>
  <c r="AS222" i="22"/>
  <c r="AT222" i="22"/>
  <c r="AQ223" i="22"/>
  <c r="AS223" i="22"/>
  <c r="AT223" i="22"/>
  <c r="AQ224" i="22"/>
  <c r="AS224" i="22"/>
  <c r="AT224" i="22"/>
  <c r="AQ225" i="22"/>
  <c r="AS225" i="22"/>
  <c r="AT225" i="22"/>
  <c r="AQ226" i="22"/>
  <c r="AS226" i="22"/>
  <c r="AT226" i="22"/>
  <c r="AQ227" i="22"/>
  <c r="AS227" i="22"/>
  <c r="AT227" i="22"/>
  <c r="AQ228" i="22"/>
  <c r="AS228" i="22"/>
  <c r="AT228" i="22"/>
  <c r="AQ229" i="22"/>
  <c r="AS229" i="22"/>
  <c r="AT229" i="22"/>
  <c r="AQ230" i="22"/>
  <c r="AS230" i="22"/>
  <c r="AT230" i="22"/>
  <c r="AQ231" i="22"/>
  <c r="AS231" i="22"/>
  <c r="AT231" i="22"/>
  <c r="AQ232" i="22"/>
  <c r="AS232" i="22"/>
  <c r="AT232" i="22"/>
  <c r="AQ233" i="22"/>
  <c r="AS233" i="22"/>
  <c r="AT233" i="22"/>
  <c r="AQ234" i="22"/>
  <c r="AS234" i="22"/>
  <c r="AT234" i="22"/>
  <c r="AQ235" i="22"/>
  <c r="AS235" i="22"/>
  <c r="AT235" i="22"/>
  <c r="AQ236" i="22"/>
  <c r="AS236" i="22"/>
  <c r="AT236" i="22"/>
  <c r="AQ237" i="22"/>
  <c r="AS237" i="22"/>
  <c r="AT237" i="22"/>
  <c r="AQ238" i="22"/>
  <c r="AS238" i="22"/>
  <c r="AT238" i="22"/>
  <c r="AQ239" i="22"/>
  <c r="AS239" i="22"/>
  <c r="AT239" i="22"/>
  <c r="AQ240" i="22"/>
  <c r="AS240" i="22"/>
  <c r="AT240" i="22"/>
  <c r="AQ241" i="22"/>
  <c r="AS241" i="22"/>
  <c r="AT241" i="22"/>
  <c r="AQ242" i="22"/>
  <c r="AS242" i="22"/>
  <c r="AT242" i="22"/>
  <c r="AQ243" i="22"/>
  <c r="AS243" i="22"/>
  <c r="AT243" i="22"/>
  <c r="AQ244" i="22"/>
  <c r="AS244" i="22"/>
  <c r="AT244" i="22"/>
  <c r="AQ245" i="22"/>
  <c r="AS245" i="22"/>
  <c r="AT245" i="22"/>
  <c r="AQ246" i="22"/>
  <c r="AS246" i="22"/>
  <c r="AT246" i="22"/>
  <c r="AQ247" i="22"/>
  <c r="AS247" i="22"/>
  <c r="AT247" i="22"/>
  <c r="AQ248" i="22"/>
  <c r="AS248" i="22"/>
  <c r="AT248" i="22"/>
  <c r="AQ249" i="22"/>
  <c r="AS249" i="22"/>
  <c r="AT249" i="22"/>
  <c r="AQ250" i="22"/>
  <c r="AS250" i="22"/>
  <c r="AT250" i="22"/>
  <c r="AQ251" i="22"/>
  <c r="AS251" i="22"/>
  <c r="AT251" i="22"/>
  <c r="AQ252" i="22"/>
  <c r="AS252" i="22"/>
  <c r="AT252" i="22"/>
  <c r="AQ253" i="22"/>
  <c r="AS253" i="22"/>
  <c r="AT253" i="22"/>
  <c r="AQ254" i="22"/>
  <c r="AS254" i="22"/>
  <c r="AT254" i="22"/>
  <c r="AQ255" i="22"/>
  <c r="AS255" i="22"/>
  <c r="AT255" i="22"/>
  <c r="AQ256" i="22"/>
  <c r="AS256" i="22"/>
  <c r="AT256" i="22"/>
  <c r="AQ257" i="22"/>
  <c r="AS257" i="22"/>
  <c r="AT257" i="22"/>
  <c r="AQ258" i="22"/>
  <c r="AS258" i="22"/>
  <c r="AT258" i="22"/>
  <c r="AQ259" i="22"/>
  <c r="AS259" i="22"/>
  <c r="AT259" i="22"/>
  <c r="AQ260" i="22"/>
  <c r="AS260" i="22"/>
  <c r="AT260" i="22"/>
  <c r="AQ261" i="22"/>
  <c r="AS261" i="22"/>
  <c r="AT261" i="22"/>
  <c r="AQ262" i="22"/>
  <c r="AS262" i="22"/>
  <c r="AT262" i="22"/>
  <c r="AQ263" i="22"/>
  <c r="AS263" i="22"/>
  <c r="AT263" i="22"/>
  <c r="AQ264" i="22"/>
  <c r="AS264" i="22"/>
  <c r="AT264" i="22"/>
  <c r="AQ265" i="22"/>
  <c r="AS265" i="22"/>
  <c r="AT265" i="22"/>
  <c r="AQ266" i="22"/>
  <c r="AS266" i="22"/>
  <c r="AT266" i="22"/>
  <c r="AQ267" i="22"/>
  <c r="AS267" i="22"/>
  <c r="AT267" i="22"/>
  <c r="AQ268" i="22"/>
  <c r="AS268" i="22"/>
  <c r="AT268" i="22"/>
  <c r="AQ269" i="22"/>
  <c r="AS269" i="22"/>
  <c r="AT269" i="22"/>
  <c r="AQ270" i="22"/>
  <c r="AS270" i="22"/>
  <c r="AT270" i="22"/>
  <c r="AQ271" i="22"/>
  <c r="AS271" i="22"/>
  <c r="AT271" i="22"/>
  <c r="AQ272" i="22"/>
  <c r="AS272" i="22"/>
  <c r="AT272" i="22"/>
  <c r="AQ273" i="22"/>
  <c r="AS273" i="22"/>
  <c r="AT273" i="22"/>
  <c r="AQ274" i="22"/>
  <c r="AS274" i="22"/>
  <c r="AT274" i="22"/>
  <c r="AQ275" i="22"/>
  <c r="AS275" i="22"/>
  <c r="AT275" i="22"/>
  <c r="AQ276" i="22"/>
  <c r="AS276" i="22"/>
  <c r="AT276" i="22"/>
  <c r="AQ277" i="22"/>
  <c r="AS277" i="22"/>
  <c r="AT277" i="22"/>
  <c r="AQ278" i="22"/>
  <c r="AS278" i="22"/>
  <c r="AT278" i="22"/>
  <c r="AQ279" i="22"/>
  <c r="AS279" i="22"/>
  <c r="AT279" i="22"/>
  <c r="AQ280" i="22"/>
  <c r="AS280" i="22"/>
  <c r="AT280" i="22"/>
  <c r="AQ281" i="22"/>
  <c r="AS281" i="22"/>
  <c r="AT281" i="22"/>
  <c r="AQ282" i="22"/>
  <c r="AS282" i="22"/>
  <c r="AT282" i="22"/>
  <c r="AQ283" i="22"/>
  <c r="AS283" i="22"/>
  <c r="AT283" i="22"/>
  <c r="AQ284" i="22"/>
  <c r="AS284" i="22"/>
  <c r="AT284" i="22"/>
  <c r="AQ285" i="22"/>
  <c r="AS285" i="22"/>
  <c r="AT285" i="22"/>
  <c r="AQ286" i="22"/>
  <c r="AS286" i="22"/>
  <c r="AT286" i="22"/>
  <c r="AQ287" i="22"/>
  <c r="AS287" i="22"/>
  <c r="AT287" i="22"/>
  <c r="AQ288" i="22"/>
  <c r="AS288" i="22"/>
  <c r="AT288" i="22"/>
  <c r="AQ289" i="22"/>
  <c r="AS289" i="22"/>
  <c r="AT289" i="22"/>
  <c r="AQ290" i="22"/>
  <c r="AS290" i="22"/>
  <c r="AT290" i="22"/>
  <c r="AQ291" i="22"/>
  <c r="AS291" i="22"/>
  <c r="AT291" i="22"/>
  <c r="AQ292" i="22"/>
  <c r="AS292" i="22"/>
  <c r="AT292" i="22"/>
  <c r="AQ293" i="22"/>
  <c r="AS293" i="22"/>
  <c r="AT293" i="22"/>
  <c r="AQ294" i="22"/>
  <c r="AS294" i="22"/>
  <c r="AT294" i="22"/>
  <c r="AQ295" i="22"/>
  <c r="AS295" i="22"/>
  <c r="AT295" i="22"/>
  <c r="AQ296" i="22"/>
  <c r="AS296" i="22"/>
  <c r="AT296" i="22"/>
  <c r="AQ297" i="22"/>
  <c r="AS297" i="22"/>
  <c r="AT297" i="22"/>
  <c r="AQ298" i="22"/>
  <c r="AS298" i="22"/>
  <c r="AT298" i="22"/>
  <c r="AQ299" i="22"/>
  <c r="AS299" i="22"/>
  <c r="AT299" i="22"/>
  <c r="AQ300" i="22"/>
  <c r="AS300" i="22"/>
  <c r="AT300" i="22"/>
  <c r="AQ301" i="22"/>
  <c r="AS301" i="22"/>
  <c r="AT301" i="22"/>
  <c r="AQ302" i="22"/>
  <c r="AS302" i="22"/>
  <c r="AT302" i="22"/>
  <c r="AQ303" i="22"/>
  <c r="AS303" i="22"/>
  <c r="AT303" i="22"/>
  <c r="AQ304" i="22"/>
  <c r="AS304" i="22"/>
  <c r="AT304" i="22"/>
  <c r="AQ305" i="22"/>
  <c r="AS305" i="22"/>
  <c r="AT305" i="22"/>
  <c r="AQ306" i="22"/>
  <c r="AS306" i="22"/>
  <c r="AT306" i="22"/>
  <c r="AQ307" i="22"/>
  <c r="AS307" i="22"/>
  <c r="AT307" i="22"/>
  <c r="AQ308" i="22"/>
  <c r="AS308" i="22"/>
  <c r="AT308" i="22"/>
  <c r="AQ309" i="22"/>
  <c r="AS309" i="22"/>
  <c r="AT309" i="22"/>
  <c r="AQ310" i="22"/>
  <c r="AS310" i="22"/>
  <c r="AT310" i="22"/>
  <c r="AQ311" i="22"/>
  <c r="AS311" i="22"/>
  <c r="AT311" i="22"/>
  <c r="AQ312" i="22"/>
  <c r="AS312" i="22"/>
  <c r="AT312" i="22"/>
  <c r="AQ313" i="22"/>
  <c r="AS313" i="22"/>
  <c r="AT313" i="22"/>
  <c r="AQ314" i="22"/>
  <c r="AS314" i="22"/>
  <c r="AT314" i="22"/>
  <c r="AQ315" i="22"/>
  <c r="AS315" i="22"/>
  <c r="AT315" i="22"/>
  <c r="AQ316" i="22"/>
  <c r="AS316" i="22"/>
  <c r="AT316" i="22"/>
  <c r="AQ317" i="22"/>
  <c r="AS317" i="22"/>
  <c r="AT317" i="22"/>
  <c r="AQ318" i="22"/>
  <c r="AS318" i="22"/>
  <c r="AT318" i="22"/>
  <c r="AQ319" i="22"/>
  <c r="AS319" i="22"/>
  <c r="AT319" i="22"/>
  <c r="AQ320" i="22"/>
  <c r="AS320" i="22"/>
  <c r="AT320" i="22"/>
  <c r="AQ321" i="22"/>
  <c r="AS321" i="22"/>
  <c r="AT321" i="22"/>
  <c r="AQ322" i="22"/>
  <c r="AS322" i="22"/>
  <c r="AT322" i="22"/>
  <c r="AQ323" i="22"/>
  <c r="AS323" i="22"/>
  <c r="AT323" i="22"/>
  <c r="AQ324" i="22"/>
  <c r="AS324" i="22"/>
  <c r="AT324" i="22"/>
  <c r="AQ325" i="22"/>
  <c r="AS325" i="22"/>
  <c r="AT325" i="22"/>
  <c r="AQ326" i="22"/>
  <c r="AS326" i="22"/>
  <c r="AT326" i="22"/>
  <c r="AQ327" i="22"/>
  <c r="AS327" i="22"/>
  <c r="AT327" i="22"/>
  <c r="AQ328" i="22"/>
  <c r="AS328" i="22"/>
  <c r="AT328" i="22"/>
  <c r="AQ329" i="22"/>
  <c r="AS329" i="22"/>
  <c r="AT329" i="22"/>
  <c r="AQ330" i="22"/>
  <c r="AS330" i="22"/>
  <c r="AT330" i="22"/>
  <c r="AQ331" i="22"/>
  <c r="AS331" i="22"/>
  <c r="AT331" i="22"/>
  <c r="AQ332" i="22"/>
  <c r="AS332" i="22"/>
  <c r="AT332" i="22"/>
  <c r="AQ333" i="22"/>
  <c r="AS333" i="22"/>
  <c r="AT333" i="22"/>
  <c r="AQ334" i="22"/>
  <c r="AS334" i="22"/>
  <c r="AT334" i="22"/>
  <c r="AQ335" i="22"/>
  <c r="AS335" i="22"/>
  <c r="AT335" i="22"/>
  <c r="AQ336" i="22"/>
  <c r="AS336" i="22"/>
  <c r="AT336" i="22"/>
  <c r="AQ337" i="22"/>
  <c r="AS337" i="22"/>
  <c r="AT337" i="22"/>
  <c r="AQ338" i="22"/>
  <c r="AS338" i="22"/>
  <c r="AT338" i="22"/>
  <c r="AQ339" i="22"/>
  <c r="AS339" i="22"/>
  <c r="AT339" i="22"/>
  <c r="AQ340" i="22"/>
  <c r="AS340" i="22"/>
  <c r="AT340" i="22"/>
  <c r="AQ341" i="22"/>
  <c r="AS341" i="22"/>
  <c r="AT341" i="22"/>
  <c r="AQ342" i="22"/>
  <c r="AS342" i="22"/>
  <c r="AT342" i="22"/>
  <c r="AQ343" i="22"/>
  <c r="AS343" i="22"/>
  <c r="AT343" i="22"/>
  <c r="AQ344" i="22"/>
  <c r="AS344" i="22"/>
  <c r="AT344" i="22"/>
  <c r="AQ345" i="22"/>
  <c r="AS345" i="22"/>
  <c r="AT345" i="22"/>
  <c r="AQ346" i="22"/>
  <c r="AS346" i="22"/>
  <c r="AT346" i="22"/>
  <c r="AQ347" i="22"/>
  <c r="AS347" i="22"/>
  <c r="AT347" i="22"/>
  <c r="AQ348" i="22"/>
  <c r="AS348" i="22"/>
  <c r="AT348" i="22"/>
  <c r="AQ349" i="22"/>
  <c r="AS349" i="22"/>
  <c r="AT349" i="22"/>
  <c r="AQ350" i="22"/>
  <c r="AS350" i="22"/>
  <c r="AT350" i="22"/>
  <c r="AQ351" i="22"/>
  <c r="AS351" i="22"/>
  <c r="AT351" i="22"/>
  <c r="AQ352" i="22"/>
  <c r="AS352" i="22"/>
  <c r="AT352" i="22"/>
  <c r="AQ353" i="22"/>
  <c r="AS353" i="22"/>
  <c r="AT353" i="22"/>
  <c r="AQ354" i="22"/>
  <c r="AS354" i="22"/>
  <c r="AT354" i="22"/>
  <c r="AQ355" i="22"/>
  <c r="AS355" i="22"/>
  <c r="AT355" i="22"/>
  <c r="AQ356" i="22"/>
  <c r="AS356" i="22"/>
  <c r="AT356" i="22"/>
  <c r="AQ357" i="22"/>
  <c r="AS357" i="22"/>
  <c r="AT357" i="22"/>
  <c r="AQ358" i="22"/>
  <c r="AS358" i="22"/>
  <c r="AT358" i="22"/>
  <c r="AQ359" i="22"/>
  <c r="AS359" i="22"/>
  <c r="AT359" i="22"/>
  <c r="AQ360" i="22"/>
  <c r="AS360" i="22"/>
  <c r="AT360" i="22"/>
  <c r="AQ361" i="22"/>
  <c r="AS361" i="22"/>
  <c r="AT361" i="22"/>
  <c r="AQ362" i="22"/>
  <c r="AS362" i="22"/>
  <c r="AT362" i="22"/>
  <c r="AQ363" i="22"/>
  <c r="AS363" i="22"/>
  <c r="AT363" i="22"/>
  <c r="AQ364" i="22"/>
  <c r="AS364" i="22"/>
  <c r="AT364" i="22"/>
  <c r="AQ365" i="22"/>
  <c r="AS365" i="22"/>
  <c r="AT365" i="22"/>
  <c r="AQ366" i="22"/>
  <c r="AS366" i="22"/>
  <c r="AT366" i="22"/>
  <c r="AQ367" i="22"/>
  <c r="AS367" i="22"/>
  <c r="AT367" i="22"/>
  <c r="AQ368" i="22"/>
  <c r="AS368" i="22"/>
  <c r="AT368" i="22"/>
  <c r="AQ369" i="22"/>
  <c r="AS369" i="22"/>
  <c r="AT369" i="22"/>
  <c r="AQ370" i="22"/>
  <c r="AS370" i="22"/>
  <c r="AT370" i="22"/>
  <c r="AQ371" i="22"/>
  <c r="AS371" i="22"/>
  <c r="AT371" i="22"/>
  <c r="AQ372" i="22"/>
  <c r="AS372" i="22"/>
  <c r="AT372" i="22"/>
  <c r="AQ373" i="22"/>
  <c r="AS373" i="22"/>
  <c r="AT373" i="22"/>
  <c r="AQ374" i="22"/>
  <c r="AS374" i="22"/>
  <c r="AT374" i="22"/>
  <c r="AQ375" i="22"/>
  <c r="AS375" i="22"/>
  <c r="AT375" i="22"/>
  <c r="AQ376" i="22"/>
  <c r="AS376" i="22"/>
  <c r="AT376" i="22"/>
  <c r="AQ377" i="22"/>
  <c r="AS377" i="22"/>
  <c r="AT377" i="22"/>
  <c r="AQ378" i="22"/>
  <c r="AS378" i="22"/>
  <c r="AT378" i="22"/>
  <c r="AQ379" i="22"/>
  <c r="AS379" i="22"/>
  <c r="AT379" i="22"/>
  <c r="AQ380" i="22"/>
  <c r="AS380" i="22"/>
  <c r="AT380" i="22"/>
  <c r="AQ381" i="22"/>
  <c r="AS381" i="22"/>
  <c r="AT381" i="22"/>
  <c r="AQ382" i="22"/>
  <c r="AS382" i="22"/>
  <c r="AT382" i="22"/>
  <c r="AQ383" i="22"/>
  <c r="AS383" i="22"/>
  <c r="AT383" i="22"/>
  <c r="AQ384" i="22"/>
  <c r="AS384" i="22"/>
  <c r="AT384" i="22"/>
  <c r="AQ385" i="22"/>
  <c r="AS385" i="22"/>
  <c r="AT385" i="22"/>
  <c r="AQ386" i="22"/>
  <c r="AS386" i="22"/>
  <c r="AT386" i="22"/>
  <c r="AQ387" i="22"/>
  <c r="AS387" i="22"/>
  <c r="AT387" i="22"/>
  <c r="AQ388" i="22"/>
  <c r="AS388" i="22"/>
  <c r="AT388" i="22"/>
  <c r="AQ389" i="22"/>
  <c r="AS389" i="22"/>
  <c r="AT389" i="22"/>
  <c r="AQ390" i="22"/>
  <c r="AS390" i="22"/>
  <c r="AT390" i="22"/>
  <c r="AQ391" i="22"/>
  <c r="AS391" i="22"/>
  <c r="AT391" i="22"/>
  <c r="AQ392" i="22"/>
  <c r="AS392" i="22"/>
  <c r="AT392" i="22"/>
  <c r="AQ393" i="22"/>
  <c r="AS393" i="22"/>
  <c r="AT393" i="22"/>
  <c r="AQ394" i="22"/>
  <c r="AS394" i="22"/>
  <c r="AT394" i="22"/>
  <c r="AQ395" i="22"/>
  <c r="AS395" i="22"/>
  <c r="AT395" i="22"/>
  <c r="AQ396" i="22"/>
  <c r="AS396" i="22"/>
  <c r="AT396" i="22"/>
  <c r="AQ397" i="22"/>
  <c r="AS397" i="22"/>
  <c r="AT397" i="22"/>
  <c r="AQ398" i="22"/>
  <c r="AS398" i="22"/>
  <c r="AT398" i="22"/>
  <c r="AQ399" i="22"/>
  <c r="AS399" i="22"/>
  <c r="AT399" i="22"/>
  <c r="AQ400" i="22"/>
  <c r="AS400" i="22"/>
  <c r="AT400" i="22"/>
  <c r="AQ401" i="22"/>
  <c r="AS401" i="22"/>
  <c r="AT401" i="22"/>
  <c r="AQ402" i="22"/>
  <c r="AS402" i="22"/>
  <c r="AT402" i="22"/>
  <c r="AQ403" i="22"/>
  <c r="AS403" i="22"/>
  <c r="AT403" i="22"/>
  <c r="AQ404" i="22"/>
  <c r="AS404" i="22"/>
  <c r="AT404" i="22"/>
  <c r="AQ405" i="22"/>
  <c r="AS405" i="22"/>
  <c r="AT405" i="22"/>
  <c r="AQ406" i="22"/>
  <c r="AS406" i="22"/>
  <c r="AT406" i="22"/>
  <c r="AQ407" i="22"/>
  <c r="AS407" i="22"/>
  <c r="AT407" i="22"/>
  <c r="AQ408" i="22"/>
  <c r="AS408" i="22"/>
  <c r="AT408" i="22"/>
  <c r="AQ409" i="22"/>
  <c r="AS409" i="22"/>
  <c r="AT409" i="22"/>
  <c r="AQ410" i="22"/>
  <c r="AS410" i="22"/>
  <c r="AT410" i="22"/>
  <c r="AQ411" i="22"/>
  <c r="AS411" i="22"/>
  <c r="AT411" i="22"/>
  <c r="AQ412" i="22"/>
  <c r="AS412" i="22"/>
  <c r="AT412" i="22"/>
  <c r="AQ413" i="22"/>
  <c r="AS413" i="22"/>
  <c r="AT413" i="22"/>
  <c r="AQ414" i="22"/>
  <c r="AS414" i="22"/>
  <c r="AT414" i="22"/>
  <c r="AQ415" i="22"/>
  <c r="AS415" i="22"/>
  <c r="AT415" i="22"/>
  <c r="AQ416" i="22"/>
  <c r="AS416" i="22"/>
  <c r="AT416" i="22"/>
  <c r="AQ417" i="22"/>
  <c r="AS417" i="22"/>
  <c r="AT417" i="22"/>
  <c r="AQ418" i="22"/>
  <c r="AS418" i="22"/>
  <c r="AT418" i="22"/>
  <c r="AQ419" i="22"/>
  <c r="AS419" i="22"/>
  <c r="AT419" i="22"/>
  <c r="AQ420" i="22"/>
  <c r="AS420" i="22"/>
  <c r="AT420" i="22"/>
  <c r="AQ421" i="22"/>
  <c r="AS421" i="22"/>
  <c r="AT421" i="22"/>
  <c r="AQ422" i="22"/>
  <c r="AS422" i="22"/>
  <c r="AT422" i="22"/>
  <c r="AQ423" i="22"/>
  <c r="AS423" i="22"/>
  <c r="AT423" i="22"/>
  <c r="AQ424" i="22"/>
  <c r="AS424" i="22"/>
  <c r="AT424" i="22"/>
  <c r="AQ425" i="22"/>
  <c r="AS425" i="22"/>
  <c r="AT425" i="22"/>
  <c r="AQ426" i="22"/>
  <c r="AS426" i="22"/>
  <c r="AT426" i="22"/>
  <c r="AQ427" i="22"/>
  <c r="AS427" i="22"/>
  <c r="AT427" i="22"/>
  <c r="AQ428" i="22"/>
  <c r="AS428" i="22"/>
  <c r="AT428" i="22"/>
  <c r="AQ429" i="22"/>
  <c r="AS429" i="22"/>
  <c r="AT429" i="22"/>
  <c r="AQ430" i="22"/>
  <c r="AS430" i="22"/>
  <c r="AT430" i="22"/>
  <c r="AQ431" i="22"/>
  <c r="AS431" i="22"/>
  <c r="AT431" i="22"/>
  <c r="AQ432" i="22"/>
  <c r="AS432" i="22"/>
  <c r="AT432" i="22"/>
  <c r="AQ433" i="22"/>
  <c r="AS433" i="22"/>
  <c r="AT433" i="22"/>
  <c r="AQ434" i="22"/>
  <c r="AS434" i="22"/>
  <c r="AT434" i="22"/>
  <c r="AQ435" i="22"/>
  <c r="AS435" i="22"/>
  <c r="AT435" i="22"/>
  <c r="AQ436" i="22"/>
  <c r="AS436" i="22"/>
  <c r="AT436" i="22"/>
  <c r="AQ437" i="22"/>
  <c r="AS437" i="22"/>
  <c r="AT437" i="22"/>
  <c r="AQ438" i="22"/>
  <c r="AS438" i="22"/>
  <c r="AT438" i="22"/>
  <c r="AQ439" i="22"/>
  <c r="AS439" i="22"/>
  <c r="AT439" i="22"/>
  <c r="AQ440" i="22"/>
  <c r="AS440" i="22"/>
  <c r="AT440" i="22"/>
  <c r="AQ441" i="22"/>
  <c r="AS441" i="22"/>
  <c r="AT441" i="22"/>
  <c r="AQ442" i="22"/>
  <c r="AS442" i="22"/>
  <c r="AT442" i="22"/>
  <c r="AQ443" i="22"/>
  <c r="AS443" i="22"/>
  <c r="AT443" i="22"/>
  <c r="AQ444" i="22"/>
  <c r="AS444" i="22"/>
  <c r="AT444" i="22"/>
  <c r="AQ445" i="22"/>
  <c r="AS445" i="22"/>
  <c r="AT445" i="22"/>
  <c r="AQ446" i="22"/>
  <c r="AS446" i="22"/>
  <c r="AT446" i="22"/>
  <c r="AQ447" i="22"/>
  <c r="AS447" i="22"/>
  <c r="AT447" i="22"/>
  <c r="AQ448" i="22"/>
  <c r="AS448" i="22"/>
  <c r="AT448" i="22"/>
  <c r="AQ449" i="22"/>
  <c r="AS449" i="22"/>
  <c r="AT449" i="22"/>
  <c r="AQ450" i="22"/>
  <c r="AS450" i="22"/>
  <c r="AT450" i="22"/>
  <c r="AQ451" i="22"/>
  <c r="AS451" i="22"/>
  <c r="AT451" i="22"/>
  <c r="AQ452" i="22"/>
  <c r="AS452" i="22"/>
  <c r="AT452" i="22"/>
  <c r="AQ453" i="22"/>
  <c r="AS453" i="22"/>
  <c r="AT453" i="22"/>
  <c r="AQ454" i="22"/>
  <c r="AS454" i="22"/>
  <c r="AT454" i="22"/>
  <c r="AQ455" i="22"/>
  <c r="AS455" i="22"/>
  <c r="AT455" i="22"/>
  <c r="AQ456" i="22"/>
  <c r="AS456" i="22"/>
  <c r="AT456" i="22"/>
  <c r="AQ457" i="22"/>
  <c r="AS457" i="22"/>
  <c r="AT457" i="22"/>
  <c r="AQ458" i="22"/>
  <c r="AS458" i="22"/>
  <c r="AT458" i="22"/>
  <c r="AQ459" i="22"/>
  <c r="AS459" i="22"/>
  <c r="AT459" i="22"/>
  <c r="AQ460" i="22"/>
  <c r="AS460" i="22"/>
  <c r="AT460" i="22"/>
  <c r="AQ461" i="22"/>
  <c r="AS461" i="22"/>
  <c r="AT461" i="22"/>
  <c r="AQ462" i="22"/>
  <c r="AS462" i="22"/>
  <c r="AT462" i="22"/>
  <c r="AQ463" i="22"/>
  <c r="AS463" i="22"/>
  <c r="AT463" i="22"/>
  <c r="AQ464" i="22"/>
  <c r="AS464" i="22"/>
  <c r="AT464" i="22"/>
  <c r="AQ465" i="22"/>
  <c r="AS465" i="22"/>
  <c r="AT465" i="22"/>
  <c r="AQ466" i="22"/>
  <c r="AS466" i="22"/>
  <c r="AT466" i="22"/>
  <c r="AQ467" i="22"/>
  <c r="AS467" i="22"/>
  <c r="AT467" i="22"/>
  <c r="AQ468" i="22"/>
  <c r="AS468" i="22"/>
  <c r="AT468" i="22"/>
  <c r="AQ469" i="22"/>
  <c r="AS469" i="22"/>
  <c r="AT469" i="22"/>
  <c r="AQ470" i="22"/>
  <c r="AS470" i="22"/>
  <c r="AT470" i="22"/>
  <c r="AQ471" i="22"/>
  <c r="AS471" i="22"/>
  <c r="AT471" i="22"/>
  <c r="AQ472" i="22"/>
  <c r="AS472" i="22"/>
  <c r="AT472" i="22"/>
  <c r="AQ473" i="22"/>
  <c r="AS473" i="22"/>
  <c r="AT473" i="22"/>
  <c r="AQ474" i="22"/>
  <c r="AS474" i="22"/>
  <c r="AT474" i="22"/>
  <c r="AQ475" i="22"/>
  <c r="AS475" i="22"/>
  <c r="AT475" i="22"/>
  <c r="AQ476" i="22"/>
  <c r="AS476" i="22"/>
  <c r="AT476" i="22"/>
  <c r="AQ477" i="22"/>
  <c r="AS477" i="22"/>
  <c r="AT477" i="22"/>
  <c r="AQ478" i="22"/>
  <c r="AS478" i="22"/>
  <c r="AT478" i="22"/>
  <c r="AQ479" i="22"/>
  <c r="AS479" i="22"/>
  <c r="AT479" i="22"/>
  <c r="AQ480" i="22"/>
  <c r="AS480" i="22"/>
  <c r="AT480" i="22"/>
  <c r="AQ481" i="22"/>
  <c r="AS481" i="22"/>
  <c r="AT481" i="22"/>
  <c r="AQ482" i="22"/>
  <c r="AS482" i="22"/>
  <c r="AT482" i="22"/>
  <c r="AQ483" i="22"/>
  <c r="AS483" i="22"/>
  <c r="AT483" i="22"/>
  <c r="AQ484" i="22"/>
  <c r="AS484" i="22"/>
  <c r="AT484" i="22"/>
  <c r="AQ485" i="22"/>
  <c r="AS485" i="22"/>
  <c r="AT485" i="22"/>
  <c r="AQ486" i="22"/>
  <c r="AS486" i="22"/>
  <c r="AT486" i="22"/>
  <c r="AQ487" i="22"/>
  <c r="AS487" i="22"/>
  <c r="AT487" i="22"/>
  <c r="AQ488" i="22"/>
  <c r="AS488" i="22"/>
  <c r="AT488" i="22"/>
  <c r="AQ489" i="22"/>
  <c r="AS489" i="22"/>
  <c r="AT489" i="22"/>
  <c r="AQ490" i="22"/>
  <c r="AS490" i="22"/>
  <c r="AT490" i="22"/>
  <c r="AQ491" i="22"/>
  <c r="AS491" i="22"/>
  <c r="AT491" i="22"/>
  <c r="AQ492" i="22"/>
  <c r="AS492" i="22"/>
  <c r="AT492" i="22"/>
  <c r="AQ493" i="22"/>
  <c r="AS493" i="22"/>
  <c r="AT493" i="22"/>
  <c r="AQ494" i="22"/>
  <c r="AS494" i="22"/>
  <c r="AT494" i="22"/>
  <c r="AQ495" i="22"/>
  <c r="AS495" i="22"/>
  <c r="AT495" i="22"/>
  <c r="AQ496" i="22"/>
  <c r="AS496" i="22"/>
  <c r="AT496" i="22"/>
  <c r="AQ497" i="22"/>
  <c r="AS497" i="22"/>
  <c r="AT497" i="22"/>
  <c r="AQ498" i="22"/>
  <c r="AS498" i="22"/>
  <c r="AT498" i="22"/>
  <c r="AQ499" i="22"/>
  <c r="AS499" i="22"/>
  <c r="AT499" i="22"/>
  <c r="AQ500" i="22"/>
  <c r="AS500" i="22"/>
  <c r="AT500" i="22"/>
  <c r="AQ501" i="22"/>
  <c r="AS501" i="22"/>
  <c r="AT501" i="22"/>
  <c r="AQ502" i="22"/>
  <c r="AS502" i="22"/>
  <c r="AT502" i="22"/>
  <c r="AQ503" i="22"/>
  <c r="AS503" i="22"/>
  <c r="AT503" i="22"/>
  <c r="AQ504" i="22"/>
  <c r="AS504" i="22"/>
  <c r="AT504" i="22"/>
  <c r="AQ505" i="22"/>
  <c r="AS505" i="22"/>
  <c r="AT505" i="22"/>
  <c r="AQ506" i="22"/>
  <c r="AS506" i="22"/>
  <c r="AT506" i="22"/>
  <c r="AQ507" i="22"/>
  <c r="AS507" i="22"/>
  <c r="AT507" i="22"/>
  <c r="AQ508" i="22"/>
  <c r="AS508" i="22"/>
  <c r="AT508" i="22"/>
  <c r="AQ509" i="22"/>
  <c r="AS509" i="22"/>
  <c r="AT509" i="22"/>
  <c r="AQ510" i="22"/>
  <c r="AS510" i="22"/>
  <c r="AT510" i="22"/>
  <c r="AQ511" i="22"/>
  <c r="AS511" i="22"/>
  <c r="AT511" i="22"/>
  <c r="AQ512" i="22"/>
  <c r="AS512" i="22"/>
  <c r="AT512" i="22"/>
  <c r="AQ513" i="22"/>
  <c r="AS513" i="22"/>
  <c r="AT513" i="22"/>
  <c r="AQ514" i="22"/>
  <c r="AS514" i="22"/>
  <c r="AT514" i="22"/>
  <c r="AQ515" i="22"/>
  <c r="AS515" i="22"/>
  <c r="AT515" i="22"/>
  <c r="AQ516" i="22"/>
  <c r="AS516" i="22"/>
  <c r="AT516" i="22"/>
  <c r="AQ517" i="22"/>
  <c r="AS517" i="22"/>
  <c r="AT517" i="22"/>
  <c r="AQ518" i="22"/>
  <c r="AS518" i="22"/>
  <c r="AT518" i="22"/>
  <c r="AQ519" i="22"/>
  <c r="AS519" i="22"/>
  <c r="AT519" i="22"/>
  <c r="AQ520" i="22"/>
  <c r="AS520" i="22"/>
  <c r="AT520" i="22"/>
  <c r="AQ521" i="22"/>
  <c r="AS521" i="22"/>
  <c r="AT521" i="22"/>
  <c r="AQ522" i="22"/>
  <c r="AS522" i="22"/>
  <c r="AT522" i="22"/>
  <c r="AQ523" i="22"/>
  <c r="AS523" i="22"/>
  <c r="AT523" i="22"/>
  <c r="AQ524" i="22"/>
  <c r="AS524" i="22"/>
  <c r="AT524" i="22"/>
  <c r="AQ525" i="22"/>
  <c r="AS525" i="22"/>
  <c r="AT525" i="22"/>
  <c r="AQ526" i="22"/>
  <c r="AS526" i="22"/>
  <c r="AT526" i="22"/>
  <c r="AQ527" i="22"/>
  <c r="AS527" i="22"/>
  <c r="AT527" i="22"/>
  <c r="AQ528" i="22"/>
  <c r="AS528" i="22"/>
  <c r="AT528" i="22"/>
  <c r="AQ529" i="22"/>
  <c r="AS529" i="22"/>
  <c r="AT529" i="22"/>
  <c r="AQ530" i="22"/>
  <c r="AS530" i="22"/>
  <c r="AT530" i="22"/>
  <c r="AQ531" i="22"/>
  <c r="AS531" i="22"/>
  <c r="AT531" i="22"/>
  <c r="AQ532" i="22"/>
  <c r="AS532" i="22"/>
  <c r="AT532" i="22"/>
  <c r="AQ533" i="22"/>
  <c r="AS533" i="22"/>
  <c r="AT533" i="22"/>
  <c r="AQ534" i="22"/>
  <c r="AS534" i="22"/>
  <c r="AT534" i="22"/>
  <c r="AQ535" i="22"/>
  <c r="AS535" i="22"/>
  <c r="AT535" i="22"/>
  <c r="AQ536" i="22"/>
  <c r="AS536" i="22"/>
  <c r="AT536" i="22"/>
  <c r="AQ537" i="22"/>
  <c r="AS537" i="22"/>
  <c r="AT537" i="22"/>
  <c r="AQ538" i="22"/>
  <c r="AS538" i="22"/>
  <c r="AT538" i="22"/>
  <c r="AQ539" i="22"/>
  <c r="AS539" i="22"/>
  <c r="AT539" i="22"/>
  <c r="AQ540" i="22"/>
  <c r="AS540" i="22"/>
  <c r="AT540" i="22"/>
  <c r="AQ541" i="22"/>
  <c r="AS541" i="22"/>
  <c r="AT541" i="22"/>
  <c r="AQ542" i="22"/>
  <c r="AS542" i="22"/>
  <c r="AT542" i="22"/>
  <c r="AQ543" i="22"/>
  <c r="AS543" i="22"/>
  <c r="AT543" i="22"/>
  <c r="AQ544" i="22"/>
  <c r="AS544" i="22"/>
  <c r="AT544" i="22"/>
  <c r="AQ545" i="22"/>
  <c r="AS545" i="22"/>
  <c r="AT545" i="22"/>
  <c r="AQ546" i="22"/>
  <c r="AS546" i="22"/>
  <c r="AT546" i="22"/>
  <c r="AQ547" i="22"/>
  <c r="AS547" i="22"/>
  <c r="AT547" i="22"/>
  <c r="AQ548" i="22"/>
  <c r="AS548" i="22"/>
  <c r="AT548" i="22"/>
  <c r="AQ549" i="22"/>
  <c r="AS549" i="22"/>
  <c r="AT549" i="22"/>
  <c r="AQ550" i="22"/>
  <c r="AS550" i="22"/>
  <c r="AT550" i="22"/>
  <c r="AQ551" i="22"/>
  <c r="AS551" i="22"/>
  <c r="AT551" i="22"/>
  <c r="AQ552" i="22"/>
  <c r="AS552" i="22"/>
  <c r="AT552" i="22"/>
  <c r="AQ553" i="22"/>
  <c r="AS553" i="22"/>
  <c r="AT553" i="22"/>
  <c r="AQ554" i="22"/>
  <c r="AS554" i="22"/>
  <c r="AT554" i="22"/>
  <c r="AQ555" i="22"/>
  <c r="AS555" i="22"/>
  <c r="AT555" i="22"/>
  <c r="AQ556" i="22"/>
  <c r="AS556" i="22"/>
  <c r="AT556" i="22"/>
  <c r="AQ557" i="22"/>
  <c r="AS557" i="22"/>
  <c r="AT557" i="22"/>
  <c r="AQ558" i="22"/>
  <c r="AS558" i="22"/>
  <c r="AT558" i="22"/>
  <c r="AQ559" i="22"/>
  <c r="AS559" i="22"/>
  <c r="AT559" i="22"/>
  <c r="AQ560" i="22"/>
  <c r="AS560" i="22"/>
  <c r="AT560" i="22"/>
  <c r="AQ561" i="22"/>
  <c r="AS561" i="22"/>
  <c r="AT561" i="22"/>
  <c r="AQ562" i="22"/>
  <c r="AS562" i="22"/>
  <c r="AT562" i="22"/>
  <c r="AQ563" i="22"/>
  <c r="AS563" i="22"/>
  <c r="AT563" i="22"/>
  <c r="AQ564" i="22"/>
  <c r="AS564" i="22"/>
  <c r="AT564" i="22"/>
  <c r="AQ565" i="22"/>
  <c r="AS565" i="22"/>
  <c r="AT565" i="22"/>
  <c r="AQ566" i="22"/>
  <c r="AS566" i="22"/>
  <c r="AT566" i="22"/>
  <c r="AQ567" i="22"/>
  <c r="AS567" i="22"/>
  <c r="AT567" i="22"/>
  <c r="AQ568" i="22"/>
  <c r="AS568" i="22"/>
  <c r="AT568" i="22"/>
  <c r="AQ569" i="22"/>
  <c r="AS569" i="22"/>
  <c r="AT569" i="22"/>
  <c r="AQ570" i="22"/>
  <c r="AS570" i="22"/>
  <c r="AT570" i="22"/>
  <c r="AQ571" i="22"/>
  <c r="AS571" i="22"/>
  <c r="AT571" i="22"/>
  <c r="AQ572" i="22"/>
  <c r="AS572" i="22"/>
  <c r="AT572" i="22"/>
  <c r="AQ573" i="22"/>
  <c r="AS573" i="22"/>
  <c r="AT573" i="22"/>
  <c r="AQ574" i="22"/>
  <c r="AS574" i="22"/>
  <c r="AT574" i="22"/>
  <c r="AQ575" i="22"/>
  <c r="AS575" i="22"/>
  <c r="AT575" i="22"/>
  <c r="AQ576" i="22"/>
  <c r="AS576" i="22"/>
  <c r="AT576" i="22"/>
  <c r="AQ577" i="22"/>
  <c r="AS577" i="22"/>
  <c r="AT577" i="22"/>
  <c r="AQ578" i="22"/>
  <c r="AS578" i="22"/>
  <c r="AT578" i="22"/>
  <c r="AQ579" i="22"/>
  <c r="AS579" i="22"/>
  <c r="AT579" i="22"/>
  <c r="AQ580" i="22"/>
  <c r="AS580" i="22"/>
  <c r="AT580" i="22"/>
  <c r="AQ581" i="22"/>
  <c r="AS581" i="22"/>
  <c r="AT581" i="22"/>
  <c r="AQ582" i="22"/>
  <c r="AS582" i="22"/>
  <c r="AT582" i="22"/>
  <c r="AQ583" i="22"/>
  <c r="AS583" i="22"/>
  <c r="AT583" i="22"/>
  <c r="AQ584" i="22"/>
  <c r="AS584" i="22"/>
  <c r="AT584" i="22"/>
  <c r="AQ585" i="22"/>
  <c r="AS585" i="22"/>
  <c r="AT585" i="22"/>
  <c r="AQ586" i="22"/>
  <c r="AS586" i="22"/>
  <c r="AT586" i="22"/>
  <c r="AQ587" i="22"/>
  <c r="AS587" i="22"/>
  <c r="AT587" i="22"/>
  <c r="AQ588" i="22"/>
  <c r="AS588" i="22"/>
  <c r="AT588" i="22"/>
  <c r="AQ589" i="22"/>
  <c r="AS589" i="22"/>
  <c r="AT589" i="22"/>
  <c r="AQ590" i="22"/>
  <c r="AS590" i="22"/>
  <c r="AT590" i="22"/>
  <c r="AQ591" i="22"/>
  <c r="AS591" i="22"/>
  <c r="AT591" i="22"/>
  <c r="AQ592" i="22"/>
  <c r="AS592" i="22"/>
  <c r="AT592" i="22"/>
  <c r="AQ593" i="22"/>
  <c r="AS593" i="22"/>
  <c r="AT593" i="22"/>
  <c r="AQ594" i="22"/>
  <c r="AS594" i="22"/>
  <c r="AT594" i="22"/>
  <c r="AQ595" i="22"/>
  <c r="AS595" i="22"/>
  <c r="AT595" i="22"/>
  <c r="AQ596" i="22"/>
  <c r="AS596" i="22"/>
  <c r="AT596" i="22"/>
  <c r="AQ597" i="22"/>
  <c r="AS597" i="22"/>
  <c r="AT597" i="22"/>
  <c r="AQ598" i="22"/>
  <c r="AS598" i="22"/>
  <c r="AT598" i="22"/>
  <c r="AQ599" i="22"/>
  <c r="AS599" i="22"/>
  <c r="AT599" i="22"/>
  <c r="AQ600" i="22"/>
  <c r="AS600" i="22"/>
  <c r="AT600" i="22"/>
  <c r="AQ601" i="22"/>
  <c r="AS601" i="22"/>
  <c r="AT601" i="22"/>
  <c r="AQ602" i="22"/>
  <c r="AS602" i="22"/>
  <c r="AT602" i="22"/>
  <c r="AQ603" i="22"/>
  <c r="AS603" i="22"/>
  <c r="AT603" i="22"/>
  <c r="AQ604" i="22"/>
  <c r="AS604" i="22"/>
  <c r="AT604" i="22"/>
  <c r="AQ605" i="22"/>
  <c r="AS605" i="22"/>
  <c r="AT605" i="22"/>
  <c r="AQ606" i="22"/>
  <c r="AS606" i="22"/>
  <c r="AT606" i="22"/>
  <c r="AQ607" i="22"/>
  <c r="AS607" i="22"/>
  <c r="AT607" i="22"/>
  <c r="AQ608" i="22"/>
  <c r="AS608" i="22"/>
  <c r="AT608" i="22"/>
  <c r="AQ609" i="22"/>
  <c r="AS609" i="22"/>
  <c r="AT609" i="22"/>
  <c r="AQ610" i="22"/>
  <c r="AS610" i="22"/>
  <c r="AT610" i="22"/>
  <c r="AQ611" i="22"/>
  <c r="AS611" i="22"/>
  <c r="AT611" i="22"/>
  <c r="AQ612" i="22"/>
  <c r="AS612" i="22"/>
  <c r="AT612" i="22"/>
  <c r="AQ613" i="22"/>
  <c r="AS613" i="22"/>
  <c r="AT613" i="22"/>
  <c r="AQ614" i="22"/>
  <c r="AS614" i="22"/>
  <c r="AT614" i="22"/>
  <c r="AQ615" i="22"/>
  <c r="AS615" i="22"/>
  <c r="AT615" i="22"/>
  <c r="AQ616" i="22"/>
  <c r="AS616" i="22"/>
  <c r="AT616" i="22"/>
  <c r="AQ617" i="22"/>
  <c r="AS617" i="22"/>
  <c r="AT617" i="22"/>
  <c r="AQ618" i="22"/>
  <c r="AS618" i="22"/>
  <c r="AT618" i="22"/>
  <c r="AQ619" i="22"/>
  <c r="AS619" i="22"/>
  <c r="AT619" i="22"/>
  <c r="AQ620" i="22"/>
  <c r="AS620" i="22"/>
  <c r="AT620" i="22"/>
  <c r="AQ621" i="22"/>
  <c r="AS621" i="22"/>
  <c r="AT621" i="22"/>
  <c r="AQ622" i="22"/>
  <c r="AS622" i="22"/>
  <c r="AT622" i="22"/>
  <c r="AQ623" i="22"/>
  <c r="AS623" i="22"/>
  <c r="AT623" i="22"/>
  <c r="AQ624" i="22"/>
  <c r="AS624" i="22"/>
  <c r="AT624" i="22"/>
  <c r="AQ625" i="22"/>
  <c r="AS625" i="22"/>
  <c r="AT625" i="22"/>
  <c r="AQ626" i="22"/>
  <c r="AS626" i="22"/>
  <c r="AT626" i="22"/>
  <c r="AQ627" i="22"/>
  <c r="AS627" i="22"/>
  <c r="AT627" i="22"/>
  <c r="AQ628" i="22"/>
  <c r="AS628" i="22"/>
  <c r="AT628" i="22"/>
  <c r="AQ629" i="22"/>
  <c r="AS629" i="22"/>
  <c r="AT629" i="22"/>
  <c r="AQ630" i="22"/>
  <c r="AS630" i="22"/>
  <c r="AT630" i="22"/>
  <c r="AQ631" i="22"/>
  <c r="AS631" i="22"/>
  <c r="AT631" i="22"/>
  <c r="AQ632" i="22"/>
  <c r="AS632" i="22"/>
  <c r="AT632" i="22"/>
  <c r="AQ633" i="22"/>
  <c r="AS633" i="22"/>
  <c r="AT633" i="22"/>
  <c r="AQ634" i="22"/>
  <c r="AS634" i="22"/>
  <c r="AT634" i="22"/>
  <c r="AQ635" i="22"/>
  <c r="AS635" i="22"/>
  <c r="AT635" i="22"/>
  <c r="AQ636" i="22"/>
  <c r="AS636" i="22"/>
  <c r="AT636" i="22"/>
  <c r="AQ637" i="22"/>
  <c r="AS637" i="22"/>
  <c r="AT637" i="22"/>
  <c r="AQ638" i="22"/>
  <c r="AS638" i="22"/>
  <c r="AT638" i="22"/>
  <c r="AQ639" i="22"/>
  <c r="AS639" i="22"/>
  <c r="AT639" i="22"/>
  <c r="AQ640" i="22"/>
  <c r="AS640" i="22"/>
  <c r="AT640" i="22"/>
  <c r="AQ641" i="22"/>
  <c r="AS641" i="22"/>
  <c r="AT641" i="22"/>
  <c r="AQ642" i="22"/>
  <c r="AS642" i="22"/>
  <c r="AT642" i="22"/>
  <c r="AQ643" i="22"/>
  <c r="AS643" i="22"/>
  <c r="AT643" i="22"/>
  <c r="AQ644" i="22"/>
  <c r="AS644" i="22"/>
  <c r="AT644" i="22"/>
  <c r="AQ645" i="22"/>
  <c r="AS645" i="22"/>
  <c r="AT645" i="22"/>
  <c r="AQ646" i="22"/>
  <c r="AS646" i="22"/>
  <c r="AT646" i="22"/>
  <c r="AQ647" i="22"/>
  <c r="AS647" i="22"/>
  <c r="AT647" i="22"/>
  <c r="AQ648" i="22"/>
  <c r="AS648" i="22"/>
  <c r="AT648" i="22"/>
  <c r="AQ649" i="22"/>
  <c r="AS649" i="22"/>
  <c r="AT649" i="22"/>
  <c r="AQ650" i="22"/>
  <c r="AS650" i="22"/>
  <c r="AT650" i="22"/>
  <c r="AQ651" i="22"/>
  <c r="AS651" i="22"/>
  <c r="AT651" i="22"/>
  <c r="AQ652" i="22"/>
  <c r="AS652" i="22"/>
  <c r="AT652" i="22"/>
  <c r="AQ653" i="22"/>
  <c r="AS653" i="22"/>
  <c r="AT653" i="22"/>
  <c r="AQ654" i="22"/>
  <c r="AS654" i="22"/>
  <c r="AT654" i="22"/>
  <c r="AQ655" i="22"/>
  <c r="AS655" i="22"/>
  <c r="AT655" i="22"/>
  <c r="AQ656" i="22"/>
  <c r="AS656" i="22"/>
  <c r="AT656" i="22"/>
  <c r="AQ657" i="22"/>
  <c r="AS657" i="22"/>
  <c r="AT657" i="22"/>
  <c r="AQ658" i="22"/>
  <c r="AS658" i="22"/>
  <c r="AT658" i="22"/>
  <c r="AQ659" i="22"/>
  <c r="AS659" i="22"/>
  <c r="AT659" i="22"/>
  <c r="AQ660" i="22"/>
  <c r="AS660" i="22"/>
  <c r="AT660" i="22"/>
  <c r="AQ661" i="22"/>
  <c r="AS661" i="22"/>
  <c r="AT661" i="22"/>
  <c r="AQ662" i="22"/>
  <c r="AS662" i="22"/>
  <c r="AT662" i="22"/>
  <c r="AQ663" i="22"/>
  <c r="AS663" i="22"/>
  <c r="AT663" i="22"/>
  <c r="AQ664" i="22"/>
  <c r="AS664" i="22"/>
  <c r="AT664" i="22"/>
  <c r="AQ665" i="22"/>
  <c r="AS665" i="22"/>
  <c r="AT665" i="22"/>
  <c r="AQ666" i="22"/>
  <c r="AS666" i="22"/>
  <c r="AT666" i="22"/>
  <c r="AQ667" i="22"/>
  <c r="AS667" i="22"/>
  <c r="AT667" i="22"/>
  <c r="AQ668" i="22"/>
  <c r="AS668" i="22"/>
  <c r="AT668" i="22"/>
  <c r="AQ669" i="22"/>
  <c r="AS669" i="22"/>
  <c r="AT669" i="22"/>
  <c r="AQ670" i="22"/>
  <c r="AS670" i="22"/>
  <c r="AT670" i="22"/>
  <c r="AQ671" i="22"/>
  <c r="AS671" i="22"/>
  <c r="AT671" i="22"/>
  <c r="AQ672" i="22"/>
  <c r="AS672" i="22"/>
  <c r="AT672" i="22"/>
  <c r="AQ673" i="22"/>
  <c r="AS673" i="22"/>
  <c r="AT673" i="22"/>
  <c r="AQ674" i="22"/>
  <c r="AS674" i="22"/>
  <c r="AT674" i="22"/>
  <c r="AQ675" i="22"/>
  <c r="AS675" i="22"/>
  <c r="AT675" i="22"/>
  <c r="AQ676" i="22"/>
  <c r="AS676" i="22"/>
  <c r="AT676" i="22"/>
  <c r="AQ677" i="22"/>
  <c r="AS677" i="22"/>
  <c r="AT677" i="22"/>
  <c r="AQ678" i="22"/>
  <c r="AS678" i="22"/>
  <c r="AT678" i="22"/>
  <c r="AQ679" i="22"/>
  <c r="AS679" i="22"/>
  <c r="AT679" i="22"/>
  <c r="AQ680" i="22"/>
  <c r="AS680" i="22"/>
  <c r="AT680" i="22"/>
  <c r="AQ681" i="22"/>
  <c r="AS681" i="22"/>
  <c r="AT681" i="22"/>
  <c r="AQ682" i="22"/>
  <c r="AS682" i="22"/>
  <c r="AT682" i="22"/>
  <c r="AQ683" i="22"/>
  <c r="AS683" i="22"/>
  <c r="AT683" i="22"/>
  <c r="AQ684" i="22"/>
  <c r="AS684" i="22"/>
  <c r="AT684" i="22"/>
  <c r="AQ685" i="22"/>
  <c r="AS685" i="22"/>
  <c r="AT685" i="22"/>
  <c r="AQ686" i="22"/>
  <c r="AS686" i="22"/>
  <c r="AT686" i="22"/>
  <c r="AQ687" i="22"/>
  <c r="AS687" i="22"/>
  <c r="AT687" i="22"/>
  <c r="AQ688" i="22"/>
  <c r="AS688" i="22"/>
  <c r="AT688" i="22"/>
  <c r="AQ689" i="22"/>
  <c r="AS689" i="22"/>
  <c r="AT689" i="22"/>
  <c r="AQ690" i="22"/>
  <c r="AS690" i="22"/>
  <c r="AT690" i="22"/>
  <c r="AQ691" i="22"/>
  <c r="AS691" i="22"/>
  <c r="AT691" i="22"/>
  <c r="AQ692" i="22"/>
  <c r="AS692" i="22"/>
  <c r="AT692" i="22"/>
  <c r="AQ693" i="22"/>
  <c r="AS693" i="22"/>
  <c r="AT693" i="22"/>
  <c r="AQ694" i="22"/>
  <c r="AS694" i="22"/>
  <c r="AT694" i="22"/>
  <c r="AQ695" i="22"/>
  <c r="AS695" i="22"/>
  <c r="AT695" i="22"/>
  <c r="AQ696" i="22"/>
  <c r="AS696" i="22"/>
  <c r="AT696" i="22"/>
  <c r="AQ697" i="22"/>
  <c r="AS697" i="22"/>
  <c r="AT697" i="22"/>
  <c r="AQ698" i="22"/>
  <c r="AS698" i="22"/>
  <c r="AT698" i="22"/>
  <c r="AQ699" i="22"/>
  <c r="AS699" i="22"/>
  <c r="AT699" i="22"/>
  <c r="AQ700" i="22"/>
  <c r="AS700" i="22"/>
  <c r="AT700" i="22"/>
  <c r="AQ701" i="22"/>
  <c r="AS701" i="22"/>
  <c r="AT701" i="22"/>
  <c r="AQ702" i="22"/>
  <c r="AS702" i="22"/>
  <c r="AT702" i="22"/>
  <c r="AQ703" i="22"/>
  <c r="AS703" i="22"/>
  <c r="AT703" i="22"/>
  <c r="AQ704" i="22"/>
  <c r="AS704" i="22"/>
  <c r="AT704" i="22"/>
  <c r="AQ705" i="22"/>
  <c r="AS705" i="22"/>
  <c r="AT705" i="22"/>
  <c r="AQ706" i="22"/>
  <c r="AS706" i="22"/>
  <c r="AT706" i="22"/>
  <c r="AQ707" i="22"/>
  <c r="AS707" i="22"/>
  <c r="AT707" i="22"/>
  <c r="AQ708" i="22"/>
  <c r="AS708" i="22"/>
  <c r="AT708" i="22"/>
  <c r="AQ709" i="22"/>
  <c r="AS709" i="22"/>
  <c r="AT709" i="22"/>
  <c r="AQ710" i="22"/>
  <c r="AS710" i="22"/>
  <c r="AT710" i="22"/>
  <c r="AQ711" i="22"/>
  <c r="AS711" i="22"/>
  <c r="AT711" i="22"/>
  <c r="AQ712" i="22"/>
  <c r="AS712" i="22"/>
  <c r="AT712" i="22"/>
  <c r="AQ713" i="22"/>
  <c r="AS713" i="22"/>
  <c r="AT713" i="22"/>
  <c r="AQ714" i="22"/>
  <c r="AS714" i="22"/>
  <c r="AT714" i="22"/>
  <c r="AQ715" i="22"/>
  <c r="AS715" i="22"/>
  <c r="AT715" i="22"/>
  <c r="AQ716" i="22"/>
  <c r="AS716" i="22"/>
  <c r="AT716" i="22"/>
  <c r="AQ717" i="22"/>
  <c r="AS717" i="22"/>
  <c r="AT717" i="22"/>
  <c r="AQ718" i="22"/>
  <c r="AS718" i="22"/>
  <c r="AT718" i="22"/>
  <c r="AQ719" i="22"/>
  <c r="AS719" i="22"/>
  <c r="AT719" i="22"/>
  <c r="AQ720" i="22"/>
  <c r="AS720" i="22"/>
  <c r="AT720" i="22"/>
  <c r="AQ721" i="22"/>
  <c r="AS721" i="22"/>
  <c r="AT721" i="22"/>
  <c r="AQ722" i="22"/>
  <c r="AS722" i="22"/>
  <c r="AT722" i="22"/>
  <c r="AQ723" i="22"/>
  <c r="AS723" i="22"/>
  <c r="AT723" i="22"/>
  <c r="AQ724" i="22"/>
  <c r="AS724" i="22"/>
  <c r="AT724" i="22"/>
  <c r="AQ725" i="22"/>
  <c r="AS725" i="22"/>
  <c r="AT725" i="22"/>
  <c r="AQ726" i="22"/>
  <c r="AS726" i="22"/>
  <c r="AT726" i="22"/>
  <c r="AQ727" i="22"/>
  <c r="AS727" i="22"/>
  <c r="AT727" i="22"/>
  <c r="AQ728" i="22"/>
  <c r="AS728" i="22"/>
  <c r="AT728" i="22"/>
  <c r="AQ729" i="22"/>
  <c r="AS729" i="22"/>
  <c r="AT729" i="22"/>
  <c r="AQ730" i="22"/>
  <c r="AS730" i="22"/>
  <c r="AT730" i="22"/>
  <c r="AQ731" i="22"/>
  <c r="AS731" i="22"/>
  <c r="AT731" i="22"/>
  <c r="AQ732" i="22"/>
  <c r="AS732" i="22"/>
  <c r="AT732" i="22"/>
  <c r="AQ733" i="22"/>
  <c r="AS733" i="22"/>
  <c r="AT733" i="22"/>
  <c r="AQ734" i="22"/>
  <c r="AS734" i="22"/>
  <c r="AT734" i="22"/>
  <c r="AQ735" i="22"/>
  <c r="AS735" i="22"/>
  <c r="AT735" i="22"/>
  <c r="AQ736" i="22"/>
  <c r="AS736" i="22"/>
  <c r="AT736" i="22"/>
  <c r="AQ737" i="22"/>
  <c r="AS737" i="22"/>
  <c r="AT737" i="22"/>
  <c r="AQ738" i="22"/>
  <c r="AS738" i="22"/>
  <c r="AT738" i="22"/>
  <c r="AQ739" i="22"/>
  <c r="AS739" i="22"/>
  <c r="AT739" i="22"/>
  <c r="AQ740" i="22"/>
  <c r="AS740" i="22"/>
  <c r="AT740" i="22"/>
  <c r="AQ741" i="22"/>
  <c r="AS741" i="22"/>
  <c r="AT741" i="22"/>
  <c r="AQ742" i="22"/>
  <c r="AS742" i="22"/>
  <c r="AT742" i="22"/>
  <c r="AQ743" i="22"/>
  <c r="AS743" i="22"/>
  <c r="AT743" i="22"/>
  <c r="AQ744" i="22"/>
  <c r="AS744" i="22"/>
  <c r="AT744" i="22"/>
  <c r="AQ745" i="22"/>
  <c r="AS745" i="22"/>
  <c r="AT745" i="22"/>
  <c r="AQ746" i="22"/>
  <c r="AS746" i="22"/>
  <c r="AT746" i="22"/>
  <c r="AQ747" i="22"/>
  <c r="AS747" i="22"/>
  <c r="AT747" i="22"/>
  <c r="AQ748" i="22"/>
  <c r="AS748" i="22"/>
  <c r="AT748" i="22"/>
  <c r="AQ749" i="22"/>
  <c r="AS749" i="22"/>
  <c r="AT749" i="22"/>
  <c r="AQ750" i="22"/>
  <c r="AS750" i="22"/>
  <c r="AT750" i="22"/>
  <c r="AQ751" i="22"/>
  <c r="AS751" i="22"/>
  <c r="AT751" i="22"/>
  <c r="AQ752" i="22"/>
  <c r="AS752" i="22"/>
  <c r="AT752" i="22"/>
  <c r="AQ753" i="22"/>
  <c r="AS753" i="22"/>
  <c r="AT753" i="22"/>
  <c r="AQ754" i="22"/>
  <c r="AS754" i="22"/>
  <c r="AT754" i="22"/>
  <c r="AQ755" i="22"/>
  <c r="AS755" i="22"/>
  <c r="AT755" i="22"/>
  <c r="AQ756" i="22"/>
  <c r="AS756" i="22"/>
  <c r="AT756" i="22"/>
  <c r="AQ757" i="22"/>
  <c r="AS757" i="22"/>
  <c r="AT757" i="22"/>
  <c r="AQ758" i="22"/>
  <c r="AS758" i="22"/>
  <c r="AT758" i="22"/>
  <c r="AQ759" i="22"/>
  <c r="AS759" i="22"/>
  <c r="AT759" i="22"/>
  <c r="AQ760" i="22"/>
  <c r="AS760" i="22"/>
  <c r="AT760" i="22"/>
  <c r="AQ761" i="22"/>
  <c r="AS761" i="22"/>
  <c r="AT761" i="22"/>
  <c r="AQ762" i="22"/>
  <c r="AS762" i="22"/>
  <c r="AT762" i="22"/>
  <c r="AQ763" i="22"/>
  <c r="AS763" i="22"/>
  <c r="AT763" i="22"/>
  <c r="AQ764" i="22"/>
  <c r="AS764" i="22"/>
  <c r="AT764" i="22"/>
  <c r="AQ765" i="22"/>
  <c r="AS765" i="22"/>
  <c r="AT765" i="22"/>
  <c r="AQ766" i="22"/>
  <c r="AS766" i="22"/>
  <c r="AT766" i="22"/>
  <c r="AQ767" i="22"/>
  <c r="AS767" i="22"/>
  <c r="AT767" i="22"/>
  <c r="AQ768" i="22"/>
  <c r="AS768" i="22"/>
  <c r="AT768" i="22"/>
  <c r="AQ769" i="22"/>
  <c r="AS769" i="22"/>
  <c r="AT769" i="22"/>
  <c r="AQ770" i="22"/>
  <c r="AS770" i="22"/>
  <c r="AT770" i="22"/>
  <c r="AQ771" i="22"/>
  <c r="AS771" i="22"/>
  <c r="AT771" i="22"/>
  <c r="AQ772" i="22"/>
  <c r="AS772" i="22"/>
  <c r="AT772" i="22"/>
  <c r="AQ773" i="22"/>
  <c r="AS773" i="22"/>
  <c r="AT773" i="22"/>
  <c r="AQ774" i="22"/>
  <c r="AS774" i="22"/>
  <c r="AT774" i="22"/>
  <c r="AQ775" i="22"/>
  <c r="AS775" i="22"/>
  <c r="AT775" i="22"/>
  <c r="AQ776" i="22"/>
  <c r="AS776" i="22"/>
  <c r="AT776" i="22"/>
  <c r="AQ777" i="22"/>
  <c r="AS777" i="22"/>
  <c r="AT777" i="22"/>
  <c r="AQ778" i="22"/>
  <c r="AS778" i="22"/>
  <c r="AT778" i="22"/>
  <c r="AQ779" i="22"/>
  <c r="AS779" i="22"/>
  <c r="AT779" i="22"/>
  <c r="AQ780" i="22"/>
  <c r="AS780" i="22"/>
  <c r="AT780" i="22"/>
  <c r="AQ781" i="22"/>
  <c r="AS781" i="22"/>
  <c r="AT781" i="22"/>
  <c r="AQ782" i="22"/>
  <c r="AS782" i="22"/>
  <c r="AT782" i="22"/>
  <c r="AQ783" i="22"/>
  <c r="AS783" i="22"/>
  <c r="AT783" i="22"/>
  <c r="AQ784" i="22"/>
  <c r="AS784" i="22"/>
  <c r="AT784" i="22"/>
  <c r="AQ785" i="22"/>
  <c r="AS785" i="22"/>
  <c r="AT785" i="22"/>
  <c r="AQ786" i="22"/>
  <c r="AS786" i="22"/>
  <c r="AT786" i="22"/>
  <c r="AQ787" i="22"/>
  <c r="AS787" i="22"/>
  <c r="AT787" i="22"/>
  <c r="AQ788" i="22"/>
  <c r="AS788" i="22"/>
  <c r="AT788" i="22"/>
  <c r="AQ789" i="22"/>
  <c r="AS789" i="22"/>
  <c r="AT789" i="22"/>
  <c r="AQ790" i="22"/>
  <c r="AS790" i="22"/>
  <c r="AT790" i="22"/>
  <c r="AQ791" i="22"/>
  <c r="AS791" i="22"/>
  <c r="AT791" i="22"/>
  <c r="AQ792" i="22"/>
  <c r="AS792" i="22"/>
  <c r="AT792" i="22"/>
  <c r="AQ793" i="22"/>
  <c r="AS793" i="22"/>
  <c r="AT793" i="22"/>
  <c r="AQ794" i="22"/>
  <c r="AS794" i="22"/>
  <c r="AT794" i="22"/>
  <c r="AQ795" i="22"/>
  <c r="AS795" i="22"/>
  <c r="AT795" i="22"/>
  <c r="AQ796" i="22"/>
  <c r="AS796" i="22"/>
  <c r="AT796" i="22"/>
  <c r="AQ797" i="22"/>
  <c r="AS797" i="22"/>
  <c r="AT797" i="22"/>
  <c r="AQ798" i="22"/>
  <c r="AS798" i="22"/>
  <c r="AT798" i="22"/>
  <c r="AQ799" i="22"/>
  <c r="AS799" i="22"/>
  <c r="AT799" i="22"/>
  <c r="AQ800" i="22"/>
  <c r="AS800" i="22"/>
  <c r="AT800" i="22"/>
  <c r="AQ801" i="22"/>
  <c r="AS801" i="22"/>
  <c r="AT801" i="22"/>
  <c r="AQ802" i="22"/>
  <c r="AS802" i="22"/>
  <c r="AT802" i="22"/>
  <c r="AQ803" i="22"/>
  <c r="AS803" i="22"/>
  <c r="AT803" i="22"/>
  <c r="AQ804" i="22"/>
  <c r="AS804" i="22"/>
  <c r="AT804" i="22"/>
  <c r="AQ805" i="22"/>
  <c r="AS805" i="22"/>
  <c r="AT805" i="22"/>
  <c r="AQ806" i="22"/>
  <c r="AS806" i="22"/>
  <c r="AT806" i="22"/>
  <c r="AQ807" i="22"/>
  <c r="AS807" i="22"/>
  <c r="AT807" i="22"/>
  <c r="AQ808" i="22"/>
  <c r="AS808" i="22"/>
  <c r="AT808" i="22"/>
  <c r="AQ809" i="22"/>
  <c r="AS809" i="22"/>
  <c r="AT809" i="22"/>
  <c r="AQ810" i="22"/>
  <c r="AS810" i="22"/>
  <c r="AT810" i="22"/>
  <c r="AQ811" i="22"/>
  <c r="AS811" i="22"/>
  <c r="AT811" i="22"/>
  <c r="AQ812" i="22"/>
  <c r="AS812" i="22"/>
  <c r="AT812" i="22"/>
  <c r="AQ813" i="22"/>
  <c r="AS813" i="22"/>
  <c r="AT813" i="22"/>
  <c r="AQ814" i="22"/>
  <c r="AS814" i="22"/>
  <c r="AT814" i="22"/>
  <c r="AQ815" i="22"/>
  <c r="AS815" i="22"/>
  <c r="AT815" i="22"/>
  <c r="AQ816" i="22"/>
  <c r="AS816" i="22"/>
  <c r="AT816" i="22"/>
  <c r="AQ817" i="22"/>
  <c r="AS817" i="22"/>
  <c r="AT817" i="22"/>
  <c r="AQ818" i="22"/>
  <c r="AS818" i="22"/>
  <c r="AT818" i="22"/>
  <c r="AQ819" i="22"/>
  <c r="AS819" i="22"/>
  <c r="AT819" i="22"/>
  <c r="AQ820" i="22"/>
  <c r="AS820" i="22"/>
  <c r="AT820" i="22"/>
  <c r="AQ821" i="22"/>
  <c r="AS821" i="22"/>
  <c r="AT821" i="22"/>
  <c r="AQ822" i="22"/>
  <c r="AS822" i="22"/>
  <c r="AT822" i="22"/>
  <c r="AQ823" i="22"/>
  <c r="AS823" i="22"/>
  <c r="AT823" i="22"/>
  <c r="AQ824" i="22"/>
  <c r="AS824" i="22"/>
  <c r="AT824" i="22"/>
  <c r="AQ825" i="22"/>
  <c r="AS825" i="22"/>
  <c r="AT825" i="22"/>
  <c r="AQ826" i="22"/>
  <c r="AS826" i="22"/>
  <c r="AT826" i="22"/>
  <c r="AQ827" i="22"/>
  <c r="AS827" i="22"/>
  <c r="AT827" i="22"/>
  <c r="AQ828" i="22"/>
  <c r="AS828" i="22"/>
  <c r="AT828" i="22"/>
  <c r="AQ829" i="22"/>
  <c r="AS829" i="22"/>
  <c r="AT829" i="22"/>
  <c r="AQ830" i="22"/>
  <c r="AS830" i="22"/>
  <c r="AT830" i="22"/>
  <c r="AQ831" i="22"/>
  <c r="AS831" i="22"/>
  <c r="AT831" i="22"/>
  <c r="AQ832" i="22"/>
  <c r="AS832" i="22"/>
  <c r="AT832" i="22"/>
  <c r="AQ833" i="22"/>
  <c r="AS833" i="22"/>
  <c r="AT833" i="22"/>
  <c r="AQ834" i="22"/>
  <c r="AS834" i="22"/>
  <c r="AT834" i="22"/>
  <c r="AQ835" i="22"/>
  <c r="AS835" i="22"/>
  <c r="AT835" i="22"/>
  <c r="AQ836" i="22"/>
  <c r="AS836" i="22"/>
  <c r="AT836" i="22"/>
  <c r="AQ837" i="22"/>
  <c r="AS837" i="22"/>
  <c r="AT837" i="22"/>
  <c r="AQ838" i="22"/>
  <c r="AS838" i="22"/>
  <c r="AT838" i="22"/>
  <c r="AQ839" i="22"/>
  <c r="AS839" i="22"/>
  <c r="AT839" i="22"/>
  <c r="AQ840" i="22"/>
  <c r="AS840" i="22"/>
  <c r="AT840" i="22"/>
  <c r="AQ841" i="22"/>
  <c r="AS841" i="22"/>
  <c r="AT841" i="22"/>
  <c r="AQ842" i="22"/>
  <c r="AS842" i="22"/>
  <c r="AT842" i="22"/>
  <c r="AQ843" i="22"/>
  <c r="AS843" i="22"/>
  <c r="AT843" i="22"/>
  <c r="AQ844" i="22"/>
  <c r="AS844" i="22"/>
  <c r="AT844" i="22"/>
  <c r="AQ845" i="22"/>
  <c r="AS845" i="22"/>
  <c r="AT845" i="22"/>
  <c r="AQ846" i="22"/>
  <c r="AS846" i="22"/>
  <c r="AT846" i="22"/>
  <c r="AQ847" i="22"/>
  <c r="AS847" i="22"/>
  <c r="AT847" i="22"/>
  <c r="AQ848" i="22"/>
  <c r="AS848" i="22"/>
  <c r="AT848" i="22"/>
  <c r="AQ849" i="22"/>
  <c r="AS849" i="22"/>
  <c r="AT849" i="22"/>
  <c r="AQ850" i="22"/>
  <c r="AS850" i="22"/>
  <c r="AT850" i="22"/>
  <c r="AQ851" i="22"/>
  <c r="AS851" i="22"/>
  <c r="AT851" i="22"/>
  <c r="AQ852" i="22"/>
  <c r="AS852" i="22"/>
  <c r="AT852" i="22"/>
  <c r="AQ853" i="22"/>
  <c r="AS853" i="22"/>
  <c r="AT853" i="22"/>
  <c r="AQ854" i="22"/>
  <c r="AS854" i="22"/>
  <c r="AT854" i="22"/>
  <c r="AQ855" i="22"/>
  <c r="AS855" i="22"/>
  <c r="AT855" i="22"/>
  <c r="AQ856" i="22"/>
  <c r="AS856" i="22"/>
  <c r="AT856" i="22"/>
  <c r="AQ857" i="22"/>
  <c r="AS857" i="22"/>
  <c r="AT857" i="22"/>
  <c r="AQ858" i="22"/>
  <c r="AS858" i="22"/>
  <c r="AT858" i="22"/>
  <c r="AQ859" i="22"/>
  <c r="AS859" i="22"/>
  <c r="AT859" i="22"/>
  <c r="AQ860" i="22"/>
  <c r="AS860" i="22"/>
  <c r="AT860" i="22"/>
  <c r="AQ861" i="22"/>
  <c r="AS861" i="22"/>
  <c r="AT861" i="22"/>
  <c r="AQ862" i="22"/>
  <c r="AS862" i="22"/>
  <c r="AT862" i="22"/>
  <c r="AQ863" i="22"/>
  <c r="AS863" i="22"/>
  <c r="AT863" i="22"/>
  <c r="AQ864" i="22"/>
  <c r="AS864" i="22"/>
  <c r="AT864" i="22"/>
  <c r="AQ865" i="22"/>
  <c r="AS865" i="22"/>
  <c r="AT865" i="22"/>
  <c r="AQ866" i="22"/>
  <c r="AS866" i="22"/>
  <c r="AT866" i="22"/>
  <c r="AQ867" i="22"/>
  <c r="AS867" i="22"/>
  <c r="AT867" i="22"/>
  <c r="AQ868" i="22"/>
  <c r="AS868" i="22"/>
  <c r="AT868" i="22"/>
  <c r="AQ869" i="22"/>
  <c r="AS869" i="22"/>
  <c r="AT869" i="22"/>
  <c r="AQ870" i="22"/>
  <c r="AS870" i="22"/>
  <c r="AT870" i="22"/>
  <c r="AQ871" i="22"/>
  <c r="AS871" i="22"/>
  <c r="AT871" i="22"/>
  <c r="AQ872" i="22"/>
  <c r="AS872" i="22"/>
  <c r="AT872" i="22"/>
  <c r="AQ873" i="22"/>
  <c r="AS873" i="22"/>
  <c r="AT873" i="22"/>
  <c r="AQ874" i="22"/>
  <c r="AS874" i="22"/>
  <c r="AT874" i="22"/>
  <c r="AQ875" i="22"/>
  <c r="AS875" i="22"/>
  <c r="AT875" i="22"/>
  <c r="AQ876" i="22"/>
  <c r="AS876" i="22"/>
  <c r="AT876" i="22"/>
  <c r="AQ877" i="22"/>
  <c r="AS877" i="22"/>
  <c r="AT877" i="22"/>
  <c r="AQ878" i="22"/>
  <c r="AS878" i="22"/>
  <c r="AT878" i="22"/>
  <c r="AQ879" i="22"/>
  <c r="AS879" i="22"/>
  <c r="AT879" i="22"/>
  <c r="AQ880" i="22"/>
  <c r="AS880" i="22"/>
  <c r="AT880" i="22"/>
  <c r="AQ881" i="22"/>
  <c r="AS881" i="22"/>
  <c r="AT881" i="22"/>
  <c r="AQ882" i="22"/>
  <c r="AS882" i="22"/>
  <c r="AT882" i="22"/>
  <c r="AQ883" i="22"/>
  <c r="AS883" i="22"/>
  <c r="AT883" i="22"/>
  <c r="AQ884" i="22"/>
  <c r="AS884" i="22"/>
  <c r="AT884" i="22"/>
  <c r="AQ885" i="22"/>
  <c r="AS885" i="22"/>
  <c r="AT885" i="22"/>
  <c r="AQ886" i="22"/>
  <c r="AS886" i="22"/>
  <c r="AT886" i="22"/>
  <c r="AQ887" i="22"/>
  <c r="AS887" i="22"/>
  <c r="AT887" i="22"/>
  <c r="AQ888" i="22"/>
  <c r="AS888" i="22"/>
  <c r="AT888" i="22"/>
  <c r="AQ889" i="22"/>
  <c r="AS889" i="22"/>
  <c r="AT889" i="22"/>
  <c r="AQ890" i="22"/>
  <c r="AS890" i="22"/>
  <c r="AT890" i="22"/>
  <c r="AQ891" i="22"/>
  <c r="AS891" i="22"/>
  <c r="AT891" i="22"/>
  <c r="AQ892" i="22"/>
  <c r="AS892" i="22"/>
  <c r="AT892" i="22"/>
  <c r="AQ893" i="22"/>
  <c r="AS893" i="22"/>
  <c r="AT893" i="22"/>
  <c r="AQ894" i="22"/>
  <c r="AS894" i="22"/>
  <c r="AT894" i="22"/>
  <c r="AQ895" i="22"/>
  <c r="AS895" i="22"/>
  <c r="AT895" i="22"/>
  <c r="AQ896" i="22"/>
  <c r="AS896" i="22"/>
  <c r="AT896" i="22"/>
  <c r="AQ897" i="22"/>
  <c r="AS897" i="22"/>
  <c r="AT897" i="22"/>
  <c r="AQ898" i="22"/>
  <c r="AS898" i="22"/>
  <c r="AT898" i="22"/>
  <c r="AQ899" i="22"/>
  <c r="AS899" i="22"/>
  <c r="AT899" i="22"/>
  <c r="AQ900" i="22"/>
  <c r="AS900" i="22"/>
  <c r="AT900" i="22"/>
  <c r="AQ901" i="22"/>
  <c r="AS901" i="22"/>
  <c r="AT901" i="22"/>
  <c r="AQ902" i="22"/>
  <c r="AS902" i="22"/>
  <c r="AT902" i="22"/>
  <c r="AQ903" i="22"/>
  <c r="AS903" i="22"/>
  <c r="AT903" i="22"/>
  <c r="AQ904" i="22"/>
  <c r="AS904" i="22"/>
  <c r="AT904" i="22"/>
  <c r="AQ905" i="22"/>
  <c r="AS905" i="22"/>
  <c r="AT905" i="22"/>
  <c r="AQ906" i="22"/>
  <c r="AS906" i="22"/>
  <c r="AT906" i="22"/>
  <c r="AQ907" i="22"/>
  <c r="AS907" i="22"/>
  <c r="AT907" i="22"/>
  <c r="AQ908" i="22"/>
  <c r="AS908" i="22"/>
  <c r="AT908" i="22"/>
  <c r="AQ909" i="22"/>
  <c r="AS909" i="22"/>
  <c r="AT909" i="22"/>
  <c r="AQ910" i="22"/>
  <c r="AS910" i="22"/>
  <c r="AT910" i="22"/>
  <c r="AQ911" i="22"/>
  <c r="AS911" i="22"/>
  <c r="AT911" i="22"/>
  <c r="AQ912" i="22"/>
  <c r="AS912" i="22"/>
  <c r="AT912" i="22"/>
  <c r="AQ913" i="22"/>
  <c r="AS913" i="22"/>
  <c r="AT913" i="22"/>
  <c r="AQ914" i="22"/>
  <c r="AS914" i="22"/>
  <c r="AT914" i="22"/>
  <c r="AQ915" i="22"/>
  <c r="AS915" i="22"/>
  <c r="AT915" i="22"/>
  <c r="AQ916" i="22"/>
  <c r="AS916" i="22"/>
  <c r="AT916" i="22"/>
  <c r="AQ917" i="22"/>
  <c r="AS917" i="22"/>
  <c r="AT917" i="22"/>
  <c r="AQ918" i="22"/>
  <c r="AS918" i="22"/>
  <c r="AT918" i="22"/>
  <c r="AQ919" i="22"/>
  <c r="AS919" i="22"/>
  <c r="AT919" i="22"/>
  <c r="AQ920" i="22"/>
  <c r="AS920" i="22"/>
  <c r="AT920" i="22"/>
  <c r="AQ921" i="22"/>
  <c r="AS921" i="22"/>
  <c r="AT921" i="22"/>
  <c r="AQ922" i="22"/>
  <c r="AS922" i="22"/>
  <c r="AT922" i="22"/>
  <c r="AQ923" i="22"/>
  <c r="AS923" i="22"/>
  <c r="AT923" i="22"/>
  <c r="AQ924" i="22"/>
  <c r="AS924" i="22"/>
  <c r="AT924" i="22"/>
  <c r="AQ925" i="22"/>
  <c r="AS925" i="22"/>
  <c r="AT925" i="22"/>
  <c r="AQ926" i="22"/>
  <c r="AS926" i="22"/>
  <c r="AT926" i="22"/>
  <c r="AQ927" i="22"/>
  <c r="AS927" i="22"/>
  <c r="AT927" i="22"/>
  <c r="AQ928" i="22"/>
  <c r="AS928" i="22"/>
  <c r="AT928" i="22"/>
  <c r="AQ929" i="22"/>
  <c r="AS929" i="22"/>
  <c r="AT929" i="22"/>
  <c r="AQ930" i="22"/>
  <c r="AS930" i="22"/>
  <c r="AT930" i="22"/>
  <c r="AQ931" i="22"/>
  <c r="AS931" i="22"/>
  <c r="AT931" i="22"/>
  <c r="AQ932" i="22"/>
  <c r="AS932" i="22"/>
  <c r="AT932" i="22"/>
  <c r="AQ933" i="22"/>
  <c r="AS933" i="22"/>
  <c r="AT933" i="22"/>
  <c r="AQ934" i="22"/>
  <c r="AS934" i="22"/>
  <c r="AT934" i="22"/>
  <c r="AQ935" i="22"/>
  <c r="AS935" i="22"/>
  <c r="AT935" i="22"/>
  <c r="AQ936" i="22"/>
  <c r="AS936" i="22"/>
  <c r="AT936" i="22"/>
  <c r="AQ937" i="22"/>
  <c r="AS937" i="22"/>
  <c r="AT937" i="22"/>
  <c r="AQ938" i="22"/>
  <c r="AS938" i="22"/>
  <c r="AT938" i="22"/>
  <c r="AQ939" i="22"/>
  <c r="AS939" i="22"/>
  <c r="AT939" i="22"/>
  <c r="AQ940" i="22"/>
  <c r="AS940" i="22"/>
  <c r="AT940" i="22"/>
  <c r="AQ941" i="22"/>
  <c r="AS941" i="22"/>
  <c r="AT941" i="22"/>
  <c r="AQ942" i="22"/>
  <c r="AS942" i="22"/>
  <c r="AT942" i="22"/>
  <c r="AQ943" i="22"/>
  <c r="AS943" i="22"/>
  <c r="AT943" i="22"/>
  <c r="AQ944" i="22"/>
  <c r="AS944" i="22"/>
  <c r="AT944" i="22"/>
  <c r="AQ945" i="22"/>
  <c r="AS945" i="22"/>
  <c r="AT945" i="22"/>
  <c r="AQ946" i="22"/>
  <c r="AS946" i="22"/>
  <c r="AT946" i="22"/>
  <c r="AQ947" i="22"/>
  <c r="AS947" i="22"/>
  <c r="AT947" i="22"/>
  <c r="AQ948" i="22"/>
  <c r="AS948" i="22"/>
  <c r="AT948" i="22"/>
  <c r="AQ949" i="22"/>
  <c r="AS949" i="22"/>
  <c r="AT949" i="22"/>
  <c r="AQ950" i="22"/>
  <c r="AS950" i="22"/>
  <c r="AT950" i="22"/>
  <c r="AQ951" i="22"/>
  <c r="AS951" i="22"/>
  <c r="AT951" i="22"/>
  <c r="AQ952" i="22"/>
  <c r="AS952" i="22"/>
  <c r="AT952" i="22"/>
  <c r="AQ953" i="22"/>
  <c r="AS953" i="22"/>
  <c r="AT953" i="22"/>
  <c r="AQ954" i="22"/>
  <c r="AS954" i="22"/>
  <c r="AT954" i="22"/>
  <c r="AQ955" i="22"/>
  <c r="AS955" i="22"/>
  <c r="AT955" i="22"/>
  <c r="AQ956" i="22"/>
  <c r="AS956" i="22"/>
  <c r="AT956" i="22"/>
  <c r="AQ957" i="22"/>
  <c r="AS957" i="22"/>
  <c r="AT957" i="22"/>
  <c r="AQ958" i="22"/>
  <c r="AS958" i="22"/>
  <c r="AT958" i="22"/>
  <c r="AQ959" i="22"/>
  <c r="AS959" i="22"/>
  <c r="AT959" i="22"/>
  <c r="AQ960" i="22"/>
  <c r="AS960" i="22"/>
  <c r="AT960" i="22"/>
  <c r="AQ961" i="22"/>
  <c r="AS961" i="22"/>
  <c r="AT961" i="22"/>
  <c r="AQ962" i="22"/>
  <c r="AS962" i="22"/>
  <c r="AT962" i="22"/>
  <c r="AQ963" i="22"/>
  <c r="AS963" i="22"/>
  <c r="AT963" i="22"/>
  <c r="AQ964" i="22"/>
  <c r="AS964" i="22"/>
  <c r="AT964" i="22"/>
  <c r="AQ965" i="22"/>
  <c r="AS965" i="22"/>
  <c r="AT965" i="22"/>
  <c r="AQ966" i="22"/>
  <c r="AS966" i="22"/>
  <c r="AT966" i="22"/>
  <c r="AQ967" i="22"/>
  <c r="AS967" i="22"/>
  <c r="AT967" i="22"/>
  <c r="AQ32" i="22"/>
  <c r="AM33" i="22"/>
  <c r="AM34" i="22"/>
  <c r="AM35" i="22"/>
  <c r="AM36" i="22"/>
  <c r="AM37" i="22"/>
  <c r="AM38" i="22"/>
  <c r="AM39" i="22"/>
  <c r="AM40" i="22"/>
  <c r="AM41" i="22"/>
  <c r="AM42" i="22"/>
  <c r="AM43" i="22"/>
  <c r="AM44" i="22"/>
  <c r="AM45" i="22"/>
  <c r="AM46" i="22"/>
  <c r="AM47" i="22"/>
  <c r="AM48" i="22"/>
  <c r="AM49" i="22"/>
  <c r="AM50" i="22"/>
  <c r="AM51" i="22"/>
  <c r="AM52" i="22"/>
  <c r="AM53" i="22"/>
  <c r="AM54" i="22"/>
  <c r="AM55" i="22"/>
  <c r="AM56" i="22"/>
  <c r="AM57" i="22"/>
  <c r="AM58" i="22"/>
  <c r="AM59" i="22"/>
  <c r="AM60" i="22"/>
  <c r="AM61" i="22"/>
  <c r="AM62" i="22"/>
  <c r="AM63" i="22"/>
  <c r="AM64" i="22"/>
  <c r="AM65" i="22"/>
  <c r="AM66" i="22"/>
  <c r="AM67" i="22"/>
  <c r="AM68" i="22"/>
  <c r="AM69" i="22"/>
  <c r="AM70" i="22"/>
  <c r="AM71" i="22"/>
  <c r="AM72" i="22"/>
  <c r="AM73" i="22"/>
  <c r="AM74" i="22"/>
  <c r="AM75" i="22"/>
  <c r="AM76" i="22"/>
  <c r="AM77" i="22"/>
  <c r="AM78" i="22"/>
  <c r="AM79" i="22"/>
  <c r="AM80" i="22"/>
  <c r="AM81" i="22"/>
  <c r="AM82" i="22"/>
  <c r="AM83" i="22"/>
  <c r="AM84" i="22"/>
  <c r="AM85" i="22"/>
  <c r="AM86" i="22"/>
  <c r="AM87" i="22"/>
  <c r="AM88" i="22"/>
  <c r="AM89" i="22"/>
  <c r="AM90" i="22"/>
  <c r="AM91" i="22"/>
  <c r="AM92" i="22"/>
  <c r="AM93" i="22"/>
  <c r="AM94" i="22"/>
  <c r="AM95" i="22"/>
  <c r="AM96" i="22"/>
  <c r="AM97" i="22"/>
  <c r="AM98" i="22"/>
  <c r="AM99" i="22"/>
  <c r="AM100" i="22"/>
  <c r="AM101" i="22"/>
  <c r="AM102" i="22"/>
  <c r="AM103" i="22"/>
  <c r="AM104" i="22"/>
  <c r="AM105" i="22"/>
  <c r="AM106" i="22"/>
  <c r="AM107" i="22"/>
  <c r="AM108" i="22"/>
  <c r="AM109" i="22"/>
  <c r="AM110" i="22"/>
  <c r="AM111" i="22"/>
  <c r="AM112" i="22"/>
  <c r="AM113" i="22"/>
  <c r="AM114" i="22"/>
  <c r="AM115" i="22"/>
  <c r="AM116" i="22"/>
  <c r="AM117" i="22"/>
  <c r="AM118" i="22"/>
  <c r="AM119" i="22"/>
  <c r="AM120" i="22"/>
  <c r="AM121" i="22"/>
  <c r="AM122" i="22"/>
  <c r="AM123" i="22"/>
  <c r="AM124" i="22"/>
  <c r="AM125" i="22"/>
  <c r="AM126" i="22"/>
  <c r="AM127" i="22"/>
  <c r="AM128" i="22"/>
  <c r="AM129" i="22"/>
  <c r="AM130" i="22"/>
  <c r="AM131" i="22"/>
  <c r="AM132" i="22"/>
  <c r="AM133" i="22"/>
  <c r="AM134" i="22"/>
  <c r="AM135" i="22"/>
  <c r="AM136" i="22"/>
  <c r="AM137" i="22"/>
  <c r="AM138" i="22"/>
  <c r="AM139" i="22"/>
  <c r="AM140" i="22"/>
  <c r="AM141" i="22"/>
  <c r="AM142" i="22"/>
  <c r="AM143" i="22"/>
  <c r="AM144" i="22"/>
  <c r="AM145" i="22"/>
  <c r="AM146" i="22"/>
  <c r="AM147" i="22"/>
  <c r="AM148" i="22"/>
  <c r="AM149" i="22"/>
  <c r="AM150" i="22"/>
  <c r="AM151" i="22"/>
  <c r="AM152" i="22"/>
  <c r="AM153" i="22"/>
  <c r="AM154" i="22"/>
  <c r="AM155" i="22"/>
  <c r="AM156" i="22"/>
  <c r="AM157" i="22"/>
  <c r="AM158" i="22"/>
  <c r="AM159" i="22"/>
  <c r="AM160" i="22"/>
  <c r="AM161" i="22"/>
  <c r="AM162" i="22"/>
  <c r="AM163" i="22"/>
  <c r="AM164" i="22"/>
  <c r="AM165" i="22"/>
  <c r="AM166" i="22"/>
  <c r="AM167" i="22"/>
  <c r="AM168" i="22"/>
  <c r="AM169" i="22"/>
  <c r="AM170" i="22"/>
  <c r="AM171" i="22"/>
  <c r="AM172" i="22"/>
  <c r="AM173" i="22"/>
  <c r="AM174" i="22"/>
  <c r="AM175" i="22"/>
  <c r="AM176" i="22"/>
  <c r="AM177" i="22"/>
  <c r="AM178" i="22"/>
  <c r="AM179" i="22"/>
  <c r="AM180" i="22"/>
  <c r="AM181" i="22"/>
  <c r="AM182" i="22"/>
  <c r="AM183" i="22"/>
  <c r="AM184" i="22"/>
  <c r="AM185" i="22"/>
  <c r="AM186" i="22"/>
  <c r="AM187" i="22"/>
  <c r="AM188" i="22"/>
  <c r="AM189" i="22"/>
  <c r="AM190" i="22"/>
  <c r="AM191" i="22"/>
  <c r="AM192" i="22"/>
  <c r="AM193" i="22"/>
  <c r="AM194" i="22"/>
  <c r="AM195" i="22"/>
  <c r="AM196" i="22"/>
  <c r="AM197" i="22"/>
  <c r="AM198" i="22"/>
  <c r="AM199" i="22"/>
  <c r="AM200" i="22"/>
  <c r="AM201" i="22"/>
  <c r="AM202" i="22"/>
  <c r="AM203" i="22"/>
  <c r="AM204" i="22"/>
  <c r="AM205" i="22"/>
  <c r="AM206" i="22"/>
  <c r="AM207" i="22"/>
  <c r="AM208" i="22"/>
  <c r="AM209" i="22"/>
  <c r="AM210" i="22"/>
  <c r="AM211" i="22"/>
  <c r="AM212" i="22"/>
  <c r="AM213" i="22"/>
  <c r="AM214" i="22"/>
  <c r="AM215" i="22"/>
  <c r="AM216" i="22"/>
  <c r="AM217" i="22"/>
  <c r="AM218" i="22"/>
  <c r="AM219" i="22"/>
  <c r="AM220" i="22"/>
  <c r="AM221" i="22"/>
  <c r="AM222" i="22"/>
  <c r="AM223" i="22"/>
  <c r="AM224" i="22"/>
  <c r="AM225" i="22"/>
  <c r="AM226" i="22"/>
  <c r="AM227" i="22"/>
  <c r="AM228" i="22"/>
  <c r="AM229" i="22"/>
  <c r="AM230" i="22"/>
  <c r="AM231" i="22"/>
  <c r="AM232" i="22"/>
  <c r="AM233" i="22"/>
  <c r="AM234" i="22"/>
  <c r="AM235" i="22"/>
  <c r="AM236" i="22"/>
  <c r="AM237" i="22"/>
  <c r="AM238" i="22"/>
  <c r="AM239" i="22"/>
  <c r="AM240" i="22"/>
  <c r="AM241" i="22"/>
  <c r="AM242" i="22"/>
  <c r="AM243" i="22"/>
  <c r="AM244" i="22"/>
  <c r="AM245" i="22"/>
  <c r="AM246" i="22"/>
  <c r="AM247" i="22"/>
  <c r="AM248" i="22"/>
  <c r="AM249" i="22"/>
  <c r="AM250" i="22"/>
  <c r="AM251" i="22"/>
  <c r="AM252" i="22"/>
  <c r="AM253" i="22"/>
  <c r="AM254" i="22"/>
  <c r="AM255" i="22"/>
  <c r="AM256" i="22"/>
  <c r="AM257" i="22"/>
  <c r="AM258" i="22"/>
  <c r="AM259" i="22"/>
  <c r="AM260" i="22"/>
  <c r="AM261" i="22"/>
  <c r="AM262" i="22"/>
  <c r="AM263" i="22"/>
  <c r="AM264" i="22"/>
  <c r="AM265" i="22"/>
  <c r="AM266" i="22"/>
  <c r="AM267" i="22"/>
  <c r="AM268" i="22"/>
  <c r="AM269" i="22"/>
  <c r="AM270" i="22"/>
  <c r="AM271" i="22"/>
  <c r="AM272" i="22"/>
  <c r="AM273" i="22"/>
  <c r="AM274" i="22"/>
  <c r="AM275" i="22"/>
  <c r="AM276" i="22"/>
  <c r="AM277" i="22"/>
  <c r="AM278" i="22"/>
  <c r="AM279" i="22"/>
  <c r="AM280" i="22"/>
  <c r="AM281" i="22"/>
  <c r="AM282" i="22"/>
  <c r="AM283" i="22"/>
  <c r="AM284" i="22"/>
  <c r="AM285" i="22"/>
  <c r="AM286" i="22"/>
  <c r="AM287" i="22"/>
  <c r="AM288" i="22"/>
  <c r="AM289" i="22"/>
  <c r="AM290" i="22"/>
  <c r="AM291" i="22"/>
  <c r="AM292" i="22"/>
  <c r="AM293" i="22"/>
  <c r="AM294" i="22"/>
  <c r="AM295" i="22"/>
  <c r="AM296" i="22"/>
  <c r="AM297" i="22"/>
  <c r="AM298" i="22"/>
  <c r="AM299" i="22"/>
  <c r="AM300" i="22"/>
  <c r="AM301" i="22"/>
  <c r="AM302" i="22"/>
  <c r="AM303" i="22"/>
  <c r="AM304" i="22"/>
  <c r="AM305" i="22"/>
  <c r="AM306" i="22"/>
  <c r="AM307" i="22"/>
  <c r="AM308" i="22"/>
  <c r="AM309" i="22"/>
  <c r="AM310" i="22"/>
  <c r="AM311" i="22"/>
  <c r="AM312" i="22"/>
  <c r="AM313" i="22"/>
  <c r="AM314" i="22"/>
  <c r="AM315" i="22"/>
  <c r="AM316" i="22"/>
  <c r="AM317" i="22"/>
  <c r="AM318" i="22"/>
  <c r="AM319" i="22"/>
  <c r="AM320" i="22"/>
  <c r="AM321" i="22"/>
  <c r="AM322" i="22"/>
  <c r="AM323" i="22"/>
  <c r="AM324" i="22"/>
  <c r="AM325" i="22"/>
  <c r="AM326" i="22"/>
  <c r="AM327" i="22"/>
  <c r="AM328" i="22"/>
  <c r="AM329" i="22"/>
  <c r="AM330" i="22"/>
  <c r="AM331" i="22"/>
  <c r="AM332" i="22"/>
  <c r="AM333" i="22"/>
  <c r="AM334" i="22"/>
  <c r="AM335" i="22"/>
  <c r="AM336" i="22"/>
  <c r="AM337" i="22"/>
  <c r="AM338" i="22"/>
  <c r="AM339" i="22"/>
  <c r="AM340" i="22"/>
  <c r="AM341" i="22"/>
  <c r="AM342" i="22"/>
  <c r="AM343" i="22"/>
  <c r="AM344" i="22"/>
  <c r="AM345" i="22"/>
  <c r="AM346" i="22"/>
  <c r="AM347" i="22"/>
  <c r="AM348" i="22"/>
  <c r="AM349" i="22"/>
  <c r="AM350" i="22"/>
  <c r="AM351" i="22"/>
  <c r="AM352" i="22"/>
  <c r="AM353" i="22"/>
  <c r="AM354" i="22"/>
  <c r="AM355" i="22"/>
  <c r="AM356" i="22"/>
  <c r="AM357" i="22"/>
  <c r="AM358" i="22"/>
  <c r="AM359" i="22"/>
  <c r="AM360" i="22"/>
  <c r="AM361" i="22"/>
  <c r="AM362" i="22"/>
  <c r="AM363" i="22"/>
  <c r="AM364" i="22"/>
  <c r="AM365" i="22"/>
  <c r="AM366" i="22"/>
  <c r="AM367" i="22"/>
  <c r="AM368" i="22"/>
  <c r="AM369" i="22"/>
  <c r="AM370" i="22"/>
  <c r="AM371" i="22"/>
  <c r="AM372" i="22"/>
  <c r="AM373" i="22"/>
  <c r="AM374" i="22"/>
  <c r="AM375" i="22"/>
  <c r="AM376" i="22"/>
  <c r="AM377" i="22"/>
  <c r="AM378" i="22"/>
  <c r="AM379" i="22"/>
  <c r="AM380" i="22"/>
  <c r="AM381" i="22"/>
  <c r="AM382" i="22"/>
  <c r="AM383" i="22"/>
  <c r="AM384" i="22"/>
  <c r="AM385" i="22"/>
  <c r="AM386" i="22"/>
  <c r="AM387" i="22"/>
  <c r="AM388" i="22"/>
  <c r="AM389" i="22"/>
  <c r="AM390" i="22"/>
  <c r="AM391" i="22"/>
  <c r="AM392" i="22"/>
  <c r="AM393" i="22"/>
  <c r="AM394" i="22"/>
  <c r="AM395" i="22"/>
  <c r="AM396" i="22"/>
  <c r="AM397" i="22"/>
  <c r="AM398" i="22"/>
  <c r="AM399" i="22"/>
  <c r="AM400" i="22"/>
  <c r="AM401" i="22"/>
  <c r="AM402" i="22"/>
  <c r="AM403" i="22"/>
  <c r="AM404" i="22"/>
  <c r="AM405" i="22"/>
  <c r="AM406" i="22"/>
  <c r="AM407" i="22"/>
  <c r="AM408" i="22"/>
  <c r="AM409" i="22"/>
  <c r="AM410" i="22"/>
  <c r="AM411" i="22"/>
  <c r="AM412" i="22"/>
  <c r="AM413" i="22"/>
  <c r="AM414" i="22"/>
  <c r="AM415" i="22"/>
  <c r="AM416" i="22"/>
  <c r="AM417" i="22"/>
  <c r="AM418" i="22"/>
  <c r="AM419" i="22"/>
  <c r="AM420" i="22"/>
  <c r="AM421" i="22"/>
  <c r="AM422" i="22"/>
  <c r="AM423" i="22"/>
  <c r="AM424" i="22"/>
  <c r="AM425" i="22"/>
  <c r="AM426" i="22"/>
  <c r="AM427" i="22"/>
  <c r="AM428" i="22"/>
  <c r="AM429" i="22"/>
  <c r="AM430" i="22"/>
  <c r="AM431" i="22"/>
  <c r="AM432" i="22"/>
  <c r="AM433" i="22"/>
  <c r="AM434" i="22"/>
  <c r="AM435" i="22"/>
  <c r="AM436" i="22"/>
  <c r="AM437" i="22"/>
  <c r="AM438" i="22"/>
  <c r="AM439" i="22"/>
  <c r="AM440" i="22"/>
  <c r="AM441" i="22"/>
  <c r="AM442" i="22"/>
  <c r="AM443" i="22"/>
  <c r="AM444" i="22"/>
  <c r="AM445" i="22"/>
  <c r="AM446" i="22"/>
  <c r="AM447" i="22"/>
  <c r="AM448" i="22"/>
  <c r="AM449" i="22"/>
  <c r="AM450" i="22"/>
  <c r="AM451" i="22"/>
  <c r="AM452" i="22"/>
  <c r="AM453" i="22"/>
  <c r="AM454" i="22"/>
  <c r="AM455" i="22"/>
  <c r="AM456" i="22"/>
  <c r="AM457" i="22"/>
  <c r="AM458" i="22"/>
  <c r="AM459" i="22"/>
  <c r="AM460" i="22"/>
  <c r="AM461" i="22"/>
  <c r="AM462" i="22"/>
  <c r="AM463" i="22"/>
  <c r="AM464" i="22"/>
  <c r="AM465" i="22"/>
  <c r="AM466" i="22"/>
  <c r="AM467" i="22"/>
  <c r="AM468" i="22"/>
  <c r="AM469" i="22"/>
  <c r="AM470" i="22"/>
  <c r="AM471" i="22"/>
  <c r="AM472" i="22"/>
  <c r="AM473" i="22"/>
  <c r="AM474" i="22"/>
  <c r="AM475" i="22"/>
  <c r="AM476" i="22"/>
  <c r="AM477" i="22"/>
  <c r="AM478" i="22"/>
  <c r="AM479" i="22"/>
  <c r="AM480" i="22"/>
  <c r="AM481" i="22"/>
  <c r="AM482" i="22"/>
  <c r="AM483" i="22"/>
  <c r="AM484" i="22"/>
  <c r="AM485" i="22"/>
  <c r="AM486" i="22"/>
  <c r="AM487" i="22"/>
  <c r="AM488" i="22"/>
  <c r="AM489" i="22"/>
  <c r="AM490" i="22"/>
  <c r="AM491" i="22"/>
  <c r="AM492" i="22"/>
  <c r="AM493" i="22"/>
  <c r="AM494" i="22"/>
  <c r="AM495" i="22"/>
  <c r="AM496" i="22"/>
  <c r="AM497" i="22"/>
  <c r="AM498" i="22"/>
  <c r="AM499" i="22"/>
  <c r="AM500" i="22"/>
  <c r="AM501" i="22"/>
  <c r="AM502" i="22"/>
  <c r="AM503" i="22"/>
  <c r="AM504" i="22"/>
  <c r="AM505" i="22"/>
  <c r="AM506" i="22"/>
  <c r="AM507" i="22"/>
  <c r="AM508" i="22"/>
  <c r="AM509" i="22"/>
  <c r="AM510" i="22"/>
  <c r="AM511" i="22"/>
  <c r="AM512" i="22"/>
  <c r="AM513" i="22"/>
  <c r="AM514" i="22"/>
  <c r="AM515" i="22"/>
  <c r="AM516" i="22"/>
  <c r="AM517" i="22"/>
  <c r="AM518" i="22"/>
  <c r="AM519" i="22"/>
  <c r="AM520" i="22"/>
  <c r="AM521" i="22"/>
  <c r="AM522" i="22"/>
  <c r="AM523" i="22"/>
  <c r="AM524" i="22"/>
  <c r="AM525" i="22"/>
  <c r="AM526" i="22"/>
  <c r="AM527" i="22"/>
  <c r="AM528" i="22"/>
  <c r="AM529" i="22"/>
  <c r="AM530" i="22"/>
  <c r="AM531" i="22"/>
  <c r="AM532" i="22"/>
  <c r="AM533" i="22"/>
  <c r="AM534" i="22"/>
  <c r="AM535" i="22"/>
  <c r="AM536" i="22"/>
  <c r="AM537" i="22"/>
  <c r="AM538" i="22"/>
  <c r="AM539" i="22"/>
  <c r="AM540" i="22"/>
  <c r="AM541" i="22"/>
  <c r="AM542" i="22"/>
  <c r="AM543" i="22"/>
  <c r="AM544" i="22"/>
  <c r="AM545" i="22"/>
  <c r="AM546" i="22"/>
  <c r="AM547" i="22"/>
  <c r="AM548" i="22"/>
  <c r="AM549" i="22"/>
  <c r="AM550" i="22"/>
  <c r="AM551" i="22"/>
  <c r="AM552" i="22"/>
  <c r="AM553" i="22"/>
  <c r="AM554" i="22"/>
  <c r="AM555" i="22"/>
  <c r="AM556" i="22"/>
  <c r="AM557" i="22"/>
  <c r="AM558" i="22"/>
  <c r="AM559" i="22"/>
  <c r="AM560" i="22"/>
  <c r="AM561" i="22"/>
  <c r="AM562" i="22"/>
  <c r="AM563" i="22"/>
  <c r="AM564" i="22"/>
  <c r="AM565" i="22"/>
  <c r="AM566" i="22"/>
  <c r="AM567" i="22"/>
  <c r="AM568" i="22"/>
  <c r="AM569" i="22"/>
  <c r="AM570" i="22"/>
  <c r="AM571" i="22"/>
  <c r="AM572" i="22"/>
  <c r="AM573" i="22"/>
  <c r="AM574" i="22"/>
  <c r="AM575" i="22"/>
  <c r="AM576" i="22"/>
  <c r="AM577" i="22"/>
  <c r="AM578" i="22"/>
  <c r="AM579" i="22"/>
  <c r="AM580" i="22"/>
  <c r="AM581" i="22"/>
  <c r="AM582" i="22"/>
  <c r="AM583" i="22"/>
  <c r="AM584" i="22"/>
  <c r="AM585" i="22"/>
  <c r="AM586" i="22"/>
  <c r="AM587" i="22"/>
  <c r="AM588" i="22"/>
  <c r="AM589" i="22"/>
  <c r="AM590" i="22"/>
  <c r="AM591" i="22"/>
  <c r="AM592" i="22"/>
  <c r="AM593" i="22"/>
  <c r="AM594" i="22"/>
  <c r="AM595" i="22"/>
  <c r="AM596" i="22"/>
  <c r="AM597" i="22"/>
  <c r="AM598" i="22"/>
  <c r="AM599" i="22"/>
  <c r="AM600" i="22"/>
  <c r="AM601" i="22"/>
  <c r="AM602" i="22"/>
  <c r="AM603" i="22"/>
  <c r="AM604" i="22"/>
  <c r="AM605" i="22"/>
  <c r="AM606" i="22"/>
  <c r="AM607" i="22"/>
  <c r="AM608" i="22"/>
  <c r="AM609" i="22"/>
  <c r="AM610" i="22"/>
  <c r="AM611" i="22"/>
  <c r="AM612" i="22"/>
  <c r="AM613" i="22"/>
  <c r="AM614" i="22"/>
  <c r="AM615" i="22"/>
  <c r="AM616" i="22"/>
  <c r="AM617" i="22"/>
  <c r="AM618" i="22"/>
  <c r="AM619" i="22"/>
  <c r="AM620" i="22"/>
  <c r="AM621" i="22"/>
  <c r="AM622" i="22"/>
  <c r="AM623" i="22"/>
  <c r="AM624" i="22"/>
  <c r="AM625" i="22"/>
  <c r="AM626" i="22"/>
  <c r="AM627" i="22"/>
  <c r="AM628" i="22"/>
  <c r="AM629" i="22"/>
  <c r="AM630" i="22"/>
  <c r="AM631" i="22"/>
  <c r="AM632" i="22"/>
  <c r="AM633" i="22"/>
  <c r="AM634" i="22"/>
  <c r="AM635" i="22"/>
  <c r="AM636" i="22"/>
  <c r="AM637" i="22"/>
  <c r="AM638" i="22"/>
  <c r="AM639" i="22"/>
  <c r="AM640" i="22"/>
  <c r="AM641" i="22"/>
  <c r="AM642" i="22"/>
  <c r="AM643" i="22"/>
  <c r="AM644" i="22"/>
  <c r="AM645" i="22"/>
  <c r="AM646" i="22"/>
  <c r="AM647" i="22"/>
  <c r="AM648" i="22"/>
  <c r="AM649" i="22"/>
  <c r="AM650" i="22"/>
  <c r="AM651" i="22"/>
  <c r="AM652" i="22"/>
  <c r="AM653" i="22"/>
  <c r="AM654" i="22"/>
  <c r="AM655" i="22"/>
  <c r="AM656" i="22"/>
  <c r="AM657" i="22"/>
  <c r="AM658" i="22"/>
  <c r="AM659" i="22"/>
  <c r="AM660" i="22"/>
  <c r="AM661" i="22"/>
  <c r="AM662" i="22"/>
  <c r="AM663" i="22"/>
  <c r="AM664" i="22"/>
  <c r="AM665" i="22"/>
  <c r="AM666" i="22"/>
  <c r="AM667" i="22"/>
  <c r="AM668" i="22"/>
  <c r="AM669" i="22"/>
  <c r="AM670" i="22"/>
  <c r="AM671" i="22"/>
  <c r="AM672" i="22"/>
  <c r="AM673" i="22"/>
  <c r="AM674" i="22"/>
  <c r="AM675" i="22"/>
  <c r="AM676" i="22"/>
  <c r="AM677" i="22"/>
  <c r="AM678" i="22"/>
  <c r="AM679" i="22"/>
  <c r="AM680" i="22"/>
  <c r="AM681" i="22"/>
  <c r="AM682" i="22"/>
  <c r="AM683" i="22"/>
  <c r="AM684" i="22"/>
  <c r="AM685" i="22"/>
  <c r="AM686" i="22"/>
  <c r="AM687" i="22"/>
  <c r="AM688" i="22"/>
  <c r="AM689" i="22"/>
  <c r="AM690" i="22"/>
  <c r="AM691" i="22"/>
  <c r="AM692" i="22"/>
  <c r="AM693" i="22"/>
  <c r="AM694" i="22"/>
  <c r="AM695" i="22"/>
  <c r="AM696" i="22"/>
  <c r="AM697" i="22"/>
  <c r="AM698" i="22"/>
  <c r="AM699" i="22"/>
  <c r="AM700" i="22"/>
  <c r="AM701" i="22"/>
  <c r="AM702" i="22"/>
  <c r="AM703" i="22"/>
  <c r="AM704" i="22"/>
  <c r="AM705" i="22"/>
  <c r="AM706" i="22"/>
  <c r="AM707" i="22"/>
  <c r="AM708" i="22"/>
  <c r="AM709" i="22"/>
  <c r="AM710" i="22"/>
  <c r="AM711" i="22"/>
  <c r="AM712" i="22"/>
  <c r="AM713" i="22"/>
  <c r="AM714" i="22"/>
  <c r="AM715" i="22"/>
  <c r="AM716" i="22"/>
  <c r="AM717" i="22"/>
  <c r="AM718" i="22"/>
  <c r="AM719" i="22"/>
  <c r="AM720" i="22"/>
  <c r="AM721" i="22"/>
  <c r="AM722" i="22"/>
  <c r="AM723" i="22"/>
  <c r="AM724" i="22"/>
  <c r="AM725" i="22"/>
  <c r="AM726" i="22"/>
  <c r="AM727" i="22"/>
  <c r="AM728" i="22"/>
  <c r="AM729" i="22"/>
  <c r="AM730" i="22"/>
  <c r="AM731" i="22"/>
  <c r="AM732" i="22"/>
  <c r="AM733" i="22"/>
  <c r="AM734" i="22"/>
  <c r="AM735" i="22"/>
  <c r="AM736" i="22"/>
  <c r="AM737" i="22"/>
  <c r="AM738" i="22"/>
  <c r="AM739" i="22"/>
  <c r="AM740" i="22"/>
  <c r="AM741" i="22"/>
  <c r="AM742" i="22"/>
  <c r="AM743" i="22"/>
  <c r="AM744" i="22"/>
  <c r="AM745" i="22"/>
  <c r="AM746" i="22"/>
  <c r="AM747" i="22"/>
  <c r="AM748" i="22"/>
  <c r="AM749" i="22"/>
  <c r="AM750" i="22"/>
  <c r="AM751" i="22"/>
  <c r="AM752" i="22"/>
  <c r="AM753" i="22"/>
  <c r="AM754" i="22"/>
  <c r="AM755" i="22"/>
  <c r="AM756" i="22"/>
  <c r="AM757" i="22"/>
  <c r="AM758" i="22"/>
  <c r="AM759" i="22"/>
  <c r="AM760" i="22"/>
  <c r="AM761" i="22"/>
  <c r="AM762" i="22"/>
  <c r="AM763" i="22"/>
  <c r="AM764" i="22"/>
  <c r="AM765" i="22"/>
  <c r="AM766" i="22"/>
  <c r="AM767" i="22"/>
  <c r="AM768" i="22"/>
  <c r="AM769" i="22"/>
  <c r="AM770" i="22"/>
  <c r="AM771" i="22"/>
  <c r="AM772" i="22"/>
  <c r="AM773" i="22"/>
  <c r="AM774" i="22"/>
  <c r="AM775" i="22"/>
  <c r="AM776" i="22"/>
  <c r="AM777" i="22"/>
  <c r="AM778" i="22"/>
  <c r="AM779" i="22"/>
  <c r="AM780" i="22"/>
  <c r="AM781" i="22"/>
  <c r="AM782" i="22"/>
  <c r="AM783" i="22"/>
  <c r="AM784" i="22"/>
  <c r="AM785" i="22"/>
  <c r="AM786" i="22"/>
  <c r="AM787" i="22"/>
  <c r="AM788" i="22"/>
  <c r="AM789" i="22"/>
  <c r="AM790" i="22"/>
  <c r="AM791" i="22"/>
  <c r="AM792" i="22"/>
  <c r="AM793" i="22"/>
  <c r="AM794" i="22"/>
  <c r="AM795" i="22"/>
  <c r="AM796" i="22"/>
  <c r="AM797" i="22"/>
  <c r="AM798" i="22"/>
  <c r="AM799" i="22"/>
  <c r="AM800" i="22"/>
  <c r="AM801" i="22"/>
  <c r="AM802" i="22"/>
  <c r="AM803" i="22"/>
  <c r="AM804" i="22"/>
  <c r="AM805" i="22"/>
  <c r="AM806" i="22"/>
  <c r="AM807" i="22"/>
  <c r="AM808" i="22"/>
  <c r="AM809" i="22"/>
  <c r="AM810" i="22"/>
  <c r="AM811" i="22"/>
  <c r="AM812" i="22"/>
  <c r="AM813" i="22"/>
  <c r="AM814" i="22"/>
  <c r="AM815" i="22"/>
  <c r="AM816" i="22"/>
  <c r="AM817" i="22"/>
  <c r="AM818" i="22"/>
  <c r="AM819" i="22"/>
  <c r="AM820" i="22"/>
  <c r="AM821" i="22"/>
  <c r="AM822" i="22"/>
  <c r="AM823" i="22"/>
  <c r="AM824" i="22"/>
  <c r="AM825" i="22"/>
  <c r="AM826" i="22"/>
  <c r="AM827" i="22"/>
  <c r="AM828" i="22"/>
  <c r="AM829" i="22"/>
  <c r="AM830" i="22"/>
  <c r="AM831" i="22"/>
  <c r="AM832" i="22"/>
  <c r="AM833" i="22"/>
  <c r="AM834" i="22"/>
  <c r="AM835" i="22"/>
  <c r="AM836" i="22"/>
  <c r="AM837" i="22"/>
  <c r="AM838" i="22"/>
  <c r="AM839" i="22"/>
  <c r="AM840" i="22"/>
  <c r="AM841" i="22"/>
  <c r="AM842" i="22"/>
  <c r="AM843" i="22"/>
  <c r="AM844" i="22"/>
  <c r="AM845" i="22"/>
  <c r="AM846" i="22"/>
  <c r="AM847" i="22"/>
  <c r="AM848" i="22"/>
  <c r="AM849" i="22"/>
  <c r="AM850" i="22"/>
  <c r="AM851" i="22"/>
  <c r="AM852" i="22"/>
  <c r="AM853" i="22"/>
  <c r="AM854" i="22"/>
  <c r="AM855" i="22"/>
  <c r="AM856" i="22"/>
  <c r="AM857" i="22"/>
  <c r="AM858" i="22"/>
  <c r="AM859" i="22"/>
  <c r="AM860" i="22"/>
  <c r="AM861" i="22"/>
  <c r="AM862" i="22"/>
  <c r="AM863" i="22"/>
  <c r="AM864" i="22"/>
  <c r="AM865" i="22"/>
  <c r="AM866" i="22"/>
  <c r="AM867" i="22"/>
  <c r="AM868" i="22"/>
  <c r="AM869" i="22"/>
  <c r="AM870" i="22"/>
  <c r="AM871" i="22"/>
  <c r="AM872" i="22"/>
  <c r="AM873" i="22"/>
  <c r="AM874" i="22"/>
  <c r="AM875" i="22"/>
  <c r="AM876" i="22"/>
  <c r="AM877" i="22"/>
  <c r="AM878" i="22"/>
  <c r="AM879" i="22"/>
  <c r="AM880" i="22"/>
  <c r="AM881" i="22"/>
  <c r="AM882" i="22"/>
  <c r="AM883" i="22"/>
  <c r="AM884" i="22"/>
  <c r="AM885" i="22"/>
  <c r="AM886" i="22"/>
  <c r="AM887" i="22"/>
  <c r="AM888" i="22"/>
  <c r="AM889" i="22"/>
  <c r="AM890" i="22"/>
  <c r="AM891" i="22"/>
  <c r="AM892" i="22"/>
  <c r="AM893" i="22"/>
  <c r="AM894" i="22"/>
  <c r="AM895" i="22"/>
  <c r="AM896" i="22"/>
  <c r="AM897" i="22"/>
  <c r="AM898" i="22"/>
  <c r="AM899" i="22"/>
  <c r="AM900" i="22"/>
  <c r="AM901" i="22"/>
  <c r="AM902" i="22"/>
  <c r="AM903" i="22"/>
  <c r="AM904" i="22"/>
  <c r="AM905" i="22"/>
  <c r="AM906" i="22"/>
  <c r="AM907" i="22"/>
  <c r="AM908" i="22"/>
  <c r="AM909" i="22"/>
  <c r="AM910" i="22"/>
  <c r="AM911" i="22"/>
  <c r="AM912" i="22"/>
  <c r="AM913" i="22"/>
  <c r="AM914" i="22"/>
  <c r="AM915" i="22"/>
  <c r="AM916" i="22"/>
  <c r="AM917" i="22"/>
  <c r="AM918" i="22"/>
  <c r="AM919" i="22"/>
  <c r="AM920" i="22"/>
  <c r="AM921" i="22"/>
  <c r="AM922" i="22"/>
  <c r="AM923" i="22"/>
  <c r="AM924" i="22"/>
  <c r="AM925" i="22"/>
  <c r="AM926" i="22"/>
  <c r="AM927" i="22"/>
  <c r="AM928" i="22"/>
  <c r="AM929" i="22"/>
  <c r="AM930" i="22"/>
  <c r="AM931" i="22"/>
  <c r="AM932" i="22"/>
  <c r="AM933" i="22"/>
  <c r="AM934" i="22"/>
  <c r="AM935" i="22"/>
  <c r="AM936" i="22"/>
  <c r="AM937" i="22"/>
  <c r="AM938" i="22"/>
  <c r="AM939" i="22"/>
  <c r="AM940" i="22"/>
  <c r="AM941" i="22"/>
  <c r="AM942" i="22"/>
  <c r="AM943" i="22"/>
  <c r="AM944" i="22"/>
  <c r="AM945" i="22"/>
  <c r="AM946" i="22"/>
  <c r="AM947" i="22"/>
  <c r="AM948" i="22"/>
  <c r="AM949" i="22"/>
  <c r="AM950" i="22"/>
  <c r="AM951" i="22"/>
  <c r="AM952" i="22"/>
  <c r="AM953" i="22"/>
  <c r="AM954" i="22"/>
  <c r="AM955" i="22"/>
  <c r="AM956" i="22"/>
  <c r="AM957" i="22"/>
  <c r="AM958" i="22"/>
  <c r="AM959" i="22"/>
  <c r="AM960" i="22"/>
  <c r="AM961" i="22"/>
  <c r="AM962" i="22"/>
  <c r="AM963" i="22"/>
  <c r="AM964" i="22"/>
  <c r="AM965" i="22"/>
  <c r="AM966" i="22"/>
  <c r="AM967" i="22"/>
  <c r="AM32" i="22"/>
  <c r="AL872" i="22"/>
  <c r="AL873" i="22"/>
  <c r="AL874" i="22"/>
  <c r="AL875" i="22"/>
  <c r="AL876" i="22"/>
  <c r="AL877" i="22"/>
  <c r="AL878" i="22"/>
  <c r="AL879" i="22"/>
  <c r="AL880" i="22"/>
  <c r="AL881" i="22"/>
  <c r="AL882" i="22"/>
  <c r="AL883" i="22"/>
  <c r="AL884" i="22"/>
  <c r="AL885" i="22"/>
  <c r="AL886" i="22"/>
  <c r="AL887" i="22"/>
  <c r="AL888" i="22"/>
  <c r="AL889" i="22"/>
  <c r="AL890" i="22"/>
  <c r="AL891" i="22"/>
  <c r="AL892" i="22"/>
  <c r="AL893" i="22"/>
  <c r="AL894" i="22"/>
  <c r="AL895" i="22"/>
  <c r="AL896" i="22"/>
  <c r="AL897" i="22"/>
  <c r="AL898" i="22"/>
  <c r="AL899" i="22"/>
  <c r="AL900" i="22"/>
  <c r="AL901" i="22"/>
  <c r="AL902" i="22"/>
  <c r="AL903" i="22"/>
  <c r="AL904" i="22"/>
  <c r="AL905" i="22"/>
  <c r="AL906" i="22"/>
  <c r="AL907" i="22"/>
  <c r="AL908" i="22"/>
  <c r="AL909" i="22"/>
  <c r="AL910" i="22"/>
  <c r="AL911" i="22"/>
  <c r="AL912" i="22"/>
  <c r="AL913" i="22"/>
  <c r="AL914" i="22"/>
  <c r="AL915" i="22"/>
  <c r="AL916" i="22"/>
  <c r="AL917" i="22"/>
  <c r="AL918" i="22"/>
  <c r="AL919" i="22"/>
  <c r="AL920" i="22"/>
  <c r="AL921" i="22"/>
  <c r="AL922" i="22"/>
  <c r="AL923" i="22"/>
  <c r="AL924" i="22"/>
  <c r="AL925" i="22"/>
  <c r="AL926" i="22"/>
  <c r="AL927" i="22"/>
  <c r="AL928" i="22"/>
  <c r="AL929" i="22"/>
  <c r="AL930" i="22"/>
  <c r="AL931" i="22"/>
  <c r="AL932" i="22"/>
  <c r="AL933" i="22"/>
  <c r="AL934" i="22"/>
  <c r="AL935" i="22"/>
  <c r="AL936" i="22"/>
  <c r="AL937" i="22"/>
  <c r="AL938" i="22"/>
  <c r="AL939" i="22"/>
  <c r="AL940" i="22"/>
  <c r="AL941" i="22"/>
  <c r="AL942" i="22"/>
  <c r="AL943" i="22"/>
  <c r="AL944" i="22"/>
  <c r="AL945" i="22"/>
  <c r="AL946" i="22"/>
  <c r="AL947" i="22"/>
  <c r="AL948" i="22"/>
  <c r="AL949" i="22"/>
  <c r="AL950" i="22"/>
  <c r="AL951" i="22"/>
  <c r="AL952" i="22"/>
  <c r="AL953" i="22"/>
  <c r="AL954" i="22"/>
  <c r="AL955" i="22"/>
  <c r="AL956" i="22"/>
  <c r="AL957" i="22"/>
  <c r="AL958" i="22"/>
  <c r="AL959" i="22"/>
  <c r="AL960" i="22"/>
  <c r="AL961" i="22"/>
  <c r="AL962" i="22"/>
  <c r="AL963" i="22"/>
  <c r="AL964" i="22"/>
  <c r="AL965" i="22"/>
  <c r="AL966" i="22"/>
  <c r="AL967" i="22"/>
  <c r="AL34" i="22"/>
  <c r="AL35" i="22"/>
  <c r="AL36" i="22"/>
  <c r="AL37" i="22"/>
  <c r="AL38" i="22"/>
  <c r="AL39" i="22"/>
  <c r="AL40" i="22"/>
  <c r="AL41" i="22"/>
  <c r="AL42" i="22"/>
  <c r="AL43" i="22"/>
  <c r="AL44" i="22"/>
  <c r="AL45" i="22"/>
  <c r="AL46" i="22"/>
  <c r="AL47" i="22"/>
  <c r="AL48" i="22"/>
  <c r="AL49" i="22"/>
  <c r="AL50" i="22"/>
  <c r="AL51" i="22"/>
  <c r="AL52" i="22"/>
  <c r="AL53" i="22"/>
  <c r="AL54" i="22"/>
  <c r="AL55" i="22"/>
  <c r="AL56" i="22"/>
  <c r="AL57" i="22"/>
  <c r="AL58" i="22"/>
  <c r="AL59" i="22"/>
  <c r="AL60" i="22"/>
  <c r="AL61" i="22"/>
  <c r="AL62" i="22"/>
  <c r="AL63" i="22"/>
  <c r="AL64" i="22"/>
  <c r="AL65" i="22"/>
  <c r="AL66" i="22"/>
  <c r="AL67" i="22"/>
  <c r="AL68" i="22"/>
  <c r="AL69" i="22"/>
  <c r="AL70" i="22"/>
  <c r="AL71" i="22"/>
  <c r="AL72" i="22"/>
  <c r="AL73" i="22"/>
  <c r="AL74" i="22"/>
  <c r="AL75" i="22"/>
  <c r="AL76" i="22"/>
  <c r="AL77" i="22"/>
  <c r="AL78" i="22"/>
  <c r="AL79" i="22"/>
  <c r="AL80" i="22"/>
  <c r="AL81" i="22"/>
  <c r="AL82" i="22"/>
  <c r="AL83" i="22"/>
  <c r="AL84" i="22"/>
  <c r="AL85" i="22"/>
  <c r="AL86" i="22"/>
  <c r="AL87" i="22"/>
  <c r="AL88" i="22"/>
  <c r="AL89" i="22"/>
  <c r="AL90" i="22"/>
  <c r="AL91" i="22"/>
  <c r="AL92" i="22"/>
  <c r="AL93" i="22"/>
  <c r="AL94" i="22"/>
  <c r="AL95" i="22"/>
  <c r="AL96" i="22"/>
  <c r="AL97" i="22"/>
  <c r="AL98" i="22"/>
  <c r="AL99" i="22"/>
  <c r="AL100" i="22"/>
  <c r="AL101" i="22"/>
  <c r="AL102" i="22"/>
  <c r="AL103" i="22"/>
  <c r="AL104" i="22"/>
  <c r="AL105" i="22"/>
  <c r="AL106" i="22"/>
  <c r="AL107" i="22"/>
  <c r="AL108" i="22"/>
  <c r="AL109" i="22"/>
  <c r="AL110" i="22"/>
  <c r="AL111" i="22"/>
  <c r="AL112" i="22"/>
  <c r="AL113" i="22"/>
  <c r="AL114" i="22"/>
  <c r="AL115" i="22"/>
  <c r="AL116" i="22"/>
  <c r="AL117" i="22"/>
  <c r="AL118" i="22"/>
  <c r="AL119" i="22"/>
  <c r="AL120" i="22"/>
  <c r="AL121" i="22"/>
  <c r="AL122" i="22"/>
  <c r="AL123" i="22"/>
  <c r="AL124" i="22"/>
  <c r="AL125" i="22"/>
  <c r="AL126" i="22"/>
  <c r="AL127" i="22"/>
  <c r="AL128" i="22"/>
  <c r="AL129" i="22"/>
  <c r="AL130" i="22"/>
  <c r="AL131" i="22"/>
  <c r="AL132" i="22"/>
  <c r="AL133" i="22"/>
  <c r="AL134" i="22"/>
  <c r="AL135" i="22"/>
  <c r="AL136" i="22"/>
  <c r="AL137" i="22"/>
  <c r="AL138" i="22"/>
  <c r="AL139" i="22"/>
  <c r="AL140" i="22"/>
  <c r="AL141" i="22"/>
  <c r="AL142" i="22"/>
  <c r="AL143" i="22"/>
  <c r="AL144" i="22"/>
  <c r="AL145" i="22"/>
  <c r="AL146" i="22"/>
  <c r="AL147" i="22"/>
  <c r="AL148" i="22"/>
  <c r="AL149" i="22"/>
  <c r="AL150" i="22"/>
  <c r="AL151" i="22"/>
  <c r="AL152" i="22"/>
  <c r="AL153" i="22"/>
  <c r="AL154" i="22"/>
  <c r="AL155" i="22"/>
  <c r="AL156" i="22"/>
  <c r="AL157" i="22"/>
  <c r="AL158" i="22"/>
  <c r="AL159" i="22"/>
  <c r="AL160" i="22"/>
  <c r="AL161" i="22"/>
  <c r="AL162" i="22"/>
  <c r="AL163" i="22"/>
  <c r="AL164" i="22"/>
  <c r="AL165" i="22"/>
  <c r="AL166" i="22"/>
  <c r="AL167" i="22"/>
  <c r="AL168" i="22"/>
  <c r="AL169" i="22"/>
  <c r="AL170" i="22"/>
  <c r="AL171" i="22"/>
  <c r="AL172" i="22"/>
  <c r="AL173" i="22"/>
  <c r="AL174" i="22"/>
  <c r="AL175" i="22"/>
  <c r="AL176" i="22"/>
  <c r="AL177" i="22"/>
  <c r="AL178" i="22"/>
  <c r="AL179" i="22"/>
  <c r="AL180" i="22"/>
  <c r="AL181" i="22"/>
  <c r="AL182" i="22"/>
  <c r="AL183" i="22"/>
  <c r="AL184" i="22"/>
  <c r="AL185" i="22"/>
  <c r="AL186" i="22"/>
  <c r="AL187" i="22"/>
  <c r="AL188" i="22"/>
  <c r="AL189" i="22"/>
  <c r="AL190" i="22"/>
  <c r="AL191" i="22"/>
  <c r="AL192" i="22"/>
  <c r="AL193" i="22"/>
  <c r="AL194" i="22"/>
  <c r="AL195" i="22"/>
  <c r="AL196" i="22"/>
  <c r="AL197" i="22"/>
  <c r="AL198" i="22"/>
  <c r="AL199" i="22"/>
  <c r="AL200" i="22"/>
  <c r="AL201" i="22"/>
  <c r="AL202" i="22"/>
  <c r="AL203" i="22"/>
  <c r="AL204" i="22"/>
  <c r="AL205" i="22"/>
  <c r="AL206" i="22"/>
  <c r="AL207" i="22"/>
  <c r="AL208" i="22"/>
  <c r="AL209" i="22"/>
  <c r="AL210" i="22"/>
  <c r="AL211" i="22"/>
  <c r="AL212" i="22"/>
  <c r="AL213" i="22"/>
  <c r="AL214" i="22"/>
  <c r="AL215" i="22"/>
  <c r="AL216" i="22"/>
  <c r="AL217" i="22"/>
  <c r="AL218" i="22"/>
  <c r="AL219" i="22"/>
  <c r="AL220" i="22"/>
  <c r="AL221" i="22"/>
  <c r="AL222" i="22"/>
  <c r="AL223" i="22"/>
  <c r="AL224" i="22"/>
  <c r="AL225" i="22"/>
  <c r="AL226" i="22"/>
  <c r="AL227" i="22"/>
  <c r="AL228" i="22"/>
  <c r="AL229" i="22"/>
  <c r="AL230" i="22"/>
  <c r="AL231" i="22"/>
  <c r="AL232" i="22"/>
  <c r="AL233" i="22"/>
  <c r="AL234" i="22"/>
  <c r="AL235" i="22"/>
  <c r="AL236" i="22"/>
  <c r="AL237" i="22"/>
  <c r="AL238" i="22"/>
  <c r="AL239" i="22"/>
  <c r="AL240" i="22"/>
  <c r="AL241" i="22"/>
  <c r="AL242" i="22"/>
  <c r="AL243" i="22"/>
  <c r="AL244" i="22"/>
  <c r="AL245" i="22"/>
  <c r="AL246" i="22"/>
  <c r="AL247" i="22"/>
  <c r="AL248" i="22"/>
  <c r="AL249" i="22"/>
  <c r="AL250" i="22"/>
  <c r="AL251" i="22"/>
  <c r="AL252" i="22"/>
  <c r="AL253" i="22"/>
  <c r="AL254" i="22"/>
  <c r="AL255" i="22"/>
  <c r="AL256" i="22"/>
  <c r="AL257" i="22"/>
  <c r="AL258" i="22"/>
  <c r="AL259" i="22"/>
  <c r="AL260" i="22"/>
  <c r="AL261" i="22"/>
  <c r="AL262" i="22"/>
  <c r="AL263" i="22"/>
  <c r="AL264" i="22"/>
  <c r="AL265" i="22"/>
  <c r="AL266" i="22"/>
  <c r="AL267" i="22"/>
  <c r="AL268" i="22"/>
  <c r="AL269" i="22"/>
  <c r="AL270" i="22"/>
  <c r="AL271" i="22"/>
  <c r="AL272" i="22"/>
  <c r="AL273" i="22"/>
  <c r="AL274" i="22"/>
  <c r="AL275" i="22"/>
  <c r="AL276" i="22"/>
  <c r="AL277" i="22"/>
  <c r="AL278" i="22"/>
  <c r="AL279" i="22"/>
  <c r="AL280" i="22"/>
  <c r="AL281" i="22"/>
  <c r="AL282" i="22"/>
  <c r="AL283" i="22"/>
  <c r="AL284" i="22"/>
  <c r="AL285" i="22"/>
  <c r="AL286" i="22"/>
  <c r="AL287" i="22"/>
  <c r="AL288" i="22"/>
  <c r="AL289" i="22"/>
  <c r="AL290" i="22"/>
  <c r="AL291" i="22"/>
  <c r="AL292" i="22"/>
  <c r="AL293" i="22"/>
  <c r="AL294" i="22"/>
  <c r="AL295" i="22"/>
  <c r="AL296" i="22"/>
  <c r="AL297" i="22"/>
  <c r="AL298" i="22"/>
  <c r="AL299" i="22"/>
  <c r="AL300" i="22"/>
  <c r="AL301" i="22"/>
  <c r="AL302" i="22"/>
  <c r="AL303" i="22"/>
  <c r="AL304" i="22"/>
  <c r="AL305" i="22"/>
  <c r="AL306" i="22"/>
  <c r="AL307" i="22"/>
  <c r="AL308" i="22"/>
  <c r="AL309" i="22"/>
  <c r="AL310" i="22"/>
  <c r="AL311" i="22"/>
  <c r="AL312" i="22"/>
  <c r="AL313" i="22"/>
  <c r="AL314" i="22"/>
  <c r="AL315" i="22"/>
  <c r="AL316" i="22"/>
  <c r="AL317" i="22"/>
  <c r="AL318" i="22"/>
  <c r="AL319" i="22"/>
  <c r="AL320" i="22"/>
  <c r="AL321" i="22"/>
  <c r="AL322" i="22"/>
  <c r="AL323" i="22"/>
  <c r="AL324" i="22"/>
  <c r="AL325" i="22"/>
  <c r="AL326" i="22"/>
  <c r="AL327" i="22"/>
  <c r="AL328" i="22"/>
  <c r="AL329" i="22"/>
  <c r="AL330" i="22"/>
  <c r="AL331" i="22"/>
  <c r="AL332" i="22"/>
  <c r="AL333" i="22"/>
  <c r="AL334" i="22"/>
  <c r="AL335" i="22"/>
  <c r="AL336" i="22"/>
  <c r="AL337" i="22"/>
  <c r="AL338" i="22"/>
  <c r="AL339" i="22"/>
  <c r="AL340" i="22"/>
  <c r="AL341" i="22"/>
  <c r="AL342" i="22"/>
  <c r="AL343" i="22"/>
  <c r="AL344" i="22"/>
  <c r="AL345" i="22"/>
  <c r="AL346" i="22"/>
  <c r="AL347" i="22"/>
  <c r="AL348" i="22"/>
  <c r="AL349" i="22"/>
  <c r="AL350" i="22"/>
  <c r="AL351" i="22"/>
  <c r="AL352" i="22"/>
  <c r="AL353" i="22"/>
  <c r="AL354" i="22"/>
  <c r="AL355" i="22"/>
  <c r="AL356" i="22"/>
  <c r="AL357" i="22"/>
  <c r="AL358" i="22"/>
  <c r="AL359" i="22"/>
  <c r="AL360" i="22"/>
  <c r="AL361" i="22"/>
  <c r="AL362" i="22"/>
  <c r="AL363" i="22"/>
  <c r="AL364" i="22"/>
  <c r="AL365" i="22"/>
  <c r="AL366" i="22"/>
  <c r="AL367" i="22"/>
  <c r="AL368" i="22"/>
  <c r="AL369" i="22"/>
  <c r="AL370" i="22"/>
  <c r="AL371" i="22"/>
  <c r="AL372" i="22"/>
  <c r="AL373" i="22"/>
  <c r="AL374" i="22"/>
  <c r="AL375" i="22"/>
  <c r="AL376" i="22"/>
  <c r="AL377" i="22"/>
  <c r="AL378" i="22"/>
  <c r="AL379" i="22"/>
  <c r="AL380" i="22"/>
  <c r="AL381" i="22"/>
  <c r="AL382" i="22"/>
  <c r="AL383" i="22"/>
  <c r="AL384" i="22"/>
  <c r="AL385" i="22"/>
  <c r="AL386" i="22"/>
  <c r="AL387" i="22"/>
  <c r="AL388" i="22"/>
  <c r="AL389" i="22"/>
  <c r="AL390" i="22"/>
  <c r="AL391" i="22"/>
  <c r="AL392" i="22"/>
  <c r="AL393" i="22"/>
  <c r="AL394" i="22"/>
  <c r="AL395" i="22"/>
  <c r="AL396" i="22"/>
  <c r="AL397" i="22"/>
  <c r="AL398" i="22"/>
  <c r="AL399" i="22"/>
  <c r="AL400" i="22"/>
  <c r="AL401" i="22"/>
  <c r="AL402" i="22"/>
  <c r="AL403" i="22"/>
  <c r="AL404" i="22"/>
  <c r="AL405" i="22"/>
  <c r="AL406" i="22"/>
  <c r="AL407" i="22"/>
  <c r="AL408" i="22"/>
  <c r="AL409" i="22"/>
  <c r="AL410" i="22"/>
  <c r="AL411" i="22"/>
  <c r="AL412" i="22"/>
  <c r="AL413" i="22"/>
  <c r="AL414" i="22"/>
  <c r="AL415" i="22"/>
  <c r="AL416" i="22"/>
  <c r="AL417" i="22"/>
  <c r="AL418" i="22"/>
  <c r="AL419" i="22"/>
  <c r="AL420" i="22"/>
  <c r="AL421" i="22"/>
  <c r="AL422" i="22"/>
  <c r="AL423" i="22"/>
  <c r="AL424" i="22"/>
  <c r="AL425" i="22"/>
  <c r="AL426" i="22"/>
  <c r="AL427" i="22"/>
  <c r="AL428" i="22"/>
  <c r="AL429" i="22"/>
  <c r="AL430" i="22"/>
  <c r="AL431" i="22"/>
  <c r="AL432" i="22"/>
  <c r="AL433" i="22"/>
  <c r="AL434" i="22"/>
  <c r="AL435" i="22"/>
  <c r="AL436" i="22"/>
  <c r="AL437" i="22"/>
  <c r="AL438" i="22"/>
  <c r="AL439" i="22"/>
  <c r="AL440" i="22"/>
  <c r="AL441" i="22"/>
  <c r="AL442" i="22"/>
  <c r="AL443" i="22"/>
  <c r="AL444" i="22"/>
  <c r="AL445" i="22"/>
  <c r="AL446" i="22"/>
  <c r="AL447" i="22"/>
  <c r="AL448" i="22"/>
  <c r="AL449" i="22"/>
  <c r="AL450" i="22"/>
  <c r="AL451" i="22"/>
  <c r="AL452" i="22"/>
  <c r="AL453" i="22"/>
  <c r="AL454" i="22"/>
  <c r="AL455" i="22"/>
  <c r="AL456" i="22"/>
  <c r="AL457" i="22"/>
  <c r="AL458" i="22"/>
  <c r="AL459" i="22"/>
  <c r="AL460" i="22"/>
  <c r="AL461" i="22"/>
  <c r="AL462" i="22"/>
  <c r="AL463" i="22"/>
  <c r="AL464" i="22"/>
  <c r="AL465" i="22"/>
  <c r="AL466" i="22"/>
  <c r="AL467" i="22"/>
  <c r="AL468" i="22"/>
  <c r="AL469" i="22"/>
  <c r="AL470" i="22"/>
  <c r="AL471" i="22"/>
  <c r="AL472" i="22"/>
  <c r="AL473" i="22"/>
  <c r="AL474" i="22"/>
  <c r="AL475" i="22"/>
  <c r="AL476" i="22"/>
  <c r="AL477" i="22"/>
  <c r="AL478" i="22"/>
  <c r="AL479" i="22"/>
  <c r="AL480" i="22"/>
  <c r="AL481" i="22"/>
  <c r="AL482" i="22"/>
  <c r="AL483" i="22"/>
  <c r="AL484" i="22"/>
  <c r="AL485" i="22"/>
  <c r="AL486" i="22"/>
  <c r="AL487" i="22"/>
  <c r="AL488" i="22"/>
  <c r="AL489" i="22"/>
  <c r="AL490" i="22"/>
  <c r="AL491" i="22"/>
  <c r="AL492" i="22"/>
  <c r="AL493" i="22"/>
  <c r="AL494" i="22"/>
  <c r="AL495" i="22"/>
  <c r="AL496" i="22"/>
  <c r="AL497" i="22"/>
  <c r="AL498" i="22"/>
  <c r="AL499" i="22"/>
  <c r="AL500" i="22"/>
  <c r="AL501" i="22"/>
  <c r="AL502" i="22"/>
  <c r="AL503" i="22"/>
  <c r="AL504" i="22"/>
  <c r="AL505" i="22"/>
  <c r="AL506" i="22"/>
  <c r="AL507" i="22"/>
  <c r="AL508" i="22"/>
  <c r="AL509" i="22"/>
  <c r="AL510" i="22"/>
  <c r="AL511" i="22"/>
  <c r="AL512" i="22"/>
  <c r="AL513" i="22"/>
  <c r="AL514" i="22"/>
  <c r="AL515" i="22"/>
  <c r="AL516" i="22"/>
  <c r="AL517" i="22"/>
  <c r="AL518" i="22"/>
  <c r="AL519" i="22"/>
  <c r="AL520" i="22"/>
  <c r="AL521" i="22"/>
  <c r="AL522" i="22"/>
  <c r="AL523" i="22"/>
  <c r="AL524" i="22"/>
  <c r="AL525" i="22"/>
  <c r="AL526" i="22"/>
  <c r="AL527" i="22"/>
  <c r="AL528" i="22"/>
  <c r="AL529" i="22"/>
  <c r="AL530" i="22"/>
  <c r="AL531" i="22"/>
  <c r="AL532" i="22"/>
  <c r="AL533" i="22"/>
  <c r="AL534" i="22"/>
  <c r="AL535" i="22"/>
  <c r="AL536" i="22"/>
  <c r="AL537" i="22"/>
  <c r="AL538" i="22"/>
  <c r="AL539" i="22"/>
  <c r="AL540" i="22"/>
  <c r="AL541" i="22"/>
  <c r="AL542" i="22"/>
  <c r="AL543" i="22"/>
  <c r="AL544" i="22"/>
  <c r="AL545" i="22"/>
  <c r="AL546" i="22"/>
  <c r="AL547" i="22"/>
  <c r="AL548" i="22"/>
  <c r="AL549" i="22"/>
  <c r="AL550" i="22"/>
  <c r="AL551" i="22"/>
  <c r="AL552" i="22"/>
  <c r="AL553" i="22"/>
  <c r="AL554" i="22"/>
  <c r="AL555" i="22"/>
  <c r="AL556" i="22"/>
  <c r="AL557" i="22"/>
  <c r="AL558" i="22"/>
  <c r="AL559" i="22"/>
  <c r="AL560" i="22"/>
  <c r="AL561" i="22"/>
  <c r="AL562" i="22"/>
  <c r="AL563" i="22"/>
  <c r="AL564" i="22"/>
  <c r="AL565" i="22"/>
  <c r="AL566" i="22"/>
  <c r="AL567" i="22"/>
  <c r="AL568" i="22"/>
  <c r="AL569" i="22"/>
  <c r="AL570" i="22"/>
  <c r="AL571" i="22"/>
  <c r="AL572" i="22"/>
  <c r="AL573" i="22"/>
  <c r="AL574" i="22"/>
  <c r="AL575" i="22"/>
  <c r="AL576" i="22"/>
  <c r="AL577" i="22"/>
  <c r="AL578" i="22"/>
  <c r="AL579" i="22"/>
  <c r="AL580" i="22"/>
  <c r="AL581" i="22"/>
  <c r="AL582" i="22"/>
  <c r="AL583" i="22"/>
  <c r="AL584" i="22"/>
  <c r="AL585" i="22"/>
  <c r="AL586" i="22"/>
  <c r="AL587" i="22"/>
  <c r="AL588" i="22"/>
  <c r="AL589" i="22"/>
  <c r="AL590" i="22"/>
  <c r="AL591" i="22"/>
  <c r="AL592" i="22"/>
  <c r="AL593" i="22"/>
  <c r="AL594" i="22"/>
  <c r="AL595" i="22"/>
  <c r="AL596" i="22"/>
  <c r="AL597" i="22"/>
  <c r="AL598" i="22"/>
  <c r="AL599" i="22"/>
  <c r="AL600" i="22"/>
  <c r="AL601" i="22"/>
  <c r="AL602" i="22"/>
  <c r="AL603" i="22"/>
  <c r="AL604" i="22"/>
  <c r="AL605" i="22"/>
  <c r="AL606" i="22"/>
  <c r="AL607" i="22"/>
  <c r="AL608" i="22"/>
  <c r="AL609" i="22"/>
  <c r="AL610" i="22"/>
  <c r="AL611" i="22"/>
  <c r="AL612" i="22"/>
  <c r="AL613" i="22"/>
  <c r="AL614" i="22"/>
  <c r="AL615" i="22"/>
  <c r="AL616" i="22"/>
  <c r="AL617" i="22"/>
  <c r="AL618" i="22"/>
  <c r="AL619" i="22"/>
  <c r="AL620" i="22"/>
  <c r="AL621" i="22"/>
  <c r="AL622" i="22"/>
  <c r="AL623" i="22"/>
  <c r="AL624" i="22"/>
  <c r="AL625" i="22"/>
  <c r="AL626" i="22"/>
  <c r="AL627" i="22"/>
  <c r="AL628" i="22"/>
  <c r="AL629" i="22"/>
  <c r="AL630" i="22"/>
  <c r="AL631" i="22"/>
  <c r="AL632" i="22"/>
  <c r="AL633" i="22"/>
  <c r="AL634" i="22"/>
  <c r="AL635" i="22"/>
  <c r="AL636" i="22"/>
  <c r="AL637" i="22"/>
  <c r="AL638" i="22"/>
  <c r="AL639" i="22"/>
  <c r="AL640" i="22"/>
  <c r="AL641" i="22"/>
  <c r="AL642" i="22"/>
  <c r="AL643" i="22"/>
  <c r="AL644" i="22"/>
  <c r="AL645" i="22"/>
  <c r="AL646" i="22"/>
  <c r="AL647" i="22"/>
  <c r="AL648" i="22"/>
  <c r="AL649" i="22"/>
  <c r="AL650" i="22"/>
  <c r="AL651" i="22"/>
  <c r="AL652" i="22"/>
  <c r="AL653" i="22"/>
  <c r="AL654" i="22"/>
  <c r="AL655" i="22"/>
  <c r="AL656" i="22"/>
  <c r="AL657" i="22"/>
  <c r="AL658" i="22"/>
  <c r="AL659" i="22"/>
  <c r="AL660" i="22"/>
  <c r="AL661" i="22"/>
  <c r="AL662" i="22"/>
  <c r="AL663" i="22"/>
  <c r="AL664" i="22"/>
  <c r="AL665" i="22"/>
  <c r="AL666" i="22"/>
  <c r="AL667" i="22"/>
  <c r="AL668" i="22"/>
  <c r="AL669" i="22"/>
  <c r="AL670" i="22"/>
  <c r="AL671" i="22"/>
  <c r="AL672" i="22"/>
  <c r="AL673" i="22"/>
  <c r="AL674" i="22"/>
  <c r="AL675" i="22"/>
  <c r="AL676" i="22"/>
  <c r="AL677" i="22"/>
  <c r="AL678" i="22"/>
  <c r="AL679" i="22"/>
  <c r="AL680" i="22"/>
  <c r="AL681" i="22"/>
  <c r="AL682" i="22"/>
  <c r="AL683" i="22"/>
  <c r="AL684" i="22"/>
  <c r="AL685" i="22"/>
  <c r="AL686" i="22"/>
  <c r="AL687" i="22"/>
  <c r="AL688" i="22"/>
  <c r="AL689" i="22"/>
  <c r="AL690" i="22"/>
  <c r="AL691" i="22"/>
  <c r="AL692" i="22"/>
  <c r="AL693" i="22"/>
  <c r="AL694" i="22"/>
  <c r="AL695" i="22"/>
  <c r="AL696" i="22"/>
  <c r="AL697" i="22"/>
  <c r="AL698" i="22"/>
  <c r="AL699" i="22"/>
  <c r="AL700" i="22"/>
  <c r="AL701" i="22"/>
  <c r="AL702" i="22"/>
  <c r="AL703" i="22"/>
  <c r="AL704" i="22"/>
  <c r="AL705" i="22"/>
  <c r="AL706" i="22"/>
  <c r="AL707" i="22"/>
  <c r="AL708" i="22"/>
  <c r="AL709" i="22"/>
  <c r="AL710" i="22"/>
  <c r="AL711" i="22"/>
  <c r="AL712" i="22"/>
  <c r="AL713" i="22"/>
  <c r="AL714" i="22"/>
  <c r="AL715" i="22"/>
  <c r="AL716" i="22"/>
  <c r="AL717" i="22"/>
  <c r="AL718" i="22"/>
  <c r="AL719" i="22"/>
  <c r="AL720" i="22"/>
  <c r="AL721" i="22"/>
  <c r="AL722" i="22"/>
  <c r="AL723" i="22"/>
  <c r="AL724" i="22"/>
  <c r="AL725" i="22"/>
  <c r="AL726" i="22"/>
  <c r="AL727" i="22"/>
  <c r="AL728" i="22"/>
  <c r="AL729" i="22"/>
  <c r="AL730" i="22"/>
  <c r="AL731" i="22"/>
  <c r="AL732" i="22"/>
  <c r="AL733" i="22"/>
  <c r="AL734" i="22"/>
  <c r="AL735" i="22"/>
  <c r="AL736" i="22"/>
  <c r="AL737" i="22"/>
  <c r="AL738" i="22"/>
  <c r="AL739" i="22"/>
  <c r="AL740" i="22"/>
  <c r="AL741" i="22"/>
  <c r="AL742" i="22"/>
  <c r="AL743" i="22"/>
  <c r="AL744" i="22"/>
  <c r="AL745" i="22"/>
  <c r="AL746" i="22"/>
  <c r="AL747" i="22"/>
  <c r="AL748" i="22"/>
  <c r="AL749" i="22"/>
  <c r="AL750" i="22"/>
  <c r="AL751" i="22"/>
  <c r="AL752" i="22"/>
  <c r="AL753" i="22"/>
  <c r="AL754" i="22"/>
  <c r="AL755" i="22"/>
  <c r="AL756" i="22"/>
  <c r="AL757" i="22"/>
  <c r="AL758" i="22"/>
  <c r="AL759" i="22"/>
  <c r="AL760" i="22"/>
  <c r="AL761" i="22"/>
  <c r="AL762" i="22"/>
  <c r="AL763" i="22"/>
  <c r="AL764" i="22"/>
  <c r="AL765" i="22"/>
  <c r="AL766" i="22"/>
  <c r="AL767" i="22"/>
  <c r="AL768" i="22"/>
  <c r="AL769" i="22"/>
  <c r="AL770" i="22"/>
  <c r="AL771" i="22"/>
  <c r="AL772" i="22"/>
  <c r="AL773" i="22"/>
  <c r="AL774" i="22"/>
  <c r="AL775" i="22"/>
  <c r="AL776" i="22"/>
  <c r="AL777" i="22"/>
  <c r="AL778" i="22"/>
  <c r="AL779" i="22"/>
  <c r="AL780" i="22"/>
  <c r="AL781" i="22"/>
  <c r="AL782" i="22"/>
  <c r="AL783" i="22"/>
  <c r="AL784" i="22"/>
  <c r="AL785" i="22"/>
  <c r="AL786" i="22"/>
  <c r="AL787" i="22"/>
  <c r="AL788" i="22"/>
  <c r="AL789" i="22"/>
  <c r="AL790" i="22"/>
  <c r="AL791" i="22"/>
  <c r="AL792" i="22"/>
  <c r="AL793" i="22"/>
  <c r="AL794" i="22"/>
  <c r="AL795" i="22"/>
  <c r="AL796" i="22"/>
  <c r="AL797" i="22"/>
  <c r="AL798" i="22"/>
  <c r="AL799" i="22"/>
  <c r="AL800" i="22"/>
  <c r="AL801" i="22"/>
  <c r="AL802" i="22"/>
  <c r="AL803" i="22"/>
  <c r="AL804" i="22"/>
  <c r="AL805" i="22"/>
  <c r="AL806" i="22"/>
  <c r="AL807" i="22"/>
  <c r="AL808" i="22"/>
  <c r="AL809" i="22"/>
  <c r="AL810" i="22"/>
  <c r="AL811" i="22"/>
  <c r="AL812" i="22"/>
  <c r="AL813" i="22"/>
  <c r="AL814" i="22"/>
  <c r="AL815" i="22"/>
  <c r="AL816" i="22"/>
  <c r="AL817" i="22"/>
  <c r="AL818" i="22"/>
  <c r="AL819" i="22"/>
  <c r="AL820" i="22"/>
  <c r="AL821" i="22"/>
  <c r="AL822" i="22"/>
  <c r="AL823" i="22"/>
  <c r="AL824" i="22"/>
  <c r="AL825" i="22"/>
  <c r="AL826" i="22"/>
  <c r="AL827" i="22"/>
  <c r="AL828" i="22"/>
  <c r="AL829" i="22"/>
  <c r="AL830" i="22"/>
  <c r="AL831" i="22"/>
  <c r="AL832" i="22"/>
  <c r="AL833" i="22"/>
  <c r="AL834" i="22"/>
  <c r="AL835" i="22"/>
  <c r="AL836" i="22"/>
  <c r="AL837" i="22"/>
  <c r="AL838" i="22"/>
  <c r="AL839" i="22"/>
  <c r="AL840" i="22"/>
  <c r="AL841" i="22"/>
  <c r="AL842" i="22"/>
  <c r="AL843" i="22"/>
  <c r="AL844" i="22"/>
  <c r="AL845" i="22"/>
  <c r="AL846" i="22"/>
  <c r="AL847" i="22"/>
  <c r="AL848" i="22"/>
  <c r="AL849" i="22"/>
  <c r="AL850" i="22"/>
  <c r="AL851" i="22"/>
  <c r="AL852" i="22"/>
  <c r="AL853" i="22"/>
  <c r="AL854" i="22"/>
  <c r="AL855" i="22"/>
  <c r="AL856" i="22"/>
  <c r="AL857" i="22"/>
  <c r="AL858" i="22"/>
  <c r="AL859" i="22"/>
  <c r="AL860" i="22"/>
  <c r="AL861" i="22"/>
  <c r="AL862" i="22"/>
  <c r="AL863" i="22"/>
  <c r="AL864" i="22"/>
  <c r="AL865" i="22"/>
  <c r="AL866" i="22"/>
  <c r="AL867" i="22"/>
  <c r="AL868" i="22"/>
  <c r="AL869" i="22"/>
  <c r="AL870" i="22"/>
  <c r="AL871" i="22"/>
  <c r="AL33" i="22"/>
  <c r="AL32" i="22"/>
  <c r="E394" i="57"/>
  <c r="E202" i="57"/>
  <c r="E24" i="57"/>
  <c r="E23" i="57"/>
  <c r="E16" i="57"/>
  <c r="E15" i="57"/>
  <c r="E14" i="57"/>
  <c r="E13" i="57"/>
  <c r="E7" i="57"/>
  <c r="E5" i="57"/>
  <c r="U456" i="22"/>
  <c r="U245" i="22"/>
  <c r="U53" i="22"/>
  <c r="U52" i="22"/>
  <c r="U45" i="22"/>
  <c r="U44" i="22"/>
  <c r="U43" i="22"/>
  <c r="U42" i="22"/>
  <c r="U35" i="22"/>
  <c r="U32" i="22"/>
  <c r="J120" i="57"/>
  <c r="I120" i="57"/>
  <c r="J98" i="57"/>
  <c r="I98" i="57"/>
  <c r="J53" i="57"/>
  <c r="I53" i="57"/>
  <c r="J40" i="57"/>
  <c r="I40" i="57"/>
  <c r="J28" i="57"/>
  <c r="I28" i="57"/>
  <c r="J10" i="57"/>
  <c r="I10" i="57"/>
  <c r="S7" i="57"/>
  <c r="S8" i="57"/>
  <c r="S9" i="57"/>
  <c r="S10" i="57"/>
  <c r="S11" i="57"/>
  <c r="S12" i="57"/>
  <c r="S13" i="57"/>
  <c r="S14" i="57"/>
  <c r="S15" i="57"/>
  <c r="S16" i="57"/>
  <c r="S17" i="57"/>
  <c r="S18" i="57"/>
  <c r="S19" i="57"/>
  <c r="S20" i="57"/>
  <c r="S21" i="57"/>
  <c r="S22" i="57"/>
  <c r="S23" i="57"/>
  <c r="S24" i="57"/>
  <c r="S25" i="57"/>
  <c r="S26" i="57"/>
  <c r="S27" i="57"/>
  <c r="S28" i="57"/>
  <c r="S29" i="57"/>
  <c r="S30" i="57"/>
  <c r="S31" i="57"/>
  <c r="S32" i="57"/>
  <c r="S33" i="57"/>
  <c r="S34" i="57"/>
  <c r="S35" i="57"/>
  <c r="S36" i="57"/>
  <c r="S37" i="57"/>
  <c r="S38" i="57"/>
  <c r="S39" i="57"/>
  <c r="S40" i="57"/>
  <c r="S41" i="57"/>
  <c r="S42" i="57"/>
  <c r="S43" i="57"/>
  <c r="S44" i="57"/>
  <c r="S45" i="57"/>
  <c r="S46" i="57"/>
  <c r="S47" i="57"/>
  <c r="S48" i="57"/>
  <c r="S49" i="57"/>
  <c r="S50" i="57"/>
  <c r="S51" i="57"/>
  <c r="S52" i="57"/>
  <c r="S53" i="57"/>
  <c r="S54" i="57"/>
  <c r="S55" i="57"/>
  <c r="S56" i="57"/>
  <c r="S57" i="57"/>
  <c r="S58" i="57"/>
  <c r="S59" i="57"/>
  <c r="S60" i="57"/>
  <c r="S61" i="57"/>
  <c r="S62" i="57"/>
  <c r="S63" i="57"/>
  <c r="S64" i="57"/>
  <c r="S65" i="57"/>
  <c r="S66" i="57"/>
  <c r="S67" i="57"/>
  <c r="S68" i="57"/>
  <c r="S69" i="57"/>
  <c r="S70" i="57"/>
  <c r="S71" i="57"/>
  <c r="S72" i="57"/>
  <c r="S73" i="57"/>
  <c r="S74" i="57"/>
  <c r="S75" i="57"/>
  <c r="S76" i="57"/>
  <c r="S77" i="57"/>
  <c r="S78" i="57"/>
  <c r="S79" i="57"/>
  <c r="S80" i="57"/>
  <c r="S81" i="57"/>
  <c r="S82" i="57"/>
  <c r="S83" i="57"/>
  <c r="S84" i="57"/>
  <c r="S85" i="57"/>
  <c r="S86" i="57"/>
  <c r="S87" i="57"/>
  <c r="S88" i="57"/>
  <c r="S89" i="57"/>
  <c r="S90" i="57"/>
  <c r="S91" i="57"/>
  <c r="S92" i="57"/>
  <c r="S93" i="57"/>
  <c r="S94" i="57"/>
  <c r="S95" i="57"/>
  <c r="S96" i="57"/>
  <c r="S97" i="57"/>
  <c r="S98" i="57"/>
  <c r="S99" i="57"/>
  <c r="S100" i="57"/>
  <c r="S101" i="57"/>
  <c r="S102" i="57"/>
  <c r="S103" i="57"/>
  <c r="S104" i="57"/>
  <c r="S105" i="57"/>
  <c r="S106" i="57"/>
  <c r="S107" i="57"/>
  <c r="S108" i="57"/>
  <c r="S109" i="57"/>
  <c r="S110" i="57"/>
  <c r="S111" i="57"/>
  <c r="S112" i="57"/>
  <c r="S113" i="57"/>
  <c r="S114" i="57"/>
  <c r="S115" i="57"/>
  <c r="S116" i="57"/>
  <c r="S117" i="57"/>
  <c r="S118" i="57"/>
  <c r="S119" i="57"/>
  <c r="S120" i="57"/>
  <c r="S121" i="57"/>
  <c r="S122" i="57"/>
  <c r="S123" i="57"/>
  <c r="S124" i="57"/>
  <c r="S125" i="57"/>
  <c r="S126" i="57"/>
  <c r="S127" i="57"/>
  <c r="S128" i="57"/>
  <c r="S129" i="57"/>
  <c r="S130" i="57"/>
  <c r="S131" i="57"/>
  <c r="S132" i="57"/>
  <c r="S133" i="57"/>
  <c r="S134" i="57"/>
  <c r="S135" i="57"/>
  <c r="S136" i="57"/>
  <c r="S137" i="57"/>
  <c r="S138" i="57"/>
  <c r="S139" i="57"/>
  <c r="S140" i="57"/>
  <c r="S141" i="57"/>
  <c r="S142" i="57"/>
  <c r="S143" i="57"/>
  <c r="S144" i="57"/>
  <c r="S145" i="57"/>
  <c r="S146" i="57"/>
  <c r="S147" i="57"/>
  <c r="S148" i="57"/>
  <c r="S149" i="57"/>
  <c r="S150" i="57"/>
  <c r="S151" i="57"/>
  <c r="S152" i="57"/>
  <c r="S153" i="57"/>
  <c r="S154" i="57"/>
  <c r="S155" i="57"/>
  <c r="S156" i="57"/>
  <c r="S157" i="57"/>
  <c r="S158" i="57"/>
  <c r="S159" i="57"/>
  <c r="S160" i="57"/>
  <c r="S161" i="57"/>
  <c r="S162" i="57"/>
  <c r="S163" i="57"/>
  <c r="S164" i="57"/>
  <c r="S165" i="57"/>
  <c r="S166" i="57"/>
  <c r="S167" i="57"/>
  <c r="S168" i="57"/>
  <c r="S169" i="57"/>
  <c r="S170" i="57"/>
  <c r="S171" i="57"/>
  <c r="S172" i="57"/>
  <c r="S173" i="57"/>
  <c r="S174" i="57"/>
  <c r="S175" i="57"/>
  <c r="S176" i="57"/>
  <c r="S177" i="57"/>
  <c r="S178" i="57"/>
  <c r="S179" i="57"/>
  <c r="S180" i="57"/>
  <c r="S181" i="57"/>
  <c r="S182" i="57"/>
  <c r="S183" i="57"/>
  <c r="S184" i="57"/>
  <c r="S185" i="57"/>
  <c r="S186" i="57"/>
  <c r="S187" i="57"/>
  <c r="S188" i="57"/>
  <c r="S189" i="57"/>
  <c r="S190" i="57"/>
  <c r="S191" i="57"/>
  <c r="S192" i="57"/>
  <c r="S193" i="57"/>
  <c r="S194" i="57"/>
  <c r="S195" i="57"/>
  <c r="S196" i="57"/>
  <c r="S197" i="57"/>
  <c r="S198" i="57"/>
  <c r="S199" i="57"/>
  <c r="S200" i="57"/>
  <c r="S201" i="57"/>
  <c r="S202" i="57"/>
  <c r="S203" i="57"/>
  <c r="S204" i="57"/>
  <c r="S205" i="57"/>
  <c r="S206" i="57"/>
  <c r="S207" i="57"/>
  <c r="S208" i="57"/>
  <c r="S209" i="57"/>
  <c r="S210" i="57"/>
  <c r="S211" i="57"/>
  <c r="S212" i="57"/>
  <c r="S213" i="57"/>
  <c r="S214" i="57"/>
  <c r="S215" i="57"/>
  <c r="S216" i="57"/>
  <c r="S217" i="57"/>
  <c r="S218" i="57"/>
  <c r="S219" i="57"/>
  <c r="S220" i="57"/>
  <c r="S221" i="57"/>
  <c r="S222" i="57"/>
  <c r="S223" i="57"/>
  <c r="S224" i="57"/>
  <c r="S225" i="57"/>
  <c r="S226" i="57"/>
  <c r="S227" i="57"/>
  <c r="S228" i="57"/>
  <c r="S229" i="57"/>
  <c r="S230" i="57"/>
  <c r="S231" i="57"/>
  <c r="S232" i="57"/>
  <c r="S233" i="57"/>
  <c r="S234" i="57"/>
  <c r="S235" i="57"/>
  <c r="S236" i="57"/>
  <c r="S237" i="57"/>
  <c r="S238" i="57"/>
  <c r="S239" i="57"/>
  <c r="S240" i="57"/>
  <c r="S241" i="57"/>
  <c r="S242" i="57"/>
  <c r="S243" i="57"/>
  <c r="S244" i="57"/>
  <c r="S245" i="57"/>
  <c r="S246" i="57"/>
  <c r="S247" i="57"/>
  <c r="S248" i="57"/>
  <c r="S249" i="57"/>
  <c r="S250" i="57"/>
  <c r="S251" i="57"/>
  <c r="S252" i="57"/>
  <c r="S253" i="57"/>
  <c r="S254" i="57"/>
  <c r="S255" i="57"/>
  <c r="S256" i="57"/>
  <c r="S257" i="57"/>
  <c r="S258" i="57"/>
  <c r="S259" i="57"/>
  <c r="S260" i="57"/>
  <c r="S261" i="57"/>
  <c r="S262" i="57"/>
  <c r="S263" i="57"/>
  <c r="S264" i="57"/>
  <c r="S265" i="57"/>
  <c r="S266" i="57"/>
  <c r="S267" i="57"/>
  <c r="S268" i="57"/>
  <c r="S269" i="57"/>
  <c r="S270" i="57"/>
  <c r="S271" i="57"/>
  <c r="S272" i="57"/>
  <c r="S273" i="57"/>
  <c r="S274" i="57"/>
  <c r="S275" i="57"/>
  <c r="S276" i="57"/>
  <c r="S277" i="57"/>
  <c r="S278" i="57"/>
  <c r="S279" i="57"/>
  <c r="S280" i="57"/>
  <c r="S281" i="57"/>
  <c r="S282" i="57"/>
  <c r="S283" i="57"/>
  <c r="S284" i="57"/>
  <c r="S285" i="57"/>
  <c r="S286" i="57"/>
  <c r="S287" i="57"/>
  <c r="S288" i="57"/>
  <c r="S289" i="57"/>
  <c r="S290" i="57"/>
  <c r="S291" i="57"/>
  <c r="S292" i="57"/>
  <c r="S293" i="57"/>
  <c r="S294" i="57"/>
  <c r="S295" i="57"/>
  <c r="S296" i="57"/>
  <c r="S297" i="57"/>
  <c r="S298" i="57"/>
  <c r="S299" i="57"/>
  <c r="S300" i="57"/>
  <c r="S301" i="57"/>
  <c r="S302" i="57"/>
  <c r="S303" i="57"/>
  <c r="S304" i="57"/>
  <c r="S305" i="57"/>
  <c r="S306" i="57"/>
  <c r="S307" i="57"/>
  <c r="S308" i="57"/>
  <c r="S309" i="57"/>
  <c r="S310" i="57"/>
  <c r="S311" i="57"/>
  <c r="S312" i="57"/>
  <c r="S313" i="57"/>
  <c r="S314" i="57"/>
  <c r="S315" i="57"/>
  <c r="S316" i="57"/>
  <c r="S317" i="57"/>
  <c r="S318" i="57"/>
  <c r="S319" i="57"/>
  <c r="S320" i="57"/>
  <c r="S321" i="57"/>
  <c r="S322" i="57"/>
  <c r="S323" i="57"/>
  <c r="S324" i="57"/>
  <c r="S325" i="57"/>
  <c r="S326" i="57"/>
  <c r="S327" i="57"/>
  <c r="S328" i="57"/>
  <c r="S329" i="57"/>
  <c r="S330" i="57"/>
  <c r="S331" i="57"/>
  <c r="S332" i="57"/>
  <c r="S333" i="57"/>
  <c r="S334" i="57"/>
  <c r="S335" i="57"/>
  <c r="S336" i="57"/>
  <c r="S337" i="57"/>
  <c r="S338" i="57"/>
  <c r="S339" i="57"/>
  <c r="S340" i="57"/>
  <c r="S341" i="57"/>
  <c r="S342" i="57"/>
  <c r="S343" i="57"/>
  <c r="S344" i="57"/>
  <c r="S345" i="57"/>
  <c r="S346" i="57"/>
  <c r="S347" i="57"/>
  <c r="S348" i="57"/>
  <c r="S349" i="57"/>
  <c r="S350" i="57"/>
  <c r="S351" i="57"/>
  <c r="S352" i="57"/>
  <c r="S353" i="57"/>
  <c r="S354" i="57"/>
  <c r="S355" i="57"/>
  <c r="S356" i="57"/>
  <c r="S357" i="57"/>
  <c r="S358" i="57"/>
  <c r="S359" i="57"/>
  <c r="S360" i="57"/>
  <c r="S361" i="57"/>
  <c r="S362" i="57"/>
  <c r="S363" i="57"/>
  <c r="S364" i="57"/>
  <c r="S365" i="57"/>
  <c r="S366" i="57"/>
  <c r="S367" i="57"/>
  <c r="S368" i="57"/>
  <c r="S369" i="57"/>
  <c r="S370" i="57"/>
  <c r="S371" i="57"/>
  <c r="S372" i="57"/>
  <c r="S373" i="57"/>
  <c r="S374" i="57"/>
  <c r="S375" i="57"/>
  <c r="S376" i="57"/>
  <c r="S377" i="57"/>
  <c r="S378" i="57"/>
  <c r="S379" i="57"/>
  <c r="S380" i="57"/>
  <c r="S381" i="57"/>
  <c r="S382" i="57"/>
  <c r="S383" i="57"/>
  <c r="S384" i="57"/>
  <c r="S385" i="57"/>
  <c r="S386" i="57"/>
  <c r="S387" i="57"/>
  <c r="S388" i="57"/>
  <c r="S389" i="57"/>
  <c r="S390" i="57"/>
  <c r="S391" i="57"/>
  <c r="S392" i="57"/>
  <c r="S393" i="57"/>
  <c r="S394" i="57"/>
  <c r="S395" i="57"/>
  <c r="S396" i="57"/>
  <c r="S397" i="57"/>
  <c r="S398" i="57"/>
  <c r="S399" i="57"/>
  <c r="S400" i="57"/>
  <c r="S401" i="57"/>
  <c r="S402" i="57"/>
  <c r="S403" i="57"/>
  <c r="S404" i="57"/>
  <c r="S405" i="57"/>
  <c r="S406" i="57"/>
  <c r="S407" i="57"/>
  <c r="S408" i="57"/>
  <c r="S409" i="57"/>
  <c r="S410" i="57"/>
  <c r="S411" i="57"/>
  <c r="S412" i="57"/>
  <c r="S413" i="57"/>
  <c r="S414" i="57"/>
  <c r="S415" i="57"/>
  <c r="S416" i="57"/>
  <c r="S417" i="57"/>
  <c r="S418" i="57"/>
  <c r="S419" i="57"/>
  <c r="S420" i="57"/>
  <c r="S421" i="57"/>
  <c r="S422" i="57"/>
  <c r="S423" i="57"/>
  <c r="S424" i="57"/>
  <c r="S425" i="57"/>
  <c r="S426" i="57"/>
  <c r="S427" i="57"/>
  <c r="S428" i="57"/>
  <c r="S6" i="57"/>
  <c r="AK33" i="22"/>
  <c r="AK34" i="22"/>
  <c r="AK35" i="22"/>
  <c r="AK36" i="22"/>
  <c r="AK37" i="22"/>
  <c r="AK38" i="22"/>
  <c r="AK39" i="22"/>
  <c r="AK40" i="22"/>
  <c r="AK41" i="22"/>
  <c r="AK42" i="22"/>
  <c r="AK43" i="22"/>
  <c r="AK44" i="22"/>
  <c r="AK45" i="22"/>
  <c r="AK46" i="22"/>
  <c r="AK47" i="22"/>
  <c r="AK48" i="22"/>
  <c r="AK49" i="22"/>
  <c r="AK50" i="22"/>
  <c r="AK51" i="22"/>
  <c r="AK52" i="22"/>
  <c r="AK53" i="22"/>
  <c r="AK54" i="22"/>
  <c r="AK55" i="22"/>
  <c r="AK56" i="22"/>
  <c r="AK57" i="22"/>
  <c r="AK58" i="22"/>
  <c r="AK59" i="22"/>
  <c r="AK60" i="22"/>
  <c r="AK61" i="22"/>
  <c r="AK62" i="22"/>
  <c r="AK63" i="22"/>
  <c r="AK64" i="22"/>
  <c r="AK65" i="22"/>
  <c r="AK66" i="22"/>
  <c r="AK67" i="22"/>
  <c r="AK68" i="22"/>
  <c r="AK69" i="22"/>
  <c r="AK70" i="22"/>
  <c r="AK71" i="22"/>
  <c r="AK72" i="22"/>
  <c r="AK73" i="22"/>
  <c r="AK74" i="22"/>
  <c r="AK75" i="22"/>
  <c r="AK76" i="22"/>
  <c r="AK77" i="22"/>
  <c r="AK78" i="22"/>
  <c r="AK79" i="22"/>
  <c r="AK80" i="22"/>
  <c r="AK81" i="22"/>
  <c r="AK82" i="22"/>
  <c r="AK83" i="22"/>
  <c r="AK84" i="22"/>
  <c r="AK85" i="22"/>
  <c r="AK86" i="22"/>
  <c r="AK87" i="22"/>
  <c r="AK88" i="22"/>
  <c r="AK89" i="22"/>
  <c r="AK90" i="22"/>
  <c r="AK91" i="22"/>
  <c r="AK92" i="22"/>
  <c r="AK93" i="22"/>
  <c r="AK94" i="22"/>
  <c r="AK95" i="22"/>
  <c r="AK96" i="22"/>
  <c r="AK97" i="22"/>
  <c r="AK98" i="22"/>
  <c r="AK99" i="22"/>
  <c r="AK100" i="22"/>
  <c r="AK101" i="22"/>
  <c r="AK102" i="22"/>
  <c r="AK103" i="22"/>
  <c r="AK104" i="22"/>
  <c r="AK105" i="22"/>
  <c r="AK106" i="22"/>
  <c r="AK107" i="22"/>
  <c r="AK108" i="22"/>
  <c r="AK109" i="22"/>
  <c r="AK110" i="22"/>
  <c r="AK111" i="22"/>
  <c r="AK112" i="22"/>
  <c r="AK113" i="22"/>
  <c r="AK114" i="22"/>
  <c r="AK115" i="22"/>
  <c r="AK116" i="22"/>
  <c r="AK117" i="22"/>
  <c r="AK118" i="22"/>
  <c r="AK119" i="22"/>
  <c r="AK120" i="22"/>
  <c r="AK121" i="22"/>
  <c r="AK122" i="22"/>
  <c r="AK123" i="22"/>
  <c r="AK124" i="22"/>
  <c r="AK125" i="22"/>
  <c r="AK126" i="22"/>
  <c r="AK127" i="22"/>
  <c r="AK128" i="22"/>
  <c r="AK129" i="22"/>
  <c r="AK130" i="22"/>
  <c r="AK131" i="22"/>
  <c r="AK132" i="22"/>
  <c r="AK133" i="22"/>
  <c r="AK134" i="22"/>
  <c r="AK135" i="22"/>
  <c r="AK136" i="22"/>
  <c r="AK137" i="22"/>
  <c r="AK138" i="22"/>
  <c r="AK139" i="22"/>
  <c r="AK140" i="22"/>
  <c r="AK141" i="22"/>
  <c r="AK142" i="22"/>
  <c r="AK143" i="22"/>
  <c r="AK144" i="22"/>
  <c r="AK145" i="22"/>
  <c r="AK146" i="22"/>
  <c r="AK147" i="22"/>
  <c r="AK148" i="22"/>
  <c r="AK149" i="22"/>
  <c r="AK150" i="22"/>
  <c r="AK151" i="22"/>
  <c r="AK152" i="22"/>
  <c r="AK153" i="22"/>
  <c r="AK154" i="22"/>
  <c r="AK155" i="22"/>
  <c r="AK156" i="22"/>
  <c r="AK157" i="22"/>
  <c r="AK158" i="22"/>
  <c r="AK159" i="22"/>
  <c r="AK160" i="22"/>
  <c r="AK161" i="22"/>
  <c r="AK162" i="22"/>
  <c r="AK163" i="22"/>
  <c r="AK164" i="22"/>
  <c r="AK165" i="22"/>
  <c r="AK166" i="22"/>
  <c r="AK167" i="22"/>
  <c r="AK168" i="22"/>
  <c r="AK169" i="22"/>
  <c r="AK170" i="22"/>
  <c r="AK171" i="22"/>
  <c r="AK172" i="22"/>
  <c r="AK173" i="22"/>
  <c r="AK174" i="22"/>
  <c r="AK175" i="22"/>
  <c r="AK176" i="22"/>
  <c r="AK177" i="22"/>
  <c r="AK178" i="22"/>
  <c r="AK179" i="22"/>
  <c r="AK180" i="22"/>
  <c r="AK181" i="22"/>
  <c r="AK182" i="22"/>
  <c r="AK183" i="22"/>
  <c r="AK184" i="22"/>
  <c r="AK185" i="22"/>
  <c r="AK186" i="22"/>
  <c r="AK187" i="22"/>
  <c r="AK188" i="22"/>
  <c r="AK189" i="22"/>
  <c r="AK190" i="22"/>
  <c r="AK191" i="22"/>
  <c r="AK192" i="22"/>
  <c r="AK193" i="22"/>
  <c r="AK194" i="22"/>
  <c r="AK195" i="22"/>
  <c r="AK196" i="22"/>
  <c r="AK197" i="22"/>
  <c r="AK198" i="22"/>
  <c r="AK199" i="22"/>
  <c r="AK200" i="22"/>
  <c r="AK201" i="22"/>
  <c r="AK202" i="22"/>
  <c r="AK203" i="22"/>
  <c r="AK204" i="22"/>
  <c r="AK205" i="22"/>
  <c r="AK206" i="22"/>
  <c r="AK207" i="22"/>
  <c r="AK208" i="22"/>
  <c r="AK209" i="22"/>
  <c r="AK210" i="22"/>
  <c r="AK211" i="22"/>
  <c r="AK212" i="22"/>
  <c r="AK213" i="22"/>
  <c r="AK214" i="22"/>
  <c r="AK215" i="22"/>
  <c r="AK216" i="22"/>
  <c r="AK217" i="22"/>
  <c r="AK218" i="22"/>
  <c r="AK219" i="22"/>
  <c r="AK220" i="22"/>
  <c r="AK221" i="22"/>
  <c r="AK222" i="22"/>
  <c r="AK223" i="22"/>
  <c r="AK224" i="22"/>
  <c r="AK225" i="22"/>
  <c r="AK226" i="22"/>
  <c r="AK227" i="22"/>
  <c r="AK228" i="22"/>
  <c r="AK229" i="22"/>
  <c r="AK230" i="22"/>
  <c r="AK231" i="22"/>
  <c r="AK232" i="22"/>
  <c r="AK233" i="22"/>
  <c r="AK234" i="22"/>
  <c r="AK235" i="22"/>
  <c r="AK236" i="22"/>
  <c r="AK237" i="22"/>
  <c r="AK238" i="22"/>
  <c r="AK239" i="22"/>
  <c r="AK240" i="22"/>
  <c r="AK241" i="22"/>
  <c r="AK242" i="22"/>
  <c r="AK243" i="22"/>
  <c r="AK244" i="22"/>
  <c r="AK245" i="22"/>
  <c r="AK246" i="22"/>
  <c r="AK247" i="22"/>
  <c r="AK248" i="22"/>
  <c r="AK249" i="22"/>
  <c r="AK250" i="22"/>
  <c r="AK251" i="22"/>
  <c r="AK252" i="22"/>
  <c r="AK253" i="22"/>
  <c r="AK254" i="22"/>
  <c r="AK255" i="22"/>
  <c r="AK256" i="22"/>
  <c r="AK257" i="22"/>
  <c r="AK258" i="22"/>
  <c r="AK259" i="22"/>
  <c r="AK260" i="22"/>
  <c r="AK261" i="22"/>
  <c r="AK262" i="22"/>
  <c r="AK263" i="22"/>
  <c r="AK264" i="22"/>
  <c r="AK265" i="22"/>
  <c r="AK266" i="22"/>
  <c r="AK267" i="22"/>
  <c r="AK268" i="22"/>
  <c r="AK269" i="22"/>
  <c r="AK270" i="22"/>
  <c r="AK271" i="22"/>
  <c r="AK272" i="22"/>
  <c r="AK273" i="22"/>
  <c r="AK274" i="22"/>
  <c r="AK275" i="22"/>
  <c r="AK276" i="22"/>
  <c r="AK277" i="22"/>
  <c r="AK278" i="22"/>
  <c r="AK279" i="22"/>
  <c r="AK280" i="22"/>
  <c r="AK281" i="22"/>
  <c r="AK282" i="22"/>
  <c r="AK283" i="22"/>
  <c r="AK284" i="22"/>
  <c r="AK285" i="22"/>
  <c r="AK286" i="22"/>
  <c r="AK287" i="22"/>
  <c r="AK288" i="22"/>
  <c r="AK289" i="22"/>
  <c r="AK290" i="22"/>
  <c r="AK291" i="22"/>
  <c r="AK292" i="22"/>
  <c r="AK293" i="22"/>
  <c r="AK294" i="22"/>
  <c r="AK295" i="22"/>
  <c r="AK296" i="22"/>
  <c r="AK297" i="22"/>
  <c r="AK298" i="22"/>
  <c r="AK299" i="22"/>
  <c r="AK300" i="22"/>
  <c r="AK301" i="22"/>
  <c r="AK302" i="22"/>
  <c r="AK303" i="22"/>
  <c r="AK304" i="22"/>
  <c r="AK305" i="22"/>
  <c r="AK306" i="22"/>
  <c r="AK307" i="22"/>
  <c r="AK308" i="22"/>
  <c r="AK309" i="22"/>
  <c r="AK310" i="22"/>
  <c r="AK311" i="22"/>
  <c r="AK312" i="22"/>
  <c r="AK313" i="22"/>
  <c r="AK314" i="22"/>
  <c r="AK315" i="22"/>
  <c r="AK316" i="22"/>
  <c r="AK317" i="22"/>
  <c r="AK318" i="22"/>
  <c r="AK319" i="22"/>
  <c r="AK320" i="22"/>
  <c r="AK321" i="22"/>
  <c r="AK322" i="22"/>
  <c r="AK323" i="22"/>
  <c r="AK324" i="22"/>
  <c r="AK325" i="22"/>
  <c r="AK326" i="22"/>
  <c r="AK327" i="22"/>
  <c r="AK328" i="22"/>
  <c r="AK329" i="22"/>
  <c r="AK330" i="22"/>
  <c r="AK331" i="22"/>
  <c r="AK332" i="22"/>
  <c r="AK333" i="22"/>
  <c r="AK334" i="22"/>
  <c r="AK335" i="22"/>
  <c r="AK336" i="22"/>
  <c r="AK337" i="22"/>
  <c r="AK338" i="22"/>
  <c r="AK339" i="22"/>
  <c r="AK340" i="22"/>
  <c r="AK341" i="22"/>
  <c r="AK342" i="22"/>
  <c r="AK343" i="22"/>
  <c r="AK344" i="22"/>
  <c r="AK345" i="22"/>
  <c r="AK346" i="22"/>
  <c r="AK347" i="22"/>
  <c r="AK348" i="22"/>
  <c r="AK349" i="22"/>
  <c r="AK350" i="22"/>
  <c r="AK351" i="22"/>
  <c r="AK352" i="22"/>
  <c r="AK353" i="22"/>
  <c r="AK354" i="22"/>
  <c r="AK355" i="22"/>
  <c r="AK356" i="22"/>
  <c r="AK357" i="22"/>
  <c r="AK358" i="22"/>
  <c r="AK359" i="22"/>
  <c r="AK360" i="22"/>
  <c r="AK361" i="22"/>
  <c r="AK362" i="22"/>
  <c r="AK363" i="22"/>
  <c r="AK364" i="22"/>
  <c r="AK365" i="22"/>
  <c r="AK366" i="22"/>
  <c r="AK367" i="22"/>
  <c r="AK368" i="22"/>
  <c r="AK369" i="22"/>
  <c r="AK370" i="22"/>
  <c r="AK371" i="22"/>
  <c r="AK372" i="22"/>
  <c r="AK373" i="22"/>
  <c r="AK374" i="22"/>
  <c r="AK375" i="22"/>
  <c r="AK376" i="22"/>
  <c r="AK377" i="22"/>
  <c r="AK378" i="22"/>
  <c r="AK379" i="22"/>
  <c r="AK380" i="22"/>
  <c r="AK381" i="22"/>
  <c r="AK382" i="22"/>
  <c r="AK383" i="22"/>
  <c r="AK384" i="22"/>
  <c r="AK385" i="22"/>
  <c r="AK386" i="22"/>
  <c r="AK387" i="22"/>
  <c r="AK388" i="22"/>
  <c r="AK389" i="22"/>
  <c r="AK390" i="22"/>
  <c r="AK391" i="22"/>
  <c r="AK392" i="22"/>
  <c r="AK393" i="22"/>
  <c r="AK394" i="22"/>
  <c r="AK395" i="22"/>
  <c r="AK396" i="22"/>
  <c r="AK397" i="22"/>
  <c r="AK398" i="22"/>
  <c r="AK399" i="22"/>
  <c r="AK400" i="22"/>
  <c r="AK401" i="22"/>
  <c r="AK402" i="22"/>
  <c r="AK403" i="22"/>
  <c r="AK404" i="22"/>
  <c r="AK405" i="22"/>
  <c r="AK406" i="22"/>
  <c r="AK407" i="22"/>
  <c r="AK408" i="22"/>
  <c r="AK409" i="22"/>
  <c r="AK410" i="22"/>
  <c r="AK411" i="22"/>
  <c r="AK412" i="22"/>
  <c r="AK413" i="22"/>
  <c r="AK414" i="22"/>
  <c r="AK415" i="22"/>
  <c r="AK416" i="22"/>
  <c r="AK417" i="22"/>
  <c r="AK418" i="22"/>
  <c r="AK419" i="22"/>
  <c r="AK420" i="22"/>
  <c r="AK421" i="22"/>
  <c r="AK422" i="22"/>
  <c r="AK423" i="22"/>
  <c r="AK424" i="22"/>
  <c r="AK425" i="22"/>
  <c r="AK426" i="22"/>
  <c r="AK427" i="22"/>
  <c r="AK428" i="22"/>
  <c r="AK429" i="22"/>
  <c r="AK430" i="22"/>
  <c r="AK431" i="22"/>
  <c r="AK432" i="22"/>
  <c r="AK433" i="22"/>
  <c r="AK434" i="22"/>
  <c r="AK435" i="22"/>
  <c r="AK436" i="22"/>
  <c r="AK437" i="22"/>
  <c r="AK438" i="22"/>
  <c r="AK439" i="22"/>
  <c r="AK440" i="22"/>
  <c r="AK441" i="22"/>
  <c r="AK442" i="22"/>
  <c r="AK443" i="22"/>
  <c r="AK444" i="22"/>
  <c r="AK445" i="22"/>
  <c r="AK446" i="22"/>
  <c r="AK447" i="22"/>
  <c r="AK448" i="22"/>
  <c r="AK449" i="22"/>
  <c r="AK450" i="22"/>
  <c r="AK451" i="22"/>
  <c r="AK452" i="22"/>
  <c r="AK453" i="22"/>
  <c r="AK454" i="22"/>
  <c r="AK455" i="22"/>
  <c r="AK456" i="22"/>
  <c r="AK457" i="22"/>
  <c r="AK458" i="22"/>
  <c r="AK459" i="22"/>
  <c r="AK460" i="22"/>
  <c r="AK461" i="22"/>
  <c r="AK462" i="22"/>
  <c r="AK463" i="22"/>
  <c r="AK464" i="22"/>
  <c r="AK465" i="22"/>
  <c r="AK466" i="22"/>
  <c r="AK467" i="22"/>
  <c r="AK468" i="22"/>
  <c r="AK469" i="22"/>
  <c r="AK470" i="22"/>
  <c r="AK471" i="22"/>
  <c r="AK472" i="22"/>
  <c r="AK473" i="22"/>
  <c r="AK474" i="22"/>
  <c r="AK475" i="22"/>
  <c r="AK476" i="22"/>
  <c r="AK477" i="22"/>
  <c r="AK478" i="22"/>
  <c r="AK479" i="22"/>
  <c r="AK480" i="22"/>
  <c r="AK481" i="22"/>
  <c r="AK482" i="22"/>
  <c r="AK483" i="22"/>
  <c r="AK484" i="22"/>
  <c r="AK485" i="22"/>
  <c r="AK486" i="22"/>
  <c r="AK487" i="22"/>
  <c r="AK488" i="22"/>
  <c r="AK489" i="22"/>
  <c r="AK490" i="22"/>
  <c r="AK491" i="22"/>
  <c r="AK492" i="22"/>
  <c r="AK493" i="22"/>
  <c r="AK494" i="22"/>
  <c r="AK495" i="22"/>
  <c r="AK496" i="22"/>
  <c r="AK497" i="22"/>
  <c r="AK498" i="22"/>
  <c r="AK499" i="22"/>
  <c r="AK500" i="22"/>
  <c r="AK501" i="22"/>
  <c r="AK502" i="22"/>
  <c r="AK503" i="22"/>
  <c r="AK504" i="22"/>
  <c r="AK505" i="22"/>
  <c r="AK506" i="22"/>
  <c r="AK507" i="22"/>
  <c r="AK508" i="22"/>
  <c r="AK509" i="22"/>
  <c r="AK510" i="22"/>
  <c r="AK511" i="22"/>
  <c r="AK512" i="22"/>
  <c r="AK513" i="22"/>
  <c r="AK514" i="22"/>
  <c r="AK515" i="22"/>
  <c r="AK516" i="22"/>
  <c r="AK517" i="22"/>
  <c r="AK518" i="22"/>
  <c r="AK519" i="22"/>
  <c r="AK520" i="22"/>
  <c r="AK521" i="22"/>
  <c r="AK522" i="22"/>
  <c r="AK523" i="22"/>
  <c r="AK524" i="22"/>
  <c r="AK525" i="22"/>
  <c r="AK526" i="22"/>
  <c r="AK527" i="22"/>
  <c r="AK528" i="22"/>
  <c r="AK529" i="22"/>
  <c r="AK530" i="22"/>
  <c r="AK531" i="22"/>
  <c r="AK532" i="22"/>
  <c r="AK533" i="22"/>
  <c r="AK534" i="22"/>
  <c r="AK535" i="22"/>
  <c r="AK536" i="22"/>
  <c r="AK537" i="22"/>
  <c r="AK538" i="22"/>
  <c r="AK539" i="22"/>
  <c r="AK540" i="22"/>
  <c r="AK541" i="22"/>
  <c r="AK542" i="22"/>
  <c r="AK543" i="22"/>
  <c r="AK544" i="22"/>
  <c r="AK545" i="22"/>
  <c r="AK546" i="22"/>
  <c r="AK547" i="22"/>
  <c r="AK548" i="22"/>
  <c r="AK549" i="22"/>
  <c r="AK550" i="22"/>
  <c r="AK551" i="22"/>
  <c r="AK552" i="22"/>
  <c r="AK553" i="22"/>
  <c r="AK554" i="22"/>
  <c r="AK555" i="22"/>
  <c r="AK556" i="22"/>
  <c r="AK557" i="22"/>
  <c r="AK558" i="22"/>
  <c r="AK559" i="22"/>
  <c r="AK560" i="22"/>
  <c r="AK561" i="22"/>
  <c r="AK562" i="22"/>
  <c r="AK563" i="22"/>
  <c r="AK564" i="22"/>
  <c r="AK565" i="22"/>
  <c r="AK566" i="22"/>
  <c r="AK567" i="22"/>
  <c r="AK568" i="22"/>
  <c r="AK569" i="22"/>
  <c r="AK570" i="22"/>
  <c r="AK571" i="22"/>
  <c r="AK572" i="22"/>
  <c r="AK573" i="22"/>
  <c r="AK574" i="22"/>
  <c r="AK575" i="22"/>
  <c r="AK576" i="22"/>
  <c r="AK577" i="22"/>
  <c r="AK578" i="22"/>
  <c r="AK579" i="22"/>
  <c r="AK580" i="22"/>
  <c r="AK581" i="22"/>
  <c r="AK582" i="22"/>
  <c r="AK583" i="22"/>
  <c r="AK584" i="22"/>
  <c r="AK585" i="22"/>
  <c r="AK586" i="22"/>
  <c r="AK587" i="22"/>
  <c r="AK588" i="22"/>
  <c r="AK589" i="22"/>
  <c r="AK590" i="22"/>
  <c r="AK591" i="22"/>
  <c r="AK592" i="22"/>
  <c r="AK593" i="22"/>
  <c r="AK594" i="22"/>
  <c r="AK595" i="22"/>
  <c r="AK596" i="22"/>
  <c r="AK597" i="22"/>
  <c r="AK598" i="22"/>
  <c r="AK599" i="22"/>
  <c r="AK600" i="22"/>
  <c r="AK601" i="22"/>
  <c r="AK602" i="22"/>
  <c r="AK603" i="22"/>
  <c r="AK604" i="22"/>
  <c r="AK605" i="22"/>
  <c r="AK606" i="22"/>
  <c r="AK607" i="22"/>
  <c r="AK608" i="22"/>
  <c r="AK609" i="22"/>
  <c r="AK610" i="22"/>
  <c r="AK611" i="22"/>
  <c r="AK612" i="22"/>
  <c r="AK613" i="22"/>
  <c r="AK614" i="22"/>
  <c r="AK615" i="22"/>
  <c r="AK616" i="22"/>
  <c r="AK617" i="22"/>
  <c r="AK618" i="22"/>
  <c r="AK619" i="22"/>
  <c r="AK620" i="22"/>
  <c r="AK621" i="22"/>
  <c r="AK622" i="22"/>
  <c r="AK623" i="22"/>
  <c r="AK624" i="22"/>
  <c r="AK625" i="22"/>
  <c r="AK626" i="22"/>
  <c r="AK627" i="22"/>
  <c r="AK628" i="22"/>
  <c r="AK629" i="22"/>
  <c r="AK630" i="22"/>
  <c r="AK631" i="22"/>
  <c r="AK632" i="22"/>
  <c r="AK633" i="22"/>
  <c r="AK634" i="22"/>
  <c r="AK635" i="22"/>
  <c r="AK636" i="22"/>
  <c r="AK637" i="22"/>
  <c r="AK638" i="22"/>
  <c r="AK639" i="22"/>
  <c r="AK640" i="22"/>
  <c r="AK641" i="22"/>
  <c r="AK642" i="22"/>
  <c r="AK643" i="22"/>
  <c r="AK644" i="22"/>
  <c r="AK645" i="22"/>
  <c r="AK646" i="22"/>
  <c r="AK647" i="22"/>
  <c r="AK648" i="22"/>
  <c r="AK649" i="22"/>
  <c r="AK650" i="22"/>
  <c r="AK651" i="22"/>
  <c r="AK652" i="22"/>
  <c r="AK653" i="22"/>
  <c r="AK654" i="22"/>
  <c r="AK655" i="22"/>
  <c r="AK656" i="22"/>
  <c r="AK657" i="22"/>
  <c r="AK658" i="22"/>
  <c r="AK659" i="22"/>
  <c r="AK660" i="22"/>
  <c r="AK661" i="22"/>
  <c r="AK662" i="22"/>
  <c r="AK663" i="22"/>
  <c r="AK664" i="22"/>
  <c r="AK665" i="22"/>
  <c r="AK666" i="22"/>
  <c r="AK667" i="22"/>
  <c r="AK668" i="22"/>
  <c r="AK669" i="22"/>
  <c r="AK670" i="22"/>
  <c r="AK671" i="22"/>
  <c r="AK672" i="22"/>
  <c r="AK673" i="22"/>
  <c r="AK674" i="22"/>
  <c r="AK675" i="22"/>
  <c r="AK676" i="22"/>
  <c r="AK677" i="22"/>
  <c r="AK678" i="22"/>
  <c r="AK679" i="22"/>
  <c r="AK680" i="22"/>
  <c r="AK681" i="22"/>
  <c r="AK682" i="22"/>
  <c r="AK683" i="22"/>
  <c r="AK684" i="22"/>
  <c r="AK685" i="22"/>
  <c r="AK686" i="22"/>
  <c r="AK687" i="22"/>
  <c r="AK688" i="22"/>
  <c r="AK689" i="22"/>
  <c r="AK690" i="22"/>
  <c r="AK691" i="22"/>
  <c r="AK692" i="22"/>
  <c r="AK693" i="22"/>
  <c r="AK694" i="22"/>
  <c r="AK695" i="22"/>
  <c r="AK696" i="22"/>
  <c r="AK697" i="22"/>
  <c r="AK698" i="22"/>
  <c r="AK699" i="22"/>
  <c r="AK700" i="22"/>
  <c r="AK701" i="22"/>
  <c r="AK702" i="22"/>
  <c r="AK703" i="22"/>
  <c r="AK704" i="22"/>
  <c r="AK705" i="22"/>
  <c r="AK706" i="22"/>
  <c r="AK707" i="22"/>
  <c r="AK708" i="22"/>
  <c r="AK709" i="22"/>
  <c r="AK710" i="22"/>
  <c r="AK711" i="22"/>
  <c r="AK712" i="22"/>
  <c r="AK713" i="22"/>
  <c r="AK714" i="22"/>
  <c r="AK715" i="22"/>
  <c r="AK716" i="22"/>
  <c r="AK717" i="22"/>
  <c r="AK718" i="22"/>
  <c r="AK719" i="22"/>
  <c r="AK720" i="22"/>
  <c r="AK721" i="22"/>
  <c r="AK722" i="22"/>
  <c r="AK723" i="22"/>
  <c r="AK724" i="22"/>
  <c r="AK725" i="22"/>
  <c r="AK726" i="22"/>
  <c r="AK727" i="22"/>
  <c r="AK728" i="22"/>
  <c r="AK729" i="22"/>
  <c r="AK730" i="22"/>
  <c r="AK731" i="22"/>
  <c r="AK732" i="22"/>
  <c r="AK733" i="22"/>
  <c r="AK734" i="22"/>
  <c r="AK735" i="22"/>
  <c r="AK736" i="22"/>
  <c r="AK737" i="22"/>
  <c r="AK738" i="22"/>
  <c r="AK739" i="22"/>
  <c r="AK740" i="22"/>
  <c r="AK741" i="22"/>
  <c r="AK742" i="22"/>
  <c r="AK743" i="22"/>
  <c r="AK744" i="22"/>
  <c r="AK745" i="22"/>
  <c r="AK746" i="22"/>
  <c r="AK747" i="22"/>
  <c r="AK748" i="22"/>
  <c r="AK749" i="22"/>
  <c r="AK750" i="22"/>
  <c r="AK751" i="22"/>
  <c r="AK752" i="22"/>
  <c r="AK753" i="22"/>
  <c r="AK754" i="22"/>
  <c r="AK755" i="22"/>
  <c r="AK756" i="22"/>
  <c r="AK757" i="22"/>
  <c r="AK758" i="22"/>
  <c r="AK759" i="22"/>
  <c r="AK760" i="22"/>
  <c r="AK761" i="22"/>
  <c r="AK762" i="22"/>
  <c r="AK763" i="22"/>
  <c r="AK764" i="22"/>
  <c r="AK765" i="22"/>
  <c r="AK766" i="22"/>
  <c r="AK767" i="22"/>
  <c r="AK768" i="22"/>
  <c r="AK769" i="22"/>
  <c r="AK770" i="22"/>
  <c r="AK771" i="22"/>
  <c r="AK772" i="22"/>
  <c r="AK773" i="22"/>
  <c r="AK774" i="22"/>
  <c r="AK775" i="22"/>
  <c r="AK776" i="22"/>
  <c r="AK777" i="22"/>
  <c r="AK778" i="22"/>
  <c r="AK779" i="22"/>
  <c r="AK780" i="22"/>
  <c r="AK781" i="22"/>
  <c r="AK782" i="22"/>
  <c r="AK783" i="22"/>
  <c r="AK784" i="22"/>
  <c r="AK785" i="22"/>
  <c r="AK786" i="22"/>
  <c r="AK787" i="22"/>
  <c r="AK788" i="22"/>
  <c r="AK789" i="22"/>
  <c r="AK790" i="22"/>
  <c r="AK791" i="22"/>
  <c r="AK792" i="22"/>
  <c r="AK793" i="22"/>
  <c r="AK794" i="22"/>
  <c r="AK795" i="22"/>
  <c r="AK796" i="22"/>
  <c r="AK797" i="22"/>
  <c r="AK798" i="22"/>
  <c r="AK799" i="22"/>
  <c r="AK800" i="22"/>
  <c r="AK801" i="22"/>
  <c r="AK802" i="22"/>
  <c r="AK803" i="22"/>
  <c r="AK804" i="22"/>
  <c r="AK805" i="22"/>
  <c r="AK806" i="22"/>
  <c r="AK807" i="22"/>
  <c r="AK808" i="22"/>
  <c r="AK809" i="22"/>
  <c r="AK810" i="22"/>
  <c r="AK811" i="22"/>
  <c r="AK812" i="22"/>
  <c r="AK813" i="22"/>
  <c r="AK814" i="22"/>
  <c r="AK815" i="22"/>
  <c r="AK816" i="22"/>
  <c r="AK817" i="22"/>
  <c r="AK818" i="22"/>
  <c r="AK819" i="22"/>
  <c r="AK820" i="22"/>
  <c r="AK821" i="22"/>
  <c r="AK822" i="22"/>
  <c r="AK823" i="22"/>
  <c r="AK824" i="22"/>
  <c r="AK825" i="22"/>
  <c r="AK826" i="22"/>
  <c r="AK827" i="22"/>
  <c r="AK828" i="22"/>
  <c r="AK829" i="22"/>
  <c r="AK830" i="22"/>
  <c r="AK831" i="22"/>
  <c r="AK832" i="22"/>
  <c r="AK833" i="22"/>
  <c r="AK834" i="22"/>
  <c r="AK835" i="22"/>
  <c r="AK836" i="22"/>
  <c r="AK837" i="22"/>
  <c r="AK838" i="22"/>
  <c r="AK839" i="22"/>
  <c r="AK840" i="22"/>
  <c r="AK841" i="22"/>
  <c r="AK842" i="22"/>
  <c r="AK843" i="22"/>
  <c r="AK844" i="22"/>
  <c r="AK845" i="22"/>
  <c r="AK846" i="22"/>
  <c r="AK847" i="22"/>
  <c r="AK848" i="22"/>
  <c r="AK849" i="22"/>
  <c r="AK850" i="22"/>
  <c r="AK851" i="22"/>
  <c r="AK852" i="22"/>
  <c r="AK853" i="22"/>
  <c r="AK854" i="22"/>
  <c r="AK855" i="22"/>
  <c r="AK856" i="22"/>
  <c r="AK857" i="22"/>
  <c r="AK858" i="22"/>
  <c r="AK859" i="22"/>
  <c r="AK860" i="22"/>
  <c r="AK861" i="22"/>
  <c r="AK862" i="22"/>
  <c r="AK863" i="22"/>
  <c r="AK864" i="22"/>
  <c r="AK865" i="22"/>
  <c r="AK866" i="22"/>
  <c r="AK867" i="22"/>
  <c r="AK868" i="22"/>
  <c r="AK869" i="22"/>
  <c r="AK870" i="22"/>
  <c r="AK871" i="22"/>
  <c r="AK872" i="22"/>
  <c r="AK873" i="22"/>
  <c r="AK874" i="22"/>
  <c r="AK875" i="22"/>
  <c r="AK876" i="22"/>
  <c r="AK877" i="22"/>
  <c r="AK878" i="22"/>
  <c r="AK879" i="22"/>
  <c r="AK880" i="22"/>
  <c r="AK881" i="22"/>
  <c r="AK882" i="22"/>
  <c r="AK883" i="22"/>
  <c r="AK884" i="22"/>
  <c r="AK885" i="22"/>
  <c r="AK886" i="22"/>
  <c r="AK887" i="22"/>
  <c r="AK888" i="22"/>
  <c r="AK889" i="22"/>
  <c r="AK890" i="22"/>
  <c r="AK891" i="22"/>
  <c r="AK892" i="22"/>
  <c r="AK893" i="22"/>
  <c r="AK894" i="22"/>
  <c r="AK895" i="22"/>
  <c r="AK896" i="22"/>
  <c r="AK897" i="22"/>
  <c r="AK898" i="22"/>
  <c r="AK899" i="22"/>
  <c r="AK900" i="22"/>
  <c r="AK901" i="22"/>
  <c r="AK902" i="22"/>
  <c r="AK903" i="22"/>
  <c r="AK904" i="22"/>
  <c r="AK905" i="22"/>
  <c r="AK906" i="22"/>
  <c r="AK907" i="22"/>
  <c r="AK908" i="22"/>
  <c r="AK909" i="22"/>
  <c r="AK910" i="22"/>
  <c r="AK911" i="22"/>
  <c r="AK912" i="22"/>
  <c r="AK913" i="22"/>
  <c r="AK914" i="22"/>
  <c r="AK915" i="22"/>
  <c r="AK916" i="22"/>
  <c r="AK917" i="22"/>
  <c r="AK918" i="22"/>
  <c r="AK919" i="22"/>
  <c r="AK920" i="22"/>
  <c r="AK921" i="22"/>
  <c r="AK922" i="22"/>
  <c r="AK923" i="22"/>
  <c r="AK924" i="22"/>
  <c r="AK925" i="22"/>
  <c r="AK926" i="22"/>
  <c r="AK927" i="22"/>
  <c r="AK928" i="22"/>
  <c r="AK929" i="22"/>
  <c r="AK930" i="22"/>
  <c r="AK931" i="22"/>
  <c r="AK932" i="22"/>
  <c r="AK933" i="22"/>
  <c r="AK934" i="22"/>
  <c r="AK935" i="22"/>
  <c r="AK936" i="22"/>
  <c r="AK937" i="22"/>
  <c r="AK938" i="22"/>
  <c r="AK939" i="22"/>
  <c r="AK940" i="22"/>
  <c r="AK941" i="22"/>
  <c r="AK942" i="22"/>
  <c r="AK943" i="22"/>
  <c r="AK944" i="22"/>
  <c r="AK945" i="22"/>
  <c r="AK946" i="22"/>
  <c r="AK947" i="22"/>
  <c r="AK948" i="22"/>
  <c r="AK949" i="22"/>
  <c r="AK950" i="22"/>
  <c r="AK951" i="22"/>
  <c r="AK952" i="22"/>
  <c r="AK953" i="22"/>
  <c r="AK954" i="22"/>
  <c r="AK955" i="22"/>
  <c r="AK956" i="22"/>
  <c r="AK957" i="22"/>
  <c r="AK958" i="22"/>
  <c r="AK959" i="22"/>
  <c r="AK960" i="22"/>
  <c r="AK961" i="22"/>
  <c r="AK962" i="22"/>
  <c r="AK963" i="22"/>
  <c r="AK964" i="22"/>
  <c r="AK965" i="22"/>
  <c r="AK966" i="22"/>
  <c r="AK967" i="22"/>
  <c r="AK32" i="22"/>
  <c r="AI33" i="22"/>
  <c r="AJ33" i="22"/>
  <c r="AI34" i="22"/>
  <c r="AJ34" i="22"/>
  <c r="AI35" i="22"/>
  <c r="AJ35" i="22"/>
  <c r="AI36" i="22"/>
  <c r="AJ36" i="22"/>
  <c r="AI37" i="22"/>
  <c r="AJ37" i="22"/>
  <c r="AI38" i="22"/>
  <c r="AJ38" i="22"/>
  <c r="AI39" i="22"/>
  <c r="AJ39" i="22"/>
  <c r="AI40" i="22"/>
  <c r="AJ40" i="22"/>
  <c r="AI41" i="22"/>
  <c r="AJ41" i="22"/>
  <c r="AI42" i="22"/>
  <c r="AJ42" i="22"/>
  <c r="AI43" i="22"/>
  <c r="AJ43" i="22"/>
  <c r="AI44" i="22"/>
  <c r="AJ44" i="22"/>
  <c r="AI45" i="22"/>
  <c r="AJ45" i="22"/>
  <c r="AI46" i="22"/>
  <c r="AJ46" i="22"/>
  <c r="AI47" i="22"/>
  <c r="AJ47" i="22"/>
  <c r="AI48" i="22"/>
  <c r="AJ48" i="22"/>
  <c r="AI49" i="22"/>
  <c r="AJ49" i="22"/>
  <c r="AI50" i="22"/>
  <c r="AJ50" i="22"/>
  <c r="AI51" i="22"/>
  <c r="AJ51" i="22"/>
  <c r="AI52" i="22"/>
  <c r="AJ52" i="22"/>
  <c r="AI53" i="22"/>
  <c r="AJ53" i="22"/>
  <c r="AI54" i="22"/>
  <c r="AJ54" i="22"/>
  <c r="AI55" i="22"/>
  <c r="AJ55" i="22"/>
  <c r="AI56" i="22"/>
  <c r="AJ56" i="22"/>
  <c r="AI57" i="22"/>
  <c r="AJ57" i="22"/>
  <c r="AI58" i="22"/>
  <c r="AJ58" i="22"/>
  <c r="AI59" i="22"/>
  <c r="AJ59" i="22"/>
  <c r="AI60" i="22"/>
  <c r="AJ60" i="22"/>
  <c r="AI61" i="22"/>
  <c r="AJ61" i="22"/>
  <c r="AI62" i="22"/>
  <c r="AJ62" i="22"/>
  <c r="AI63" i="22"/>
  <c r="AJ63" i="22"/>
  <c r="AI64" i="22"/>
  <c r="AJ64" i="22"/>
  <c r="AI65" i="22"/>
  <c r="AJ65" i="22"/>
  <c r="AI66" i="22"/>
  <c r="AJ66" i="22"/>
  <c r="AI67" i="22"/>
  <c r="AJ67" i="22"/>
  <c r="AI68" i="22"/>
  <c r="AJ68" i="22"/>
  <c r="AI69" i="22"/>
  <c r="AJ69" i="22"/>
  <c r="AI70" i="22"/>
  <c r="AJ70" i="22"/>
  <c r="AI71" i="22"/>
  <c r="AJ71" i="22"/>
  <c r="AI72" i="22"/>
  <c r="AJ72" i="22"/>
  <c r="AI73" i="22"/>
  <c r="AJ73" i="22"/>
  <c r="AI74" i="22"/>
  <c r="AJ74" i="22"/>
  <c r="AI75" i="22"/>
  <c r="AJ75" i="22"/>
  <c r="AI76" i="22"/>
  <c r="AJ76" i="22"/>
  <c r="AI77" i="22"/>
  <c r="AJ77" i="22"/>
  <c r="AI78" i="22"/>
  <c r="AJ78" i="22"/>
  <c r="AI79" i="22"/>
  <c r="AJ79" i="22"/>
  <c r="AI80" i="22"/>
  <c r="AJ80" i="22"/>
  <c r="AI81" i="22"/>
  <c r="AJ81" i="22"/>
  <c r="AI82" i="22"/>
  <c r="AJ82" i="22"/>
  <c r="AI83" i="22"/>
  <c r="AJ83" i="22"/>
  <c r="AI84" i="22"/>
  <c r="AJ84" i="22"/>
  <c r="AI85" i="22"/>
  <c r="AJ85" i="22"/>
  <c r="AI86" i="22"/>
  <c r="AJ86" i="22"/>
  <c r="AI87" i="22"/>
  <c r="AJ87" i="22"/>
  <c r="AI88" i="22"/>
  <c r="AJ88" i="22"/>
  <c r="AI89" i="22"/>
  <c r="AJ89" i="22"/>
  <c r="AI90" i="22"/>
  <c r="AJ90" i="22"/>
  <c r="AI91" i="22"/>
  <c r="AJ91" i="22"/>
  <c r="AI92" i="22"/>
  <c r="AJ92" i="22"/>
  <c r="AI93" i="22"/>
  <c r="AJ93" i="22"/>
  <c r="AI94" i="22"/>
  <c r="AJ94" i="22"/>
  <c r="AI95" i="22"/>
  <c r="AJ95" i="22"/>
  <c r="AI96" i="22"/>
  <c r="AJ96" i="22"/>
  <c r="AI97" i="22"/>
  <c r="AJ97" i="22"/>
  <c r="AI98" i="22"/>
  <c r="AJ98" i="22"/>
  <c r="AI99" i="22"/>
  <c r="AJ99" i="22"/>
  <c r="AI100" i="22"/>
  <c r="AJ100" i="22"/>
  <c r="AI101" i="22"/>
  <c r="AJ101" i="22"/>
  <c r="AI102" i="22"/>
  <c r="AJ102" i="22"/>
  <c r="AI103" i="22"/>
  <c r="AJ103" i="22"/>
  <c r="AI104" i="22"/>
  <c r="AJ104" i="22"/>
  <c r="AI105" i="22"/>
  <c r="AJ105" i="22"/>
  <c r="AI106" i="22"/>
  <c r="AJ106" i="22"/>
  <c r="AI107" i="22"/>
  <c r="AJ107" i="22"/>
  <c r="AI108" i="22"/>
  <c r="AJ108" i="22"/>
  <c r="AI109" i="22"/>
  <c r="AJ109" i="22"/>
  <c r="AI110" i="22"/>
  <c r="AJ110" i="22"/>
  <c r="AI111" i="22"/>
  <c r="AJ111" i="22"/>
  <c r="AI112" i="22"/>
  <c r="AJ112" i="22"/>
  <c r="AI113" i="22"/>
  <c r="AJ113" i="22"/>
  <c r="AI114" i="22"/>
  <c r="AJ114" i="22"/>
  <c r="AI115" i="22"/>
  <c r="AJ115" i="22"/>
  <c r="AI116" i="22"/>
  <c r="AJ116" i="22"/>
  <c r="AI117" i="22"/>
  <c r="AJ117" i="22"/>
  <c r="AI118" i="22"/>
  <c r="AJ118" i="22"/>
  <c r="AI119" i="22"/>
  <c r="AJ119" i="22"/>
  <c r="AI120" i="22"/>
  <c r="AJ120" i="22"/>
  <c r="AI121" i="22"/>
  <c r="AJ121" i="22"/>
  <c r="AI122" i="22"/>
  <c r="AJ122" i="22"/>
  <c r="AI123" i="22"/>
  <c r="AJ123" i="22"/>
  <c r="AI124" i="22"/>
  <c r="AJ124" i="22"/>
  <c r="AI125" i="22"/>
  <c r="AJ125" i="22"/>
  <c r="AI126" i="22"/>
  <c r="AJ126" i="22"/>
  <c r="AI127" i="22"/>
  <c r="AJ127" i="22"/>
  <c r="AI128" i="22"/>
  <c r="AJ128" i="22"/>
  <c r="AI129" i="22"/>
  <c r="AJ129" i="22"/>
  <c r="AI130" i="22"/>
  <c r="AJ130" i="22"/>
  <c r="AI131" i="22"/>
  <c r="AJ131" i="22"/>
  <c r="AI132" i="22"/>
  <c r="AJ132" i="22"/>
  <c r="AI133" i="22"/>
  <c r="AJ133" i="22"/>
  <c r="AI134" i="22"/>
  <c r="AJ134" i="22"/>
  <c r="AI135" i="22"/>
  <c r="AJ135" i="22"/>
  <c r="AI136" i="22"/>
  <c r="AJ136" i="22"/>
  <c r="AI137" i="22"/>
  <c r="AJ137" i="22"/>
  <c r="AI138" i="22"/>
  <c r="AJ138" i="22"/>
  <c r="AI139" i="22"/>
  <c r="AJ139" i="22"/>
  <c r="AI140" i="22"/>
  <c r="AJ140" i="22"/>
  <c r="AI141" i="22"/>
  <c r="AJ141" i="22"/>
  <c r="AI142" i="22"/>
  <c r="AJ142" i="22"/>
  <c r="AI143" i="22"/>
  <c r="AJ143" i="22"/>
  <c r="AI144" i="22"/>
  <c r="AJ144" i="22"/>
  <c r="AI145" i="22"/>
  <c r="AJ145" i="22"/>
  <c r="AI146" i="22"/>
  <c r="AJ146" i="22"/>
  <c r="AI147" i="22"/>
  <c r="AJ147" i="22"/>
  <c r="AI148" i="22"/>
  <c r="AJ148" i="22"/>
  <c r="AI149" i="22"/>
  <c r="AJ149" i="22"/>
  <c r="AI150" i="22"/>
  <c r="AJ150" i="22"/>
  <c r="AI151" i="22"/>
  <c r="AJ151" i="22"/>
  <c r="AI152" i="22"/>
  <c r="AJ152" i="22"/>
  <c r="AI153" i="22"/>
  <c r="AJ153" i="22"/>
  <c r="AI154" i="22"/>
  <c r="AJ154" i="22"/>
  <c r="AI155" i="22"/>
  <c r="AJ155" i="22"/>
  <c r="AI156" i="22"/>
  <c r="AJ156" i="22"/>
  <c r="AI157" i="22"/>
  <c r="AJ157" i="22"/>
  <c r="AI158" i="22"/>
  <c r="AJ158" i="22"/>
  <c r="AI159" i="22"/>
  <c r="AJ159" i="22"/>
  <c r="AI160" i="22"/>
  <c r="AJ160" i="22"/>
  <c r="AI161" i="22"/>
  <c r="AJ161" i="22"/>
  <c r="AI162" i="22"/>
  <c r="AJ162" i="22"/>
  <c r="AI163" i="22"/>
  <c r="AJ163" i="22"/>
  <c r="AI164" i="22"/>
  <c r="AJ164" i="22"/>
  <c r="AI165" i="22"/>
  <c r="AJ165" i="22"/>
  <c r="AI166" i="22"/>
  <c r="AJ166" i="22"/>
  <c r="AI167" i="22"/>
  <c r="AJ167" i="22"/>
  <c r="AI168" i="22"/>
  <c r="AJ168" i="22"/>
  <c r="AI169" i="22"/>
  <c r="AJ169" i="22"/>
  <c r="AI170" i="22"/>
  <c r="AJ170" i="22"/>
  <c r="AI171" i="22"/>
  <c r="AJ171" i="22"/>
  <c r="AI172" i="22"/>
  <c r="AJ172" i="22"/>
  <c r="AI173" i="22"/>
  <c r="AJ173" i="22"/>
  <c r="AI174" i="22"/>
  <c r="AJ174" i="22"/>
  <c r="AI175" i="22"/>
  <c r="AJ175" i="22"/>
  <c r="AI176" i="22"/>
  <c r="AJ176" i="22"/>
  <c r="AI177" i="22"/>
  <c r="AJ177" i="22"/>
  <c r="AI178" i="22"/>
  <c r="AJ178" i="22"/>
  <c r="AI179" i="22"/>
  <c r="AJ179" i="22"/>
  <c r="AI180" i="22"/>
  <c r="AJ180" i="22"/>
  <c r="AI181" i="22"/>
  <c r="AJ181" i="22"/>
  <c r="AI182" i="22"/>
  <c r="AJ182" i="22"/>
  <c r="AI183" i="22"/>
  <c r="AJ183" i="22"/>
  <c r="AI184" i="22"/>
  <c r="AJ184" i="22"/>
  <c r="AI185" i="22"/>
  <c r="AJ185" i="22"/>
  <c r="AI186" i="22"/>
  <c r="AJ186" i="22"/>
  <c r="AI187" i="22"/>
  <c r="AJ187" i="22"/>
  <c r="AI188" i="22"/>
  <c r="AJ188" i="22"/>
  <c r="AI189" i="22"/>
  <c r="AJ189" i="22"/>
  <c r="AI190" i="22"/>
  <c r="AJ190" i="22"/>
  <c r="AI191" i="22"/>
  <c r="AJ191" i="22"/>
  <c r="AI192" i="22"/>
  <c r="AJ192" i="22"/>
  <c r="AI193" i="22"/>
  <c r="AJ193" i="22"/>
  <c r="AI194" i="22"/>
  <c r="AJ194" i="22"/>
  <c r="AI195" i="22"/>
  <c r="AJ195" i="22"/>
  <c r="AI196" i="22"/>
  <c r="AJ196" i="22"/>
  <c r="AI197" i="22"/>
  <c r="AJ197" i="22"/>
  <c r="AI198" i="22"/>
  <c r="AJ198" i="22"/>
  <c r="AI199" i="22"/>
  <c r="AJ199" i="22"/>
  <c r="AI200" i="22"/>
  <c r="AJ200" i="22"/>
  <c r="AI201" i="22"/>
  <c r="AJ201" i="22"/>
  <c r="AI202" i="22"/>
  <c r="AJ202" i="22"/>
  <c r="AI203" i="22"/>
  <c r="AJ203" i="22"/>
  <c r="AI204" i="22"/>
  <c r="AJ204" i="22"/>
  <c r="AI205" i="22"/>
  <c r="AJ205" i="22"/>
  <c r="AI206" i="22"/>
  <c r="AJ206" i="22"/>
  <c r="AI207" i="22"/>
  <c r="AJ207" i="22"/>
  <c r="AI208" i="22"/>
  <c r="AJ208" i="22"/>
  <c r="AI209" i="22"/>
  <c r="AJ209" i="22"/>
  <c r="AI210" i="22"/>
  <c r="AJ210" i="22"/>
  <c r="AI211" i="22"/>
  <c r="AJ211" i="22"/>
  <c r="AI212" i="22"/>
  <c r="AJ212" i="22"/>
  <c r="AI213" i="22"/>
  <c r="AJ213" i="22"/>
  <c r="AI214" i="22"/>
  <c r="AJ214" i="22"/>
  <c r="AI215" i="22"/>
  <c r="AJ215" i="22"/>
  <c r="AI216" i="22"/>
  <c r="AJ216" i="22"/>
  <c r="AI217" i="22"/>
  <c r="AJ217" i="22"/>
  <c r="AI218" i="22"/>
  <c r="AJ218" i="22"/>
  <c r="AI219" i="22"/>
  <c r="AJ219" i="22"/>
  <c r="AI220" i="22"/>
  <c r="AJ220" i="22"/>
  <c r="AI221" i="22"/>
  <c r="AJ221" i="22"/>
  <c r="AI222" i="22"/>
  <c r="AJ222" i="22"/>
  <c r="AI223" i="22"/>
  <c r="AJ223" i="22"/>
  <c r="AI224" i="22"/>
  <c r="AJ224" i="22"/>
  <c r="AI225" i="22"/>
  <c r="AJ225" i="22"/>
  <c r="AI226" i="22"/>
  <c r="AJ226" i="22"/>
  <c r="AI227" i="22"/>
  <c r="AJ227" i="22"/>
  <c r="AI228" i="22"/>
  <c r="AJ228" i="22"/>
  <c r="AI229" i="22"/>
  <c r="AJ229" i="22"/>
  <c r="AI230" i="22"/>
  <c r="AJ230" i="22"/>
  <c r="AI231" i="22"/>
  <c r="AJ231" i="22"/>
  <c r="AI232" i="22"/>
  <c r="AJ232" i="22"/>
  <c r="AI233" i="22"/>
  <c r="AJ233" i="22"/>
  <c r="AI234" i="22"/>
  <c r="AJ234" i="22"/>
  <c r="AI235" i="22"/>
  <c r="AJ235" i="22"/>
  <c r="AI236" i="22"/>
  <c r="AJ236" i="22"/>
  <c r="AI237" i="22"/>
  <c r="AJ237" i="22"/>
  <c r="AI238" i="22"/>
  <c r="AJ238" i="22"/>
  <c r="AI239" i="22"/>
  <c r="AJ239" i="22"/>
  <c r="AI240" i="22"/>
  <c r="AJ240" i="22"/>
  <c r="AI241" i="22"/>
  <c r="AJ241" i="22"/>
  <c r="AI242" i="22"/>
  <c r="AJ242" i="22"/>
  <c r="AI243" i="22"/>
  <c r="AJ243" i="22"/>
  <c r="AI244" i="22"/>
  <c r="AJ244" i="22"/>
  <c r="AI245" i="22"/>
  <c r="AJ245" i="22"/>
  <c r="AI246" i="22"/>
  <c r="AJ246" i="22"/>
  <c r="AI247" i="22"/>
  <c r="AJ247" i="22"/>
  <c r="AI248" i="22"/>
  <c r="AJ248" i="22"/>
  <c r="AI249" i="22"/>
  <c r="AJ249" i="22"/>
  <c r="AI250" i="22"/>
  <c r="AJ250" i="22"/>
  <c r="AI251" i="22"/>
  <c r="AJ251" i="22"/>
  <c r="AI252" i="22"/>
  <c r="AJ252" i="22"/>
  <c r="AI253" i="22"/>
  <c r="AJ253" i="22"/>
  <c r="AI254" i="22"/>
  <c r="AJ254" i="22"/>
  <c r="AI255" i="22"/>
  <c r="AJ255" i="22"/>
  <c r="AI256" i="22"/>
  <c r="AJ256" i="22"/>
  <c r="AI257" i="22"/>
  <c r="AJ257" i="22"/>
  <c r="AI258" i="22"/>
  <c r="AJ258" i="22"/>
  <c r="AI259" i="22"/>
  <c r="AJ259" i="22"/>
  <c r="AI260" i="22"/>
  <c r="AJ260" i="22"/>
  <c r="AI261" i="22"/>
  <c r="AJ261" i="22"/>
  <c r="AI262" i="22"/>
  <c r="AJ262" i="22"/>
  <c r="AI263" i="22"/>
  <c r="AJ263" i="22"/>
  <c r="AI264" i="22"/>
  <c r="AJ264" i="22"/>
  <c r="AI265" i="22"/>
  <c r="AJ265" i="22"/>
  <c r="AI266" i="22"/>
  <c r="AJ266" i="22"/>
  <c r="AI267" i="22"/>
  <c r="AJ267" i="22"/>
  <c r="AI268" i="22"/>
  <c r="AJ268" i="22"/>
  <c r="AI269" i="22"/>
  <c r="AJ269" i="22"/>
  <c r="AI270" i="22"/>
  <c r="AJ270" i="22"/>
  <c r="AI271" i="22"/>
  <c r="AJ271" i="22"/>
  <c r="AI272" i="22"/>
  <c r="AJ272" i="22"/>
  <c r="AI273" i="22"/>
  <c r="AJ273" i="22"/>
  <c r="AI274" i="22"/>
  <c r="AJ274" i="22"/>
  <c r="AI275" i="22"/>
  <c r="AJ275" i="22"/>
  <c r="AI276" i="22"/>
  <c r="AJ276" i="22"/>
  <c r="AI277" i="22"/>
  <c r="AJ277" i="22"/>
  <c r="AI278" i="22"/>
  <c r="AJ278" i="22"/>
  <c r="AI279" i="22"/>
  <c r="AJ279" i="22"/>
  <c r="AI280" i="22"/>
  <c r="AJ280" i="22"/>
  <c r="AI281" i="22"/>
  <c r="AJ281" i="22"/>
  <c r="AI282" i="22"/>
  <c r="AJ282" i="22"/>
  <c r="AI283" i="22"/>
  <c r="AJ283" i="22"/>
  <c r="AI284" i="22"/>
  <c r="AJ284" i="22"/>
  <c r="AI285" i="22"/>
  <c r="AJ285" i="22"/>
  <c r="AI286" i="22"/>
  <c r="AJ286" i="22"/>
  <c r="AI287" i="22"/>
  <c r="AJ287" i="22"/>
  <c r="AI288" i="22"/>
  <c r="AJ288" i="22"/>
  <c r="AI289" i="22"/>
  <c r="AJ289" i="22"/>
  <c r="AI290" i="22"/>
  <c r="AJ290" i="22"/>
  <c r="AI291" i="22"/>
  <c r="AJ291" i="22"/>
  <c r="AI292" i="22"/>
  <c r="AJ292" i="22"/>
  <c r="AI293" i="22"/>
  <c r="AJ293" i="22"/>
  <c r="AI294" i="22"/>
  <c r="AJ294" i="22"/>
  <c r="AI295" i="22"/>
  <c r="AJ295" i="22"/>
  <c r="AI296" i="22"/>
  <c r="AJ296" i="22"/>
  <c r="AI297" i="22"/>
  <c r="AJ297" i="22"/>
  <c r="AI298" i="22"/>
  <c r="AJ298" i="22"/>
  <c r="AI299" i="22"/>
  <c r="AJ299" i="22"/>
  <c r="AI300" i="22"/>
  <c r="AJ300" i="22"/>
  <c r="AI301" i="22"/>
  <c r="AJ301" i="22"/>
  <c r="AI302" i="22"/>
  <c r="AJ302" i="22"/>
  <c r="AI303" i="22"/>
  <c r="AJ303" i="22"/>
  <c r="AI304" i="22"/>
  <c r="AJ304" i="22"/>
  <c r="AI305" i="22"/>
  <c r="AJ305" i="22"/>
  <c r="AI306" i="22"/>
  <c r="AJ306" i="22"/>
  <c r="AI307" i="22"/>
  <c r="AJ307" i="22"/>
  <c r="AI308" i="22"/>
  <c r="AJ308" i="22"/>
  <c r="AI309" i="22"/>
  <c r="AJ309" i="22"/>
  <c r="AI310" i="22"/>
  <c r="AJ310" i="22"/>
  <c r="AI311" i="22"/>
  <c r="AJ311" i="22"/>
  <c r="AI312" i="22"/>
  <c r="AJ312" i="22"/>
  <c r="AI313" i="22"/>
  <c r="AJ313" i="22"/>
  <c r="AI314" i="22"/>
  <c r="AJ314" i="22"/>
  <c r="AI315" i="22"/>
  <c r="AJ315" i="22"/>
  <c r="AI316" i="22"/>
  <c r="AJ316" i="22"/>
  <c r="AI317" i="22"/>
  <c r="AJ317" i="22"/>
  <c r="AI318" i="22"/>
  <c r="AJ318" i="22"/>
  <c r="AI319" i="22"/>
  <c r="AJ319" i="22"/>
  <c r="AI320" i="22"/>
  <c r="AJ320" i="22"/>
  <c r="AI321" i="22"/>
  <c r="AJ321" i="22"/>
  <c r="AI322" i="22"/>
  <c r="AJ322" i="22"/>
  <c r="AI323" i="22"/>
  <c r="AJ323" i="22"/>
  <c r="AI324" i="22"/>
  <c r="AJ324" i="22"/>
  <c r="AI325" i="22"/>
  <c r="AJ325" i="22"/>
  <c r="AI326" i="22"/>
  <c r="AJ326" i="22"/>
  <c r="AI327" i="22"/>
  <c r="AJ327" i="22"/>
  <c r="AI328" i="22"/>
  <c r="AJ328" i="22"/>
  <c r="AI329" i="22"/>
  <c r="AJ329" i="22"/>
  <c r="AI330" i="22"/>
  <c r="AJ330" i="22"/>
  <c r="AI331" i="22"/>
  <c r="AJ331" i="22"/>
  <c r="AI332" i="22"/>
  <c r="AJ332" i="22"/>
  <c r="AI333" i="22"/>
  <c r="AJ333" i="22"/>
  <c r="AI334" i="22"/>
  <c r="AJ334" i="22"/>
  <c r="AI335" i="22"/>
  <c r="AJ335" i="22"/>
  <c r="AI336" i="22"/>
  <c r="AJ336" i="22"/>
  <c r="AI337" i="22"/>
  <c r="AJ337" i="22"/>
  <c r="AI338" i="22"/>
  <c r="AJ338" i="22"/>
  <c r="AI339" i="22"/>
  <c r="AJ339" i="22"/>
  <c r="AI340" i="22"/>
  <c r="AJ340" i="22"/>
  <c r="AI341" i="22"/>
  <c r="AJ341" i="22"/>
  <c r="AI342" i="22"/>
  <c r="AJ342" i="22"/>
  <c r="AI343" i="22"/>
  <c r="AJ343" i="22"/>
  <c r="AI344" i="22"/>
  <c r="AJ344" i="22"/>
  <c r="AI345" i="22"/>
  <c r="AJ345" i="22"/>
  <c r="AI346" i="22"/>
  <c r="AJ346" i="22"/>
  <c r="AI347" i="22"/>
  <c r="AJ347" i="22"/>
  <c r="AI348" i="22"/>
  <c r="AJ348" i="22"/>
  <c r="AI349" i="22"/>
  <c r="AJ349" i="22"/>
  <c r="AI350" i="22"/>
  <c r="AJ350" i="22"/>
  <c r="AI351" i="22"/>
  <c r="AJ351" i="22"/>
  <c r="AI352" i="22"/>
  <c r="AJ352" i="22"/>
  <c r="AI353" i="22"/>
  <c r="AJ353" i="22"/>
  <c r="AI354" i="22"/>
  <c r="AJ354" i="22"/>
  <c r="AI355" i="22"/>
  <c r="AJ355" i="22"/>
  <c r="AI356" i="22"/>
  <c r="AJ356" i="22"/>
  <c r="AI357" i="22"/>
  <c r="AJ357" i="22"/>
  <c r="AI358" i="22"/>
  <c r="AJ358" i="22"/>
  <c r="AI359" i="22"/>
  <c r="AJ359" i="22"/>
  <c r="AI360" i="22"/>
  <c r="AJ360" i="22"/>
  <c r="AI361" i="22"/>
  <c r="AJ361" i="22"/>
  <c r="AI362" i="22"/>
  <c r="AJ362" i="22"/>
  <c r="AI363" i="22"/>
  <c r="AJ363" i="22"/>
  <c r="AI364" i="22"/>
  <c r="AJ364" i="22"/>
  <c r="AI365" i="22"/>
  <c r="AJ365" i="22"/>
  <c r="AI366" i="22"/>
  <c r="AJ366" i="22"/>
  <c r="AI367" i="22"/>
  <c r="AJ367" i="22"/>
  <c r="AI368" i="22"/>
  <c r="AJ368" i="22"/>
  <c r="AI369" i="22"/>
  <c r="AJ369" i="22"/>
  <c r="AI370" i="22"/>
  <c r="AJ370" i="22"/>
  <c r="AI371" i="22"/>
  <c r="AJ371" i="22"/>
  <c r="AI372" i="22"/>
  <c r="AJ372" i="22"/>
  <c r="AI373" i="22"/>
  <c r="AJ373" i="22"/>
  <c r="AI374" i="22"/>
  <c r="AJ374" i="22"/>
  <c r="AI375" i="22"/>
  <c r="AJ375" i="22"/>
  <c r="AI376" i="22"/>
  <c r="AJ376" i="22"/>
  <c r="AI377" i="22"/>
  <c r="AJ377" i="22"/>
  <c r="AI378" i="22"/>
  <c r="AJ378" i="22"/>
  <c r="AI379" i="22"/>
  <c r="AJ379" i="22"/>
  <c r="AI380" i="22"/>
  <c r="AJ380" i="22"/>
  <c r="AI381" i="22"/>
  <c r="AJ381" i="22"/>
  <c r="AI382" i="22"/>
  <c r="AJ382" i="22"/>
  <c r="AI383" i="22"/>
  <c r="AJ383" i="22"/>
  <c r="AI384" i="22"/>
  <c r="AJ384" i="22"/>
  <c r="AI385" i="22"/>
  <c r="AJ385" i="22"/>
  <c r="AI386" i="22"/>
  <c r="AJ386" i="22"/>
  <c r="AI387" i="22"/>
  <c r="AJ387" i="22"/>
  <c r="AI388" i="22"/>
  <c r="AJ388" i="22"/>
  <c r="AI389" i="22"/>
  <c r="AJ389" i="22"/>
  <c r="AI390" i="22"/>
  <c r="AJ390" i="22"/>
  <c r="AI391" i="22"/>
  <c r="AJ391" i="22"/>
  <c r="AI392" i="22"/>
  <c r="AJ392" i="22"/>
  <c r="AI393" i="22"/>
  <c r="AJ393" i="22"/>
  <c r="AI394" i="22"/>
  <c r="AJ394" i="22"/>
  <c r="AI395" i="22"/>
  <c r="AJ395" i="22"/>
  <c r="AI396" i="22"/>
  <c r="AJ396" i="22"/>
  <c r="AI397" i="22"/>
  <c r="AJ397" i="22"/>
  <c r="AI398" i="22"/>
  <c r="AJ398" i="22"/>
  <c r="AI399" i="22"/>
  <c r="AJ399" i="22"/>
  <c r="AI400" i="22"/>
  <c r="AJ400" i="22"/>
  <c r="AI401" i="22"/>
  <c r="AJ401" i="22"/>
  <c r="AI402" i="22"/>
  <c r="AJ402" i="22"/>
  <c r="AI403" i="22"/>
  <c r="AJ403" i="22"/>
  <c r="AI404" i="22"/>
  <c r="AJ404" i="22"/>
  <c r="AI405" i="22"/>
  <c r="AJ405" i="22"/>
  <c r="AI406" i="22"/>
  <c r="AJ406" i="22"/>
  <c r="AI407" i="22"/>
  <c r="AJ407" i="22"/>
  <c r="AI408" i="22"/>
  <c r="AJ408" i="22"/>
  <c r="AI409" i="22"/>
  <c r="AJ409" i="22"/>
  <c r="AI410" i="22"/>
  <c r="AJ410" i="22"/>
  <c r="AI411" i="22"/>
  <c r="AJ411" i="22"/>
  <c r="AI412" i="22"/>
  <c r="AJ412" i="22"/>
  <c r="AI413" i="22"/>
  <c r="AJ413" i="22"/>
  <c r="AI414" i="22"/>
  <c r="AJ414" i="22"/>
  <c r="AI415" i="22"/>
  <c r="AJ415" i="22"/>
  <c r="AI416" i="22"/>
  <c r="AJ416" i="22"/>
  <c r="AI417" i="22"/>
  <c r="AJ417" i="22"/>
  <c r="AI418" i="22"/>
  <c r="AJ418" i="22"/>
  <c r="AI419" i="22"/>
  <c r="AJ419" i="22"/>
  <c r="AI420" i="22"/>
  <c r="AJ420" i="22"/>
  <c r="AI421" i="22"/>
  <c r="AJ421" i="22"/>
  <c r="AI422" i="22"/>
  <c r="AJ422" i="22"/>
  <c r="AI423" i="22"/>
  <c r="AJ423" i="22"/>
  <c r="AI424" i="22"/>
  <c r="AJ424" i="22"/>
  <c r="AI425" i="22"/>
  <c r="AJ425" i="22"/>
  <c r="AI426" i="22"/>
  <c r="AJ426" i="22"/>
  <c r="AI427" i="22"/>
  <c r="AJ427" i="22"/>
  <c r="AI428" i="22"/>
  <c r="AJ428" i="22"/>
  <c r="AI429" i="22"/>
  <c r="AJ429" i="22"/>
  <c r="AI430" i="22"/>
  <c r="AJ430" i="22"/>
  <c r="AI431" i="22"/>
  <c r="AJ431" i="22"/>
  <c r="AI432" i="22"/>
  <c r="AJ432" i="22"/>
  <c r="AI433" i="22"/>
  <c r="AJ433" i="22"/>
  <c r="AI434" i="22"/>
  <c r="AJ434" i="22"/>
  <c r="AI435" i="22"/>
  <c r="AJ435" i="22"/>
  <c r="AI436" i="22"/>
  <c r="AJ436" i="22"/>
  <c r="AI437" i="22"/>
  <c r="AJ437" i="22"/>
  <c r="AI438" i="22"/>
  <c r="AJ438" i="22"/>
  <c r="AI439" i="22"/>
  <c r="AJ439" i="22"/>
  <c r="AI440" i="22"/>
  <c r="AJ440" i="22"/>
  <c r="AI441" i="22"/>
  <c r="AJ441" i="22"/>
  <c r="AI442" i="22"/>
  <c r="AJ442" i="22"/>
  <c r="AI443" i="22"/>
  <c r="AJ443" i="22"/>
  <c r="AI444" i="22"/>
  <c r="AJ444" i="22"/>
  <c r="AI445" i="22"/>
  <c r="AJ445" i="22"/>
  <c r="AI446" i="22"/>
  <c r="AJ446" i="22"/>
  <c r="AI447" i="22"/>
  <c r="AJ447" i="22"/>
  <c r="AI448" i="22"/>
  <c r="AJ448" i="22"/>
  <c r="AI449" i="22"/>
  <c r="AJ449" i="22"/>
  <c r="AI450" i="22"/>
  <c r="AJ450" i="22"/>
  <c r="AI451" i="22"/>
  <c r="AJ451" i="22"/>
  <c r="AI452" i="22"/>
  <c r="AJ452" i="22"/>
  <c r="AI453" i="22"/>
  <c r="AJ453" i="22"/>
  <c r="AI454" i="22"/>
  <c r="AJ454" i="22"/>
  <c r="AI455" i="22"/>
  <c r="AJ455" i="22"/>
  <c r="AI456" i="22"/>
  <c r="AJ456" i="22"/>
  <c r="AI457" i="22"/>
  <c r="AJ457" i="22"/>
  <c r="AI458" i="22"/>
  <c r="AJ458" i="22"/>
  <c r="AI459" i="22"/>
  <c r="AJ459" i="22"/>
  <c r="AI460" i="22"/>
  <c r="AJ460" i="22"/>
  <c r="AI461" i="22"/>
  <c r="AJ461" i="22"/>
  <c r="AI462" i="22"/>
  <c r="AJ462" i="22"/>
  <c r="AI463" i="22"/>
  <c r="AJ463" i="22"/>
  <c r="AI464" i="22"/>
  <c r="AJ464" i="22"/>
  <c r="AI465" i="22"/>
  <c r="AJ465" i="22"/>
  <c r="AI466" i="22"/>
  <c r="AJ466" i="22"/>
  <c r="AI467" i="22"/>
  <c r="AJ467" i="22"/>
  <c r="AI468" i="22"/>
  <c r="AJ468" i="22"/>
  <c r="AI469" i="22"/>
  <c r="AJ469" i="22"/>
  <c r="AI470" i="22"/>
  <c r="AJ470" i="22"/>
  <c r="AI471" i="22"/>
  <c r="AJ471" i="22"/>
  <c r="AI472" i="22"/>
  <c r="AJ472" i="22"/>
  <c r="AI473" i="22"/>
  <c r="AJ473" i="22"/>
  <c r="AI474" i="22"/>
  <c r="AJ474" i="22"/>
  <c r="AI475" i="22"/>
  <c r="AJ475" i="22"/>
  <c r="AI476" i="22"/>
  <c r="AJ476" i="22"/>
  <c r="AI477" i="22"/>
  <c r="AJ477" i="22"/>
  <c r="AI478" i="22"/>
  <c r="AJ478" i="22"/>
  <c r="AI479" i="22"/>
  <c r="AJ479" i="22"/>
  <c r="AI480" i="22"/>
  <c r="AJ480" i="22"/>
  <c r="AI481" i="22"/>
  <c r="AJ481" i="22"/>
  <c r="AI482" i="22"/>
  <c r="AJ482" i="22"/>
  <c r="AI483" i="22"/>
  <c r="AJ483" i="22"/>
  <c r="AI484" i="22"/>
  <c r="AJ484" i="22"/>
  <c r="AI485" i="22"/>
  <c r="AJ485" i="22"/>
  <c r="AI486" i="22"/>
  <c r="AJ486" i="22"/>
  <c r="AI487" i="22"/>
  <c r="AJ487" i="22"/>
  <c r="AI488" i="22"/>
  <c r="AJ488" i="22"/>
  <c r="AI489" i="22"/>
  <c r="AJ489" i="22"/>
  <c r="AI490" i="22"/>
  <c r="AJ490" i="22"/>
  <c r="AI491" i="22"/>
  <c r="AJ491" i="22"/>
  <c r="AI492" i="22"/>
  <c r="AJ492" i="22"/>
  <c r="AI493" i="22"/>
  <c r="AJ493" i="22"/>
  <c r="AI494" i="22"/>
  <c r="AJ494" i="22"/>
  <c r="AI495" i="22"/>
  <c r="AJ495" i="22"/>
  <c r="AI496" i="22"/>
  <c r="AJ496" i="22"/>
  <c r="AI497" i="22"/>
  <c r="AJ497" i="22"/>
  <c r="AI498" i="22"/>
  <c r="AJ498" i="22"/>
  <c r="AI499" i="22"/>
  <c r="AJ499" i="22"/>
  <c r="AI500" i="22"/>
  <c r="AJ500" i="22"/>
  <c r="AI501" i="22"/>
  <c r="AJ501" i="22"/>
  <c r="AI502" i="22"/>
  <c r="AJ502" i="22"/>
  <c r="AI503" i="22"/>
  <c r="AJ503" i="22"/>
  <c r="AI504" i="22"/>
  <c r="AJ504" i="22"/>
  <c r="AI505" i="22"/>
  <c r="AJ505" i="22"/>
  <c r="AI506" i="22"/>
  <c r="AJ506" i="22"/>
  <c r="AI507" i="22"/>
  <c r="AJ507" i="22"/>
  <c r="AI508" i="22"/>
  <c r="AJ508" i="22"/>
  <c r="AI509" i="22"/>
  <c r="AJ509" i="22"/>
  <c r="AI510" i="22"/>
  <c r="AJ510" i="22"/>
  <c r="AI511" i="22"/>
  <c r="AJ511" i="22"/>
  <c r="AI512" i="22"/>
  <c r="AJ512" i="22"/>
  <c r="AI513" i="22"/>
  <c r="AJ513" i="22"/>
  <c r="AI514" i="22"/>
  <c r="AJ514" i="22"/>
  <c r="AI515" i="22"/>
  <c r="AJ515" i="22"/>
  <c r="AI516" i="22"/>
  <c r="AJ516" i="22"/>
  <c r="AI517" i="22"/>
  <c r="AJ517" i="22"/>
  <c r="AI518" i="22"/>
  <c r="AJ518" i="22"/>
  <c r="AI519" i="22"/>
  <c r="AJ519" i="22"/>
  <c r="AI520" i="22"/>
  <c r="AJ520" i="22"/>
  <c r="AI521" i="22"/>
  <c r="AJ521" i="22"/>
  <c r="AI522" i="22"/>
  <c r="AJ522" i="22"/>
  <c r="AI523" i="22"/>
  <c r="AJ523" i="22"/>
  <c r="AI524" i="22"/>
  <c r="AJ524" i="22"/>
  <c r="AI525" i="22"/>
  <c r="AJ525" i="22"/>
  <c r="AI526" i="22"/>
  <c r="AJ526" i="22"/>
  <c r="AI527" i="22"/>
  <c r="AJ527" i="22"/>
  <c r="AI528" i="22"/>
  <c r="AJ528" i="22"/>
  <c r="AI529" i="22"/>
  <c r="AJ529" i="22"/>
  <c r="AI530" i="22"/>
  <c r="AJ530" i="22"/>
  <c r="AI531" i="22"/>
  <c r="AJ531" i="22"/>
  <c r="AI532" i="22"/>
  <c r="AJ532" i="22"/>
  <c r="AI533" i="22"/>
  <c r="AJ533" i="22"/>
  <c r="AI534" i="22"/>
  <c r="AJ534" i="22"/>
  <c r="AI535" i="22"/>
  <c r="AJ535" i="22"/>
  <c r="AI536" i="22"/>
  <c r="AJ536" i="22"/>
  <c r="AI537" i="22"/>
  <c r="AJ537" i="22"/>
  <c r="AI538" i="22"/>
  <c r="AJ538" i="22"/>
  <c r="AI539" i="22"/>
  <c r="AJ539" i="22"/>
  <c r="AI540" i="22"/>
  <c r="AJ540" i="22"/>
  <c r="AI541" i="22"/>
  <c r="AJ541" i="22"/>
  <c r="AI542" i="22"/>
  <c r="AJ542" i="22"/>
  <c r="AI543" i="22"/>
  <c r="AJ543" i="22"/>
  <c r="AI544" i="22"/>
  <c r="AJ544" i="22"/>
  <c r="AI545" i="22"/>
  <c r="AJ545" i="22"/>
  <c r="AI546" i="22"/>
  <c r="AJ546" i="22"/>
  <c r="AI547" i="22"/>
  <c r="AJ547" i="22"/>
  <c r="AI548" i="22"/>
  <c r="AJ548" i="22"/>
  <c r="AI549" i="22"/>
  <c r="AJ549" i="22"/>
  <c r="AI550" i="22"/>
  <c r="AJ550" i="22"/>
  <c r="AI551" i="22"/>
  <c r="AJ551" i="22"/>
  <c r="AI552" i="22"/>
  <c r="AJ552" i="22"/>
  <c r="AI553" i="22"/>
  <c r="AJ553" i="22"/>
  <c r="AI554" i="22"/>
  <c r="AJ554" i="22"/>
  <c r="AI555" i="22"/>
  <c r="AJ555" i="22"/>
  <c r="AI556" i="22"/>
  <c r="AJ556" i="22"/>
  <c r="AI557" i="22"/>
  <c r="AJ557" i="22"/>
  <c r="AI558" i="22"/>
  <c r="AJ558" i="22"/>
  <c r="AI559" i="22"/>
  <c r="AJ559" i="22"/>
  <c r="AI560" i="22"/>
  <c r="AJ560" i="22"/>
  <c r="AI561" i="22"/>
  <c r="AJ561" i="22"/>
  <c r="AI562" i="22"/>
  <c r="AJ562" i="22"/>
  <c r="AI563" i="22"/>
  <c r="AJ563" i="22"/>
  <c r="AI564" i="22"/>
  <c r="AJ564" i="22"/>
  <c r="AI565" i="22"/>
  <c r="AJ565" i="22"/>
  <c r="AI566" i="22"/>
  <c r="AJ566" i="22"/>
  <c r="AI567" i="22"/>
  <c r="AJ567" i="22"/>
  <c r="AI568" i="22"/>
  <c r="AJ568" i="22"/>
  <c r="AI569" i="22"/>
  <c r="AJ569" i="22"/>
  <c r="AI570" i="22"/>
  <c r="AJ570" i="22"/>
  <c r="AI571" i="22"/>
  <c r="AJ571" i="22"/>
  <c r="AI572" i="22"/>
  <c r="AJ572" i="22"/>
  <c r="AI573" i="22"/>
  <c r="AJ573" i="22"/>
  <c r="AI574" i="22"/>
  <c r="AJ574" i="22"/>
  <c r="AI575" i="22"/>
  <c r="AJ575" i="22"/>
  <c r="AI576" i="22"/>
  <c r="AJ576" i="22"/>
  <c r="AI577" i="22"/>
  <c r="AJ577" i="22"/>
  <c r="AI578" i="22"/>
  <c r="AJ578" i="22"/>
  <c r="AI579" i="22"/>
  <c r="AJ579" i="22"/>
  <c r="AI580" i="22"/>
  <c r="AJ580" i="22"/>
  <c r="AI581" i="22"/>
  <c r="AJ581" i="22"/>
  <c r="AI582" i="22"/>
  <c r="AJ582" i="22"/>
  <c r="AI583" i="22"/>
  <c r="AJ583" i="22"/>
  <c r="AI584" i="22"/>
  <c r="AJ584" i="22"/>
  <c r="AI585" i="22"/>
  <c r="AJ585" i="22"/>
  <c r="AI586" i="22"/>
  <c r="AJ586" i="22"/>
  <c r="AI587" i="22"/>
  <c r="AJ587" i="22"/>
  <c r="AI588" i="22"/>
  <c r="AJ588" i="22"/>
  <c r="AI589" i="22"/>
  <c r="AJ589" i="22"/>
  <c r="AI590" i="22"/>
  <c r="AJ590" i="22"/>
  <c r="AI591" i="22"/>
  <c r="AJ591" i="22"/>
  <c r="AI592" i="22"/>
  <c r="AJ592" i="22"/>
  <c r="AI593" i="22"/>
  <c r="AJ593" i="22"/>
  <c r="AI594" i="22"/>
  <c r="AJ594" i="22"/>
  <c r="AI595" i="22"/>
  <c r="AJ595" i="22"/>
  <c r="AI596" i="22"/>
  <c r="AJ596" i="22"/>
  <c r="AI597" i="22"/>
  <c r="AJ597" i="22"/>
  <c r="AI598" i="22"/>
  <c r="AJ598" i="22"/>
  <c r="AI599" i="22"/>
  <c r="AJ599" i="22"/>
  <c r="AI600" i="22"/>
  <c r="AJ600" i="22"/>
  <c r="AI601" i="22"/>
  <c r="AJ601" i="22"/>
  <c r="AI602" i="22"/>
  <c r="AJ602" i="22"/>
  <c r="AI603" i="22"/>
  <c r="AJ603" i="22"/>
  <c r="AI604" i="22"/>
  <c r="AJ604" i="22"/>
  <c r="AI605" i="22"/>
  <c r="AJ605" i="22"/>
  <c r="AI606" i="22"/>
  <c r="AJ606" i="22"/>
  <c r="AI607" i="22"/>
  <c r="AJ607" i="22"/>
  <c r="AI608" i="22"/>
  <c r="AJ608" i="22"/>
  <c r="AI609" i="22"/>
  <c r="AJ609" i="22"/>
  <c r="AI610" i="22"/>
  <c r="AJ610" i="22"/>
  <c r="AI611" i="22"/>
  <c r="AJ611" i="22"/>
  <c r="AI612" i="22"/>
  <c r="AJ612" i="22"/>
  <c r="AI613" i="22"/>
  <c r="AJ613" i="22"/>
  <c r="AI614" i="22"/>
  <c r="AJ614" i="22"/>
  <c r="AI615" i="22"/>
  <c r="AJ615" i="22"/>
  <c r="AI616" i="22"/>
  <c r="AJ616" i="22"/>
  <c r="AI617" i="22"/>
  <c r="AJ617" i="22"/>
  <c r="AI618" i="22"/>
  <c r="AJ618" i="22"/>
  <c r="AI619" i="22"/>
  <c r="AJ619" i="22"/>
  <c r="AI620" i="22"/>
  <c r="AJ620" i="22"/>
  <c r="AI621" i="22"/>
  <c r="AJ621" i="22"/>
  <c r="AI622" i="22"/>
  <c r="AJ622" i="22"/>
  <c r="AI623" i="22"/>
  <c r="AJ623" i="22"/>
  <c r="AI624" i="22"/>
  <c r="AJ624" i="22"/>
  <c r="AI625" i="22"/>
  <c r="AJ625" i="22"/>
  <c r="AI626" i="22"/>
  <c r="AJ626" i="22"/>
  <c r="AI627" i="22"/>
  <c r="AJ627" i="22"/>
  <c r="AI628" i="22"/>
  <c r="AJ628" i="22"/>
  <c r="AI629" i="22"/>
  <c r="AJ629" i="22"/>
  <c r="AI630" i="22"/>
  <c r="AJ630" i="22"/>
  <c r="AI631" i="22"/>
  <c r="AJ631" i="22"/>
  <c r="AI632" i="22"/>
  <c r="AJ632" i="22"/>
  <c r="AI633" i="22"/>
  <c r="AJ633" i="22"/>
  <c r="AI634" i="22"/>
  <c r="AJ634" i="22"/>
  <c r="AI635" i="22"/>
  <c r="AJ635" i="22"/>
  <c r="AI636" i="22"/>
  <c r="AJ636" i="22"/>
  <c r="AI637" i="22"/>
  <c r="AJ637" i="22"/>
  <c r="AI638" i="22"/>
  <c r="AJ638" i="22"/>
  <c r="AI639" i="22"/>
  <c r="AJ639" i="22"/>
  <c r="AI640" i="22"/>
  <c r="AJ640" i="22"/>
  <c r="AI641" i="22"/>
  <c r="AJ641" i="22"/>
  <c r="AI642" i="22"/>
  <c r="AJ642" i="22"/>
  <c r="AI643" i="22"/>
  <c r="AJ643" i="22"/>
  <c r="AI644" i="22"/>
  <c r="AJ644" i="22"/>
  <c r="AI645" i="22"/>
  <c r="AJ645" i="22"/>
  <c r="AI646" i="22"/>
  <c r="AJ646" i="22"/>
  <c r="AI647" i="22"/>
  <c r="AJ647" i="22"/>
  <c r="AI648" i="22"/>
  <c r="AJ648" i="22"/>
  <c r="AI649" i="22"/>
  <c r="AJ649" i="22"/>
  <c r="AI650" i="22"/>
  <c r="AJ650" i="22"/>
  <c r="AI651" i="22"/>
  <c r="AJ651" i="22"/>
  <c r="AI652" i="22"/>
  <c r="AJ652" i="22"/>
  <c r="AI653" i="22"/>
  <c r="AJ653" i="22"/>
  <c r="AI654" i="22"/>
  <c r="AJ654" i="22"/>
  <c r="AI655" i="22"/>
  <c r="AJ655" i="22"/>
  <c r="AI656" i="22"/>
  <c r="AJ656" i="22"/>
  <c r="AI657" i="22"/>
  <c r="AJ657" i="22"/>
  <c r="AI658" i="22"/>
  <c r="AJ658" i="22"/>
  <c r="AI659" i="22"/>
  <c r="AJ659" i="22"/>
  <c r="AI660" i="22"/>
  <c r="AJ660" i="22"/>
  <c r="AI661" i="22"/>
  <c r="AJ661" i="22"/>
  <c r="AI662" i="22"/>
  <c r="AJ662" i="22"/>
  <c r="AI663" i="22"/>
  <c r="AJ663" i="22"/>
  <c r="AI664" i="22"/>
  <c r="AJ664" i="22"/>
  <c r="AI665" i="22"/>
  <c r="AJ665" i="22"/>
  <c r="AI666" i="22"/>
  <c r="AJ666" i="22"/>
  <c r="AI667" i="22"/>
  <c r="AJ667" i="22"/>
  <c r="AI668" i="22"/>
  <c r="AJ668" i="22"/>
  <c r="AI669" i="22"/>
  <c r="AJ669" i="22"/>
  <c r="AI670" i="22"/>
  <c r="AJ670" i="22"/>
  <c r="AI671" i="22"/>
  <c r="AJ671" i="22"/>
  <c r="AI672" i="22"/>
  <c r="AJ672" i="22"/>
  <c r="AI673" i="22"/>
  <c r="AJ673" i="22"/>
  <c r="AI674" i="22"/>
  <c r="AJ674" i="22"/>
  <c r="AI675" i="22"/>
  <c r="AJ675" i="22"/>
  <c r="AI676" i="22"/>
  <c r="AJ676" i="22"/>
  <c r="AI677" i="22"/>
  <c r="AJ677" i="22"/>
  <c r="AI678" i="22"/>
  <c r="AJ678" i="22"/>
  <c r="AI679" i="22"/>
  <c r="AJ679" i="22"/>
  <c r="AI680" i="22"/>
  <c r="AJ680" i="22"/>
  <c r="AI681" i="22"/>
  <c r="AJ681" i="22"/>
  <c r="AI682" i="22"/>
  <c r="AJ682" i="22"/>
  <c r="AI683" i="22"/>
  <c r="AJ683" i="22"/>
  <c r="AI684" i="22"/>
  <c r="AJ684" i="22"/>
  <c r="AI685" i="22"/>
  <c r="AJ685" i="22"/>
  <c r="AI686" i="22"/>
  <c r="AJ686" i="22"/>
  <c r="AI687" i="22"/>
  <c r="AJ687" i="22"/>
  <c r="AI688" i="22"/>
  <c r="AJ688" i="22"/>
  <c r="AI689" i="22"/>
  <c r="AJ689" i="22"/>
  <c r="AI690" i="22"/>
  <c r="AJ690" i="22"/>
  <c r="AI691" i="22"/>
  <c r="AJ691" i="22"/>
  <c r="AI692" i="22"/>
  <c r="AJ692" i="22"/>
  <c r="AI693" i="22"/>
  <c r="AJ693" i="22"/>
  <c r="AI694" i="22"/>
  <c r="AJ694" i="22"/>
  <c r="AI695" i="22"/>
  <c r="AJ695" i="22"/>
  <c r="AI696" i="22"/>
  <c r="AJ696" i="22"/>
  <c r="AI697" i="22"/>
  <c r="AJ697" i="22"/>
  <c r="AI698" i="22"/>
  <c r="AJ698" i="22"/>
  <c r="AI699" i="22"/>
  <c r="AJ699" i="22"/>
  <c r="AI700" i="22"/>
  <c r="AJ700" i="22"/>
  <c r="AI701" i="22"/>
  <c r="AJ701" i="22"/>
  <c r="AI702" i="22"/>
  <c r="AJ702" i="22"/>
  <c r="AI703" i="22"/>
  <c r="AJ703" i="22"/>
  <c r="AI704" i="22"/>
  <c r="AJ704" i="22"/>
  <c r="AI705" i="22"/>
  <c r="AJ705" i="22"/>
  <c r="AI706" i="22"/>
  <c r="AJ706" i="22"/>
  <c r="AI707" i="22"/>
  <c r="AJ707" i="22"/>
  <c r="AI708" i="22"/>
  <c r="AJ708" i="22"/>
  <c r="AI709" i="22"/>
  <c r="AJ709" i="22"/>
  <c r="AI710" i="22"/>
  <c r="AJ710" i="22"/>
  <c r="AI711" i="22"/>
  <c r="AJ711" i="22"/>
  <c r="AI712" i="22"/>
  <c r="AJ712" i="22"/>
  <c r="AI713" i="22"/>
  <c r="AJ713" i="22"/>
  <c r="AI714" i="22"/>
  <c r="AJ714" i="22"/>
  <c r="AI715" i="22"/>
  <c r="AJ715" i="22"/>
  <c r="AI716" i="22"/>
  <c r="AJ716" i="22"/>
  <c r="AI717" i="22"/>
  <c r="AJ717" i="22"/>
  <c r="AI718" i="22"/>
  <c r="AJ718" i="22"/>
  <c r="AI719" i="22"/>
  <c r="AJ719" i="22"/>
  <c r="AI720" i="22"/>
  <c r="AJ720" i="22"/>
  <c r="AI721" i="22"/>
  <c r="AJ721" i="22"/>
  <c r="AI722" i="22"/>
  <c r="AJ722" i="22"/>
  <c r="AI723" i="22"/>
  <c r="AJ723" i="22"/>
  <c r="AI724" i="22"/>
  <c r="AJ724" i="22"/>
  <c r="AI725" i="22"/>
  <c r="AJ725" i="22"/>
  <c r="AI726" i="22"/>
  <c r="AJ726" i="22"/>
  <c r="AI727" i="22"/>
  <c r="AJ727" i="22"/>
  <c r="AI728" i="22"/>
  <c r="AJ728" i="22"/>
  <c r="AI729" i="22"/>
  <c r="AJ729" i="22"/>
  <c r="AI730" i="22"/>
  <c r="AJ730" i="22"/>
  <c r="AI731" i="22"/>
  <c r="AJ731" i="22"/>
  <c r="AI732" i="22"/>
  <c r="AJ732" i="22"/>
  <c r="AI733" i="22"/>
  <c r="AJ733" i="22"/>
  <c r="AI734" i="22"/>
  <c r="AJ734" i="22"/>
  <c r="AI735" i="22"/>
  <c r="AJ735" i="22"/>
  <c r="AI736" i="22"/>
  <c r="AJ736" i="22"/>
  <c r="AI737" i="22"/>
  <c r="AJ737" i="22"/>
  <c r="AI738" i="22"/>
  <c r="AJ738" i="22"/>
  <c r="AI739" i="22"/>
  <c r="AJ739" i="22"/>
  <c r="AI740" i="22"/>
  <c r="AJ740" i="22"/>
  <c r="AI741" i="22"/>
  <c r="AJ741" i="22"/>
  <c r="AI742" i="22"/>
  <c r="AJ742" i="22"/>
  <c r="AI743" i="22"/>
  <c r="AJ743" i="22"/>
  <c r="AI744" i="22"/>
  <c r="AJ744" i="22"/>
  <c r="AI745" i="22"/>
  <c r="AJ745" i="22"/>
  <c r="AI746" i="22"/>
  <c r="AJ746" i="22"/>
  <c r="AI747" i="22"/>
  <c r="AJ747" i="22"/>
  <c r="AI748" i="22"/>
  <c r="AJ748" i="22"/>
  <c r="AI749" i="22"/>
  <c r="AJ749" i="22"/>
  <c r="AI750" i="22"/>
  <c r="AJ750" i="22"/>
  <c r="AI751" i="22"/>
  <c r="AJ751" i="22"/>
  <c r="AI752" i="22"/>
  <c r="AJ752" i="22"/>
  <c r="AI753" i="22"/>
  <c r="AJ753" i="22"/>
  <c r="AI754" i="22"/>
  <c r="AJ754" i="22"/>
  <c r="AI755" i="22"/>
  <c r="AJ755" i="22"/>
  <c r="AI756" i="22"/>
  <c r="AJ756" i="22"/>
  <c r="AI757" i="22"/>
  <c r="AJ757" i="22"/>
  <c r="AI758" i="22"/>
  <c r="AJ758" i="22"/>
  <c r="AI759" i="22"/>
  <c r="AJ759" i="22"/>
  <c r="AI760" i="22"/>
  <c r="AJ760" i="22"/>
  <c r="AI761" i="22"/>
  <c r="AJ761" i="22"/>
  <c r="AI762" i="22"/>
  <c r="AJ762" i="22"/>
  <c r="AI763" i="22"/>
  <c r="AJ763" i="22"/>
  <c r="AI764" i="22"/>
  <c r="AJ764" i="22"/>
  <c r="AI765" i="22"/>
  <c r="AJ765" i="22"/>
  <c r="AI766" i="22"/>
  <c r="AJ766" i="22"/>
  <c r="AI767" i="22"/>
  <c r="AJ767" i="22"/>
  <c r="AI768" i="22"/>
  <c r="AJ768" i="22"/>
  <c r="AI769" i="22"/>
  <c r="AJ769" i="22"/>
  <c r="AI770" i="22"/>
  <c r="AJ770" i="22"/>
  <c r="AI771" i="22"/>
  <c r="AJ771" i="22"/>
  <c r="AI772" i="22"/>
  <c r="AJ772" i="22"/>
  <c r="AI773" i="22"/>
  <c r="AJ773" i="22"/>
  <c r="AI774" i="22"/>
  <c r="AJ774" i="22"/>
  <c r="AI775" i="22"/>
  <c r="AJ775" i="22"/>
  <c r="AI776" i="22"/>
  <c r="AJ776" i="22"/>
  <c r="AI777" i="22"/>
  <c r="AJ777" i="22"/>
  <c r="AI778" i="22"/>
  <c r="AJ778" i="22"/>
  <c r="AI779" i="22"/>
  <c r="AJ779" i="22"/>
  <c r="AI780" i="22"/>
  <c r="AJ780" i="22"/>
  <c r="AI781" i="22"/>
  <c r="AJ781" i="22"/>
  <c r="AI782" i="22"/>
  <c r="AJ782" i="22"/>
  <c r="AI783" i="22"/>
  <c r="AJ783" i="22"/>
  <c r="AI784" i="22"/>
  <c r="AJ784" i="22"/>
  <c r="AI785" i="22"/>
  <c r="AJ785" i="22"/>
  <c r="AI786" i="22"/>
  <c r="AJ786" i="22"/>
  <c r="AI787" i="22"/>
  <c r="AJ787" i="22"/>
  <c r="AI788" i="22"/>
  <c r="AJ788" i="22"/>
  <c r="AI789" i="22"/>
  <c r="AJ789" i="22"/>
  <c r="AI790" i="22"/>
  <c r="AJ790" i="22"/>
  <c r="AI791" i="22"/>
  <c r="AJ791" i="22"/>
  <c r="AI792" i="22"/>
  <c r="AJ792" i="22"/>
  <c r="AI793" i="22"/>
  <c r="AJ793" i="22"/>
  <c r="AI794" i="22"/>
  <c r="AJ794" i="22"/>
  <c r="AI795" i="22"/>
  <c r="AJ795" i="22"/>
  <c r="AI796" i="22"/>
  <c r="AJ796" i="22"/>
  <c r="AI797" i="22"/>
  <c r="AJ797" i="22"/>
  <c r="AI798" i="22"/>
  <c r="AJ798" i="22"/>
  <c r="AI799" i="22"/>
  <c r="AJ799" i="22"/>
  <c r="AI800" i="22"/>
  <c r="AJ800" i="22"/>
  <c r="AI801" i="22"/>
  <c r="AJ801" i="22"/>
  <c r="AI802" i="22"/>
  <c r="AJ802" i="22"/>
  <c r="AI803" i="22"/>
  <c r="AJ803" i="22"/>
  <c r="AI804" i="22"/>
  <c r="AJ804" i="22"/>
  <c r="AI805" i="22"/>
  <c r="AJ805" i="22"/>
  <c r="AI806" i="22"/>
  <c r="AJ806" i="22"/>
  <c r="AI807" i="22"/>
  <c r="AJ807" i="22"/>
  <c r="AI808" i="22"/>
  <c r="AJ808" i="22"/>
  <c r="AI809" i="22"/>
  <c r="AJ809" i="22"/>
  <c r="AI810" i="22"/>
  <c r="AJ810" i="22"/>
  <c r="AI811" i="22"/>
  <c r="AJ811" i="22"/>
  <c r="AI812" i="22"/>
  <c r="AJ812" i="22"/>
  <c r="AI813" i="22"/>
  <c r="AJ813" i="22"/>
  <c r="AI814" i="22"/>
  <c r="AJ814" i="22"/>
  <c r="AI815" i="22"/>
  <c r="AJ815" i="22"/>
  <c r="AI816" i="22"/>
  <c r="AJ816" i="22"/>
  <c r="AI817" i="22"/>
  <c r="AJ817" i="22"/>
  <c r="AI818" i="22"/>
  <c r="AJ818" i="22"/>
  <c r="AI819" i="22"/>
  <c r="AJ819" i="22"/>
  <c r="AI820" i="22"/>
  <c r="AJ820" i="22"/>
  <c r="AI821" i="22"/>
  <c r="AJ821" i="22"/>
  <c r="AI822" i="22"/>
  <c r="AJ822" i="22"/>
  <c r="AI823" i="22"/>
  <c r="AJ823" i="22"/>
  <c r="AI824" i="22"/>
  <c r="AJ824" i="22"/>
  <c r="AI825" i="22"/>
  <c r="AJ825" i="22"/>
  <c r="AI826" i="22"/>
  <c r="AJ826" i="22"/>
  <c r="AI827" i="22"/>
  <c r="AJ827" i="22"/>
  <c r="AI828" i="22"/>
  <c r="AJ828" i="22"/>
  <c r="AI829" i="22"/>
  <c r="AJ829" i="22"/>
  <c r="AI830" i="22"/>
  <c r="AJ830" i="22"/>
  <c r="AI831" i="22"/>
  <c r="AJ831" i="22"/>
  <c r="AI832" i="22"/>
  <c r="AJ832" i="22"/>
  <c r="AI833" i="22"/>
  <c r="AJ833" i="22"/>
  <c r="AI834" i="22"/>
  <c r="AJ834" i="22"/>
  <c r="AI835" i="22"/>
  <c r="AJ835" i="22"/>
  <c r="AI836" i="22"/>
  <c r="AJ836" i="22"/>
  <c r="AI837" i="22"/>
  <c r="AJ837" i="22"/>
  <c r="AI838" i="22"/>
  <c r="AJ838" i="22"/>
  <c r="AI839" i="22"/>
  <c r="AJ839" i="22"/>
  <c r="AI840" i="22"/>
  <c r="AJ840" i="22"/>
  <c r="AI841" i="22"/>
  <c r="AJ841" i="22"/>
  <c r="AI842" i="22"/>
  <c r="AJ842" i="22"/>
  <c r="AI843" i="22"/>
  <c r="AJ843" i="22"/>
  <c r="AI844" i="22"/>
  <c r="AJ844" i="22"/>
  <c r="AI845" i="22"/>
  <c r="AJ845" i="22"/>
  <c r="AI846" i="22"/>
  <c r="AJ846" i="22"/>
  <c r="AI847" i="22"/>
  <c r="AJ847" i="22"/>
  <c r="AI848" i="22"/>
  <c r="AJ848" i="22"/>
  <c r="AI849" i="22"/>
  <c r="AJ849" i="22"/>
  <c r="AI850" i="22"/>
  <c r="AJ850" i="22"/>
  <c r="AI851" i="22"/>
  <c r="AJ851" i="22"/>
  <c r="AI852" i="22"/>
  <c r="AJ852" i="22"/>
  <c r="AI853" i="22"/>
  <c r="AJ853" i="22"/>
  <c r="AI854" i="22"/>
  <c r="AJ854" i="22"/>
  <c r="AI855" i="22"/>
  <c r="AJ855" i="22"/>
  <c r="AI856" i="22"/>
  <c r="AJ856" i="22"/>
  <c r="AI857" i="22"/>
  <c r="AJ857" i="22"/>
  <c r="AI858" i="22"/>
  <c r="AJ858" i="22"/>
  <c r="AI859" i="22"/>
  <c r="AJ859" i="22"/>
  <c r="AI860" i="22"/>
  <c r="AJ860" i="22"/>
  <c r="AI861" i="22"/>
  <c r="AJ861" i="22"/>
  <c r="AI862" i="22"/>
  <c r="AJ862" i="22"/>
  <c r="AI863" i="22"/>
  <c r="AJ863" i="22"/>
  <c r="AI864" i="22"/>
  <c r="AJ864" i="22"/>
  <c r="AI865" i="22"/>
  <c r="AJ865" i="22"/>
  <c r="AI866" i="22"/>
  <c r="AJ866" i="22"/>
  <c r="AI867" i="22"/>
  <c r="AJ867" i="22"/>
  <c r="AI868" i="22"/>
  <c r="AJ868" i="22"/>
  <c r="AI869" i="22"/>
  <c r="AJ869" i="22"/>
  <c r="AI870" i="22"/>
  <c r="AJ870" i="22"/>
  <c r="AI871" i="22"/>
  <c r="AJ871" i="22"/>
  <c r="AI872" i="22"/>
  <c r="AJ872" i="22"/>
  <c r="AI873" i="22"/>
  <c r="AJ873" i="22"/>
  <c r="AI874" i="22"/>
  <c r="AJ874" i="22"/>
  <c r="AI875" i="22"/>
  <c r="AJ875" i="22"/>
  <c r="AI876" i="22"/>
  <c r="AJ876" i="22"/>
  <c r="AI877" i="22"/>
  <c r="AJ877" i="22"/>
  <c r="AI878" i="22"/>
  <c r="AJ878" i="22"/>
  <c r="AI879" i="22"/>
  <c r="AJ879" i="22"/>
  <c r="AI880" i="22"/>
  <c r="AJ880" i="22"/>
  <c r="AI881" i="22"/>
  <c r="AJ881" i="22"/>
  <c r="AI882" i="22"/>
  <c r="AJ882" i="22"/>
  <c r="AI883" i="22"/>
  <c r="AJ883" i="22"/>
  <c r="AI884" i="22"/>
  <c r="AJ884" i="22"/>
  <c r="AI885" i="22"/>
  <c r="AJ885" i="22"/>
  <c r="AI886" i="22"/>
  <c r="AJ886" i="22"/>
  <c r="AI887" i="22"/>
  <c r="AJ887" i="22"/>
  <c r="AI888" i="22"/>
  <c r="AJ888" i="22"/>
  <c r="AI889" i="22"/>
  <c r="AJ889" i="22"/>
  <c r="AI890" i="22"/>
  <c r="AJ890" i="22"/>
  <c r="AI891" i="22"/>
  <c r="AJ891" i="22"/>
  <c r="AI892" i="22"/>
  <c r="AJ892" i="22"/>
  <c r="AI893" i="22"/>
  <c r="AJ893" i="22"/>
  <c r="AI894" i="22"/>
  <c r="AJ894" i="22"/>
  <c r="AI895" i="22"/>
  <c r="AJ895" i="22"/>
  <c r="AI896" i="22"/>
  <c r="AJ896" i="22"/>
  <c r="AI897" i="22"/>
  <c r="AJ897" i="22"/>
  <c r="AI898" i="22"/>
  <c r="AJ898" i="22"/>
  <c r="AI899" i="22"/>
  <c r="AJ899" i="22"/>
  <c r="AI900" i="22"/>
  <c r="AJ900" i="22"/>
  <c r="AI901" i="22"/>
  <c r="AJ901" i="22"/>
  <c r="AI902" i="22"/>
  <c r="AJ902" i="22"/>
  <c r="AI903" i="22"/>
  <c r="AJ903" i="22"/>
  <c r="AI904" i="22"/>
  <c r="AJ904" i="22"/>
  <c r="AI905" i="22"/>
  <c r="AJ905" i="22"/>
  <c r="AI906" i="22"/>
  <c r="AJ906" i="22"/>
  <c r="AI907" i="22"/>
  <c r="AJ907" i="22"/>
  <c r="AI908" i="22"/>
  <c r="AJ908" i="22"/>
  <c r="AI909" i="22"/>
  <c r="AJ909" i="22"/>
  <c r="AI910" i="22"/>
  <c r="AJ910" i="22"/>
  <c r="AI911" i="22"/>
  <c r="AJ911" i="22"/>
  <c r="AI912" i="22"/>
  <c r="AJ912" i="22"/>
  <c r="AI913" i="22"/>
  <c r="AJ913" i="22"/>
  <c r="AI914" i="22"/>
  <c r="AJ914" i="22"/>
  <c r="AI915" i="22"/>
  <c r="AJ915" i="22"/>
  <c r="AI916" i="22"/>
  <c r="AJ916" i="22"/>
  <c r="AI917" i="22"/>
  <c r="AJ917" i="22"/>
  <c r="AI918" i="22"/>
  <c r="AJ918" i="22"/>
  <c r="AI919" i="22"/>
  <c r="AJ919" i="22"/>
  <c r="AI920" i="22"/>
  <c r="AJ920" i="22"/>
  <c r="AI921" i="22"/>
  <c r="AJ921" i="22"/>
  <c r="AI922" i="22"/>
  <c r="AJ922" i="22"/>
  <c r="AI923" i="22"/>
  <c r="AJ923" i="22"/>
  <c r="AI924" i="22"/>
  <c r="AJ924" i="22"/>
  <c r="AI925" i="22"/>
  <c r="AJ925" i="22"/>
  <c r="AI926" i="22"/>
  <c r="AJ926" i="22"/>
  <c r="AI927" i="22"/>
  <c r="AJ927" i="22"/>
  <c r="AI928" i="22"/>
  <c r="AJ928" i="22"/>
  <c r="AI929" i="22"/>
  <c r="AJ929" i="22"/>
  <c r="AI930" i="22"/>
  <c r="AJ930" i="22"/>
  <c r="AI931" i="22"/>
  <c r="AJ931" i="22"/>
  <c r="AI932" i="22"/>
  <c r="AJ932" i="22"/>
  <c r="AI933" i="22"/>
  <c r="AJ933" i="22"/>
  <c r="AI934" i="22"/>
  <c r="AJ934" i="22"/>
  <c r="AI935" i="22"/>
  <c r="AJ935" i="22"/>
  <c r="AI936" i="22"/>
  <c r="AJ936" i="22"/>
  <c r="AI937" i="22"/>
  <c r="AJ937" i="22"/>
  <c r="AI938" i="22"/>
  <c r="AJ938" i="22"/>
  <c r="AI939" i="22"/>
  <c r="AJ939" i="22"/>
  <c r="AI940" i="22"/>
  <c r="AJ940" i="22"/>
  <c r="AI941" i="22"/>
  <c r="AJ941" i="22"/>
  <c r="AI942" i="22"/>
  <c r="AJ942" i="22"/>
  <c r="AI943" i="22"/>
  <c r="AJ943" i="22"/>
  <c r="AI944" i="22"/>
  <c r="AJ944" i="22"/>
  <c r="AI945" i="22"/>
  <c r="AJ945" i="22"/>
  <c r="AI946" i="22"/>
  <c r="AJ946" i="22"/>
  <c r="AI947" i="22"/>
  <c r="AJ947" i="22"/>
  <c r="AI948" i="22"/>
  <c r="AJ948" i="22"/>
  <c r="AI949" i="22"/>
  <c r="AJ949" i="22"/>
  <c r="AI950" i="22"/>
  <c r="AJ950" i="22"/>
  <c r="AI951" i="22"/>
  <c r="AJ951" i="22"/>
  <c r="AI952" i="22"/>
  <c r="AJ952" i="22"/>
  <c r="AI953" i="22"/>
  <c r="AJ953" i="22"/>
  <c r="AI954" i="22"/>
  <c r="AJ954" i="22"/>
  <c r="AI955" i="22"/>
  <c r="AJ955" i="22"/>
  <c r="AI956" i="22"/>
  <c r="AJ956" i="22"/>
  <c r="AI957" i="22"/>
  <c r="AJ957" i="22"/>
  <c r="AI958" i="22"/>
  <c r="AJ958" i="22"/>
  <c r="AI959" i="22"/>
  <c r="AJ959" i="22"/>
  <c r="AI960" i="22"/>
  <c r="AJ960" i="22"/>
  <c r="AI961" i="22"/>
  <c r="AJ961" i="22"/>
  <c r="AI962" i="22"/>
  <c r="AJ962" i="22"/>
  <c r="AI963" i="22"/>
  <c r="AJ963" i="22"/>
  <c r="AI964" i="22"/>
  <c r="AJ964" i="22"/>
  <c r="AI965" i="22"/>
  <c r="AJ965" i="22"/>
  <c r="AI966" i="22"/>
  <c r="AJ966" i="22"/>
  <c r="AI967" i="22"/>
  <c r="AJ967" i="22"/>
  <c r="AJ32" i="22"/>
  <c r="AI32" i="22"/>
  <c r="G33" i="22"/>
  <c r="G34" i="22"/>
  <c r="G35" i="22"/>
  <c r="G36" i="22"/>
  <c r="G37" i="22"/>
  <c r="G38" i="22"/>
  <c r="G39" i="22"/>
  <c r="G40" i="22"/>
  <c r="G41" i="22"/>
  <c r="G42" i="22"/>
  <c r="G43" i="22"/>
  <c r="G44" i="22"/>
  <c r="G45" i="22"/>
  <c r="G46" i="22"/>
  <c r="G47" i="22"/>
  <c r="G48" i="22"/>
  <c r="G49" i="22"/>
  <c r="G50" i="22"/>
  <c r="G51" i="22"/>
  <c r="G52" i="22"/>
  <c r="G53" i="22"/>
  <c r="G54" i="22"/>
  <c r="G55" i="22"/>
  <c r="G56" i="22"/>
  <c r="G57" i="22"/>
  <c r="G58" i="22"/>
  <c r="G59" i="22"/>
  <c r="G60" i="22"/>
  <c r="G61" i="22"/>
  <c r="G62" i="22"/>
  <c r="G63" i="22"/>
  <c r="G64" i="22"/>
  <c r="G65" i="22"/>
  <c r="G66" i="22"/>
  <c r="G67" i="22"/>
  <c r="G68" i="22"/>
  <c r="G69" i="22"/>
  <c r="G70" i="22"/>
  <c r="G71" i="22"/>
  <c r="G72" i="22"/>
  <c r="G73" i="22"/>
  <c r="G74" i="22"/>
  <c r="G75" i="22"/>
  <c r="G76" i="22"/>
  <c r="G77" i="22"/>
  <c r="G78" i="22"/>
  <c r="G79" i="22"/>
  <c r="G80" i="22"/>
  <c r="G81" i="22"/>
  <c r="G82" i="22"/>
  <c r="G83" i="22"/>
  <c r="G84" i="22"/>
  <c r="G85" i="22"/>
  <c r="G86" i="22"/>
  <c r="G87" i="22"/>
  <c r="G88" i="22"/>
  <c r="G89" i="22"/>
  <c r="G90" i="22"/>
  <c r="G91" i="22"/>
  <c r="G92" i="22"/>
  <c r="G93" i="22"/>
  <c r="G94" i="22"/>
  <c r="G95" i="22"/>
  <c r="G96" i="22"/>
  <c r="G97" i="22"/>
  <c r="G98" i="22"/>
  <c r="G99" i="22"/>
  <c r="G100" i="22"/>
  <c r="G101" i="22"/>
  <c r="G102" i="22"/>
  <c r="G103" i="22"/>
  <c r="G104" i="22"/>
  <c r="G105" i="22"/>
  <c r="G106" i="22"/>
  <c r="G107" i="22"/>
  <c r="G108" i="22"/>
  <c r="G109" i="22"/>
  <c r="G110" i="22"/>
  <c r="G111" i="22"/>
  <c r="G112" i="22"/>
  <c r="G113" i="22"/>
  <c r="G114" i="22"/>
  <c r="G115" i="22"/>
  <c r="G116" i="22"/>
  <c r="G117" i="22"/>
  <c r="G118" i="22"/>
  <c r="G119" i="22"/>
  <c r="G120" i="22"/>
  <c r="G121" i="22"/>
  <c r="G122" i="22"/>
  <c r="G123" i="22"/>
  <c r="G124" i="22"/>
  <c r="G125" i="22"/>
  <c r="G126" i="22"/>
  <c r="G127" i="22"/>
  <c r="G128" i="22"/>
  <c r="G129" i="22"/>
  <c r="G130" i="22"/>
  <c r="G131" i="22"/>
  <c r="G132" i="22"/>
  <c r="G133" i="22"/>
  <c r="G134" i="22"/>
  <c r="G135" i="22"/>
  <c r="G136" i="22"/>
  <c r="G137" i="22"/>
  <c r="G138" i="22"/>
  <c r="G139" i="22"/>
  <c r="G140" i="22"/>
  <c r="G141" i="22"/>
  <c r="G142" i="22"/>
  <c r="G143" i="22"/>
  <c r="G144" i="22"/>
  <c r="G145" i="22"/>
  <c r="G146" i="22"/>
  <c r="G147" i="22"/>
  <c r="G148" i="22"/>
  <c r="G149" i="22"/>
  <c r="G150" i="22"/>
  <c r="G151" i="22"/>
  <c r="G152" i="22"/>
  <c r="G153" i="22"/>
  <c r="G154" i="22"/>
  <c r="G155" i="22"/>
  <c r="G156" i="22"/>
  <c r="G157" i="22"/>
  <c r="G158" i="22"/>
  <c r="G159" i="22"/>
  <c r="G160" i="22"/>
  <c r="G161" i="22"/>
  <c r="G162" i="22"/>
  <c r="G163" i="22"/>
  <c r="G164" i="22"/>
  <c r="G165" i="22"/>
  <c r="G166" i="22"/>
  <c r="G167" i="22"/>
  <c r="G168" i="22"/>
  <c r="G169" i="22"/>
  <c r="G170" i="22"/>
  <c r="G171" i="22"/>
  <c r="G172" i="22"/>
  <c r="G173" i="22"/>
  <c r="G174" i="22"/>
  <c r="G175" i="22"/>
  <c r="G176" i="22"/>
  <c r="G177" i="22"/>
  <c r="G178" i="22"/>
  <c r="G179" i="22"/>
  <c r="G180" i="22"/>
  <c r="G181" i="22"/>
  <c r="G182" i="22"/>
  <c r="G183" i="22"/>
  <c r="G184" i="22"/>
  <c r="G185" i="22"/>
  <c r="G186" i="22"/>
  <c r="G187" i="22"/>
  <c r="G188" i="22"/>
  <c r="G189" i="22"/>
  <c r="G190" i="22"/>
  <c r="G191" i="22"/>
  <c r="G192" i="22"/>
  <c r="G193" i="22"/>
  <c r="G194" i="22"/>
  <c r="G195" i="22"/>
  <c r="G196" i="22"/>
  <c r="G197" i="22"/>
  <c r="G198" i="22"/>
  <c r="G199" i="22"/>
  <c r="G200" i="22"/>
  <c r="G201" i="22"/>
  <c r="G202" i="22"/>
  <c r="G203" i="22"/>
  <c r="G204" i="22"/>
  <c r="G205" i="22"/>
  <c r="G206" i="22"/>
  <c r="G207" i="22"/>
  <c r="G208" i="22"/>
  <c r="G209" i="22"/>
  <c r="G210" i="22"/>
  <c r="G211" i="22"/>
  <c r="G212" i="22"/>
  <c r="G213" i="22"/>
  <c r="G214" i="22"/>
  <c r="G215" i="22"/>
  <c r="G216" i="22"/>
  <c r="G217" i="22"/>
  <c r="G218" i="22"/>
  <c r="G219" i="22"/>
  <c r="G220" i="22"/>
  <c r="G221" i="22"/>
  <c r="G222" i="22"/>
  <c r="G223" i="22"/>
  <c r="G224" i="22"/>
  <c r="G225" i="22"/>
  <c r="G226" i="22"/>
  <c r="G227" i="22"/>
  <c r="G228" i="22"/>
  <c r="G229" i="22"/>
  <c r="G230" i="22"/>
  <c r="G231" i="22"/>
  <c r="G232" i="22"/>
  <c r="G233" i="22"/>
  <c r="G234" i="22"/>
  <c r="G235" i="22"/>
  <c r="G236" i="22"/>
  <c r="G237" i="22"/>
  <c r="G238" i="22"/>
  <c r="G239" i="22"/>
  <c r="G240" i="22"/>
  <c r="G241" i="22"/>
  <c r="G242" i="22"/>
  <c r="G243" i="22"/>
  <c r="G244" i="22"/>
  <c r="G245" i="22"/>
  <c r="G246" i="22"/>
  <c r="G247" i="22"/>
  <c r="G248" i="22"/>
  <c r="G249" i="22"/>
  <c r="G250" i="22"/>
  <c r="G251" i="22"/>
  <c r="G252" i="22"/>
  <c r="G253" i="22"/>
  <c r="G254" i="22"/>
  <c r="G255" i="22"/>
  <c r="G256" i="22"/>
  <c r="G257" i="22"/>
  <c r="G258" i="22"/>
  <c r="G259" i="22"/>
  <c r="G260" i="22"/>
  <c r="G261" i="22"/>
  <c r="G262" i="22"/>
  <c r="G263" i="22"/>
  <c r="G264" i="22"/>
  <c r="G265" i="22"/>
  <c r="G266" i="22"/>
  <c r="G267" i="22"/>
  <c r="G268" i="22"/>
  <c r="G269" i="22"/>
  <c r="G270" i="22"/>
  <c r="G271" i="22"/>
  <c r="G272" i="22"/>
  <c r="G273" i="22"/>
  <c r="G274" i="22"/>
  <c r="G275" i="22"/>
  <c r="G276" i="22"/>
  <c r="G277" i="22"/>
  <c r="G278" i="22"/>
  <c r="G279" i="22"/>
  <c r="G280" i="22"/>
  <c r="G281" i="22"/>
  <c r="G282" i="22"/>
  <c r="G283" i="22"/>
  <c r="G284" i="22"/>
  <c r="G285" i="22"/>
  <c r="G286" i="22"/>
  <c r="G287" i="22"/>
  <c r="G288" i="22"/>
  <c r="G289" i="22"/>
  <c r="G290" i="22"/>
  <c r="G291" i="22"/>
  <c r="G292" i="22"/>
  <c r="G293" i="22"/>
  <c r="G294" i="22"/>
  <c r="G295" i="22"/>
  <c r="G296" i="22"/>
  <c r="G297" i="22"/>
  <c r="G298" i="22"/>
  <c r="G299" i="22"/>
  <c r="G300" i="22"/>
  <c r="G301" i="22"/>
  <c r="G302" i="22"/>
  <c r="G303" i="22"/>
  <c r="G304" i="22"/>
  <c r="G305" i="22"/>
  <c r="G306" i="22"/>
  <c r="G307" i="22"/>
  <c r="G308" i="22"/>
  <c r="G309" i="22"/>
  <c r="G310" i="22"/>
  <c r="G311" i="22"/>
  <c r="G312" i="22"/>
  <c r="G313" i="22"/>
  <c r="G314" i="22"/>
  <c r="G315" i="22"/>
  <c r="G316" i="22"/>
  <c r="G317" i="22"/>
  <c r="G318" i="22"/>
  <c r="G319" i="22"/>
  <c r="G320" i="22"/>
  <c r="G321" i="22"/>
  <c r="G322" i="22"/>
  <c r="G323" i="22"/>
  <c r="G324" i="22"/>
  <c r="G325" i="22"/>
  <c r="G326" i="22"/>
  <c r="G327" i="22"/>
  <c r="G328" i="22"/>
  <c r="G329" i="22"/>
  <c r="G330" i="22"/>
  <c r="G331" i="22"/>
  <c r="G332" i="22"/>
  <c r="G333" i="22"/>
  <c r="G334" i="22"/>
  <c r="G335" i="22"/>
  <c r="G336" i="22"/>
  <c r="G337" i="22"/>
  <c r="G338" i="22"/>
  <c r="G339" i="22"/>
  <c r="G340" i="22"/>
  <c r="G341" i="22"/>
  <c r="G342" i="22"/>
  <c r="G343" i="22"/>
  <c r="G344" i="22"/>
  <c r="G345" i="22"/>
  <c r="G346" i="22"/>
  <c r="G347" i="22"/>
  <c r="G348" i="22"/>
  <c r="G349" i="22"/>
  <c r="G350" i="22"/>
  <c r="G351" i="22"/>
  <c r="G352" i="22"/>
  <c r="G353" i="22"/>
  <c r="G354" i="22"/>
  <c r="G355" i="22"/>
  <c r="G356" i="22"/>
  <c r="G357" i="22"/>
  <c r="G358" i="22"/>
  <c r="G359" i="22"/>
  <c r="G360" i="22"/>
  <c r="G361" i="22"/>
  <c r="G362" i="22"/>
  <c r="G363" i="22"/>
  <c r="G364" i="22"/>
  <c r="G365" i="22"/>
  <c r="G366" i="22"/>
  <c r="G367" i="22"/>
  <c r="G368" i="22"/>
  <c r="G369" i="22"/>
  <c r="G370" i="22"/>
  <c r="G371" i="22"/>
  <c r="G372" i="22"/>
  <c r="G373" i="22"/>
  <c r="G374" i="22"/>
  <c r="G375" i="22"/>
  <c r="G376" i="22"/>
  <c r="G377" i="22"/>
  <c r="G378" i="22"/>
  <c r="G379" i="22"/>
  <c r="G380" i="22"/>
  <c r="G381" i="22"/>
  <c r="G382" i="22"/>
  <c r="G383" i="22"/>
  <c r="G384" i="22"/>
  <c r="G385" i="22"/>
  <c r="G386" i="22"/>
  <c r="G387" i="22"/>
  <c r="G388" i="22"/>
  <c r="G389" i="22"/>
  <c r="G390" i="22"/>
  <c r="G391" i="22"/>
  <c r="G392" i="22"/>
  <c r="G393" i="22"/>
  <c r="G394" i="22"/>
  <c r="G395" i="22"/>
  <c r="G396" i="22"/>
  <c r="G397" i="22"/>
  <c r="G398" i="22"/>
  <c r="G399" i="22"/>
  <c r="G400" i="22"/>
  <c r="G401" i="22"/>
  <c r="G402" i="22"/>
  <c r="G403" i="22"/>
  <c r="G404" i="22"/>
  <c r="G405" i="22"/>
  <c r="G406" i="22"/>
  <c r="G407" i="22"/>
  <c r="G408" i="22"/>
  <c r="G409" i="22"/>
  <c r="G410" i="22"/>
  <c r="G411" i="22"/>
  <c r="G412" i="22"/>
  <c r="G413" i="22"/>
  <c r="G414" i="22"/>
  <c r="G415" i="22"/>
  <c r="G416" i="22"/>
  <c r="G417" i="22"/>
  <c r="G418" i="22"/>
  <c r="G419" i="22"/>
  <c r="G420" i="22"/>
  <c r="G421" i="22"/>
  <c r="G422" i="22"/>
  <c r="G423" i="22"/>
  <c r="G424" i="22"/>
  <c r="G425" i="22"/>
  <c r="G426" i="22"/>
  <c r="G427" i="22"/>
  <c r="G428" i="22"/>
  <c r="G429" i="22"/>
  <c r="G430" i="22"/>
  <c r="G431" i="22"/>
  <c r="G432" i="22"/>
  <c r="G433" i="22"/>
  <c r="G434" i="22"/>
  <c r="G435" i="22"/>
  <c r="G436" i="22"/>
  <c r="G437" i="22"/>
  <c r="G438" i="22"/>
  <c r="G439" i="22"/>
  <c r="G440" i="22"/>
  <c r="G441" i="22"/>
  <c r="G442" i="22"/>
  <c r="G443" i="22"/>
  <c r="G444" i="22"/>
  <c r="G445" i="22"/>
  <c r="G446" i="22"/>
  <c r="G447" i="22"/>
  <c r="G448" i="22"/>
  <c r="G449" i="22"/>
  <c r="G450" i="22"/>
  <c r="G451" i="22"/>
  <c r="G452" i="22"/>
  <c r="G453" i="22"/>
  <c r="G454" i="22"/>
  <c r="G455" i="22"/>
  <c r="G456" i="22"/>
  <c r="G457" i="22"/>
  <c r="G458" i="22"/>
  <c r="G459" i="22"/>
  <c r="G460" i="22"/>
  <c r="G461" i="22"/>
  <c r="G462" i="22"/>
  <c r="G463" i="22"/>
  <c r="G464" i="22"/>
  <c r="G465" i="22"/>
  <c r="G466" i="22"/>
  <c r="G467" i="22"/>
  <c r="G468" i="22"/>
  <c r="G469" i="22"/>
  <c r="G470" i="22"/>
  <c r="G471" i="22"/>
  <c r="G472" i="22"/>
  <c r="G473" i="22"/>
  <c r="G474" i="22"/>
  <c r="G475" i="22"/>
  <c r="G476" i="22"/>
  <c r="G477" i="22"/>
  <c r="G478" i="22"/>
  <c r="G479" i="22"/>
  <c r="G480" i="22"/>
  <c r="G481" i="22"/>
  <c r="G482" i="22"/>
  <c r="G483" i="22"/>
  <c r="G484" i="22"/>
  <c r="G485" i="22"/>
  <c r="G486" i="22"/>
  <c r="G487" i="22"/>
  <c r="G488" i="22"/>
  <c r="G489" i="22"/>
  <c r="G490" i="22"/>
  <c r="G491" i="22"/>
  <c r="G492" i="22"/>
  <c r="G493" i="22"/>
  <c r="G494" i="22"/>
  <c r="G495" i="22"/>
  <c r="G496" i="22"/>
  <c r="G497" i="22"/>
  <c r="G498" i="22"/>
  <c r="G499" i="22"/>
  <c r="G500" i="22"/>
  <c r="G501" i="22"/>
  <c r="G502" i="22"/>
  <c r="G503" i="22"/>
  <c r="G504" i="22"/>
  <c r="G505" i="22"/>
  <c r="G506" i="22"/>
  <c r="G507" i="22"/>
  <c r="G508" i="22"/>
  <c r="G509" i="22"/>
  <c r="G510" i="22"/>
  <c r="G511" i="22"/>
  <c r="G512" i="22"/>
  <c r="G513" i="22"/>
  <c r="G514" i="22"/>
  <c r="G515" i="22"/>
  <c r="G516" i="22"/>
  <c r="G517" i="22"/>
  <c r="G518" i="22"/>
  <c r="G519" i="22"/>
  <c r="G520" i="22"/>
  <c r="G521" i="22"/>
  <c r="G522" i="22"/>
  <c r="G523" i="22"/>
  <c r="G524" i="22"/>
  <c r="G525" i="22"/>
  <c r="G526" i="22"/>
  <c r="G527" i="22"/>
  <c r="G528" i="22"/>
  <c r="G529" i="22"/>
  <c r="G530" i="22"/>
  <c r="G531" i="22"/>
  <c r="G532" i="22"/>
  <c r="G533" i="22"/>
  <c r="G534" i="22"/>
  <c r="G535" i="22"/>
  <c r="G536" i="22"/>
  <c r="G537" i="22"/>
  <c r="G538" i="22"/>
  <c r="G539" i="22"/>
  <c r="G540" i="22"/>
  <c r="G541" i="22"/>
  <c r="G542" i="22"/>
  <c r="G543" i="22"/>
  <c r="G544" i="22"/>
  <c r="G545" i="22"/>
  <c r="G546" i="22"/>
  <c r="G547" i="22"/>
  <c r="G548" i="22"/>
  <c r="G549" i="22"/>
  <c r="G550" i="22"/>
  <c r="G551" i="22"/>
  <c r="G552" i="22"/>
  <c r="G553" i="22"/>
  <c r="G554" i="22"/>
  <c r="G555" i="22"/>
  <c r="G556" i="22"/>
  <c r="G557" i="22"/>
  <c r="G558" i="22"/>
  <c r="G559" i="22"/>
  <c r="G560" i="22"/>
  <c r="G561" i="22"/>
  <c r="G562" i="22"/>
  <c r="G563" i="22"/>
  <c r="G564" i="22"/>
  <c r="G565" i="22"/>
  <c r="G566" i="22"/>
  <c r="G567" i="22"/>
  <c r="G568" i="22"/>
  <c r="G569" i="22"/>
  <c r="G570" i="22"/>
  <c r="G571" i="22"/>
  <c r="G572" i="22"/>
  <c r="G573" i="22"/>
  <c r="G574" i="22"/>
  <c r="G575" i="22"/>
  <c r="G576" i="22"/>
  <c r="G577" i="22"/>
  <c r="G578" i="22"/>
  <c r="G579" i="22"/>
  <c r="G580" i="22"/>
  <c r="G581" i="22"/>
  <c r="G582" i="22"/>
  <c r="G583" i="22"/>
  <c r="G584" i="22"/>
  <c r="G585" i="22"/>
  <c r="G586" i="22"/>
  <c r="G587" i="22"/>
  <c r="G588" i="22"/>
  <c r="G589" i="22"/>
  <c r="G590" i="22"/>
  <c r="G591" i="22"/>
  <c r="G592" i="22"/>
  <c r="G593" i="22"/>
  <c r="G594" i="22"/>
  <c r="G595" i="22"/>
  <c r="G596" i="22"/>
  <c r="G597" i="22"/>
  <c r="G598" i="22"/>
  <c r="G599" i="22"/>
  <c r="G600" i="22"/>
  <c r="G601" i="22"/>
  <c r="G602" i="22"/>
  <c r="G603" i="22"/>
  <c r="G604" i="22"/>
  <c r="G605" i="22"/>
  <c r="G606" i="22"/>
  <c r="G607" i="22"/>
  <c r="G608" i="22"/>
  <c r="G609" i="22"/>
  <c r="G610" i="22"/>
  <c r="G611" i="22"/>
  <c r="G612" i="22"/>
  <c r="G613" i="22"/>
  <c r="G614" i="22"/>
  <c r="G615" i="22"/>
  <c r="G616" i="22"/>
  <c r="G617" i="22"/>
  <c r="G618" i="22"/>
  <c r="G619" i="22"/>
  <c r="G620" i="22"/>
  <c r="G621" i="22"/>
  <c r="G622" i="22"/>
  <c r="G623" i="22"/>
  <c r="G624" i="22"/>
  <c r="G625" i="22"/>
  <c r="G626" i="22"/>
  <c r="G627" i="22"/>
  <c r="G628" i="22"/>
  <c r="G629" i="22"/>
  <c r="G630" i="22"/>
  <c r="G631" i="22"/>
  <c r="G632" i="22"/>
  <c r="G633" i="22"/>
  <c r="G634" i="22"/>
  <c r="G635" i="22"/>
  <c r="G636" i="22"/>
  <c r="G637" i="22"/>
  <c r="G638" i="22"/>
  <c r="G639" i="22"/>
  <c r="G640" i="22"/>
  <c r="G641" i="22"/>
  <c r="G642" i="22"/>
  <c r="G643" i="22"/>
  <c r="G644" i="22"/>
  <c r="G645" i="22"/>
  <c r="G646" i="22"/>
  <c r="G647" i="22"/>
  <c r="G648" i="22"/>
  <c r="G649" i="22"/>
  <c r="G650" i="22"/>
  <c r="G651" i="22"/>
  <c r="G652" i="22"/>
  <c r="G653" i="22"/>
  <c r="G654" i="22"/>
  <c r="G655" i="22"/>
  <c r="G656" i="22"/>
  <c r="G657" i="22"/>
  <c r="G658" i="22"/>
  <c r="G659" i="22"/>
  <c r="G660" i="22"/>
  <c r="G661" i="22"/>
  <c r="G662" i="22"/>
  <c r="G663" i="22"/>
  <c r="G664" i="22"/>
  <c r="G665" i="22"/>
  <c r="G666" i="22"/>
  <c r="G667" i="22"/>
  <c r="G668" i="22"/>
  <c r="G669" i="22"/>
  <c r="G670" i="22"/>
  <c r="G671" i="22"/>
  <c r="G672" i="22"/>
  <c r="G673" i="22"/>
  <c r="G674" i="22"/>
  <c r="G675" i="22"/>
  <c r="G676" i="22"/>
  <c r="G677" i="22"/>
  <c r="G678" i="22"/>
  <c r="G679" i="22"/>
  <c r="G680" i="22"/>
  <c r="G681" i="22"/>
  <c r="G682" i="22"/>
  <c r="G683" i="22"/>
  <c r="G684" i="22"/>
  <c r="G685" i="22"/>
  <c r="G686" i="22"/>
  <c r="G687" i="22"/>
  <c r="G688" i="22"/>
  <c r="G689" i="22"/>
  <c r="G690" i="22"/>
  <c r="G691" i="22"/>
  <c r="G692" i="22"/>
  <c r="G693" i="22"/>
  <c r="G694" i="22"/>
  <c r="G695" i="22"/>
  <c r="G696" i="22"/>
  <c r="G697" i="22"/>
  <c r="G698" i="22"/>
  <c r="G699" i="22"/>
  <c r="G700" i="22"/>
  <c r="G701" i="22"/>
  <c r="G702" i="22"/>
  <c r="G703" i="22"/>
  <c r="G704" i="22"/>
  <c r="G705" i="22"/>
  <c r="G706" i="22"/>
  <c r="G707" i="22"/>
  <c r="G708" i="22"/>
  <c r="G709" i="22"/>
  <c r="G710" i="22"/>
  <c r="G711" i="22"/>
  <c r="G712" i="22"/>
  <c r="G713" i="22"/>
  <c r="G714" i="22"/>
  <c r="G715" i="22"/>
  <c r="G716" i="22"/>
  <c r="G717" i="22"/>
  <c r="G718" i="22"/>
  <c r="G719" i="22"/>
  <c r="G720" i="22"/>
  <c r="G721" i="22"/>
  <c r="G722" i="22"/>
  <c r="G723" i="22"/>
  <c r="G724" i="22"/>
  <c r="G725" i="22"/>
  <c r="G726" i="22"/>
  <c r="G727" i="22"/>
  <c r="G728" i="22"/>
  <c r="G729" i="22"/>
  <c r="G730" i="22"/>
  <c r="G731" i="22"/>
  <c r="G732" i="22"/>
  <c r="G733" i="22"/>
  <c r="G734" i="22"/>
  <c r="G735" i="22"/>
  <c r="G736" i="22"/>
  <c r="G737" i="22"/>
  <c r="G738" i="22"/>
  <c r="G739" i="22"/>
  <c r="G740" i="22"/>
  <c r="G741" i="22"/>
  <c r="G742" i="22"/>
  <c r="G743" i="22"/>
  <c r="G744" i="22"/>
  <c r="G745" i="22"/>
  <c r="G746" i="22"/>
  <c r="G747" i="22"/>
  <c r="G748" i="22"/>
  <c r="G749" i="22"/>
  <c r="G750" i="22"/>
  <c r="G751" i="22"/>
  <c r="G752" i="22"/>
  <c r="G753" i="22"/>
  <c r="G754" i="22"/>
  <c r="G755" i="22"/>
  <c r="G756" i="22"/>
  <c r="G757" i="22"/>
  <c r="G758" i="22"/>
  <c r="G759" i="22"/>
  <c r="G760" i="22"/>
  <c r="G761" i="22"/>
  <c r="G762" i="22"/>
  <c r="G763" i="22"/>
  <c r="G764" i="22"/>
  <c r="G765" i="22"/>
  <c r="G766" i="22"/>
  <c r="G767" i="22"/>
  <c r="G768" i="22"/>
  <c r="G769" i="22"/>
  <c r="G770" i="22"/>
  <c r="G771" i="22"/>
  <c r="G772" i="22"/>
  <c r="G773" i="22"/>
  <c r="G774" i="22"/>
  <c r="G775" i="22"/>
  <c r="G776" i="22"/>
  <c r="G777" i="22"/>
  <c r="G778" i="22"/>
  <c r="G779" i="22"/>
  <c r="G780" i="22"/>
  <c r="G781" i="22"/>
  <c r="G782" i="22"/>
  <c r="G783" i="22"/>
  <c r="G784" i="22"/>
  <c r="G785" i="22"/>
  <c r="G786" i="22"/>
  <c r="G787" i="22"/>
  <c r="G788" i="22"/>
  <c r="G789" i="22"/>
  <c r="G790" i="22"/>
  <c r="G791" i="22"/>
  <c r="G792" i="22"/>
  <c r="G793" i="22"/>
  <c r="G794" i="22"/>
  <c r="G795" i="22"/>
  <c r="G796" i="22"/>
  <c r="G797" i="22"/>
  <c r="G798" i="22"/>
  <c r="G799" i="22"/>
  <c r="G800" i="22"/>
  <c r="G801" i="22"/>
  <c r="G802" i="22"/>
  <c r="G803" i="22"/>
  <c r="G804" i="22"/>
  <c r="G805" i="22"/>
  <c r="G806" i="22"/>
  <c r="G807" i="22"/>
  <c r="G808" i="22"/>
  <c r="G809" i="22"/>
  <c r="G810" i="22"/>
  <c r="G811" i="22"/>
  <c r="G812" i="22"/>
  <c r="G813" i="22"/>
  <c r="G814" i="22"/>
  <c r="G815" i="22"/>
  <c r="G816" i="22"/>
  <c r="G817" i="22"/>
  <c r="G818" i="22"/>
  <c r="G819" i="22"/>
  <c r="G820" i="22"/>
  <c r="G821" i="22"/>
  <c r="G822" i="22"/>
  <c r="G823" i="22"/>
  <c r="G824" i="22"/>
  <c r="G825" i="22"/>
  <c r="G826" i="22"/>
  <c r="G827" i="22"/>
  <c r="G828" i="22"/>
  <c r="G829" i="22"/>
  <c r="G830" i="22"/>
  <c r="G831" i="22"/>
  <c r="G832" i="22"/>
  <c r="G833" i="22"/>
  <c r="G834" i="22"/>
  <c r="G835" i="22"/>
  <c r="G836" i="22"/>
  <c r="G837" i="22"/>
  <c r="G838" i="22"/>
  <c r="G839" i="22"/>
  <c r="G840" i="22"/>
  <c r="G841" i="22"/>
  <c r="G842" i="22"/>
  <c r="G843" i="22"/>
  <c r="G844" i="22"/>
  <c r="G845" i="22"/>
  <c r="G846" i="22"/>
  <c r="G847" i="22"/>
  <c r="G848" i="22"/>
  <c r="G849" i="22"/>
  <c r="G850" i="22"/>
  <c r="G851" i="22"/>
  <c r="G852" i="22"/>
  <c r="G853" i="22"/>
  <c r="G854" i="22"/>
  <c r="G855" i="22"/>
  <c r="G856" i="22"/>
  <c r="G857" i="22"/>
  <c r="G858" i="22"/>
  <c r="G859" i="22"/>
  <c r="G860" i="22"/>
  <c r="G861" i="22"/>
  <c r="G862" i="22"/>
  <c r="G863" i="22"/>
  <c r="G864" i="22"/>
  <c r="G865" i="22"/>
  <c r="G866" i="22"/>
  <c r="G867" i="22"/>
  <c r="G868" i="22"/>
  <c r="G869" i="22"/>
  <c r="G870" i="22"/>
  <c r="G871" i="22"/>
  <c r="G872" i="22"/>
  <c r="G873" i="22"/>
  <c r="G874" i="22"/>
  <c r="G875" i="22"/>
  <c r="G876" i="22"/>
  <c r="G877" i="22"/>
  <c r="G878" i="22"/>
  <c r="G879" i="22"/>
  <c r="G880" i="22"/>
  <c r="G881" i="22"/>
  <c r="G882" i="22"/>
  <c r="G883" i="22"/>
  <c r="G884" i="22"/>
  <c r="G885" i="22"/>
  <c r="G886" i="22"/>
  <c r="G887" i="22"/>
  <c r="G888" i="22"/>
  <c r="G889" i="22"/>
  <c r="G890" i="22"/>
  <c r="G891" i="22"/>
  <c r="G892" i="22"/>
  <c r="G893" i="22"/>
  <c r="G894" i="22"/>
  <c r="G895" i="22"/>
  <c r="G896" i="22"/>
  <c r="G897" i="22"/>
  <c r="G898" i="22"/>
  <c r="G899" i="22"/>
  <c r="G900" i="22"/>
  <c r="G901" i="22"/>
  <c r="G902" i="22"/>
  <c r="G903" i="22"/>
  <c r="G904" i="22"/>
  <c r="G905" i="22"/>
  <c r="G906" i="22"/>
  <c r="G907" i="22"/>
  <c r="G908" i="22"/>
  <c r="G909" i="22"/>
  <c r="G910" i="22"/>
  <c r="G911" i="22"/>
  <c r="G912" i="22"/>
  <c r="G913" i="22"/>
  <c r="G914" i="22"/>
  <c r="G915" i="22"/>
  <c r="G916" i="22"/>
  <c r="G917" i="22"/>
  <c r="G918" i="22"/>
  <c r="G919" i="22"/>
  <c r="G920" i="22"/>
  <c r="G921" i="22"/>
  <c r="G922" i="22"/>
  <c r="G923" i="22"/>
  <c r="G924" i="22"/>
  <c r="G925" i="22"/>
  <c r="G926" i="22"/>
  <c r="G927" i="22"/>
  <c r="G928" i="22"/>
  <c r="G929" i="22"/>
  <c r="G930" i="22"/>
  <c r="G931" i="22"/>
  <c r="G932" i="22"/>
  <c r="G933" i="22"/>
  <c r="G934" i="22"/>
  <c r="G935" i="22"/>
  <c r="G936" i="22"/>
  <c r="G937" i="22"/>
  <c r="G938" i="22"/>
  <c r="G939" i="22"/>
  <c r="G940" i="22"/>
  <c r="G941" i="22"/>
  <c r="G942" i="22"/>
  <c r="G943" i="22"/>
  <c r="G944" i="22"/>
  <c r="G945" i="22"/>
  <c r="G946" i="22"/>
  <c r="G947" i="22"/>
  <c r="G948" i="22"/>
  <c r="G949" i="22"/>
  <c r="G950" i="22"/>
  <c r="G951" i="22"/>
  <c r="G952" i="22"/>
  <c r="G953" i="22"/>
  <c r="G954" i="22"/>
  <c r="G955" i="22"/>
  <c r="G956" i="22"/>
  <c r="G957" i="22"/>
  <c r="G958" i="22"/>
  <c r="G959" i="22"/>
  <c r="G960" i="22"/>
  <c r="G961" i="22"/>
  <c r="G962" i="22"/>
  <c r="G963" i="22"/>
  <c r="G964" i="22"/>
  <c r="G965" i="22"/>
  <c r="G966" i="22"/>
  <c r="G967" i="22"/>
  <c r="G32" i="22"/>
  <c r="K33" i="22"/>
  <c r="B33" i="22"/>
  <c r="A33" i="22"/>
  <c r="C33" i="22"/>
  <c r="D33" i="22"/>
  <c r="E33" i="22"/>
  <c r="H33" i="22"/>
  <c r="N33" i="22"/>
  <c r="X33" i="22"/>
  <c r="BA33" i="22"/>
  <c r="AB33" i="22"/>
  <c r="AC33" i="22"/>
  <c r="AP33" i="22"/>
  <c r="AV33" i="22"/>
  <c r="BG33" i="22"/>
  <c r="BK33" i="22"/>
  <c r="BM33" i="22"/>
  <c r="CB33" i="22"/>
  <c r="CC33" i="22"/>
  <c r="K34" i="22"/>
  <c r="B34" i="22"/>
  <c r="A34" i="22"/>
  <c r="C34" i="22"/>
  <c r="D34" i="22"/>
  <c r="E34" i="22"/>
  <c r="H34" i="22"/>
  <c r="N34" i="22"/>
  <c r="X34" i="22"/>
  <c r="BA34" i="22"/>
  <c r="AB34" i="22"/>
  <c r="AC34" i="22"/>
  <c r="AP34" i="22"/>
  <c r="AV34" i="22"/>
  <c r="BG34" i="22"/>
  <c r="BK34" i="22"/>
  <c r="BM34" i="22"/>
  <c r="CB34" i="22"/>
  <c r="CC34" i="22"/>
  <c r="K35" i="22"/>
  <c r="B35" i="22"/>
  <c r="A35" i="22"/>
  <c r="C35" i="22"/>
  <c r="D35" i="22"/>
  <c r="E35" i="22"/>
  <c r="H35" i="22"/>
  <c r="N35" i="22"/>
  <c r="X35" i="22"/>
  <c r="BA35" i="22"/>
  <c r="AB35" i="22"/>
  <c r="AC35" i="22"/>
  <c r="AP35" i="22"/>
  <c r="AV35" i="22"/>
  <c r="BG35" i="22"/>
  <c r="BK35" i="22"/>
  <c r="BM35" i="22"/>
  <c r="CB35" i="22"/>
  <c r="CC35" i="22"/>
  <c r="K36" i="22"/>
  <c r="B36" i="22"/>
  <c r="A36" i="22"/>
  <c r="C36" i="22"/>
  <c r="D36" i="22"/>
  <c r="E36" i="22"/>
  <c r="H36" i="22"/>
  <c r="N36" i="22"/>
  <c r="X36" i="22"/>
  <c r="BA36" i="22"/>
  <c r="AB36" i="22"/>
  <c r="AC36" i="22"/>
  <c r="AP36" i="22"/>
  <c r="AV36" i="22"/>
  <c r="BG36" i="22"/>
  <c r="BK36" i="22"/>
  <c r="BM36" i="22"/>
  <c r="CB36" i="22"/>
  <c r="CC36" i="22"/>
  <c r="K37" i="22"/>
  <c r="B37" i="22"/>
  <c r="A37" i="22"/>
  <c r="C37" i="22"/>
  <c r="D37" i="22"/>
  <c r="E37" i="22"/>
  <c r="H37" i="22"/>
  <c r="N37" i="22"/>
  <c r="X37" i="22"/>
  <c r="BA37" i="22"/>
  <c r="AB37" i="22"/>
  <c r="AC37" i="22"/>
  <c r="AP37" i="22"/>
  <c r="AV37" i="22"/>
  <c r="BG37" i="22"/>
  <c r="BK37" i="22"/>
  <c r="BM37" i="22"/>
  <c r="CB37" i="22"/>
  <c r="CC37" i="22"/>
  <c r="K38" i="22"/>
  <c r="B38" i="22"/>
  <c r="A38" i="22"/>
  <c r="C38" i="22"/>
  <c r="D38" i="22"/>
  <c r="E38" i="22"/>
  <c r="H38" i="22"/>
  <c r="N38" i="22"/>
  <c r="X38" i="22"/>
  <c r="BA38" i="22"/>
  <c r="AB38" i="22"/>
  <c r="AC38" i="22"/>
  <c r="AP38" i="22"/>
  <c r="AV38" i="22"/>
  <c r="BG38" i="22"/>
  <c r="BK38" i="22"/>
  <c r="BM38" i="22"/>
  <c r="CB38" i="22"/>
  <c r="CC38" i="22"/>
  <c r="K39" i="22"/>
  <c r="B39" i="22"/>
  <c r="A39" i="22"/>
  <c r="C39" i="22"/>
  <c r="D39" i="22"/>
  <c r="E39" i="22"/>
  <c r="H39" i="22"/>
  <c r="N39" i="22"/>
  <c r="X39" i="22"/>
  <c r="BA39" i="22"/>
  <c r="AB39" i="22"/>
  <c r="AC39" i="22"/>
  <c r="AP39" i="22"/>
  <c r="AV39" i="22"/>
  <c r="BG39" i="22"/>
  <c r="BK39" i="22"/>
  <c r="BM39" i="22"/>
  <c r="CB39" i="22"/>
  <c r="CC39" i="22"/>
  <c r="K40" i="22"/>
  <c r="B40" i="22"/>
  <c r="A40" i="22"/>
  <c r="C40" i="22"/>
  <c r="D40" i="22"/>
  <c r="E40" i="22"/>
  <c r="H40" i="22"/>
  <c r="N40" i="22"/>
  <c r="X40" i="22"/>
  <c r="BA40" i="22"/>
  <c r="AB40" i="22"/>
  <c r="AC40" i="22"/>
  <c r="AP40" i="22"/>
  <c r="AV40" i="22"/>
  <c r="BG40" i="22"/>
  <c r="BK40" i="22"/>
  <c r="BM40" i="22"/>
  <c r="CB40" i="22"/>
  <c r="CC40" i="22"/>
  <c r="K41" i="22"/>
  <c r="B41" i="22"/>
  <c r="A41" i="22"/>
  <c r="C41" i="22"/>
  <c r="D41" i="22"/>
  <c r="E41" i="22"/>
  <c r="H41" i="22"/>
  <c r="N41" i="22"/>
  <c r="X41" i="22"/>
  <c r="BA41" i="22"/>
  <c r="AB41" i="22"/>
  <c r="AC41" i="22"/>
  <c r="AP41" i="22"/>
  <c r="AV41" i="22"/>
  <c r="BG41" i="22"/>
  <c r="BK41" i="22"/>
  <c r="BM41" i="22"/>
  <c r="CB41" i="22"/>
  <c r="CC41" i="22"/>
  <c r="K42" i="22"/>
  <c r="B42" i="22"/>
  <c r="A42" i="22"/>
  <c r="C42" i="22"/>
  <c r="D42" i="22"/>
  <c r="E42" i="22"/>
  <c r="H42" i="22"/>
  <c r="N42" i="22"/>
  <c r="X42" i="22"/>
  <c r="BA42" i="22"/>
  <c r="AB42" i="22"/>
  <c r="AC42" i="22"/>
  <c r="AP42" i="22"/>
  <c r="AV42" i="22"/>
  <c r="BG42" i="22"/>
  <c r="BK42" i="22"/>
  <c r="BM42" i="22"/>
  <c r="CB42" i="22"/>
  <c r="CC42" i="22"/>
  <c r="K43" i="22"/>
  <c r="B43" i="22"/>
  <c r="A43" i="22"/>
  <c r="C43" i="22"/>
  <c r="D43" i="22"/>
  <c r="E43" i="22"/>
  <c r="H43" i="22"/>
  <c r="N43" i="22"/>
  <c r="X43" i="22"/>
  <c r="BA43" i="22"/>
  <c r="AB43" i="22"/>
  <c r="AC43" i="22"/>
  <c r="AP43" i="22"/>
  <c r="AV43" i="22"/>
  <c r="BG43" i="22"/>
  <c r="BK43" i="22"/>
  <c r="BM43" i="22"/>
  <c r="CB43" i="22"/>
  <c r="CC43" i="22"/>
  <c r="K44" i="22"/>
  <c r="B44" i="22"/>
  <c r="A44" i="22"/>
  <c r="C44" i="22"/>
  <c r="D44" i="22"/>
  <c r="E44" i="22"/>
  <c r="H44" i="22"/>
  <c r="N44" i="22"/>
  <c r="X44" i="22"/>
  <c r="BA44" i="22"/>
  <c r="AB44" i="22"/>
  <c r="AC44" i="22"/>
  <c r="AP44" i="22"/>
  <c r="AV44" i="22"/>
  <c r="BG44" i="22"/>
  <c r="BK44" i="22"/>
  <c r="BM44" i="22"/>
  <c r="CB44" i="22"/>
  <c r="CC44" i="22"/>
  <c r="K45" i="22"/>
  <c r="B45" i="22"/>
  <c r="A45" i="22"/>
  <c r="C45" i="22"/>
  <c r="D45" i="22"/>
  <c r="E45" i="22"/>
  <c r="H45" i="22"/>
  <c r="N45" i="22"/>
  <c r="X45" i="22"/>
  <c r="BA45" i="22"/>
  <c r="AB45" i="22"/>
  <c r="AC45" i="22"/>
  <c r="AP45" i="22"/>
  <c r="AV45" i="22"/>
  <c r="BG45" i="22"/>
  <c r="BK45" i="22"/>
  <c r="BM45" i="22"/>
  <c r="CB45" i="22"/>
  <c r="CC45" i="22"/>
  <c r="K46" i="22"/>
  <c r="B46" i="22"/>
  <c r="A46" i="22"/>
  <c r="C46" i="22"/>
  <c r="D46" i="22"/>
  <c r="E46" i="22"/>
  <c r="H46" i="22"/>
  <c r="N46" i="22"/>
  <c r="X46" i="22"/>
  <c r="BA46" i="22"/>
  <c r="AB46" i="22"/>
  <c r="AC46" i="22"/>
  <c r="AP46" i="22"/>
  <c r="AV46" i="22"/>
  <c r="BG46" i="22"/>
  <c r="BK46" i="22"/>
  <c r="BM46" i="22"/>
  <c r="CB46" i="22"/>
  <c r="CC46" i="22"/>
  <c r="K47" i="22"/>
  <c r="B47" i="22"/>
  <c r="A47" i="22"/>
  <c r="C47" i="22"/>
  <c r="D47" i="22"/>
  <c r="E47" i="22"/>
  <c r="H47" i="22"/>
  <c r="N47" i="22"/>
  <c r="X47" i="22"/>
  <c r="BA47" i="22"/>
  <c r="AB47" i="22"/>
  <c r="AC47" i="22"/>
  <c r="AP47" i="22"/>
  <c r="AV47" i="22"/>
  <c r="BG47" i="22"/>
  <c r="BK47" i="22"/>
  <c r="BM47" i="22"/>
  <c r="CB47" i="22"/>
  <c r="CC47" i="22"/>
  <c r="K48" i="22"/>
  <c r="B48" i="22"/>
  <c r="A48" i="22"/>
  <c r="C48" i="22"/>
  <c r="D48" i="22"/>
  <c r="E48" i="22"/>
  <c r="H48" i="22"/>
  <c r="N48" i="22"/>
  <c r="X48" i="22"/>
  <c r="BA48" i="22"/>
  <c r="AB48" i="22"/>
  <c r="AC48" i="22"/>
  <c r="AP48" i="22"/>
  <c r="AV48" i="22"/>
  <c r="BG48" i="22"/>
  <c r="BK48" i="22"/>
  <c r="BM48" i="22"/>
  <c r="CB48" i="22"/>
  <c r="CC48" i="22"/>
  <c r="K49" i="22"/>
  <c r="B49" i="22"/>
  <c r="A49" i="22"/>
  <c r="C49" i="22"/>
  <c r="D49" i="22"/>
  <c r="E49" i="22"/>
  <c r="H49" i="22"/>
  <c r="N49" i="22"/>
  <c r="X49" i="22"/>
  <c r="BA49" i="22"/>
  <c r="AB49" i="22"/>
  <c r="AC49" i="22"/>
  <c r="AP49" i="22"/>
  <c r="AV49" i="22"/>
  <c r="BG49" i="22"/>
  <c r="BK49" i="22"/>
  <c r="BM49" i="22"/>
  <c r="CB49" i="22"/>
  <c r="CC49" i="22"/>
  <c r="K50" i="22"/>
  <c r="B50" i="22"/>
  <c r="A50" i="22"/>
  <c r="C50" i="22"/>
  <c r="D50" i="22"/>
  <c r="E50" i="22"/>
  <c r="H50" i="22"/>
  <c r="N50" i="22"/>
  <c r="X50" i="22"/>
  <c r="BA50" i="22"/>
  <c r="AB50" i="22"/>
  <c r="AC50" i="22"/>
  <c r="AP50" i="22"/>
  <c r="AV50" i="22"/>
  <c r="BG50" i="22"/>
  <c r="BK50" i="22"/>
  <c r="BM50" i="22"/>
  <c r="CB50" i="22"/>
  <c r="CC50" i="22"/>
  <c r="K51" i="22"/>
  <c r="B51" i="22"/>
  <c r="A51" i="22"/>
  <c r="C51" i="22"/>
  <c r="D51" i="22"/>
  <c r="E51" i="22"/>
  <c r="H51" i="22"/>
  <c r="N51" i="22"/>
  <c r="X51" i="22"/>
  <c r="BA51" i="22"/>
  <c r="AB51" i="22"/>
  <c r="AC51" i="22"/>
  <c r="AP51" i="22"/>
  <c r="AV51" i="22"/>
  <c r="BG51" i="22"/>
  <c r="BK51" i="22"/>
  <c r="BM51" i="22"/>
  <c r="CB51" i="22"/>
  <c r="CC51" i="22"/>
  <c r="K52" i="22"/>
  <c r="B52" i="22"/>
  <c r="A52" i="22"/>
  <c r="C52" i="22"/>
  <c r="D52" i="22"/>
  <c r="E52" i="22"/>
  <c r="H52" i="22"/>
  <c r="N52" i="22"/>
  <c r="X52" i="22"/>
  <c r="BA52" i="22"/>
  <c r="AB52" i="22"/>
  <c r="AC52" i="22"/>
  <c r="AP52" i="22"/>
  <c r="AV52" i="22"/>
  <c r="BG52" i="22"/>
  <c r="BK52" i="22"/>
  <c r="BM52" i="22"/>
  <c r="CB52" i="22"/>
  <c r="CC52" i="22"/>
  <c r="K53" i="22"/>
  <c r="B53" i="22"/>
  <c r="A53" i="22"/>
  <c r="C53" i="22"/>
  <c r="D53" i="22"/>
  <c r="E53" i="22"/>
  <c r="H53" i="22"/>
  <c r="N53" i="22"/>
  <c r="X53" i="22"/>
  <c r="BA53" i="22"/>
  <c r="AB53" i="22"/>
  <c r="AC53" i="22"/>
  <c r="AP53" i="22"/>
  <c r="AV53" i="22"/>
  <c r="BG53" i="22"/>
  <c r="BK53" i="22"/>
  <c r="BM53" i="22"/>
  <c r="CB53" i="22"/>
  <c r="CC53" i="22"/>
  <c r="K54" i="22"/>
  <c r="B54" i="22"/>
  <c r="A54" i="22"/>
  <c r="C54" i="22"/>
  <c r="D54" i="22"/>
  <c r="E54" i="22"/>
  <c r="H54" i="22"/>
  <c r="N54" i="22"/>
  <c r="X54" i="22"/>
  <c r="BA54" i="22"/>
  <c r="AB54" i="22"/>
  <c r="AC54" i="22"/>
  <c r="AP54" i="22"/>
  <c r="AV54" i="22"/>
  <c r="BG54" i="22"/>
  <c r="BK54" i="22"/>
  <c r="BM54" i="22"/>
  <c r="CB54" i="22"/>
  <c r="CC54" i="22"/>
  <c r="K55" i="22"/>
  <c r="B55" i="22"/>
  <c r="A55" i="22"/>
  <c r="C55" i="22"/>
  <c r="D55" i="22"/>
  <c r="E55" i="22"/>
  <c r="H55" i="22"/>
  <c r="N55" i="22"/>
  <c r="X55" i="22"/>
  <c r="BA55" i="22"/>
  <c r="AB55" i="22"/>
  <c r="AC55" i="22"/>
  <c r="AP55" i="22"/>
  <c r="AV55" i="22"/>
  <c r="BG55" i="22"/>
  <c r="BK55" i="22"/>
  <c r="BM55" i="22"/>
  <c r="CB55" i="22"/>
  <c r="CC55" i="22"/>
  <c r="K56" i="22"/>
  <c r="B56" i="22"/>
  <c r="A56" i="22"/>
  <c r="C56" i="22"/>
  <c r="D56" i="22"/>
  <c r="E56" i="22"/>
  <c r="H56" i="22"/>
  <c r="N56" i="22"/>
  <c r="X56" i="22"/>
  <c r="BA56" i="22"/>
  <c r="AB56" i="22"/>
  <c r="AC56" i="22"/>
  <c r="AP56" i="22"/>
  <c r="AV56" i="22"/>
  <c r="BG56" i="22"/>
  <c r="BK56" i="22"/>
  <c r="BM56" i="22"/>
  <c r="CB56" i="22"/>
  <c r="CC56" i="22"/>
  <c r="K57" i="22"/>
  <c r="B57" i="22"/>
  <c r="A57" i="22"/>
  <c r="C57" i="22"/>
  <c r="D57" i="22"/>
  <c r="E57" i="22"/>
  <c r="H57" i="22"/>
  <c r="N57" i="22"/>
  <c r="X57" i="22"/>
  <c r="BA57" i="22"/>
  <c r="AB57" i="22"/>
  <c r="AC57" i="22"/>
  <c r="AP57" i="22"/>
  <c r="AV57" i="22"/>
  <c r="BG57" i="22"/>
  <c r="BK57" i="22"/>
  <c r="BM57" i="22"/>
  <c r="CB57" i="22"/>
  <c r="CC57" i="22"/>
  <c r="K58" i="22"/>
  <c r="B58" i="22"/>
  <c r="A58" i="22"/>
  <c r="C58" i="22"/>
  <c r="D58" i="22"/>
  <c r="E58" i="22"/>
  <c r="H58" i="22"/>
  <c r="N58" i="22"/>
  <c r="X58" i="22"/>
  <c r="BA58" i="22"/>
  <c r="AB58" i="22"/>
  <c r="AC58" i="22"/>
  <c r="AP58" i="22"/>
  <c r="AV58" i="22"/>
  <c r="BG58" i="22"/>
  <c r="BK58" i="22"/>
  <c r="BM58" i="22"/>
  <c r="CB58" i="22"/>
  <c r="CC58" i="22"/>
  <c r="K59" i="22"/>
  <c r="B59" i="22"/>
  <c r="A59" i="22"/>
  <c r="C59" i="22"/>
  <c r="D59" i="22"/>
  <c r="E59" i="22"/>
  <c r="H59" i="22"/>
  <c r="N59" i="22"/>
  <c r="X59" i="22"/>
  <c r="BA59" i="22"/>
  <c r="AB59" i="22"/>
  <c r="AC59" i="22"/>
  <c r="AP59" i="22"/>
  <c r="AV59" i="22"/>
  <c r="BG59" i="22"/>
  <c r="BK59" i="22"/>
  <c r="BM59" i="22"/>
  <c r="CB59" i="22"/>
  <c r="CC59" i="22"/>
  <c r="K60" i="22"/>
  <c r="B60" i="22"/>
  <c r="A60" i="22"/>
  <c r="C60" i="22"/>
  <c r="D60" i="22"/>
  <c r="E60" i="22"/>
  <c r="H60" i="22"/>
  <c r="N60" i="22"/>
  <c r="X60" i="22"/>
  <c r="BA60" i="22"/>
  <c r="AB60" i="22"/>
  <c r="AC60" i="22"/>
  <c r="AP60" i="22"/>
  <c r="AV60" i="22"/>
  <c r="BG60" i="22"/>
  <c r="BK60" i="22"/>
  <c r="BM60" i="22"/>
  <c r="CB60" i="22"/>
  <c r="CC60" i="22"/>
  <c r="K61" i="22"/>
  <c r="B61" i="22"/>
  <c r="A61" i="22"/>
  <c r="C61" i="22"/>
  <c r="D61" i="22"/>
  <c r="E61" i="22"/>
  <c r="H61" i="22"/>
  <c r="N61" i="22"/>
  <c r="X61" i="22"/>
  <c r="BA61" i="22"/>
  <c r="AB61" i="22"/>
  <c r="AC61" i="22"/>
  <c r="AP61" i="22"/>
  <c r="AV61" i="22"/>
  <c r="BG61" i="22"/>
  <c r="BK61" i="22"/>
  <c r="BM61" i="22"/>
  <c r="CB61" i="22"/>
  <c r="CC61" i="22"/>
  <c r="K62" i="22"/>
  <c r="B62" i="22"/>
  <c r="A62" i="22"/>
  <c r="C62" i="22"/>
  <c r="D62" i="22"/>
  <c r="E62" i="22"/>
  <c r="H62" i="22"/>
  <c r="N62" i="22"/>
  <c r="X62" i="22"/>
  <c r="BA62" i="22"/>
  <c r="AB62" i="22"/>
  <c r="AC62" i="22"/>
  <c r="AP62" i="22"/>
  <c r="AV62" i="22"/>
  <c r="BG62" i="22"/>
  <c r="BK62" i="22"/>
  <c r="BM62" i="22"/>
  <c r="CB62" i="22"/>
  <c r="CC62" i="22"/>
  <c r="K63" i="22"/>
  <c r="B63" i="22"/>
  <c r="A63" i="22"/>
  <c r="C63" i="22"/>
  <c r="D63" i="22"/>
  <c r="E63" i="22"/>
  <c r="H63" i="22"/>
  <c r="N63" i="22"/>
  <c r="X63" i="22"/>
  <c r="BA63" i="22"/>
  <c r="AB63" i="22"/>
  <c r="AC63" i="22"/>
  <c r="AP63" i="22"/>
  <c r="AV63" i="22"/>
  <c r="BG63" i="22"/>
  <c r="BK63" i="22"/>
  <c r="BM63" i="22"/>
  <c r="CB63" i="22"/>
  <c r="CC63" i="22"/>
  <c r="K64" i="22"/>
  <c r="B64" i="22"/>
  <c r="A64" i="22"/>
  <c r="C64" i="22"/>
  <c r="D64" i="22"/>
  <c r="E64" i="22"/>
  <c r="H64" i="22"/>
  <c r="N64" i="22"/>
  <c r="X64" i="22"/>
  <c r="BA64" i="22"/>
  <c r="AB64" i="22"/>
  <c r="AC64" i="22"/>
  <c r="AP64" i="22"/>
  <c r="AV64" i="22"/>
  <c r="BG64" i="22"/>
  <c r="BK64" i="22"/>
  <c r="BM64" i="22"/>
  <c r="CB64" i="22"/>
  <c r="CC64" i="22"/>
  <c r="K65" i="22"/>
  <c r="B65" i="22"/>
  <c r="A65" i="22"/>
  <c r="C65" i="22"/>
  <c r="D65" i="22"/>
  <c r="E65" i="22"/>
  <c r="H65" i="22"/>
  <c r="N65" i="22"/>
  <c r="X65" i="22"/>
  <c r="BA65" i="22"/>
  <c r="AB65" i="22"/>
  <c r="AC65" i="22"/>
  <c r="AP65" i="22"/>
  <c r="AV65" i="22"/>
  <c r="BG65" i="22"/>
  <c r="BK65" i="22"/>
  <c r="BM65" i="22"/>
  <c r="CB65" i="22"/>
  <c r="CC65" i="22"/>
  <c r="K66" i="22"/>
  <c r="B66" i="22"/>
  <c r="A66" i="22"/>
  <c r="C66" i="22"/>
  <c r="D66" i="22"/>
  <c r="E66" i="22"/>
  <c r="H66" i="22"/>
  <c r="N66" i="22"/>
  <c r="X66" i="22"/>
  <c r="BA66" i="22"/>
  <c r="AB66" i="22"/>
  <c r="AC66" i="22"/>
  <c r="AP66" i="22"/>
  <c r="AV66" i="22"/>
  <c r="BG66" i="22"/>
  <c r="BK66" i="22"/>
  <c r="BM66" i="22"/>
  <c r="CB66" i="22"/>
  <c r="CC66" i="22"/>
  <c r="K67" i="22"/>
  <c r="B67" i="22"/>
  <c r="A67" i="22"/>
  <c r="C67" i="22"/>
  <c r="D67" i="22"/>
  <c r="E67" i="22"/>
  <c r="H67" i="22"/>
  <c r="N67" i="22"/>
  <c r="X67" i="22"/>
  <c r="BA67" i="22"/>
  <c r="AB67" i="22"/>
  <c r="AC67" i="22"/>
  <c r="AP67" i="22"/>
  <c r="AV67" i="22"/>
  <c r="BG67" i="22"/>
  <c r="BK67" i="22"/>
  <c r="BM67" i="22"/>
  <c r="CB67" i="22"/>
  <c r="CC67" i="22"/>
  <c r="K68" i="22"/>
  <c r="B68" i="22"/>
  <c r="A68" i="22"/>
  <c r="C68" i="22"/>
  <c r="D68" i="22"/>
  <c r="E68" i="22"/>
  <c r="H68" i="22"/>
  <c r="N68" i="22"/>
  <c r="X68" i="22"/>
  <c r="BA68" i="22"/>
  <c r="AB68" i="22"/>
  <c r="AC68" i="22"/>
  <c r="AP68" i="22"/>
  <c r="AV68" i="22"/>
  <c r="BG68" i="22"/>
  <c r="BK68" i="22"/>
  <c r="BM68" i="22"/>
  <c r="CB68" i="22"/>
  <c r="CC68" i="22"/>
  <c r="K69" i="22"/>
  <c r="B69" i="22"/>
  <c r="A69" i="22"/>
  <c r="C69" i="22"/>
  <c r="D69" i="22"/>
  <c r="E69" i="22"/>
  <c r="H69" i="22"/>
  <c r="N69" i="22"/>
  <c r="X69" i="22"/>
  <c r="BA69" i="22"/>
  <c r="AB69" i="22"/>
  <c r="AC69" i="22"/>
  <c r="AP69" i="22"/>
  <c r="AV69" i="22"/>
  <c r="BG69" i="22"/>
  <c r="BK69" i="22"/>
  <c r="BM69" i="22"/>
  <c r="CB69" i="22"/>
  <c r="CC69" i="22"/>
  <c r="K70" i="22"/>
  <c r="B70" i="22"/>
  <c r="A70" i="22"/>
  <c r="C70" i="22"/>
  <c r="D70" i="22"/>
  <c r="E70" i="22"/>
  <c r="H70" i="22"/>
  <c r="N70" i="22"/>
  <c r="X70" i="22"/>
  <c r="BA70" i="22"/>
  <c r="AB70" i="22"/>
  <c r="AC70" i="22"/>
  <c r="AP70" i="22"/>
  <c r="AV70" i="22"/>
  <c r="BG70" i="22"/>
  <c r="BK70" i="22"/>
  <c r="BM70" i="22"/>
  <c r="CB70" i="22"/>
  <c r="CC70" i="22"/>
  <c r="K71" i="22"/>
  <c r="B71" i="22"/>
  <c r="A71" i="22"/>
  <c r="C71" i="22"/>
  <c r="D71" i="22"/>
  <c r="E71" i="22"/>
  <c r="H71" i="22"/>
  <c r="N71" i="22"/>
  <c r="X71" i="22"/>
  <c r="BA71" i="22"/>
  <c r="AB71" i="22"/>
  <c r="AC71" i="22"/>
  <c r="AP71" i="22"/>
  <c r="AV71" i="22"/>
  <c r="BG71" i="22"/>
  <c r="BK71" i="22"/>
  <c r="BM71" i="22"/>
  <c r="CB71" i="22"/>
  <c r="CC71" i="22"/>
  <c r="K72" i="22"/>
  <c r="B72" i="22"/>
  <c r="A72" i="22"/>
  <c r="C72" i="22"/>
  <c r="D72" i="22"/>
  <c r="E72" i="22"/>
  <c r="H72" i="22"/>
  <c r="N72" i="22"/>
  <c r="X72" i="22"/>
  <c r="BA72" i="22"/>
  <c r="AB72" i="22"/>
  <c r="AC72" i="22"/>
  <c r="AP72" i="22"/>
  <c r="AV72" i="22"/>
  <c r="BG72" i="22"/>
  <c r="BK72" i="22"/>
  <c r="BM72" i="22"/>
  <c r="CB72" i="22"/>
  <c r="CC72" i="22"/>
  <c r="K73" i="22"/>
  <c r="B73" i="22"/>
  <c r="A73" i="22"/>
  <c r="C73" i="22"/>
  <c r="D73" i="22"/>
  <c r="E73" i="22"/>
  <c r="H73" i="22"/>
  <c r="N73" i="22"/>
  <c r="X73" i="22"/>
  <c r="BA73" i="22"/>
  <c r="AB73" i="22"/>
  <c r="AC73" i="22"/>
  <c r="AP73" i="22"/>
  <c r="AV73" i="22"/>
  <c r="BG73" i="22"/>
  <c r="BK73" i="22"/>
  <c r="BM73" i="22"/>
  <c r="CB73" i="22"/>
  <c r="CC73" i="22"/>
  <c r="K74" i="22"/>
  <c r="B74" i="22"/>
  <c r="A74" i="22"/>
  <c r="C74" i="22"/>
  <c r="D74" i="22"/>
  <c r="E74" i="22"/>
  <c r="H74" i="22"/>
  <c r="N74" i="22"/>
  <c r="X74" i="22"/>
  <c r="BA74" i="22"/>
  <c r="AB74" i="22"/>
  <c r="AC74" i="22"/>
  <c r="AP74" i="22"/>
  <c r="AV74" i="22"/>
  <c r="BG74" i="22"/>
  <c r="BK74" i="22"/>
  <c r="BM74" i="22"/>
  <c r="CB74" i="22"/>
  <c r="CC74" i="22"/>
  <c r="K75" i="22"/>
  <c r="B75" i="22"/>
  <c r="A75" i="22"/>
  <c r="C75" i="22"/>
  <c r="D75" i="22"/>
  <c r="E75" i="22"/>
  <c r="H75" i="22"/>
  <c r="N75" i="22"/>
  <c r="X75" i="22"/>
  <c r="BA75" i="22"/>
  <c r="AB75" i="22"/>
  <c r="AC75" i="22"/>
  <c r="AP75" i="22"/>
  <c r="AV75" i="22"/>
  <c r="BG75" i="22"/>
  <c r="BK75" i="22"/>
  <c r="BM75" i="22"/>
  <c r="CB75" i="22"/>
  <c r="CC75" i="22"/>
  <c r="K76" i="22"/>
  <c r="B76" i="22"/>
  <c r="A76" i="22"/>
  <c r="C76" i="22"/>
  <c r="D76" i="22"/>
  <c r="E76" i="22"/>
  <c r="H76" i="22"/>
  <c r="N76" i="22"/>
  <c r="X76" i="22"/>
  <c r="BA76" i="22"/>
  <c r="AB76" i="22"/>
  <c r="AC76" i="22"/>
  <c r="AP76" i="22"/>
  <c r="AV76" i="22"/>
  <c r="BG76" i="22"/>
  <c r="BK76" i="22"/>
  <c r="BM76" i="22"/>
  <c r="CB76" i="22"/>
  <c r="CC76" i="22"/>
  <c r="K77" i="22"/>
  <c r="B77" i="22"/>
  <c r="A77" i="22"/>
  <c r="C77" i="22"/>
  <c r="D77" i="22"/>
  <c r="E77" i="22"/>
  <c r="H77" i="22"/>
  <c r="N77" i="22"/>
  <c r="X77" i="22"/>
  <c r="BA77" i="22"/>
  <c r="AB77" i="22"/>
  <c r="AC77" i="22"/>
  <c r="AP77" i="22"/>
  <c r="AV77" i="22"/>
  <c r="BG77" i="22"/>
  <c r="BK77" i="22"/>
  <c r="BM77" i="22"/>
  <c r="CB77" i="22"/>
  <c r="CC77" i="22"/>
  <c r="K78" i="22"/>
  <c r="B78" i="22"/>
  <c r="A78" i="22"/>
  <c r="C78" i="22"/>
  <c r="D78" i="22"/>
  <c r="E78" i="22"/>
  <c r="H78" i="22"/>
  <c r="N78" i="22"/>
  <c r="X78" i="22"/>
  <c r="BA78" i="22"/>
  <c r="AB78" i="22"/>
  <c r="AC78" i="22"/>
  <c r="AP78" i="22"/>
  <c r="AV78" i="22"/>
  <c r="BG78" i="22"/>
  <c r="BK78" i="22"/>
  <c r="BM78" i="22"/>
  <c r="CB78" i="22"/>
  <c r="CC78" i="22"/>
  <c r="K79" i="22"/>
  <c r="B79" i="22"/>
  <c r="A79" i="22"/>
  <c r="C79" i="22"/>
  <c r="D79" i="22"/>
  <c r="E79" i="22"/>
  <c r="H79" i="22"/>
  <c r="N79" i="22"/>
  <c r="X79" i="22"/>
  <c r="BA79" i="22"/>
  <c r="AB79" i="22"/>
  <c r="AC79" i="22"/>
  <c r="AP79" i="22"/>
  <c r="AV79" i="22"/>
  <c r="BG79" i="22"/>
  <c r="BK79" i="22"/>
  <c r="BM79" i="22"/>
  <c r="CB79" i="22"/>
  <c r="CC79" i="22"/>
  <c r="K80" i="22"/>
  <c r="B80" i="22"/>
  <c r="A80" i="22"/>
  <c r="C80" i="22"/>
  <c r="D80" i="22"/>
  <c r="E80" i="22"/>
  <c r="H80" i="22"/>
  <c r="N80" i="22"/>
  <c r="X80" i="22"/>
  <c r="BA80" i="22"/>
  <c r="AB80" i="22"/>
  <c r="AC80" i="22"/>
  <c r="AP80" i="22"/>
  <c r="AV80" i="22"/>
  <c r="BG80" i="22"/>
  <c r="BK80" i="22"/>
  <c r="BM80" i="22"/>
  <c r="CB80" i="22"/>
  <c r="CC80" i="22"/>
  <c r="K81" i="22"/>
  <c r="B81" i="22"/>
  <c r="A81" i="22"/>
  <c r="C81" i="22"/>
  <c r="D81" i="22"/>
  <c r="E81" i="22"/>
  <c r="H81" i="22"/>
  <c r="N81" i="22"/>
  <c r="X81" i="22"/>
  <c r="BA81" i="22"/>
  <c r="AB81" i="22"/>
  <c r="AC81" i="22"/>
  <c r="AP81" i="22"/>
  <c r="AV81" i="22"/>
  <c r="BG81" i="22"/>
  <c r="BK81" i="22"/>
  <c r="BM81" i="22"/>
  <c r="CB81" i="22"/>
  <c r="CC81" i="22"/>
  <c r="K82" i="22"/>
  <c r="B82" i="22"/>
  <c r="A82" i="22"/>
  <c r="C82" i="22"/>
  <c r="D82" i="22"/>
  <c r="E82" i="22"/>
  <c r="H82" i="22"/>
  <c r="N82" i="22"/>
  <c r="X82" i="22"/>
  <c r="BA82" i="22"/>
  <c r="AB82" i="22"/>
  <c r="AC82" i="22"/>
  <c r="AP82" i="22"/>
  <c r="AV82" i="22"/>
  <c r="BG82" i="22"/>
  <c r="BK82" i="22"/>
  <c r="BM82" i="22"/>
  <c r="CB82" i="22"/>
  <c r="CC82" i="22"/>
  <c r="K83" i="22"/>
  <c r="B83" i="22"/>
  <c r="A83" i="22"/>
  <c r="C83" i="22"/>
  <c r="D83" i="22"/>
  <c r="E83" i="22"/>
  <c r="H83" i="22"/>
  <c r="N83" i="22"/>
  <c r="X83" i="22"/>
  <c r="BA83" i="22"/>
  <c r="AB83" i="22"/>
  <c r="AC83" i="22"/>
  <c r="AP83" i="22"/>
  <c r="AV83" i="22"/>
  <c r="BG83" i="22"/>
  <c r="BK83" i="22"/>
  <c r="BM83" i="22"/>
  <c r="CB83" i="22"/>
  <c r="CC83" i="22"/>
  <c r="K84" i="22"/>
  <c r="B84" i="22"/>
  <c r="A84" i="22"/>
  <c r="C84" i="22"/>
  <c r="D84" i="22"/>
  <c r="E84" i="22"/>
  <c r="H84" i="22"/>
  <c r="N84" i="22"/>
  <c r="X84" i="22"/>
  <c r="BA84" i="22"/>
  <c r="AB84" i="22"/>
  <c r="AC84" i="22"/>
  <c r="AP84" i="22"/>
  <c r="AV84" i="22"/>
  <c r="BG84" i="22"/>
  <c r="BK84" i="22"/>
  <c r="BM84" i="22"/>
  <c r="CB84" i="22"/>
  <c r="CC84" i="22"/>
  <c r="K85" i="22"/>
  <c r="B85" i="22"/>
  <c r="A85" i="22"/>
  <c r="C85" i="22"/>
  <c r="D85" i="22"/>
  <c r="E85" i="22"/>
  <c r="H85" i="22"/>
  <c r="N85" i="22"/>
  <c r="X85" i="22"/>
  <c r="BA85" i="22"/>
  <c r="AB85" i="22"/>
  <c r="AC85" i="22"/>
  <c r="AP85" i="22"/>
  <c r="AV85" i="22"/>
  <c r="BG85" i="22"/>
  <c r="BK85" i="22"/>
  <c r="BM85" i="22"/>
  <c r="CB85" i="22"/>
  <c r="CC85" i="22"/>
  <c r="K86" i="22"/>
  <c r="B86" i="22"/>
  <c r="A86" i="22"/>
  <c r="C86" i="22"/>
  <c r="D86" i="22"/>
  <c r="E86" i="22"/>
  <c r="H86" i="22"/>
  <c r="N86" i="22"/>
  <c r="X86" i="22"/>
  <c r="BA86" i="22"/>
  <c r="AB86" i="22"/>
  <c r="AC86" i="22"/>
  <c r="AP86" i="22"/>
  <c r="AV86" i="22"/>
  <c r="BG86" i="22"/>
  <c r="BK86" i="22"/>
  <c r="BM86" i="22"/>
  <c r="CB86" i="22"/>
  <c r="CC86" i="22"/>
  <c r="K87" i="22"/>
  <c r="B87" i="22"/>
  <c r="A87" i="22"/>
  <c r="C87" i="22"/>
  <c r="D87" i="22"/>
  <c r="E87" i="22"/>
  <c r="H87" i="22"/>
  <c r="N87" i="22"/>
  <c r="X87" i="22"/>
  <c r="BA87" i="22"/>
  <c r="AB87" i="22"/>
  <c r="AC87" i="22"/>
  <c r="AP87" i="22"/>
  <c r="AV87" i="22"/>
  <c r="BG87" i="22"/>
  <c r="BK87" i="22"/>
  <c r="BM87" i="22"/>
  <c r="CB87" i="22"/>
  <c r="CC87" i="22"/>
  <c r="K88" i="22"/>
  <c r="B88" i="22"/>
  <c r="A88" i="22"/>
  <c r="C88" i="22"/>
  <c r="D88" i="22"/>
  <c r="E88" i="22"/>
  <c r="H88" i="22"/>
  <c r="N88" i="22"/>
  <c r="X88" i="22"/>
  <c r="BA88" i="22"/>
  <c r="AB88" i="22"/>
  <c r="AC88" i="22"/>
  <c r="AP88" i="22"/>
  <c r="AV88" i="22"/>
  <c r="BG88" i="22"/>
  <c r="BK88" i="22"/>
  <c r="BM88" i="22"/>
  <c r="CB88" i="22"/>
  <c r="CC88" i="22"/>
  <c r="K89" i="22"/>
  <c r="B89" i="22"/>
  <c r="A89" i="22"/>
  <c r="C89" i="22"/>
  <c r="D89" i="22"/>
  <c r="E89" i="22"/>
  <c r="H89" i="22"/>
  <c r="N89" i="22"/>
  <c r="X89" i="22"/>
  <c r="BA89" i="22"/>
  <c r="AB89" i="22"/>
  <c r="AC89" i="22"/>
  <c r="AP89" i="22"/>
  <c r="AV89" i="22"/>
  <c r="BG89" i="22"/>
  <c r="BK89" i="22"/>
  <c r="BM89" i="22"/>
  <c r="CB89" i="22"/>
  <c r="CC89" i="22"/>
  <c r="K90" i="22"/>
  <c r="B90" i="22"/>
  <c r="A90" i="22"/>
  <c r="C90" i="22"/>
  <c r="D90" i="22"/>
  <c r="E90" i="22"/>
  <c r="H90" i="22"/>
  <c r="N90" i="22"/>
  <c r="X90" i="22"/>
  <c r="BA90" i="22"/>
  <c r="AB90" i="22"/>
  <c r="AC90" i="22"/>
  <c r="AP90" i="22"/>
  <c r="AV90" i="22"/>
  <c r="BG90" i="22"/>
  <c r="BK90" i="22"/>
  <c r="BM90" i="22"/>
  <c r="CB90" i="22"/>
  <c r="CC90" i="22"/>
  <c r="K91" i="22"/>
  <c r="B91" i="22"/>
  <c r="A91" i="22"/>
  <c r="C91" i="22"/>
  <c r="D91" i="22"/>
  <c r="E91" i="22"/>
  <c r="H91" i="22"/>
  <c r="N91" i="22"/>
  <c r="X91" i="22"/>
  <c r="BA91" i="22"/>
  <c r="AB91" i="22"/>
  <c r="AC91" i="22"/>
  <c r="AP91" i="22"/>
  <c r="AV91" i="22"/>
  <c r="BG91" i="22"/>
  <c r="BK91" i="22"/>
  <c r="BM91" i="22"/>
  <c r="CB91" i="22"/>
  <c r="CC91" i="22"/>
  <c r="K92" i="22"/>
  <c r="B92" i="22"/>
  <c r="A92" i="22"/>
  <c r="C92" i="22"/>
  <c r="D92" i="22"/>
  <c r="E92" i="22"/>
  <c r="H92" i="22"/>
  <c r="N92" i="22"/>
  <c r="X92" i="22"/>
  <c r="BA92" i="22"/>
  <c r="AB92" i="22"/>
  <c r="AC92" i="22"/>
  <c r="AP92" i="22"/>
  <c r="AV92" i="22"/>
  <c r="BG92" i="22"/>
  <c r="BK92" i="22"/>
  <c r="BM92" i="22"/>
  <c r="CB92" i="22"/>
  <c r="CC92" i="22"/>
  <c r="K93" i="22"/>
  <c r="B93" i="22"/>
  <c r="A93" i="22"/>
  <c r="C93" i="22"/>
  <c r="D93" i="22"/>
  <c r="E93" i="22"/>
  <c r="H93" i="22"/>
  <c r="N93" i="22"/>
  <c r="X93" i="22"/>
  <c r="BA93" i="22"/>
  <c r="AB93" i="22"/>
  <c r="AC93" i="22"/>
  <c r="AP93" i="22"/>
  <c r="AV93" i="22"/>
  <c r="BG93" i="22"/>
  <c r="BK93" i="22"/>
  <c r="BM93" i="22"/>
  <c r="CB93" i="22"/>
  <c r="CC93" i="22"/>
  <c r="K94" i="22"/>
  <c r="B94" i="22"/>
  <c r="A94" i="22"/>
  <c r="C94" i="22"/>
  <c r="D94" i="22"/>
  <c r="E94" i="22"/>
  <c r="H94" i="22"/>
  <c r="N94" i="22"/>
  <c r="X94" i="22"/>
  <c r="BA94" i="22"/>
  <c r="AB94" i="22"/>
  <c r="AC94" i="22"/>
  <c r="AP94" i="22"/>
  <c r="AV94" i="22"/>
  <c r="BG94" i="22"/>
  <c r="BK94" i="22"/>
  <c r="BM94" i="22"/>
  <c r="CB94" i="22"/>
  <c r="CC94" i="22"/>
  <c r="K95" i="22"/>
  <c r="B95" i="22"/>
  <c r="A95" i="22"/>
  <c r="C95" i="22"/>
  <c r="D95" i="22"/>
  <c r="E95" i="22"/>
  <c r="H95" i="22"/>
  <c r="N95" i="22"/>
  <c r="X95" i="22"/>
  <c r="BA95" i="22"/>
  <c r="AB95" i="22"/>
  <c r="AC95" i="22"/>
  <c r="AP95" i="22"/>
  <c r="AV95" i="22"/>
  <c r="BG95" i="22"/>
  <c r="BK95" i="22"/>
  <c r="BM95" i="22"/>
  <c r="CB95" i="22"/>
  <c r="CC95" i="22"/>
  <c r="K96" i="22"/>
  <c r="B96" i="22"/>
  <c r="A96" i="22"/>
  <c r="C96" i="22"/>
  <c r="D96" i="22"/>
  <c r="E96" i="22"/>
  <c r="H96" i="22"/>
  <c r="N96" i="22"/>
  <c r="X96" i="22"/>
  <c r="BA96" i="22"/>
  <c r="AB96" i="22"/>
  <c r="AC96" i="22"/>
  <c r="AP96" i="22"/>
  <c r="AV96" i="22"/>
  <c r="BG96" i="22"/>
  <c r="BK96" i="22"/>
  <c r="BM96" i="22"/>
  <c r="CB96" i="22"/>
  <c r="CC96" i="22"/>
  <c r="K97" i="22"/>
  <c r="B97" i="22"/>
  <c r="A97" i="22"/>
  <c r="C97" i="22"/>
  <c r="D97" i="22"/>
  <c r="E97" i="22"/>
  <c r="H97" i="22"/>
  <c r="N97" i="22"/>
  <c r="X97" i="22"/>
  <c r="BA97" i="22"/>
  <c r="AB97" i="22"/>
  <c r="AC97" i="22"/>
  <c r="AP97" i="22"/>
  <c r="AV97" i="22"/>
  <c r="BG97" i="22"/>
  <c r="BK97" i="22"/>
  <c r="BM97" i="22"/>
  <c r="CB97" i="22"/>
  <c r="CC97" i="22"/>
  <c r="K98" i="22"/>
  <c r="B98" i="22"/>
  <c r="A98" i="22"/>
  <c r="C98" i="22"/>
  <c r="D98" i="22"/>
  <c r="E98" i="22"/>
  <c r="H98" i="22"/>
  <c r="N98" i="22"/>
  <c r="X98" i="22"/>
  <c r="BA98" i="22"/>
  <c r="AB98" i="22"/>
  <c r="AC98" i="22"/>
  <c r="AP98" i="22"/>
  <c r="AV98" i="22"/>
  <c r="BG98" i="22"/>
  <c r="BK98" i="22"/>
  <c r="BM98" i="22"/>
  <c r="CB98" i="22"/>
  <c r="CC98" i="22"/>
  <c r="K99" i="22"/>
  <c r="B99" i="22"/>
  <c r="A99" i="22"/>
  <c r="C99" i="22"/>
  <c r="D99" i="22"/>
  <c r="E99" i="22"/>
  <c r="H99" i="22"/>
  <c r="N99" i="22"/>
  <c r="X99" i="22"/>
  <c r="BA99" i="22"/>
  <c r="AB99" i="22"/>
  <c r="AC99" i="22"/>
  <c r="AP99" i="22"/>
  <c r="AV99" i="22"/>
  <c r="BG99" i="22"/>
  <c r="BK99" i="22"/>
  <c r="BM99" i="22"/>
  <c r="CB99" i="22"/>
  <c r="CC99" i="22"/>
  <c r="K100" i="22"/>
  <c r="B100" i="22"/>
  <c r="A100" i="22"/>
  <c r="C100" i="22"/>
  <c r="D100" i="22"/>
  <c r="E100" i="22"/>
  <c r="H100" i="22"/>
  <c r="N100" i="22"/>
  <c r="X100" i="22"/>
  <c r="BA100" i="22"/>
  <c r="AB100" i="22"/>
  <c r="AC100" i="22"/>
  <c r="AP100" i="22"/>
  <c r="AV100" i="22"/>
  <c r="BG100" i="22"/>
  <c r="BK100" i="22"/>
  <c r="BM100" i="22"/>
  <c r="CB100" i="22"/>
  <c r="CC100" i="22"/>
  <c r="K101" i="22"/>
  <c r="B101" i="22"/>
  <c r="A101" i="22"/>
  <c r="C101" i="22"/>
  <c r="D101" i="22"/>
  <c r="E101" i="22"/>
  <c r="H101" i="22"/>
  <c r="N101" i="22"/>
  <c r="X101" i="22"/>
  <c r="BA101" i="22"/>
  <c r="AB101" i="22"/>
  <c r="AC101" i="22"/>
  <c r="AP101" i="22"/>
  <c r="AV101" i="22"/>
  <c r="BG101" i="22"/>
  <c r="BK101" i="22"/>
  <c r="BM101" i="22"/>
  <c r="CB101" i="22"/>
  <c r="CC101" i="22"/>
  <c r="K102" i="22"/>
  <c r="B102" i="22"/>
  <c r="A102" i="22"/>
  <c r="C102" i="22"/>
  <c r="D102" i="22"/>
  <c r="E102" i="22"/>
  <c r="H102" i="22"/>
  <c r="N102" i="22"/>
  <c r="X102" i="22"/>
  <c r="BA102" i="22"/>
  <c r="AB102" i="22"/>
  <c r="AC102" i="22"/>
  <c r="AP102" i="22"/>
  <c r="AV102" i="22"/>
  <c r="BG102" i="22"/>
  <c r="BK102" i="22"/>
  <c r="BM102" i="22"/>
  <c r="CB102" i="22"/>
  <c r="CC102" i="22"/>
  <c r="K103" i="22"/>
  <c r="B103" i="22"/>
  <c r="A103" i="22"/>
  <c r="C103" i="22"/>
  <c r="D103" i="22"/>
  <c r="E103" i="22"/>
  <c r="H103" i="22"/>
  <c r="N103" i="22"/>
  <c r="X103" i="22"/>
  <c r="BA103" i="22"/>
  <c r="AB103" i="22"/>
  <c r="AC103" i="22"/>
  <c r="AP103" i="22"/>
  <c r="AV103" i="22"/>
  <c r="BG103" i="22"/>
  <c r="BK103" i="22"/>
  <c r="BM103" i="22"/>
  <c r="CB103" i="22"/>
  <c r="CC103" i="22"/>
  <c r="K104" i="22"/>
  <c r="B104" i="22"/>
  <c r="A104" i="22"/>
  <c r="C104" i="22"/>
  <c r="D104" i="22"/>
  <c r="E104" i="22"/>
  <c r="H104" i="22"/>
  <c r="N104" i="22"/>
  <c r="X104" i="22"/>
  <c r="BA104" i="22"/>
  <c r="AB104" i="22"/>
  <c r="AC104" i="22"/>
  <c r="AP104" i="22"/>
  <c r="AV104" i="22"/>
  <c r="BG104" i="22"/>
  <c r="BK104" i="22"/>
  <c r="BM104" i="22"/>
  <c r="CB104" i="22"/>
  <c r="CC104" i="22"/>
  <c r="K105" i="22"/>
  <c r="B105" i="22"/>
  <c r="A105" i="22"/>
  <c r="C105" i="22"/>
  <c r="D105" i="22"/>
  <c r="E105" i="22"/>
  <c r="H105" i="22"/>
  <c r="N105" i="22"/>
  <c r="X105" i="22"/>
  <c r="BA105" i="22"/>
  <c r="AB105" i="22"/>
  <c r="AC105" i="22"/>
  <c r="AP105" i="22"/>
  <c r="AV105" i="22"/>
  <c r="BG105" i="22"/>
  <c r="BK105" i="22"/>
  <c r="BM105" i="22"/>
  <c r="CB105" i="22"/>
  <c r="CC105" i="22"/>
  <c r="K106" i="22"/>
  <c r="B106" i="22"/>
  <c r="A106" i="22"/>
  <c r="C106" i="22"/>
  <c r="D106" i="22"/>
  <c r="E106" i="22"/>
  <c r="H106" i="22"/>
  <c r="N106" i="22"/>
  <c r="X106" i="22"/>
  <c r="BA106" i="22"/>
  <c r="AB106" i="22"/>
  <c r="AC106" i="22"/>
  <c r="AP106" i="22"/>
  <c r="AV106" i="22"/>
  <c r="BG106" i="22"/>
  <c r="BK106" i="22"/>
  <c r="BM106" i="22"/>
  <c r="CB106" i="22"/>
  <c r="CC106" i="22"/>
  <c r="K107" i="22"/>
  <c r="B107" i="22"/>
  <c r="A107" i="22"/>
  <c r="C107" i="22"/>
  <c r="D107" i="22"/>
  <c r="E107" i="22"/>
  <c r="H107" i="22"/>
  <c r="N107" i="22"/>
  <c r="X107" i="22"/>
  <c r="BA107" i="22"/>
  <c r="AB107" i="22"/>
  <c r="AC107" i="22"/>
  <c r="AP107" i="22"/>
  <c r="AV107" i="22"/>
  <c r="BG107" i="22"/>
  <c r="BK107" i="22"/>
  <c r="BM107" i="22"/>
  <c r="CB107" i="22"/>
  <c r="CC107" i="22"/>
  <c r="K108" i="22"/>
  <c r="B108" i="22"/>
  <c r="A108" i="22"/>
  <c r="C108" i="22"/>
  <c r="D108" i="22"/>
  <c r="E108" i="22"/>
  <c r="H108" i="22"/>
  <c r="N108" i="22"/>
  <c r="X108" i="22"/>
  <c r="BA108" i="22"/>
  <c r="AB108" i="22"/>
  <c r="AC108" i="22"/>
  <c r="AP108" i="22"/>
  <c r="AV108" i="22"/>
  <c r="BG108" i="22"/>
  <c r="BK108" i="22"/>
  <c r="BM108" i="22"/>
  <c r="CB108" i="22"/>
  <c r="CC108" i="22"/>
  <c r="K109" i="22"/>
  <c r="B109" i="22"/>
  <c r="A109" i="22"/>
  <c r="C109" i="22"/>
  <c r="D109" i="22"/>
  <c r="E109" i="22"/>
  <c r="H109" i="22"/>
  <c r="N109" i="22"/>
  <c r="X109" i="22"/>
  <c r="BA109" i="22"/>
  <c r="AB109" i="22"/>
  <c r="AC109" i="22"/>
  <c r="AP109" i="22"/>
  <c r="AV109" i="22"/>
  <c r="BG109" i="22"/>
  <c r="BK109" i="22"/>
  <c r="BM109" i="22"/>
  <c r="CB109" i="22"/>
  <c r="CC109" i="22"/>
  <c r="K110" i="22"/>
  <c r="B110" i="22"/>
  <c r="A110" i="22"/>
  <c r="C110" i="22"/>
  <c r="D110" i="22"/>
  <c r="E110" i="22"/>
  <c r="H110" i="22"/>
  <c r="N110" i="22"/>
  <c r="X110" i="22"/>
  <c r="BA110" i="22"/>
  <c r="AB110" i="22"/>
  <c r="AC110" i="22"/>
  <c r="AP110" i="22"/>
  <c r="AV110" i="22"/>
  <c r="BG110" i="22"/>
  <c r="BK110" i="22"/>
  <c r="BM110" i="22"/>
  <c r="CB110" i="22"/>
  <c r="CC110" i="22"/>
  <c r="K111" i="22"/>
  <c r="B111" i="22"/>
  <c r="A111" i="22"/>
  <c r="C111" i="22"/>
  <c r="D111" i="22"/>
  <c r="E111" i="22"/>
  <c r="H111" i="22"/>
  <c r="N111" i="22"/>
  <c r="X111" i="22"/>
  <c r="BA111" i="22"/>
  <c r="AB111" i="22"/>
  <c r="AC111" i="22"/>
  <c r="AP111" i="22"/>
  <c r="AV111" i="22"/>
  <c r="BG111" i="22"/>
  <c r="BK111" i="22"/>
  <c r="BM111" i="22"/>
  <c r="CB111" i="22"/>
  <c r="CC111" i="22"/>
  <c r="K112" i="22"/>
  <c r="B112" i="22"/>
  <c r="A112" i="22"/>
  <c r="C112" i="22"/>
  <c r="D112" i="22"/>
  <c r="E112" i="22"/>
  <c r="H112" i="22"/>
  <c r="N112" i="22"/>
  <c r="X112" i="22"/>
  <c r="BA112" i="22"/>
  <c r="AB112" i="22"/>
  <c r="AC112" i="22"/>
  <c r="AP112" i="22"/>
  <c r="AV112" i="22"/>
  <c r="BG112" i="22"/>
  <c r="BK112" i="22"/>
  <c r="BM112" i="22"/>
  <c r="CB112" i="22"/>
  <c r="CC112" i="22"/>
  <c r="K113" i="22"/>
  <c r="B113" i="22"/>
  <c r="A113" i="22"/>
  <c r="C113" i="22"/>
  <c r="D113" i="22"/>
  <c r="E113" i="22"/>
  <c r="H113" i="22"/>
  <c r="N113" i="22"/>
  <c r="X113" i="22"/>
  <c r="BA113" i="22"/>
  <c r="AB113" i="22"/>
  <c r="AC113" i="22"/>
  <c r="AP113" i="22"/>
  <c r="AV113" i="22"/>
  <c r="BG113" i="22"/>
  <c r="BK113" i="22"/>
  <c r="BM113" i="22"/>
  <c r="CB113" i="22"/>
  <c r="CC113" i="22"/>
  <c r="K114" i="22"/>
  <c r="B114" i="22"/>
  <c r="A114" i="22"/>
  <c r="C114" i="22"/>
  <c r="D114" i="22"/>
  <c r="E114" i="22"/>
  <c r="H114" i="22"/>
  <c r="N114" i="22"/>
  <c r="X114" i="22"/>
  <c r="BA114" i="22"/>
  <c r="AB114" i="22"/>
  <c r="AC114" i="22"/>
  <c r="AP114" i="22"/>
  <c r="AV114" i="22"/>
  <c r="BG114" i="22"/>
  <c r="BK114" i="22"/>
  <c r="BM114" i="22"/>
  <c r="CB114" i="22"/>
  <c r="CC114" i="22"/>
  <c r="K115" i="22"/>
  <c r="B115" i="22"/>
  <c r="A115" i="22"/>
  <c r="C115" i="22"/>
  <c r="D115" i="22"/>
  <c r="E115" i="22"/>
  <c r="H115" i="22"/>
  <c r="N115" i="22"/>
  <c r="X115" i="22"/>
  <c r="BA115" i="22"/>
  <c r="AB115" i="22"/>
  <c r="AC115" i="22"/>
  <c r="AP115" i="22"/>
  <c r="AV115" i="22"/>
  <c r="BG115" i="22"/>
  <c r="BK115" i="22"/>
  <c r="BM115" i="22"/>
  <c r="CB115" i="22"/>
  <c r="CC115" i="22"/>
  <c r="K116" i="22"/>
  <c r="B116" i="22"/>
  <c r="A116" i="22"/>
  <c r="C116" i="22"/>
  <c r="D116" i="22"/>
  <c r="E116" i="22"/>
  <c r="H116" i="22"/>
  <c r="N116" i="22"/>
  <c r="X116" i="22"/>
  <c r="BA116" i="22"/>
  <c r="AB116" i="22"/>
  <c r="AC116" i="22"/>
  <c r="AP116" i="22"/>
  <c r="AV116" i="22"/>
  <c r="BG116" i="22"/>
  <c r="BK116" i="22"/>
  <c r="BM116" i="22"/>
  <c r="CB116" i="22"/>
  <c r="CC116" i="22"/>
  <c r="K117" i="22"/>
  <c r="B117" i="22"/>
  <c r="A117" i="22"/>
  <c r="C117" i="22"/>
  <c r="D117" i="22"/>
  <c r="E117" i="22"/>
  <c r="H117" i="22"/>
  <c r="N117" i="22"/>
  <c r="X117" i="22"/>
  <c r="BA117" i="22"/>
  <c r="AB117" i="22"/>
  <c r="AC117" i="22"/>
  <c r="AP117" i="22"/>
  <c r="AV117" i="22"/>
  <c r="BG117" i="22"/>
  <c r="BK117" i="22"/>
  <c r="BM117" i="22"/>
  <c r="CB117" i="22"/>
  <c r="CC117" i="22"/>
  <c r="K118" i="22"/>
  <c r="B118" i="22"/>
  <c r="A118" i="22"/>
  <c r="C118" i="22"/>
  <c r="D118" i="22"/>
  <c r="E118" i="22"/>
  <c r="H118" i="22"/>
  <c r="N118" i="22"/>
  <c r="X118" i="22"/>
  <c r="BA118" i="22"/>
  <c r="AB118" i="22"/>
  <c r="AC118" i="22"/>
  <c r="AP118" i="22"/>
  <c r="AV118" i="22"/>
  <c r="BG118" i="22"/>
  <c r="BK118" i="22"/>
  <c r="BM118" i="22"/>
  <c r="CB118" i="22"/>
  <c r="CC118" i="22"/>
  <c r="K119" i="22"/>
  <c r="B119" i="22"/>
  <c r="A119" i="22"/>
  <c r="C119" i="22"/>
  <c r="D119" i="22"/>
  <c r="E119" i="22"/>
  <c r="H119" i="22"/>
  <c r="N119" i="22"/>
  <c r="X119" i="22"/>
  <c r="BA119" i="22"/>
  <c r="AB119" i="22"/>
  <c r="AC119" i="22"/>
  <c r="AP119" i="22"/>
  <c r="AV119" i="22"/>
  <c r="BG119" i="22"/>
  <c r="BK119" i="22"/>
  <c r="BM119" i="22"/>
  <c r="CB119" i="22"/>
  <c r="CC119" i="22"/>
  <c r="K120" i="22"/>
  <c r="B120" i="22"/>
  <c r="A120" i="22"/>
  <c r="C120" i="22"/>
  <c r="D120" i="22"/>
  <c r="E120" i="22"/>
  <c r="H120" i="22"/>
  <c r="N120" i="22"/>
  <c r="X120" i="22"/>
  <c r="BA120" i="22"/>
  <c r="AB120" i="22"/>
  <c r="AC120" i="22"/>
  <c r="AP120" i="22"/>
  <c r="AV120" i="22"/>
  <c r="BG120" i="22"/>
  <c r="BK120" i="22"/>
  <c r="BM120" i="22"/>
  <c r="CB120" i="22"/>
  <c r="CC120" i="22"/>
  <c r="K121" i="22"/>
  <c r="B121" i="22"/>
  <c r="A121" i="22"/>
  <c r="C121" i="22"/>
  <c r="D121" i="22"/>
  <c r="E121" i="22"/>
  <c r="H121" i="22"/>
  <c r="N121" i="22"/>
  <c r="X121" i="22"/>
  <c r="BA121" i="22"/>
  <c r="AB121" i="22"/>
  <c r="AC121" i="22"/>
  <c r="AP121" i="22"/>
  <c r="AV121" i="22"/>
  <c r="BG121" i="22"/>
  <c r="BK121" i="22"/>
  <c r="BM121" i="22"/>
  <c r="CB121" i="22"/>
  <c r="CC121" i="22"/>
  <c r="K122" i="22"/>
  <c r="B122" i="22"/>
  <c r="A122" i="22"/>
  <c r="C122" i="22"/>
  <c r="D122" i="22"/>
  <c r="E122" i="22"/>
  <c r="H122" i="22"/>
  <c r="N122" i="22"/>
  <c r="X122" i="22"/>
  <c r="BA122" i="22"/>
  <c r="AB122" i="22"/>
  <c r="AC122" i="22"/>
  <c r="AP122" i="22"/>
  <c r="AV122" i="22"/>
  <c r="BG122" i="22"/>
  <c r="BK122" i="22"/>
  <c r="BM122" i="22"/>
  <c r="CB122" i="22"/>
  <c r="CC122" i="22"/>
  <c r="K123" i="22"/>
  <c r="B123" i="22"/>
  <c r="A123" i="22"/>
  <c r="C123" i="22"/>
  <c r="D123" i="22"/>
  <c r="E123" i="22"/>
  <c r="H123" i="22"/>
  <c r="N123" i="22"/>
  <c r="X123" i="22"/>
  <c r="BA123" i="22"/>
  <c r="AB123" i="22"/>
  <c r="AC123" i="22"/>
  <c r="AP123" i="22"/>
  <c r="AV123" i="22"/>
  <c r="BG123" i="22"/>
  <c r="BK123" i="22"/>
  <c r="BM123" i="22"/>
  <c r="CB123" i="22"/>
  <c r="CC123" i="22"/>
  <c r="K124" i="22"/>
  <c r="B124" i="22"/>
  <c r="A124" i="22"/>
  <c r="C124" i="22"/>
  <c r="D124" i="22"/>
  <c r="E124" i="22"/>
  <c r="H124" i="22"/>
  <c r="N124" i="22"/>
  <c r="X124" i="22"/>
  <c r="BA124" i="22"/>
  <c r="AB124" i="22"/>
  <c r="AC124" i="22"/>
  <c r="AP124" i="22"/>
  <c r="AV124" i="22"/>
  <c r="BG124" i="22"/>
  <c r="BK124" i="22"/>
  <c r="BM124" i="22"/>
  <c r="CB124" i="22"/>
  <c r="CC124" i="22"/>
  <c r="K125" i="22"/>
  <c r="B125" i="22"/>
  <c r="A125" i="22"/>
  <c r="C125" i="22"/>
  <c r="D125" i="22"/>
  <c r="E125" i="22"/>
  <c r="H125" i="22"/>
  <c r="N125" i="22"/>
  <c r="X125" i="22"/>
  <c r="BA125" i="22"/>
  <c r="AB125" i="22"/>
  <c r="AC125" i="22"/>
  <c r="AP125" i="22"/>
  <c r="AV125" i="22"/>
  <c r="BG125" i="22"/>
  <c r="BK125" i="22"/>
  <c r="BM125" i="22"/>
  <c r="CB125" i="22"/>
  <c r="CC125" i="22"/>
  <c r="K126" i="22"/>
  <c r="B126" i="22"/>
  <c r="A126" i="22"/>
  <c r="C126" i="22"/>
  <c r="D126" i="22"/>
  <c r="E126" i="22"/>
  <c r="H126" i="22"/>
  <c r="N126" i="22"/>
  <c r="X126" i="22"/>
  <c r="BA126" i="22"/>
  <c r="AB126" i="22"/>
  <c r="AC126" i="22"/>
  <c r="AP126" i="22"/>
  <c r="AV126" i="22"/>
  <c r="BG126" i="22"/>
  <c r="BK126" i="22"/>
  <c r="BM126" i="22"/>
  <c r="CB126" i="22"/>
  <c r="CC126" i="22"/>
  <c r="K127" i="22"/>
  <c r="B127" i="22"/>
  <c r="A127" i="22"/>
  <c r="C127" i="22"/>
  <c r="D127" i="22"/>
  <c r="E127" i="22"/>
  <c r="H127" i="22"/>
  <c r="N127" i="22"/>
  <c r="X127" i="22"/>
  <c r="BA127" i="22"/>
  <c r="AB127" i="22"/>
  <c r="AC127" i="22"/>
  <c r="AP127" i="22"/>
  <c r="AV127" i="22"/>
  <c r="BG127" i="22"/>
  <c r="BK127" i="22"/>
  <c r="BM127" i="22"/>
  <c r="CB127" i="22"/>
  <c r="CC127" i="22"/>
  <c r="K128" i="22"/>
  <c r="B128" i="22"/>
  <c r="A128" i="22"/>
  <c r="C128" i="22"/>
  <c r="D128" i="22"/>
  <c r="E128" i="22"/>
  <c r="H128" i="22"/>
  <c r="N128" i="22"/>
  <c r="X128" i="22"/>
  <c r="BA128" i="22"/>
  <c r="AB128" i="22"/>
  <c r="AC128" i="22"/>
  <c r="AP128" i="22"/>
  <c r="AV128" i="22"/>
  <c r="BG128" i="22"/>
  <c r="BK128" i="22"/>
  <c r="BM128" i="22"/>
  <c r="CB128" i="22"/>
  <c r="CC128" i="22"/>
  <c r="K129" i="22"/>
  <c r="B129" i="22"/>
  <c r="A129" i="22"/>
  <c r="C129" i="22"/>
  <c r="D129" i="22"/>
  <c r="E129" i="22"/>
  <c r="H129" i="22"/>
  <c r="N129" i="22"/>
  <c r="X129" i="22"/>
  <c r="BA129" i="22"/>
  <c r="AB129" i="22"/>
  <c r="AC129" i="22"/>
  <c r="AP129" i="22"/>
  <c r="AV129" i="22"/>
  <c r="BG129" i="22"/>
  <c r="BK129" i="22"/>
  <c r="BM129" i="22"/>
  <c r="CB129" i="22"/>
  <c r="CC129" i="22"/>
  <c r="K130" i="22"/>
  <c r="B130" i="22"/>
  <c r="A130" i="22"/>
  <c r="C130" i="22"/>
  <c r="D130" i="22"/>
  <c r="E130" i="22"/>
  <c r="H130" i="22"/>
  <c r="N130" i="22"/>
  <c r="X130" i="22"/>
  <c r="BA130" i="22"/>
  <c r="AB130" i="22"/>
  <c r="AC130" i="22"/>
  <c r="AP130" i="22"/>
  <c r="AV130" i="22"/>
  <c r="BG130" i="22"/>
  <c r="BK130" i="22"/>
  <c r="BM130" i="22"/>
  <c r="CB130" i="22"/>
  <c r="CC130" i="22"/>
  <c r="K131" i="22"/>
  <c r="B131" i="22"/>
  <c r="A131" i="22"/>
  <c r="C131" i="22"/>
  <c r="D131" i="22"/>
  <c r="E131" i="22"/>
  <c r="H131" i="22"/>
  <c r="N131" i="22"/>
  <c r="X131" i="22"/>
  <c r="BA131" i="22"/>
  <c r="AB131" i="22"/>
  <c r="AC131" i="22"/>
  <c r="AP131" i="22"/>
  <c r="AV131" i="22"/>
  <c r="BG131" i="22"/>
  <c r="BK131" i="22"/>
  <c r="BM131" i="22"/>
  <c r="CB131" i="22"/>
  <c r="CC131" i="22"/>
  <c r="K132" i="22"/>
  <c r="B132" i="22"/>
  <c r="A132" i="22"/>
  <c r="C132" i="22"/>
  <c r="D132" i="22"/>
  <c r="E132" i="22"/>
  <c r="H132" i="22"/>
  <c r="N132" i="22"/>
  <c r="X132" i="22"/>
  <c r="BA132" i="22"/>
  <c r="AB132" i="22"/>
  <c r="AC132" i="22"/>
  <c r="AP132" i="22"/>
  <c r="AV132" i="22"/>
  <c r="BG132" i="22"/>
  <c r="BK132" i="22"/>
  <c r="BM132" i="22"/>
  <c r="CB132" i="22"/>
  <c r="CC132" i="22"/>
  <c r="K133" i="22"/>
  <c r="B133" i="22"/>
  <c r="A133" i="22"/>
  <c r="C133" i="22"/>
  <c r="D133" i="22"/>
  <c r="E133" i="22"/>
  <c r="H133" i="22"/>
  <c r="N133" i="22"/>
  <c r="X133" i="22"/>
  <c r="BA133" i="22"/>
  <c r="AB133" i="22"/>
  <c r="AC133" i="22"/>
  <c r="AP133" i="22"/>
  <c r="AV133" i="22"/>
  <c r="BG133" i="22"/>
  <c r="BK133" i="22"/>
  <c r="BM133" i="22"/>
  <c r="CB133" i="22"/>
  <c r="CC133" i="22"/>
  <c r="K134" i="22"/>
  <c r="B134" i="22"/>
  <c r="A134" i="22"/>
  <c r="C134" i="22"/>
  <c r="D134" i="22"/>
  <c r="E134" i="22"/>
  <c r="H134" i="22"/>
  <c r="N134" i="22"/>
  <c r="X134" i="22"/>
  <c r="BA134" i="22"/>
  <c r="AB134" i="22"/>
  <c r="AC134" i="22"/>
  <c r="AP134" i="22"/>
  <c r="AV134" i="22"/>
  <c r="BG134" i="22"/>
  <c r="BK134" i="22"/>
  <c r="BM134" i="22"/>
  <c r="CB134" i="22"/>
  <c r="CC134" i="22"/>
  <c r="K135" i="22"/>
  <c r="B135" i="22"/>
  <c r="A135" i="22"/>
  <c r="C135" i="22"/>
  <c r="D135" i="22"/>
  <c r="E135" i="22"/>
  <c r="H135" i="22"/>
  <c r="N135" i="22"/>
  <c r="X135" i="22"/>
  <c r="BA135" i="22"/>
  <c r="AB135" i="22"/>
  <c r="AC135" i="22"/>
  <c r="AP135" i="22"/>
  <c r="AV135" i="22"/>
  <c r="BG135" i="22"/>
  <c r="BK135" i="22"/>
  <c r="BM135" i="22"/>
  <c r="CB135" i="22"/>
  <c r="CC135" i="22"/>
  <c r="K136" i="22"/>
  <c r="B136" i="22"/>
  <c r="A136" i="22"/>
  <c r="C136" i="22"/>
  <c r="D136" i="22"/>
  <c r="E136" i="22"/>
  <c r="H136" i="22"/>
  <c r="N136" i="22"/>
  <c r="X136" i="22"/>
  <c r="BA136" i="22"/>
  <c r="AB136" i="22"/>
  <c r="AC136" i="22"/>
  <c r="AP136" i="22"/>
  <c r="AV136" i="22"/>
  <c r="BG136" i="22"/>
  <c r="BK136" i="22"/>
  <c r="BM136" i="22"/>
  <c r="CB136" i="22"/>
  <c r="CC136" i="22"/>
  <c r="K137" i="22"/>
  <c r="B137" i="22"/>
  <c r="A137" i="22"/>
  <c r="C137" i="22"/>
  <c r="D137" i="22"/>
  <c r="E137" i="22"/>
  <c r="H137" i="22"/>
  <c r="N137" i="22"/>
  <c r="X137" i="22"/>
  <c r="BA137" i="22"/>
  <c r="AB137" i="22"/>
  <c r="AC137" i="22"/>
  <c r="AP137" i="22"/>
  <c r="AV137" i="22"/>
  <c r="BG137" i="22"/>
  <c r="BK137" i="22"/>
  <c r="BM137" i="22"/>
  <c r="CB137" i="22"/>
  <c r="CC137" i="22"/>
  <c r="K138" i="22"/>
  <c r="B138" i="22"/>
  <c r="A138" i="22"/>
  <c r="C138" i="22"/>
  <c r="D138" i="22"/>
  <c r="E138" i="22"/>
  <c r="H138" i="22"/>
  <c r="N138" i="22"/>
  <c r="X138" i="22"/>
  <c r="BA138" i="22"/>
  <c r="AB138" i="22"/>
  <c r="AC138" i="22"/>
  <c r="AP138" i="22"/>
  <c r="AV138" i="22"/>
  <c r="BG138" i="22"/>
  <c r="BK138" i="22"/>
  <c r="BM138" i="22"/>
  <c r="CB138" i="22"/>
  <c r="CC138" i="22"/>
  <c r="K139" i="22"/>
  <c r="B139" i="22"/>
  <c r="A139" i="22"/>
  <c r="C139" i="22"/>
  <c r="D139" i="22"/>
  <c r="E139" i="22"/>
  <c r="H139" i="22"/>
  <c r="N139" i="22"/>
  <c r="X139" i="22"/>
  <c r="BA139" i="22"/>
  <c r="AB139" i="22"/>
  <c r="AC139" i="22"/>
  <c r="AP139" i="22"/>
  <c r="AV139" i="22"/>
  <c r="BG139" i="22"/>
  <c r="BK139" i="22"/>
  <c r="BM139" i="22"/>
  <c r="CB139" i="22"/>
  <c r="CC139" i="22"/>
  <c r="K140" i="22"/>
  <c r="B140" i="22"/>
  <c r="A140" i="22"/>
  <c r="C140" i="22"/>
  <c r="D140" i="22"/>
  <c r="E140" i="22"/>
  <c r="H140" i="22"/>
  <c r="N140" i="22"/>
  <c r="X140" i="22"/>
  <c r="BA140" i="22"/>
  <c r="AB140" i="22"/>
  <c r="AC140" i="22"/>
  <c r="AP140" i="22"/>
  <c r="AV140" i="22"/>
  <c r="BG140" i="22"/>
  <c r="BK140" i="22"/>
  <c r="BM140" i="22"/>
  <c r="CB140" i="22"/>
  <c r="CC140" i="22"/>
  <c r="K141" i="22"/>
  <c r="B141" i="22"/>
  <c r="A141" i="22"/>
  <c r="C141" i="22"/>
  <c r="D141" i="22"/>
  <c r="E141" i="22"/>
  <c r="H141" i="22"/>
  <c r="N141" i="22"/>
  <c r="X141" i="22"/>
  <c r="BA141" i="22"/>
  <c r="AB141" i="22"/>
  <c r="AC141" i="22"/>
  <c r="AP141" i="22"/>
  <c r="AV141" i="22"/>
  <c r="BG141" i="22"/>
  <c r="BK141" i="22"/>
  <c r="BM141" i="22"/>
  <c r="CB141" i="22"/>
  <c r="CC141" i="22"/>
  <c r="K142" i="22"/>
  <c r="B142" i="22"/>
  <c r="A142" i="22"/>
  <c r="C142" i="22"/>
  <c r="D142" i="22"/>
  <c r="E142" i="22"/>
  <c r="H142" i="22"/>
  <c r="N142" i="22"/>
  <c r="X142" i="22"/>
  <c r="BA142" i="22"/>
  <c r="AB142" i="22"/>
  <c r="AC142" i="22"/>
  <c r="AP142" i="22"/>
  <c r="AV142" i="22"/>
  <c r="BG142" i="22"/>
  <c r="BK142" i="22"/>
  <c r="BM142" i="22"/>
  <c r="CB142" i="22"/>
  <c r="CC142" i="22"/>
  <c r="K143" i="22"/>
  <c r="B143" i="22"/>
  <c r="A143" i="22"/>
  <c r="C143" i="22"/>
  <c r="D143" i="22"/>
  <c r="E143" i="22"/>
  <c r="H143" i="22"/>
  <c r="N143" i="22"/>
  <c r="X143" i="22"/>
  <c r="BA143" i="22"/>
  <c r="AB143" i="22"/>
  <c r="AC143" i="22"/>
  <c r="AP143" i="22"/>
  <c r="AV143" i="22"/>
  <c r="BG143" i="22"/>
  <c r="BK143" i="22"/>
  <c r="BM143" i="22"/>
  <c r="CB143" i="22"/>
  <c r="CC143" i="22"/>
  <c r="K144" i="22"/>
  <c r="B144" i="22"/>
  <c r="A144" i="22"/>
  <c r="C144" i="22"/>
  <c r="D144" i="22"/>
  <c r="E144" i="22"/>
  <c r="H144" i="22"/>
  <c r="N144" i="22"/>
  <c r="X144" i="22"/>
  <c r="BA144" i="22"/>
  <c r="AB144" i="22"/>
  <c r="AC144" i="22"/>
  <c r="AP144" i="22"/>
  <c r="AV144" i="22"/>
  <c r="BG144" i="22"/>
  <c r="BK144" i="22"/>
  <c r="BM144" i="22"/>
  <c r="CB144" i="22"/>
  <c r="CC144" i="22"/>
  <c r="K145" i="22"/>
  <c r="B145" i="22"/>
  <c r="A145" i="22"/>
  <c r="C145" i="22"/>
  <c r="D145" i="22"/>
  <c r="E145" i="22"/>
  <c r="H145" i="22"/>
  <c r="N145" i="22"/>
  <c r="X145" i="22"/>
  <c r="BA145" i="22"/>
  <c r="AB145" i="22"/>
  <c r="AC145" i="22"/>
  <c r="AP145" i="22"/>
  <c r="AV145" i="22"/>
  <c r="BG145" i="22"/>
  <c r="BK145" i="22"/>
  <c r="BM145" i="22"/>
  <c r="CB145" i="22"/>
  <c r="CC145" i="22"/>
  <c r="K146" i="22"/>
  <c r="B146" i="22"/>
  <c r="A146" i="22"/>
  <c r="C146" i="22"/>
  <c r="D146" i="22"/>
  <c r="E146" i="22"/>
  <c r="H146" i="22"/>
  <c r="N146" i="22"/>
  <c r="X146" i="22"/>
  <c r="BA146" i="22"/>
  <c r="AB146" i="22"/>
  <c r="AC146" i="22"/>
  <c r="AP146" i="22"/>
  <c r="AV146" i="22"/>
  <c r="BG146" i="22"/>
  <c r="BK146" i="22"/>
  <c r="BM146" i="22"/>
  <c r="CB146" i="22"/>
  <c r="CC146" i="22"/>
  <c r="K147" i="22"/>
  <c r="B147" i="22"/>
  <c r="A147" i="22"/>
  <c r="C147" i="22"/>
  <c r="D147" i="22"/>
  <c r="E147" i="22"/>
  <c r="H147" i="22"/>
  <c r="N147" i="22"/>
  <c r="X147" i="22"/>
  <c r="BA147" i="22"/>
  <c r="AB147" i="22"/>
  <c r="AC147" i="22"/>
  <c r="AP147" i="22"/>
  <c r="AV147" i="22"/>
  <c r="BG147" i="22"/>
  <c r="BK147" i="22"/>
  <c r="BM147" i="22"/>
  <c r="CB147" i="22"/>
  <c r="CC147" i="22"/>
  <c r="K148" i="22"/>
  <c r="B148" i="22"/>
  <c r="A148" i="22"/>
  <c r="C148" i="22"/>
  <c r="D148" i="22"/>
  <c r="E148" i="22"/>
  <c r="H148" i="22"/>
  <c r="N148" i="22"/>
  <c r="X148" i="22"/>
  <c r="BA148" i="22"/>
  <c r="AB148" i="22"/>
  <c r="AC148" i="22"/>
  <c r="AP148" i="22"/>
  <c r="AV148" i="22"/>
  <c r="BG148" i="22"/>
  <c r="BK148" i="22"/>
  <c r="BM148" i="22"/>
  <c r="CB148" i="22"/>
  <c r="CC148" i="22"/>
  <c r="K149" i="22"/>
  <c r="B149" i="22"/>
  <c r="A149" i="22"/>
  <c r="C149" i="22"/>
  <c r="D149" i="22"/>
  <c r="E149" i="22"/>
  <c r="H149" i="22"/>
  <c r="N149" i="22"/>
  <c r="X149" i="22"/>
  <c r="BA149" i="22"/>
  <c r="AB149" i="22"/>
  <c r="AC149" i="22"/>
  <c r="AP149" i="22"/>
  <c r="AV149" i="22"/>
  <c r="BG149" i="22"/>
  <c r="BK149" i="22"/>
  <c r="BM149" i="22"/>
  <c r="CB149" i="22"/>
  <c r="CC149" i="22"/>
  <c r="K150" i="22"/>
  <c r="B150" i="22"/>
  <c r="A150" i="22"/>
  <c r="C150" i="22"/>
  <c r="D150" i="22"/>
  <c r="E150" i="22"/>
  <c r="H150" i="22"/>
  <c r="N150" i="22"/>
  <c r="X150" i="22"/>
  <c r="BA150" i="22"/>
  <c r="AB150" i="22"/>
  <c r="AC150" i="22"/>
  <c r="AP150" i="22"/>
  <c r="AV150" i="22"/>
  <c r="BG150" i="22"/>
  <c r="BK150" i="22"/>
  <c r="BM150" i="22"/>
  <c r="CB150" i="22"/>
  <c r="CC150" i="22"/>
  <c r="K151" i="22"/>
  <c r="B151" i="22"/>
  <c r="A151" i="22"/>
  <c r="C151" i="22"/>
  <c r="D151" i="22"/>
  <c r="E151" i="22"/>
  <c r="H151" i="22"/>
  <c r="N151" i="22"/>
  <c r="X151" i="22"/>
  <c r="BA151" i="22"/>
  <c r="AB151" i="22"/>
  <c r="AC151" i="22"/>
  <c r="AP151" i="22"/>
  <c r="AV151" i="22"/>
  <c r="BG151" i="22"/>
  <c r="BK151" i="22"/>
  <c r="BM151" i="22"/>
  <c r="CB151" i="22"/>
  <c r="CC151" i="22"/>
  <c r="K152" i="22"/>
  <c r="B152" i="22"/>
  <c r="A152" i="22"/>
  <c r="C152" i="22"/>
  <c r="D152" i="22"/>
  <c r="E152" i="22"/>
  <c r="H152" i="22"/>
  <c r="N152" i="22"/>
  <c r="X152" i="22"/>
  <c r="BA152" i="22"/>
  <c r="AB152" i="22"/>
  <c r="AC152" i="22"/>
  <c r="AP152" i="22"/>
  <c r="AV152" i="22"/>
  <c r="BG152" i="22"/>
  <c r="BK152" i="22"/>
  <c r="BM152" i="22"/>
  <c r="CB152" i="22"/>
  <c r="CC152" i="22"/>
  <c r="K153" i="22"/>
  <c r="B153" i="22"/>
  <c r="A153" i="22"/>
  <c r="C153" i="22"/>
  <c r="D153" i="22"/>
  <c r="E153" i="22"/>
  <c r="H153" i="22"/>
  <c r="N153" i="22"/>
  <c r="X153" i="22"/>
  <c r="BA153" i="22"/>
  <c r="AB153" i="22"/>
  <c r="AC153" i="22"/>
  <c r="AP153" i="22"/>
  <c r="AV153" i="22"/>
  <c r="BG153" i="22"/>
  <c r="BK153" i="22"/>
  <c r="BM153" i="22"/>
  <c r="CB153" i="22"/>
  <c r="CC153" i="22"/>
  <c r="K154" i="22"/>
  <c r="B154" i="22"/>
  <c r="A154" i="22"/>
  <c r="C154" i="22"/>
  <c r="D154" i="22"/>
  <c r="E154" i="22"/>
  <c r="H154" i="22"/>
  <c r="N154" i="22"/>
  <c r="X154" i="22"/>
  <c r="BA154" i="22"/>
  <c r="AB154" i="22"/>
  <c r="AC154" i="22"/>
  <c r="AP154" i="22"/>
  <c r="AV154" i="22"/>
  <c r="BG154" i="22"/>
  <c r="BK154" i="22"/>
  <c r="BM154" i="22"/>
  <c r="CB154" i="22"/>
  <c r="CC154" i="22"/>
  <c r="K155" i="22"/>
  <c r="B155" i="22"/>
  <c r="A155" i="22"/>
  <c r="C155" i="22"/>
  <c r="D155" i="22"/>
  <c r="E155" i="22"/>
  <c r="H155" i="22"/>
  <c r="N155" i="22"/>
  <c r="X155" i="22"/>
  <c r="BA155" i="22"/>
  <c r="AB155" i="22"/>
  <c r="AC155" i="22"/>
  <c r="AP155" i="22"/>
  <c r="AV155" i="22"/>
  <c r="BG155" i="22"/>
  <c r="BK155" i="22"/>
  <c r="BM155" i="22"/>
  <c r="CB155" i="22"/>
  <c r="CC155" i="22"/>
  <c r="K156" i="22"/>
  <c r="B156" i="22"/>
  <c r="A156" i="22"/>
  <c r="C156" i="22"/>
  <c r="D156" i="22"/>
  <c r="E156" i="22"/>
  <c r="H156" i="22"/>
  <c r="N156" i="22"/>
  <c r="X156" i="22"/>
  <c r="BA156" i="22"/>
  <c r="AB156" i="22"/>
  <c r="AC156" i="22"/>
  <c r="AP156" i="22"/>
  <c r="AV156" i="22"/>
  <c r="BG156" i="22"/>
  <c r="BK156" i="22"/>
  <c r="BM156" i="22"/>
  <c r="CB156" i="22"/>
  <c r="CC156" i="22"/>
  <c r="K157" i="22"/>
  <c r="B157" i="22"/>
  <c r="A157" i="22"/>
  <c r="C157" i="22"/>
  <c r="D157" i="22"/>
  <c r="E157" i="22"/>
  <c r="H157" i="22"/>
  <c r="N157" i="22"/>
  <c r="X157" i="22"/>
  <c r="BA157" i="22"/>
  <c r="AB157" i="22"/>
  <c r="AC157" i="22"/>
  <c r="AP157" i="22"/>
  <c r="AV157" i="22"/>
  <c r="BG157" i="22"/>
  <c r="BK157" i="22"/>
  <c r="BM157" i="22"/>
  <c r="CB157" i="22"/>
  <c r="CC157" i="22"/>
  <c r="K158" i="22"/>
  <c r="B158" i="22"/>
  <c r="A158" i="22"/>
  <c r="C158" i="22"/>
  <c r="D158" i="22"/>
  <c r="E158" i="22"/>
  <c r="H158" i="22"/>
  <c r="N158" i="22"/>
  <c r="X158" i="22"/>
  <c r="BA158" i="22"/>
  <c r="AB158" i="22"/>
  <c r="AC158" i="22"/>
  <c r="AP158" i="22"/>
  <c r="AV158" i="22"/>
  <c r="BG158" i="22"/>
  <c r="BK158" i="22"/>
  <c r="BM158" i="22"/>
  <c r="CB158" i="22"/>
  <c r="CC158" i="22"/>
  <c r="K159" i="22"/>
  <c r="B159" i="22"/>
  <c r="A159" i="22"/>
  <c r="C159" i="22"/>
  <c r="D159" i="22"/>
  <c r="E159" i="22"/>
  <c r="H159" i="22"/>
  <c r="N159" i="22"/>
  <c r="X159" i="22"/>
  <c r="BA159" i="22"/>
  <c r="AB159" i="22"/>
  <c r="AC159" i="22"/>
  <c r="AP159" i="22"/>
  <c r="AV159" i="22"/>
  <c r="BG159" i="22"/>
  <c r="BK159" i="22"/>
  <c r="BM159" i="22"/>
  <c r="CB159" i="22"/>
  <c r="CC159" i="22"/>
  <c r="K160" i="22"/>
  <c r="B160" i="22"/>
  <c r="A160" i="22"/>
  <c r="C160" i="22"/>
  <c r="D160" i="22"/>
  <c r="E160" i="22"/>
  <c r="H160" i="22"/>
  <c r="N160" i="22"/>
  <c r="X160" i="22"/>
  <c r="BA160" i="22"/>
  <c r="AB160" i="22"/>
  <c r="AC160" i="22"/>
  <c r="AP160" i="22"/>
  <c r="AV160" i="22"/>
  <c r="BG160" i="22"/>
  <c r="BK160" i="22"/>
  <c r="BM160" i="22"/>
  <c r="CB160" i="22"/>
  <c r="CC160" i="22"/>
  <c r="K161" i="22"/>
  <c r="B161" i="22"/>
  <c r="A161" i="22"/>
  <c r="C161" i="22"/>
  <c r="D161" i="22"/>
  <c r="E161" i="22"/>
  <c r="H161" i="22"/>
  <c r="N161" i="22"/>
  <c r="X161" i="22"/>
  <c r="BA161" i="22"/>
  <c r="AB161" i="22"/>
  <c r="AC161" i="22"/>
  <c r="AP161" i="22"/>
  <c r="AV161" i="22"/>
  <c r="BG161" i="22"/>
  <c r="BK161" i="22"/>
  <c r="BM161" i="22"/>
  <c r="CB161" i="22"/>
  <c r="CC161" i="22"/>
  <c r="K162" i="22"/>
  <c r="B162" i="22"/>
  <c r="A162" i="22"/>
  <c r="C162" i="22"/>
  <c r="D162" i="22"/>
  <c r="E162" i="22"/>
  <c r="H162" i="22"/>
  <c r="N162" i="22"/>
  <c r="X162" i="22"/>
  <c r="BA162" i="22"/>
  <c r="AB162" i="22"/>
  <c r="AC162" i="22"/>
  <c r="AP162" i="22"/>
  <c r="AV162" i="22"/>
  <c r="BG162" i="22"/>
  <c r="BK162" i="22"/>
  <c r="BM162" i="22"/>
  <c r="CB162" i="22"/>
  <c r="CC162" i="22"/>
  <c r="K163" i="22"/>
  <c r="B163" i="22"/>
  <c r="A163" i="22"/>
  <c r="C163" i="22"/>
  <c r="D163" i="22"/>
  <c r="E163" i="22"/>
  <c r="H163" i="22"/>
  <c r="N163" i="22"/>
  <c r="X163" i="22"/>
  <c r="BA163" i="22"/>
  <c r="AB163" i="22"/>
  <c r="AC163" i="22"/>
  <c r="AP163" i="22"/>
  <c r="AV163" i="22"/>
  <c r="BG163" i="22"/>
  <c r="BK163" i="22"/>
  <c r="BM163" i="22"/>
  <c r="CB163" i="22"/>
  <c r="CC163" i="22"/>
  <c r="K164" i="22"/>
  <c r="B164" i="22"/>
  <c r="A164" i="22"/>
  <c r="C164" i="22"/>
  <c r="D164" i="22"/>
  <c r="E164" i="22"/>
  <c r="H164" i="22"/>
  <c r="N164" i="22"/>
  <c r="X164" i="22"/>
  <c r="BA164" i="22"/>
  <c r="AB164" i="22"/>
  <c r="AC164" i="22"/>
  <c r="AP164" i="22"/>
  <c r="AV164" i="22"/>
  <c r="BG164" i="22"/>
  <c r="BK164" i="22"/>
  <c r="BM164" i="22"/>
  <c r="CB164" i="22"/>
  <c r="CC164" i="22"/>
  <c r="K165" i="22"/>
  <c r="B165" i="22"/>
  <c r="A165" i="22"/>
  <c r="C165" i="22"/>
  <c r="D165" i="22"/>
  <c r="E165" i="22"/>
  <c r="H165" i="22"/>
  <c r="N165" i="22"/>
  <c r="X165" i="22"/>
  <c r="BA165" i="22"/>
  <c r="AB165" i="22"/>
  <c r="AC165" i="22"/>
  <c r="AP165" i="22"/>
  <c r="AV165" i="22"/>
  <c r="BG165" i="22"/>
  <c r="BK165" i="22"/>
  <c r="BM165" i="22"/>
  <c r="CB165" i="22"/>
  <c r="CC165" i="22"/>
  <c r="K166" i="22"/>
  <c r="B166" i="22"/>
  <c r="A166" i="22"/>
  <c r="C166" i="22"/>
  <c r="D166" i="22"/>
  <c r="E166" i="22"/>
  <c r="H166" i="22"/>
  <c r="N166" i="22"/>
  <c r="X166" i="22"/>
  <c r="BA166" i="22"/>
  <c r="AB166" i="22"/>
  <c r="AC166" i="22"/>
  <c r="AP166" i="22"/>
  <c r="AV166" i="22"/>
  <c r="BG166" i="22"/>
  <c r="BK166" i="22"/>
  <c r="BM166" i="22"/>
  <c r="CB166" i="22"/>
  <c r="CC166" i="22"/>
  <c r="K167" i="22"/>
  <c r="B167" i="22"/>
  <c r="A167" i="22"/>
  <c r="C167" i="22"/>
  <c r="D167" i="22"/>
  <c r="E167" i="22"/>
  <c r="H167" i="22"/>
  <c r="N167" i="22"/>
  <c r="X167" i="22"/>
  <c r="BA167" i="22"/>
  <c r="AB167" i="22"/>
  <c r="AC167" i="22"/>
  <c r="AP167" i="22"/>
  <c r="AV167" i="22"/>
  <c r="BG167" i="22"/>
  <c r="BK167" i="22"/>
  <c r="BM167" i="22"/>
  <c r="CB167" i="22"/>
  <c r="CC167" i="22"/>
  <c r="K168" i="22"/>
  <c r="B168" i="22"/>
  <c r="A168" i="22"/>
  <c r="C168" i="22"/>
  <c r="D168" i="22"/>
  <c r="E168" i="22"/>
  <c r="H168" i="22"/>
  <c r="N168" i="22"/>
  <c r="X168" i="22"/>
  <c r="BA168" i="22"/>
  <c r="AB168" i="22"/>
  <c r="AC168" i="22"/>
  <c r="AP168" i="22"/>
  <c r="AV168" i="22"/>
  <c r="BG168" i="22"/>
  <c r="BK168" i="22"/>
  <c r="BM168" i="22"/>
  <c r="CB168" i="22"/>
  <c r="CC168" i="22"/>
  <c r="K169" i="22"/>
  <c r="B169" i="22"/>
  <c r="A169" i="22"/>
  <c r="C169" i="22"/>
  <c r="D169" i="22"/>
  <c r="E169" i="22"/>
  <c r="H169" i="22"/>
  <c r="N169" i="22"/>
  <c r="X169" i="22"/>
  <c r="BA169" i="22"/>
  <c r="AB169" i="22"/>
  <c r="AC169" i="22"/>
  <c r="AP169" i="22"/>
  <c r="AV169" i="22"/>
  <c r="BG169" i="22"/>
  <c r="BK169" i="22"/>
  <c r="BM169" i="22"/>
  <c r="CB169" i="22"/>
  <c r="CC169" i="22"/>
  <c r="K170" i="22"/>
  <c r="B170" i="22"/>
  <c r="A170" i="22"/>
  <c r="C170" i="22"/>
  <c r="D170" i="22"/>
  <c r="E170" i="22"/>
  <c r="H170" i="22"/>
  <c r="N170" i="22"/>
  <c r="X170" i="22"/>
  <c r="BA170" i="22"/>
  <c r="AB170" i="22"/>
  <c r="AC170" i="22"/>
  <c r="AP170" i="22"/>
  <c r="AV170" i="22"/>
  <c r="BG170" i="22"/>
  <c r="BK170" i="22"/>
  <c r="BM170" i="22"/>
  <c r="CB170" i="22"/>
  <c r="CC170" i="22"/>
  <c r="K171" i="22"/>
  <c r="B171" i="22"/>
  <c r="A171" i="22"/>
  <c r="C171" i="22"/>
  <c r="D171" i="22"/>
  <c r="E171" i="22"/>
  <c r="H171" i="22"/>
  <c r="N171" i="22"/>
  <c r="X171" i="22"/>
  <c r="BA171" i="22"/>
  <c r="AB171" i="22"/>
  <c r="AC171" i="22"/>
  <c r="AP171" i="22"/>
  <c r="AV171" i="22"/>
  <c r="BG171" i="22"/>
  <c r="BK171" i="22"/>
  <c r="BM171" i="22"/>
  <c r="CB171" i="22"/>
  <c r="CC171" i="22"/>
  <c r="K172" i="22"/>
  <c r="B172" i="22"/>
  <c r="A172" i="22"/>
  <c r="C172" i="22"/>
  <c r="D172" i="22"/>
  <c r="E172" i="22"/>
  <c r="H172" i="22"/>
  <c r="N172" i="22"/>
  <c r="X172" i="22"/>
  <c r="BA172" i="22"/>
  <c r="AB172" i="22"/>
  <c r="AC172" i="22"/>
  <c r="AP172" i="22"/>
  <c r="AV172" i="22"/>
  <c r="BG172" i="22"/>
  <c r="BK172" i="22"/>
  <c r="BM172" i="22"/>
  <c r="CB172" i="22"/>
  <c r="CC172" i="22"/>
  <c r="K173" i="22"/>
  <c r="B173" i="22"/>
  <c r="A173" i="22"/>
  <c r="C173" i="22"/>
  <c r="D173" i="22"/>
  <c r="E173" i="22"/>
  <c r="H173" i="22"/>
  <c r="N173" i="22"/>
  <c r="X173" i="22"/>
  <c r="BA173" i="22"/>
  <c r="AB173" i="22"/>
  <c r="AC173" i="22"/>
  <c r="AP173" i="22"/>
  <c r="AV173" i="22"/>
  <c r="BG173" i="22"/>
  <c r="BK173" i="22"/>
  <c r="BM173" i="22"/>
  <c r="CB173" i="22"/>
  <c r="CC173" i="22"/>
  <c r="K174" i="22"/>
  <c r="B174" i="22"/>
  <c r="A174" i="22"/>
  <c r="C174" i="22"/>
  <c r="D174" i="22"/>
  <c r="E174" i="22"/>
  <c r="H174" i="22"/>
  <c r="N174" i="22"/>
  <c r="X174" i="22"/>
  <c r="BA174" i="22"/>
  <c r="AB174" i="22"/>
  <c r="AC174" i="22"/>
  <c r="AP174" i="22"/>
  <c r="AV174" i="22"/>
  <c r="BG174" i="22"/>
  <c r="BK174" i="22"/>
  <c r="BM174" i="22"/>
  <c r="CB174" i="22"/>
  <c r="CC174" i="22"/>
  <c r="K175" i="22"/>
  <c r="B175" i="22"/>
  <c r="A175" i="22"/>
  <c r="C175" i="22"/>
  <c r="D175" i="22"/>
  <c r="E175" i="22"/>
  <c r="H175" i="22"/>
  <c r="N175" i="22"/>
  <c r="X175" i="22"/>
  <c r="BA175" i="22"/>
  <c r="AB175" i="22"/>
  <c r="AC175" i="22"/>
  <c r="AP175" i="22"/>
  <c r="AV175" i="22"/>
  <c r="BG175" i="22"/>
  <c r="BK175" i="22"/>
  <c r="BM175" i="22"/>
  <c r="CB175" i="22"/>
  <c r="CC175" i="22"/>
  <c r="K176" i="22"/>
  <c r="B176" i="22"/>
  <c r="A176" i="22"/>
  <c r="C176" i="22"/>
  <c r="D176" i="22"/>
  <c r="E176" i="22"/>
  <c r="H176" i="22"/>
  <c r="N176" i="22"/>
  <c r="X176" i="22"/>
  <c r="BA176" i="22"/>
  <c r="AB176" i="22"/>
  <c r="AC176" i="22"/>
  <c r="AP176" i="22"/>
  <c r="AV176" i="22"/>
  <c r="BG176" i="22"/>
  <c r="BK176" i="22"/>
  <c r="BM176" i="22"/>
  <c r="CB176" i="22"/>
  <c r="CC176" i="22"/>
  <c r="K177" i="22"/>
  <c r="B177" i="22"/>
  <c r="A177" i="22"/>
  <c r="C177" i="22"/>
  <c r="D177" i="22"/>
  <c r="E177" i="22"/>
  <c r="H177" i="22"/>
  <c r="N177" i="22"/>
  <c r="X177" i="22"/>
  <c r="BA177" i="22"/>
  <c r="AB177" i="22"/>
  <c r="AC177" i="22"/>
  <c r="AP177" i="22"/>
  <c r="AV177" i="22"/>
  <c r="BG177" i="22"/>
  <c r="BK177" i="22"/>
  <c r="BM177" i="22"/>
  <c r="CB177" i="22"/>
  <c r="CC177" i="22"/>
  <c r="K178" i="22"/>
  <c r="B178" i="22"/>
  <c r="A178" i="22"/>
  <c r="C178" i="22"/>
  <c r="D178" i="22"/>
  <c r="E178" i="22"/>
  <c r="H178" i="22"/>
  <c r="N178" i="22"/>
  <c r="X178" i="22"/>
  <c r="BA178" i="22"/>
  <c r="AB178" i="22"/>
  <c r="AC178" i="22"/>
  <c r="AP178" i="22"/>
  <c r="AV178" i="22"/>
  <c r="BG178" i="22"/>
  <c r="BK178" i="22"/>
  <c r="BM178" i="22"/>
  <c r="CB178" i="22"/>
  <c r="CC178" i="22"/>
  <c r="K179" i="22"/>
  <c r="B179" i="22"/>
  <c r="A179" i="22"/>
  <c r="C179" i="22"/>
  <c r="D179" i="22"/>
  <c r="E179" i="22"/>
  <c r="H179" i="22"/>
  <c r="N179" i="22"/>
  <c r="X179" i="22"/>
  <c r="BA179" i="22"/>
  <c r="AB179" i="22"/>
  <c r="AC179" i="22"/>
  <c r="AP179" i="22"/>
  <c r="AV179" i="22"/>
  <c r="BG179" i="22"/>
  <c r="BK179" i="22"/>
  <c r="BM179" i="22"/>
  <c r="CB179" i="22"/>
  <c r="CC179" i="22"/>
  <c r="K180" i="22"/>
  <c r="B180" i="22"/>
  <c r="A180" i="22"/>
  <c r="C180" i="22"/>
  <c r="D180" i="22"/>
  <c r="E180" i="22"/>
  <c r="H180" i="22"/>
  <c r="N180" i="22"/>
  <c r="X180" i="22"/>
  <c r="BA180" i="22"/>
  <c r="AB180" i="22"/>
  <c r="AC180" i="22"/>
  <c r="AP180" i="22"/>
  <c r="AV180" i="22"/>
  <c r="BG180" i="22"/>
  <c r="BK180" i="22"/>
  <c r="BM180" i="22"/>
  <c r="CB180" i="22"/>
  <c r="CC180" i="22"/>
  <c r="K181" i="22"/>
  <c r="B181" i="22"/>
  <c r="A181" i="22"/>
  <c r="C181" i="22"/>
  <c r="D181" i="22"/>
  <c r="E181" i="22"/>
  <c r="H181" i="22"/>
  <c r="N181" i="22"/>
  <c r="X181" i="22"/>
  <c r="BA181" i="22"/>
  <c r="AB181" i="22"/>
  <c r="AC181" i="22"/>
  <c r="AP181" i="22"/>
  <c r="AV181" i="22"/>
  <c r="BG181" i="22"/>
  <c r="BK181" i="22"/>
  <c r="BM181" i="22"/>
  <c r="CB181" i="22"/>
  <c r="CC181" i="22"/>
  <c r="K182" i="22"/>
  <c r="B182" i="22"/>
  <c r="A182" i="22"/>
  <c r="C182" i="22"/>
  <c r="D182" i="22"/>
  <c r="E182" i="22"/>
  <c r="H182" i="22"/>
  <c r="N182" i="22"/>
  <c r="X182" i="22"/>
  <c r="BA182" i="22"/>
  <c r="AB182" i="22"/>
  <c r="AC182" i="22"/>
  <c r="AP182" i="22"/>
  <c r="AV182" i="22"/>
  <c r="BG182" i="22"/>
  <c r="BK182" i="22"/>
  <c r="BM182" i="22"/>
  <c r="CB182" i="22"/>
  <c r="CC182" i="22"/>
  <c r="K183" i="22"/>
  <c r="B183" i="22"/>
  <c r="A183" i="22"/>
  <c r="C183" i="22"/>
  <c r="D183" i="22"/>
  <c r="E183" i="22"/>
  <c r="H183" i="22"/>
  <c r="N183" i="22"/>
  <c r="X183" i="22"/>
  <c r="BA183" i="22"/>
  <c r="AB183" i="22"/>
  <c r="AC183" i="22"/>
  <c r="AP183" i="22"/>
  <c r="AV183" i="22"/>
  <c r="BG183" i="22"/>
  <c r="BK183" i="22"/>
  <c r="BM183" i="22"/>
  <c r="CB183" i="22"/>
  <c r="CC183" i="22"/>
  <c r="K184" i="22"/>
  <c r="B184" i="22"/>
  <c r="A184" i="22"/>
  <c r="C184" i="22"/>
  <c r="D184" i="22"/>
  <c r="E184" i="22"/>
  <c r="H184" i="22"/>
  <c r="N184" i="22"/>
  <c r="X184" i="22"/>
  <c r="BA184" i="22"/>
  <c r="AB184" i="22"/>
  <c r="AC184" i="22"/>
  <c r="AP184" i="22"/>
  <c r="AV184" i="22"/>
  <c r="BG184" i="22"/>
  <c r="BK184" i="22"/>
  <c r="BM184" i="22"/>
  <c r="CB184" i="22"/>
  <c r="CC184" i="22"/>
  <c r="K185" i="22"/>
  <c r="B185" i="22"/>
  <c r="A185" i="22"/>
  <c r="C185" i="22"/>
  <c r="D185" i="22"/>
  <c r="E185" i="22"/>
  <c r="H185" i="22"/>
  <c r="N185" i="22"/>
  <c r="X185" i="22"/>
  <c r="BA185" i="22"/>
  <c r="AB185" i="22"/>
  <c r="AC185" i="22"/>
  <c r="AP185" i="22"/>
  <c r="AV185" i="22"/>
  <c r="BG185" i="22"/>
  <c r="BK185" i="22"/>
  <c r="BM185" i="22"/>
  <c r="CB185" i="22"/>
  <c r="CC185" i="22"/>
  <c r="K186" i="22"/>
  <c r="B186" i="22"/>
  <c r="A186" i="22"/>
  <c r="C186" i="22"/>
  <c r="D186" i="22"/>
  <c r="E186" i="22"/>
  <c r="H186" i="22"/>
  <c r="N186" i="22"/>
  <c r="X186" i="22"/>
  <c r="BA186" i="22"/>
  <c r="AB186" i="22"/>
  <c r="AC186" i="22"/>
  <c r="AP186" i="22"/>
  <c r="AV186" i="22"/>
  <c r="BG186" i="22"/>
  <c r="BK186" i="22"/>
  <c r="BM186" i="22"/>
  <c r="CB186" i="22"/>
  <c r="CC186" i="22"/>
  <c r="K187" i="22"/>
  <c r="B187" i="22"/>
  <c r="A187" i="22"/>
  <c r="C187" i="22"/>
  <c r="D187" i="22"/>
  <c r="E187" i="22"/>
  <c r="H187" i="22"/>
  <c r="N187" i="22"/>
  <c r="X187" i="22"/>
  <c r="BA187" i="22"/>
  <c r="AB187" i="22"/>
  <c r="AC187" i="22"/>
  <c r="AP187" i="22"/>
  <c r="AV187" i="22"/>
  <c r="BG187" i="22"/>
  <c r="BK187" i="22"/>
  <c r="BM187" i="22"/>
  <c r="CB187" i="22"/>
  <c r="CC187" i="22"/>
  <c r="K188" i="22"/>
  <c r="B188" i="22"/>
  <c r="A188" i="22"/>
  <c r="C188" i="22"/>
  <c r="D188" i="22"/>
  <c r="E188" i="22"/>
  <c r="H188" i="22"/>
  <c r="N188" i="22"/>
  <c r="X188" i="22"/>
  <c r="BA188" i="22"/>
  <c r="AB188" i="22"/>
  <c r="AC188" i="22"/>
  <c r="AP188" i="22"/>
  <c r="AV188" i="22"/>
  <c r="BG188" i="22"/>
  <c r="BK188" i="22"/>
  <c r="BM188" i="22"/>
  <c r="CB188" i="22"/>
  <c r="CC188" i="22"/>
  <c r="K189" i="22"/>
  <c r="B189" i="22"/>
  <c r="A189" i="22"/>
  <c r="C189" i="22"/>
  <c r="D189" i="22"/>
  <c r="E189" i="22"/>
  <c r="H189" i="22"/>
  <c r="N189" i="22"/>
  <c r="X189" i="22"/>
  <c r="BA189" i="22"/>
  <c r="AB189" i="22"/>
  <c r="AC189" i="22"/>
  <c r="AP189" i="22"/>
  <c r="AV189" i="22"/>
  <c r="BG189" i="22"/>
  <c r="BK189" i="22"/>
  <c r="BM189" i="22"/>
  <c r="CB189" i="22"/>
  <c r="CC189" i="22"/>
  <c r="K190" i="22"/>
  <c r="B190" i="22"/>
  <c r="A190" i="22"/>
  <c r="C190" i="22"/>
  <c r="D190" i="22"/>
  <c r="E190" i="22"/>
  <c r="H190" i="22"/>
  <c r="N190" i="22"/>
  <c r="X190" i="22"/>
  <c r="BA190" i="22"/>
  <c r="AB190" i="22"/>
  <c r="AC190" i="22"/>
  <c r="AP190" i="22"/>
  <c r="AV190" i="22"/>
  <c r="BG190" i="22"/>
  <c r="BK190" i="22"/>
  <c r="BM190" i="22"/>
  <c r="CB190" i="22"/>
  <c r="CC190" i="22"/>
  <c r="K191" i="22"/>
  <c r="B191" i="22"/>
  <c r="A191" i="22"/>
  <c r="C191" i="22"/>
  <c r="D191" i="22"/>
  <c r="E191" i="22"/>
  <c r="H191" i="22"/>
  <c r="N191" i="22"/>
  <c r="X191" i="22"/>
  <c r="BA191" i="22"/>
  <c r="AB191" i="22"/>
  <c r="AC191" i="22"/>
  <c r="AP191" i="22"/>
  <c r="AV191" i="22"/>
  <c r="BG191" i="22"/>
  <c r="BK191" i="22"/>
  <c r="BM191" i="22"/>
  <c r="CB191" i="22"/>
  <c r="CC191" i="22"/>
  <c r="K192" i="22"/>
  <c r="B192" i="22"/>
  <c r="A192" i="22"/>
  <c r="C192" i="22"/>
  <c r="D192" i="22"/>
  <c r="E192" i="22"/>
  <c r="H192" i="22"/>
  <c r="N192" i="22"/>
  <c r="X192" i="22"/>
  <c r="BA192" i="22"/>
  <c r="AB192" i="22"/>
  <c r="AC192" i="22"/>
  <c r="AP192" i="22"/>
  <c r="AV192" i="22"/>
  <c r="BG192" i="22"/>
  <c r="BK192" i="22"/>
  <c r="BM192" i="22"/>
  <c r="CB192" i="22"/>
  <c r="CC192" i="22"/>
  <c r="K193" i="22"/>
  <c r="B193" i="22"/>
  <c r="A193" i="22"/>
  <c r="C193" i="22"/>
  <c r="D193" i="22"/>
  <c r="E193" i="22"/>
  <c r="H193" i="22"/>
  <c r="N193" i="22"/>
  <c r="X193" i="22"/>
  <c r="BA193" i="22"/>
  <c r="AB193" i="22"/>
  <c r="AC193" i="22"/>
  <c r="AP193" i="22"/>
  <c r="AV193" i="22"/>
  <c r="BG193" i="22"/>
  <c r="BK193" i="22"/>
  <c r="BM193" i="22"/>
  <c r="CB193" i="22"/>
  <c r="CC193" i="22"/>
  <c r="K194" i="22"/>
  <c r="B194" i="22"/>
  <c r="A194" i="22"/>
  <c r="C194" i="22"/>
  <c r="D194" i="22"/>
  <c r="E194" i="22"/>
  <c r="H194" i="22"/>
  <c r="N194" i="22"/>
  <c r="X194" i="22"/>
  <c r="BA194" i="22"/>
  <c r="AB194" i="22"/>
  <c r="AC194" i="22"/>
  <c r="AP194" i="22"/>
  <c r="AV194" i="22"/>
  <c r="BG194" i="22"/>
  <c r="BK194" i="22"/>
  <c r="BM194" i="22"/>
  <c r="CB194" i="22"/>
  <c r="CC194" i="22"/>
  <c r="K195" i="22"/>
  <c r="B195" i="22"/>
  <c r="A195" i="22"/>
  <c r="C195" i="22"/>
  <c r="D195" i="22"/>
  <c r="E195" i="22"/>
  <c r="H195" i="22"/>
  <c r="N195" i="22"/>
  <c r="X195" i="22"/>
  <c r="BA195" i="22"/>
  <c r="AB195" i="22"/>
  <c r="AC195" i="22"/>
  <c r="AP195" i="22"/>
  <c r="AV195" i="22"/>
  <c r="BG195" i="22"/>
  <c r="BK195" i="22"/>
  <c r="BM195" i="22"/>
  <c r="CB195" i="22"/>
  <c r="CC195" i="22"/>
  <c r="K196" i="22"/>
  <c r="B196" i="22"/>
  <c r="A196" i="22"/>
  <c r="C196" i="22"/>
  <c r="D196" i="22"/>
  <c r="E196" i="22"/>
  <c r="H196" i="22"/>
  <c r="N196" i="22"/>
  <c r="X196" i="22"/>
  <c r="BA196" i="22"/>
  <c r="AB196" i="22"/>
  <c r="AC196" i="22"/>
  <c r="AP196" i="22"/>
  <c r="AV196" i="22"/>
  <c r="BG196" i="22"/>
  <c r="BK196" i="22"/>
  <c r="BM196" i="22"/>
  <c r="CB196" i="22"/>
  <c r="CC196" i="22"/>
  <c r="K197" i="22"/>
  <c r="B197" i="22"/>
  <c r="A197" i="22"/>
  <c r="C197" i="22"/>
  <c r="D197" i="22"/>
  <c r="E197" i="22"/>
  <c r="H197" i="22"/>
  <c r="N197" i="22"/>
  <c r="X197" i="22"/>
  <c r="BA197" i="22"/>
  <c r="AB197" i="22"/>
  <c r="AC197" i="22"/>
  <c r="AP197" i="22"/>
  <c r="AV197" i="22"/>
  <c r="BG197" i="22"/>
  <c r="BK197" i="22"/>
  <c r="BM197" i="22"/>
  <c r="CB197" i="22"/>
  <c r="CC197" i="22"/>
  <c r="K198" i="22"/>
  <c r="B198" i="22"/>
  <c r="A198" i="22"/>
  <c r="C198" i="22"/>
  <c r="D198" i="22"/>
  <c r="E198" i="22"/>
  <c r="H198" i="22"/>
  <c r="N198" i="22"/>
  <c r="X198" i="22"/>
  <c r="BA198" i="22"/>
  <c r="AB198" i="22"/>
  <c r="AC198" i="22"/>
  <c r="AP198" i="22"/>
  <c r="AV198" i="22"/>
  <c r="BG198" i="22"/>
  <c r="BK198" i="22"/>
  <c r="BM198" i="22"/>
  <c r="CB198" i="22"/>
  <c r="CC198" i="22"/>
  <c r="K199" i="22"/>
  <c r="B199" i="22"/>
  <c r="A199" i="22"/>
  <c r="C199" i="22"/>
  <c r="D199" i="22"/>
  <c r="E199" i="22"/>
  <c r="H199" i="22"/>
  <c r="N199" i="22"/>
  <c r="X199" i="22"/>
  <c r="BA199" i="22"/>
  <c r="AB199" i="22"/>
  <c r="AC199" i="22"/>
  <c r="AP199" i="22"/>
  <c r="AV199" i="22"/>
  <c r="BG199" i="22"/>
  <c r="BK199" i="22"/>
  <c r="BM199" i="22"/>
  <c r="CB199" i="22"/>
  <c r="CC199" i="22"/>
  <c r="K200" i="22"/>
  <c r="B200" i="22"/>
  <c r="A200" i="22"/>
  <c r="C200" i="22"/>
  <c r="D200" i="22"/>
  <c r="E200" i="22"/>
  <c r="H200" i="22"/>
  <c r="N200" i="22"/>
  <c r="X200" i="22"/>
  <c r="BA200" i="22"/>
  <c r="AB200" i="22"/>
  <c r="AC200" i="22"/>
  <c r="AP200" i="22"/>
  <c r="AV200" i="22"/>
  <c r="BG200" i="22"/>
  <c r="BK200" i="22"/>
  <c r="BM200" i="22"/>
  <c r="CB200" i="22"/>
  <c r="CC200" i="22"/>
  <c r="K201" i="22"/>
  <c r="B201" i="22"/>
  <c r="A201" i="22"/>
  <c r="C201" i="22"/>
  <c r="D201" i="22"/>
  <c r="E201" i="22"/>
  <c r="H201" i="22"/>
  <c r="N201" i="22"/>
  <c r="X201" i="22"/>
  <c r="BA201" i="22"/>
  <c r="AB201" i="22"/>
  <c r="AC201" i="22"/>
  <c r="AP201" i="22"/>
  <c r="AV201" i="22"/>
  <c r="BG201" i="22"/>
  <c r="BK201" i="22"/>
  <c r="BM201" i="22"/>
  <c r="CB201" i="22"/>
  <c r="CC201" i="22"/>
  <c r="K202" i="22"/>
  <c r="B202" i="22"/>
  <c r="A202" i="22"/>
  <c r="C202" i="22"/>
  <c r="D202" i="22"/>
  <c r="E202" i="22"/>
  <c r="H202" i="22"/>
  <c r="N202" i="22"/>
  <c r="X202" i="22"/>
  <c r="BA202" i="22"/>
  <c r="AB202" i="22"/>
  <c r="AC202" i="22"/>
  <c r="AP202" i="22"/>
  <c r="AV202" i="22"/>
  <c r="BG202" i="22"/>
  <c r="BK202" i="22"/>
  <c r="BM202" i="22"/>
  <c r="CB202" i="22"/>
  <c r="CC202" i="22"/>
  <c r="K203" i="22"/>
  <c r="B203" i="22"/>
  <c r="A203" i="22"/>
  <c r="C203" i="22"/>
  <c r="D203" i="22"/>
  <c r="E203" i="22"/>
  <c r="H203" i="22"/>
  <c r="N203" i="22"/>
  <c r="X203" i="22"/>
  <c r="BA203" i="22"/>
  <c r="AB203" i="22"/>
  <c r="AC203" i="22"/>
  <c r="AP203" i="22"/>
  <c r="AV203" i="22"/>
  <c r="BG203" i="22"/>
  <c r="BK203" i="22"/>
  <c r="BM203" i="22"/>
  <c r="CB203" i="22"/>
  <c r="CC203" i="22"/>
  <c r="K204" i="22"/>
  <c r="B204" i="22"/>
  <c r="A204" i="22"/>
  <c r="C204" i="22"/>
  <c r="D204" i="22"/>
  <c r="E204" i="22"/>
  <c r="H204" i="22"/>
  <c r="N204" i="22"/>
  <c r="X204" i="22"/>
  <c r="BA204" i="22"/>
  <c r="AB204" i="22"/>
  <c r="AC204" i="22"/>
  <c r="AP204" i="22"/>
  <c r="AV204" i="22"/>
  <c r="BG204" i="22"/>
  <c r="BK204" i="22"/>
  <c r="BM204" i="22"/>
  <c r="CB204" i="22"/>
  <c r="CC204" i="22"/>
  <c r="K205" i="22"/>
  <c r="B205" i="22"/>
  <c r="A205" i="22"/>
  <c r="C205" i="22"/>
  <c r="D205" i="22"/>
  <c r="E205" i="22"/>
  <c r="H205" i="22"/>
  <c r="N205" i="22"/>
  <c r="X205" i="22"/>
  <c r="BA205" i="22"/>
  <c r="AB205" i="22"/>
  <c r="AC205" i="22"/>
  <c r="AP205" i="22"/>
  <c r="AV205" i="22"/>
  <c r="BG205" i="22"/>
  <c r="BK205" i="22"/>
  <c r="BM205" i="22"/>
  <c r="CB205" i="22"/>
  <c r="CC205" i="22"/>
  <c r="K206" i="22"/>
  <c r="B206" i="22"/>
  <c r="A206" i="22"/>
  <c r="C206" i="22"/>
  <c r="D206" i="22"/>
  <c r="E206" i="22"/>
  <c r="H206" i="22"/>
  <c r="N206" i="22"/>
  <c r="X206" i="22"/>
  <c r="BA206" i="22"/>
  <c r="AB206" i="22"/>
  <c r="AC206" i="22"/>
  <c r="AP206" i="22"/>
  <c r="AV206" i="22"/>
  <c r="BG206" i="22"/>
  <c r="BK206" i="22"/>
  <c r="BM206" i="22"/>
  <c r="CB206" i="22"/>
  <c r="CC206" i="22"/>
  <c r="K207" i="22"/>
  <c r="B207" i="22"/>
  <c r="A207" i="22"/>
  <c r="C207" i="22"/>
  <c r="D207" i="22"/>
  <c r="E207" i="22"/>
  <c r="H207" i="22"/>
  <c r="N207" i="22"/>
  <c r="X207" i="22"/>
  <c r="BA207" i="22"/>
  <c r="AB207" i="22"/>
  <c r="AC207" i="22"/>
  <c r="AP207" i="22"/>
  <c r="AV207" i="22"/>
  <c r="BG207" i="22"/>
  <c r="BK207" i="22"/>
  <c r="BM207" i="22"/>
  <c r="CB207" i="22"/>
  <c r="CC207" i="22"/>
  <c r="K208" i="22"/>
  <c r="B208" i="22"/>
  <c r="A208" i="22"/>
  <c r="C208" i="22"/>
  <c r="D208" i="22"/>
  <c r="E208" i="22"/>
  <c r="H208" i="22"/>
  <c r="N208" i="22"/>
  <c r="X208" i="22"/>
  <c r="BA208" i="22"/>
  <c r="AB208" i="22"/>
  <c r="AC208" i="22"/>
  <c r="AP208" i="22"/>
  <c r="AV208" i="22"/>
  <c r="BG208" i="22"/>
  <c r="BK208" i="22"/>
  <c r="BM208" i="22"/>
  <c r="CB208" i="22"/>
  <c r="CC208" i="22"/>
  <c r="K209" i="22"/>
  <c r="B209" i="22"/>
  <c r="A209" i="22"/>
  <c r="C209" i="22"/>
  <c r="D209" i="22"/>
  <c r="E209" i="22"/>
  <c r="H209" i="22"/>
  <c r="N209" i="22"/>
  <c r="X209" i="22"/>
  <c r="BA209" i="22"/>
  <c r="AB209" i="22"/>
  <c r="AC209" i="22"/>
  <c r="AP209" i="22"/>
  <c r="AV209" i="22"/>
  <c r="BG209" i="22"/>
  <c r="BK209" i="22"/>
  <c r="BM209" i="22"/>
  <c r="CB209" i="22"/>
  <c r="CC209" i="22"/>
  <c r="K210" i="22"/>
  <c r="B210" i="22"/>
  <c r="A210" i="22"/>
  <c r="C210" i="22"/>
  <c r="D210" i="22"/>
  <c r="E210" i="22"/>
  <c r="H210" i="22"/>
  <c r="N210" i="22"/>
  <c r="X210" i="22"/>
  <c r="BA210" i="22"/>
  <c r="AB210" i="22"/>
  <c r="AC210" i="22"/>
  <c r="AP210" i="22"/>
  <c r="AV210" i="22"/>
  <c r="BG210" i="22"/>
  <c r="BK210" i="22"/>
  <c r="BM210" i="22"/>
  <c r="CB210" i="22"/>
  <c r="CC210" i="22"/>
  <c r="K211" i="22"/>
  <c r="B211" i="22"/>
  <c r="A211" i="22"/>
  <c r="C211" i="22"/>
  <c r="D211" i="22"/>
  <c r="E211" i="22"/>
  <c r="H211" i="22"/>
  <c r="N211" i="22"/>
  <c r="X211" i="22"/>
  <c r="BA211" i="22"/>
  <c r="AB211" i="22"/>
  <c r="AC211" i="22"/>
  <c r="AP211" i="22"/>
  <c r="AV211" i="22"/>
  <c r="BG211" i="22"/>
  <c r="BK211" i="22"/>
  <c r="BM211" i="22"/>
  <c r="CB211" i="22"/>
  <c r="CC211" i="22"/>
  <c r="K212" i="22"/>
  <c r="B212" i="22"/>
  <c r="A212" i="22"/>
  <c r="C212" i="22"/>
  <c r="D212" i="22"/>
  <c r="E212" i="22"/>
  <c r="H212" i="22"/>
  <c r="N212" i="22"/>
  <c r="X212" i="22"/>
  <c r="BA212" i="22"/>
  <c r="AB212" i="22"/>
  <c r="AC212" i="22"/>
  <c r="AP212" i="22"/>
  <c r="AV212" i="22"/>
  <c r="BG212" i="22"/>
  <c r="BK212" i="22"/>
  <c r="BM212" i="22"/>
  <c r="CB212" i="22"/>
  <c r="CC212" i="22"/>
  <c r="K213" i="22"/>
  <c r="B213" i="22"/>
  <c r="A213" i="22"/>
  <c r="C213" i="22"/>
  <c r="D213" i="22"/>
  <c r="E213" i="22"/>
  <c r="H213" i="22"/>
  <c r="N213" i="22"/>
  <c r="X213" i="22"/>
  <c r="BA213" i="22"/>
  <c r="AB213" i="22"/>
  <c r="AC213" i="22"/>
  <c r="AP213" i="22"/>
  <c r="AV213" i="22"/>
  <c r="BG213" i="22"/>
  <c r="BK213" i="22"/>
  <c r="BM213" i="22"/>
  <c r="CB213" i="22"/>
  <c r="CC213" i="22"/>
  <c r="K214" i="22"/>
  <c r="B214" i="22"/>
  <c r="A214" i="22"/>
  <c r="C214" i="22"/>
  <c r="D214" i="22"/>
  <c r="E214" i="22"/>
  <c r="H214" i="22"/>
  <c r="N214" i="22"/>
  <c r="X214" i="22"/>
  <c r="BA214" i="22"/>
  <c r="AB214" i="22"/>
  <c r="AC214" i="22"/>
  <c r="AP214" i="22"/>
  <c r="AV214" i="22"/>
  <c r="BG214" i="22"/>
  <c r="BK214" i="22"/>
  <c r="BM214" i="22"/>
  <c r="CB214" i="22"/>
  <c r="CC214" i="22"/>
  <c r="K215" i="22"/>
  <c r="B215" i="22"/>
  <c r="A215" i="22"/>
  <c r="C215" i="22"/>
  <c r="D215" i="22"/>
  <c r="E215" i="22"/>
  <c r="H215" i="22"/>
  <c r="N215" i="22"/>
  <c r="X215" i="22"/>
  <c r="BA215" i="22"/>
  <c r="AB215" i="22"/>
  <c r="AC215" i="22"/>
  <c r="AP215" i="22"/>
  <c r="AV215" i="22"/>
  <c r="BG215" i="22"/>
  <c r="BK215" i="22"/>
  <c r="BM215" i="22"/>
  <c r="CB215" i="22"/>
  <c r="CC215" i="22"/>
  <c r="K216" i="22"/>
  <c r="B216" i="22"/>
  <c r="A216" i="22"/>
  <c r="C216" i="22"/>
  <c r="D216" i="22"/>
  <c r="E216" i="22"/>
  <c r="H216" i="22"/>
  <c r="N216" i="22"/>
  <c r="X216" i="22"/>
  <c r="BA216" i="22"/>
  <c r="AB216" i="22"/>
  <c r="AC216" i="22"/>
  <c r="AP216" i="22"/>
  <c r="AV216" i="22"/>
  <c r="BG216" i="22"/>
  <c r="BK216" i="22"/>
  <c r="BM216" i="22"/>
  <c r="CB216" i="22"/>
  <c r="CC216" i="22"/>
  <c r="K217" i="22"/>
  <c r="B217" i="22"/>
  <c r="A217" i="22"/>
  <c r="C217" i="22"/>
  <c r="D217" i="22"/>
  <c r="E217" i="22"/>
  <c r="H217" i="22"/>
  <c r="N217" i="22"/>
  <c r="X217" i="22"/>
  <c r="BA217" i="22"/>
  <c r="AB217" i="22"/>
  <c r="AC217" i="22"/>
  <c r="AP217" i="22"/>
  <c r="AV217" i="22"/>
  <c r="BG217" i="22"/>
  <c r="BK217" i="22"/>
  <c r="BM217" i="22"/>
  <c r="CB217" i="22"/>
  <c r="CC217" i="22"/>
  <c r="K218" i="22"/>
  <c r="B218" i="22"/>
  <c r="A218" i="22"/>
  <c r="C218" i="22"/>
  <c r="D218" i="22"/>
  <c r="E218" i="22"/>
  <c r="H218" i="22"/>
  <c r="N218" i="22"/>
  <c r="X218" i="22"/>
  <c r="BA218" i="22"/>
  <c r="AB218" i="22"/>
  <c r="AC218" i="22"/>
  <c r="AP218" i="22"/>
  <c r="AV218" i="22"/>
  <c r="BG218" i="22"/>
  <c r="BK218" i="22"/>
  <c r="BM218" i="22"/>
  <c r="CB218" i="22"/>
  <c r="CC218" i="22"/>
  <c r="K219" i="22"/>
  <c r="B219" i="22"/>
  <c r="A219" i="22"/>
  <c r="C219" i="22"/>
  <c r="D219" i="22"/>
  <c r="E219" i="22"/>
  <c r="H219" i="22"/>
  <c r="N219" i="22"/>
  <c r="X219" i="22"/>
  <c r="BA219" i="22"/>
  <c r="AB219" i="22"/>
  <c r="AC219" i="22"/>
  <c r="AP219" i="22"/>
  <c r="AV219" i="22"/>
  <c r="BG219" i="22"/>
  <c r="BK219" i="22"/>
  <c r="BM219" i="22"/>
  <c r="CB219" i="22"/>
  <c r="CC219" i="22"/>
  <c r="K220" i="22"/>
  <c r="B220" i="22"/>
  <c r="A220" i="22"/>
  <c r="C220" i="22"/>
  <c r="D220" i="22"/>
  <c r="E220" i="22"/>
  <c r="H220" i="22"/>
  <c r="N220" i="22"/>
  <c r="X220" i="22"/>
  <c r="BA220" i="22"/>
  <c r="AB220" i="22"/>
  <c r="AC220" i="22"/>
  <c r="AP220" i="22"/>
  <c r="AV220" i="22"/>
  <c r="BG220" i="22"/>
  <c r="BK220" i="22"/>
  <c r="BM220" i="22"/>
  <c r="CB220" i="22"/>
  <c r="CC220" i="22"/>
  <c r="K221" i="22"/>
  <c r="B221" i="22"/>
  <c r="A221" i="22"/>
  <c r="C221" i="22"/>
  <c r="D221" i="22"/>
  <c r="E221" i="22"/>
  <c r="H221" i="22"/>
  <c r="N221" i="22"/>
  <c r="X221" i="22"/>
  <c r="BA221" i="22"/>
  <c r="AB221" i="22"/>
  <c r="AC221" i="22"/>
  <c r="AP221" i="22"/>
  <c r="AV221" i="22"/>
  <c r="BG221" i="22"/>
  <c r="BK221" i="22"/>
  <c r="BM221" i="22"/>
  <c r="CB221" i="22"/>
  <c r="CC221" i="22"/>
  <c r="K222" i="22"/>
  <c r="B222" i="22"/>
  <c r="A222" i="22"/>
  <c r="C222" i="22"/>
  <c r="D222" i="22"/>
  <c r="E222" i="22"/>
  <c r="H222" i="22"/>
  <c r="N222" i="22"/>
  <c r="X222" i="22"/>
  <c r="BA222" i="22"/>
  <c r="AB222" i="22"/>
  <c r="AC222" i="22"/>
  <c r="AP222" i="22"/>
  <c r="AV222" i="22"/>
  <c r="BG222" i="22"/>
  <c r="BK222" i="22"/>
  <c r="BM222" i="22"/>
  <c r="CB222" i="22"/>
  <c r="CC222" i="22"/>
  <c r="K223" i="22"/>
  <c r="B223" i="22"/>
  <c r="A223" i="22"/>
  <c r="C223" i="22"/>
  <c r="D223" i="22"/>
  <c r="E223" i="22"/>
  <c r="H223" i="22"/>
  <c r="N223" i="22"/>
  <c r="X223" i="22"/>
  <c r="BA223" i="22"/>
  <c r="AB223" i="22"/>
  <c r="AC223" i="22"/>
  <c r="AP223" i="22"/>
  <c r="AV223" i="22"/>
  <c r="BG223" i="22"/>
  <c r="BK223" i="22"/>
  <c r="BM223" i="22"/>
  <c r="CB223" i="22"/>
  <c r="CC223" i="22"/>
  <c r="K224" i="22"/>
  <c r="B224" i="22"/>
  <c r="A224" i="22"/>
  <c r="C224" i="22"/>
  <c r="D224" i="22"/>
  <c r="E224" i="22"/>
  <c r="H224" i="22"/>
  <c r="N224" i="22"/>
  <c r="X224" i="22"/>
  <c r="BA224" i="22"/>
  <c r="AB224" i="22"/>
  <c r="AC224" i="22"/>
  <c r="AP224" i="22"/>
  <c r="AV224" i="22"/>
  <c r="BG224" i="22"/>
  <c r="BK224" i="22"/>
  <c r="BM224" i="22"/>
  <c r="CB224" i="22"/>
  <c r="CC224" i="22"/>
  <c r="K225" i="22"/>
  <c r="B225" i="22"/>
  <c r="A225" i="22"/>
  <c r="C225" i="22"/>
  <c r="D225" i="22"/>
  <c r="E225" i="22"/>
  <c r="H225" i="22"/>
  <c r="N225" i="22"/>
  <c r="X225" i="22"/>
  <c r="BA225" i="22"/>
  <c r="AB225" i="22"/>
  <c r="AC225" i="22"/>
  <c r="AP225" i="22"/>
  <c r="AV225" i="22"/>
  <c r="BG225" i="22"/>
  <c r="BK225" i="22"/>
  <c r="BM225" i="22"/>
  <c r="CB225" i="22"/>
  <c r="CC225" i="22"/>
  <c r="K226" i="22"/>
  <c r="B226" i="22"/>
  <c r="A226" i="22"/>
  <c r="C226" i="22"/>
  <c r="D226" i="22"/>
  <c r="E226" i="22"/>
  <c r="H226" i="22"/>
  <c r="N226" i="22"/>
  <c r="X226" i="22"/>
  <c r="BA226" i="22"/>
  <c r="AB226" i="22"/>
  <c r="AC226" i="22"/>
  <c r="AP226" i="22"/>
  <c r="AV226" i="22"/>
  <c r="BG226" i="22"/>
  <c r="BK226" i="22"/>
  <c r="BM226" i="22"/>
  <c r="CB226" i="22"/>
  <c r="CC226" i="22"/>
  <c r="K227" i="22"/>
  <c r="B227" i="22"/>
  <c r="A227" i="22"/>
  <c r="C227" i="22"/>
  <c r="D227" i="22"/>
  <c r="E227" i="22"/>
  <c r="H227" i="22"/>
  <c r="N227" i="22"/>
  <c r="X227" i="22"/>
  <c r="BA227" i="22"/>
  <c r="AB227" i="22"/>
  <c r="AC227" i="22"/>
  <c r="AP227" i="22"/>
  <c r="AV227" i="22"/>
  <c r="BG227" i="22"/>
  <c r="BK227" i="22"/>
  <c r="BM227" i="22"/>
  <c r="CB227" i="22"/>
  <c r="CC227" i="22"/>
  <c r="K228" i="22"/>
  <c r="B228" i="22"/>
  <c r="A228" i="22"/>
  <c r="C228" i="22"/>
  <c r="D228" i="22"/>
  <c r="E228" i="22"/>
  <c r="H228" i="22"/>
  <c r="N228" i="22"/>
  <c r="X228" i="22"/>
  <c r="BA228" i="22"/>
  <c r="AB228" i="22"/>
  <c r="AC228" i="22"/>
  <c r="AP228" i="22"/>
  <c r="AV228" i="22"/>
  <c r="BG228" i="22"/>
  <c r="BK228" i="22"/>
  <c r="BM228" i="22"/>
  <c r="CB228" i="22"/>
  <c r="CC228" i="22"/>
  <c r="K229" i="22"/>
  <c r="B229" i="22"/>
  <c r="A229" i="22"/>
  <c r="C229" i="22"/>
  <c r="D229" i="22"/>
  <c r="E229" i="22"/>
  <c r="H229" i="22"/>
  <c r="N229" i="22"/>
  <c r="X229" i="22"/>
  <c r="BA229" i="22"/>
  <c r="AB229" i="22"/>
  <c r="AC229" i="22"/>
  <c r="AP229" i="22"/>
  <c r="AV229" i="22"/>
  <c r="BG229" i="22"/>
  <c r="BK229" i="22"/>
  <c r="BM229" i="22"/>
  <c r="CB229" i="22"/>
  <c r="CC229" i="22"/>
  <c r="K230" i="22"/>
  <c r="B230" i="22"/>
  <c r="A230" i="22"/>
  <c r="C230" i="22"/>
  <c r="D230" i="22"/>
  <c r="E230" i="22"/>
  <c r="H230" i="22"/>
  <c r="N230" i="22"/>
  <c r="X230" i="22"/>
  <c r="BA230" i="22"/>
  <c r="AB230" i="22"/>
  <c r="AC230" i="22"/>
  <c r="AP230" i="22"/>
  <c r="AV230" i="22"/>
  <c r="BG230" i="22"/>
  <c r="BK230" i="22"/>
  <c r="BM230" i="22"/>
  <c r="CB230" i="22"/>
  <c r="CC230" i="22"/>
  <c r="K231" i="22"/>
  <c r="B231" i="22"/>
  <c r="A231" i="22"/>
  <c r="C231" i="22"/>
  <c r="D231" i="22"/>
  <c r="E231" i="22"/>
  <c r="H231" i="22"/>
  <c r="N231" i="22"/>
  <c r="X231" i="22"/>
  <c r="BA231" i="22"/>
  <c r="AB231" i="22"/>
  <c r="AC231" i="22"/>
  <c r="AP231" i="22"/>
  <c r="AV231" i="22"/>
  <c r="BG231" i="22"/>
  <c r="BK231" i="22"/>
  <c r="BM231" i="22"/>
  <c r="CB231" i="22"/>
  <c r="CC231" i="22"/>
  <c r="K232" i="22"/>
  <c r="B232" i="22"/>
  <c r="A232" i="22"/>
  <c r="C232" i="22"/>
  <c r="D232" i="22"/>
  <c r="E232" i="22"/>
  <c r="H232" i="22"/>
  <c r="N232" i="22"/>
  <c r="X232" i="22"/>
  <c r="BA232" i="22"/>
  <c r="AB232" i="22"/>
  <c r="AC232" i="22"/>
  <c r="AP232" i="22"/>
  <c r="AV232" i="22"/>
  <c r="BG232" i="22"/>
  <c r="BK232" i="22"/>
  <c r="BM232" i="22"/>
  <c r="CB232" i="22"/>
  <c r="CC232" i="22"/>
  <c r="K233" i="22"/>
  <c r="B233" i="22"/>
  <c r="A233" i="22"/>
  <c r="C233" i="22"/>
  <c r="D233" i="22"/>
  <c r="E233" i="22"/>
  <c r="H233" i="22"/>
  <c r="N233" i="22"/>
  <c r="X233" i="22"/>
  <c r="BA233" i="22"/>
  <c r="AB233" i="22"/>
  <c r="AC233" i="22"/>
  <c r="AP233" i="22"/>
  <c r="AV233" i="22"/>
  <c r="BG233" i="22"/>
  <c r="BK233" i="22"/>
  <c r="BM233" i="22"/>
  <c r="CB233" i="22"/>
  <c r="CC233" i="22"/>
  <c r="K234" i="22"/>
  <c r="B234" i="22"/>
  <c r="A234" i="22"/>
  <c r="C234" i="22"/>
  <c r="D234" i="22"/>
  <c r="E234" i="22"/>
  <c r="H234" i="22"/>
  <c r="N234" i="22"/>
  <c r="X234" i="22"/>
  <c r="BA234" i="22"/>
  <c r="AB234" i="22"/>
  <c r="AC234" i="22"/>
  <c r="AP234" i="22"/>
  <c r="AV234" i="22"/>
  <c r="BG234" i="22"/>
  <c r="BK234" i="22"/>
  <c r="BM234" i="22"/>
  <c r="CB234" i="22"/>
  <c r="CC234" i="22"/>
  <c r="K235" i="22"/>
  <c r="B235" i="22"/>
  <c r="A235" i="22"/>
  <c r="C235" i="22"/>
  <c r="D235" i="22"/>
  <c r="E235" i="22"/>
  <c r="H235" i="22"/>
  <c r="N235" i="22"/>
  <c r="X235" i="22"/>
  <c r="BA235" i="22"/>
  <c r="AB235" i="22"/>
  <c r="AC235" i="22"/>
  <c r="AP235" i="22"/>
  <c r="AV235" i="22"/>
  <c r="BG235" i="22"/>
  <c r="BK235" i="22"/>
  <c r="BM235" i="22"/>
  <c r="CB235" i="22"/>
  <c r="CC235" i="22"/>
  <c r="K236" i="22"/>
  <c r="B236" i="22"/>
  <c r="A236" i="22"/>
  <c r="C236" i="22"/>
  <c r="D236" i="22"/>
  <c r="E236" i="22"/>
  <c r="H236" i="22"/>
  <c r="N236" i="22"/>
  <c r="X236" i="22"/>
  <c r="BA236" i="22"/>
  <c r="AB236" i="22"/>
  <c r="AC236" i="22"/>
  <c r="AP236" i="22"/>
  <c r="AV236" i="22"/>
  <c r="BG236" i="22"/>
  <c r="BK236" i="22"/>
  <c r="BM236" i="22"/>
  <c r="CB236" i="22"/>
  <c r="CC236" i="22"/>
  <c r="K237" i="22"/>
  <c r="B237" i="22"/>
  <c r="A237" i="22"/>
  <c r="C237" i="22"/>
  <c r="D237" i="22"/>
  <c r="E237" i="22"/>
  <c r="H237" i="22"/>
  <c r="N237" i="22"/>
  <c r="X237" i="22"/>
  <c r="BA237" i="22"/>
  <c r="AB237" i="22"/>
  <c r="AC237" i="22"/>
  <c r="AP237" i="22"/>
  <c r="AV237" i="22"/>
  <c r="BG237" i="22"/>
  <c r="BK237" i="22"/>
  <c r="BM237" i="22"/>
  <c r="CB237" i="22"/>
  <c r="CC237" i="22"/>
  <c r="K238" i="22"/>
  <c r="B238" i="22"/>
  <c r="A238" i="22"/>
  <c r="C238" i="22"/>
  <c r="D238" i="22"/>
  <c r="E238" i="22"/>
  <c r="H238" i="22"/>
  <c r="N238" i="22"/>
  <c r="X238" i="22"/>
  <c r="BA238" i="22"/>
  <c r="AB238" i="22"/>
  <c r="AC238" i="22"/>
  <c r="AP238" i="22"/>
  <c r="AV238" i="22"/>
  <c r="BG238" i="22"/>
  <c r="BK238" i="22"/>
  <c r="BM238" i="22"/>
  <c r="CB238" i="22"/>
  <c r="CC238" i="22"/>
  <c r="K239" i="22"/>
  <c r="B239" i="22"/>
  <c r="A239" i="22"/>
  <c r="C239" i="22"/>
  <c r="D239" i="22"/>
  <c r="E239" i="22"/>
  <c r="H239" i="22"/>
  <c r="N239" i="22"/>
  <c r="X239" i="22"/>
  <c r="BA239" i="22"/>
  <c r="AB239" i="22"/>
  <c r="AC239" i="22"/>
  <c r="AP239" i="22"/>
  <c r="AV239" i="22"/>
  <c r="BG239" i="22"/>
  <c r="BK239" i="22"/>
  <c r="BM239" i="22"/>
  <c r="CB239" i="22"/>
  <c r="CC239" i="22"/>
  <c r="K240" i="22"/>
  <c r="B240" i="22"/>
  <c r="A240" i="22"/>
  <c r="C240" i="22"/>
  <c r="D240" i="22"/>
  <c r="E240" i="22"/>
  <c r="H240" i="22"/>
  <c r="N240" i="22"/>
  <c r="X240" i="22"/>
  <c r="BA240" i="22"/>
  <c r="AB240" i="22"/>
  <c r="AC240" i="22"/>
  <c r="AP240" i="22"/>
  <c r="AV240" i="22"/>
  <c r="BG240" i="22"/>
  <c r="BK240" i="22"/>
  <c r="BM240" i="22"/>
  <c r="CB240" i="22"/>
  <c r="CC240" i="22"/>
  <c r="K241" i="22"/>
  <c r="B241" i="22"/>
  <c r="A241" i="22"/>
  <c r="C241" i="22"/>
  <c r="D241" i="22"/>
  <c r="E241" i="22"/>
  <c r="H241" i="22"/>
  <c r="N241" i="22"/>
  <c r="X241" i="22"/>
  <c r="BA241" i="22"/>
  <c r="AB241" i="22"/>
  <c r="AC241" i="22"/>
  <c r="AP241" i="22"/>
  <c r="AV241" i="22"/>
  <c r="BG241" i="22"/>
  <c r="BK241" i="22"/>
  <c r="BM241" i="22"/>
  <c r="CB241" i="22"/>
  <c r="CC241" i="22"/>
  <c r="K242" i="22"/>
  <c r="B242" i="22"/>
  <c r="A242" i="22"/>
  <c r="C242" i="22"/>
  <c r="D242" i="22"/>
  <c r="E242" i="22"/>
  <c r="H242" i="22"/>
  <c r="N242" i="22"/>
  <c r="X242" i="22"/>
  <c r="BA242" i="22"/>
  <c r="AB242" i="22"/>
  <c r="AC242" i="22"/>
  <c r="AP242" i="22"/>
  <c r="AV242" i="22"/>
  <c r="BG242" i="22"/>
  <c r="BK242" i="22"/>
  <c r="BM242" i="22"/>
  <c r="CB242" i="22"/>
  <c r="CC242" i="22"/>
  <c r="K243" i="22"/>
  <c r="B243" i="22"/>
  <c r="A243" i="22"/>
  <c r="C243" i="22"/>
  <c r="D243" i="22"/>
  <c r="E243" i="22"/>
  <c r="H243" i="22"/>
  <c r="N243" i="22"/>
  <c r="X243" i="22"/>
  <c r="BA243" i="22"/>
  <c r="AB243" i="22"/>
  <c r="AC243" i="22"/>
  <c r="AP243" i="22"/>
  <c r="AV243" i="22"/>
  <c r="BG243" i="22"/>
  <c r="BK243" i="22"/>
  <c r="BM243" i="22"/>
  <c r="CB243" i="22"/>
  <c r="CC243" i="22"/>
  <c r="K244" i="22"/>
  <c r="B244" i="22"/>
  <c r="A244" i="22"/>
  <c r="C244" i="22"/>
  <c r="D244" i="22"/>
  <c r="E244" i="22"/>
  <c r="H244" i="22"/>
  <c r="N244" i="22"/>
  <c r="X244" i="22"/>
  <c r="BA244" i="22"/>
  <c r="AB244" i="22"/>
  <c r="AC244" i="22"/>
  <c r="AP244" i="22"/>
  <c r="AV244" i="22"/>
  <c r="BG244" i="22"/>
  <c r="BK244" i="22"/>
  <c r="BM244" i="22"/>
  <c r="CB244" i="22"/>
  <c r="CC244" i="22"/>
  <c r="K245" i="22"/>
  <c r="B245" i="22"/>
  <c r="A245" i="22"/>
  <c r="C245" i="22"/>
  <c r="D245" i="22"/>
  <c r="E245" i="22"/>
  <c r="H245" i="22"/>
  <c r="N245" i="22"/>
  <c r="X245" i="22"/>
  <c r="BA245" i="22"/>
  <c r="AB245" i="22"/>
  <c r="AC245" i="22"/>
  <c r="AP245" i="22"/>
  <c r="AV245" i="22"/>
  <c r="BG245" i="22"/>
  <c r="BK245" i="22"/>
  <c r="BM245" i="22"/>
  <c r="CB245" i="22"/>
  <c r="CC245" i="22"/>
  <c r="K246" i="22"/>
  <c r="B246" i="22"/>
  <c r="A246" i="22"/>
  <c r="C246" i="22"/>
  <c r="D246" i="22"/>
  <c r="E246" i="22"/>
  <c r="H246" i="22"/>
  <c r="N246" i="22"/>
  <c r="X246" i="22"/>
  <c r="BA246" i="22"/>
  <c r="AB246" i="22"/>
  <c r="AC246" i="22"/>
  <c r="AP246" i="22"/>
  <c r="AV246" i="22"/>
  <c r="BG246" i="22"/>
  <c r="BK246" i="22"/>
  <c r="BM246" i="22"/>
  <c r="CB246" i="22"/>
  <c r="CC246" i="22"/>
  <c r="K247" i="22"/>
  <c r="B247" i="22"/>
  <c r="A247" i="22"/>
  <c r="C247" i="22"/>
  <c r="D247" i="22"/>
  <c r="E247" i="22"/>
  <c r="H247" i="22"/>
  <c r="N247" i="22"/>
  <c r="X247" i="22"/>
  <c r="BA247" i="22"/>
  <c r="AB247" i="22"/>
  <c r="AC247" i="22"/>
  <c r="AP247" i="22"/>
  <c r="AV247" i="22"/>
  <c r="BG247" i="22"/>
  <c r="BK247" i="22"/>
  <c r="BM247" i="22"/>
  <c r="CB247" i="22"/>
  <c r="CC247" i="22"/>
  <c r="K248" i="22"/>
  <c r="B248" i="22"/>
  <c r="A248" i="22"/>
  <c r="C248" i="22"/>
  <c r="D248" i="22"/>
  <c r="E248" i="22"/>
  <c r="H248" i="22"/>
  <c r="N248" i="22"/>
  <c r="X248" i="22"/>
  <c r="BA248" i="22"/>
  <c r="AB248" i="22"/>
  <c r="AC248" i="22"/>
  <c r="AP248" i="22"/>
  <c r="AV248" i="22"/>
  <c r="BG248" i="22"/>
  <c r="BK248" i="22"/>
  <c r="BM248" i="22"/>
  <c r="CB248" i="22"/>
  <c r="CC248" i="22"/>
  <c r="K249" i="22"/>
  <c r="B249" i="22"/>
  <c r="A249" i="22"/>
  <c r="C249" i="22"/>
  <c r="D249" i="22"/>
  <c r="E249" i="22"/>
  <c r="H249" i="22"/>
  <c r="N249" i="22"/>
  <c r="X249" i="22"/>
  <c r="BA249" i="22"/>
  <c r="AB249" i="22"/>
  <c r="AC249" i="22"/>
  <c r="AP249" i="22"/>
  <c r="AV249" i="22"/>
  <c r="BG249" i="22"/>
  <c r="BK249" i="22"/>
  <c r="BM249" i="22"/>
  <c r="CB249" i="22"/>
  <c r="CC249" i="22"/>
  <c r="K250" i="22"/>
  <c r="B250" i="22"/>
  <c r="A250" i="22"/>
  <c r="C250" i="22"/>
  <c r="D250" i="22"/>
  <c r="E250" i="22"/>
  <c r="H250" i="22"/>
  <c r="N250" i="22"/>
  <c r="X250" i="22"/>
  <c r="BA250" i="22"/>
  <c r="AB250" i="22"/>
  <c r="AC250" i="22"/>
  <c r="AP250" i="22"/>
  <c r="AV250" i="22"/>
  <c r="BG250" i="22"/>
  <c r="BK250" i="22"/>
  <c r="BM250" i="22"/>
  <c r="CB250" i="22"/>
  <c r="CC250" i="22"/>
  <c r="K251" i="22"/>
  <c r="B251" i="22"/>
  <c r="A251" i="22"/>
  <c r="C251" i="22"/>
  <c r="D251" i="22"/>
  <c r="E251" i="22"/>
  <c r="H251" i="22"/>
  <c r="N251" i="22"/>
  <c r="X251" i="22"/>
  <c r="BA251" i="22"/>
  <c r="AB251" i="22"/>
  <c r="AC251" i="22"/>
  <c r="AP251" i="22"/>
  <c r="AV251" i="22"/>
  <c r="BG251" i="22"/>
  <c r="BK251" i="22"/>
  <c r="BM251" i="22"/>
  <c r="CB251" i="22"/>
  <c r="CC251" i="22"/>
  <c r="K252" i="22"/>
  <c r="B252" i="22"/>
  <c r="A252" i="22"/>
  <c r="C252" i="22"/>
  <c r="D252" i="22"/>
  <c r="E252" i="22"/>
  <c r="H252" i="22"/>
  <c r="N252" i="22"/>
  <c r="X252" i="22"/>
  <c r="BA252" i="22"/>
  <c r="AB252" i="22"/>
  <c r="AC252" i="22"/>
  <c r="AP252" i="22"/>
  <c r="AV252" i="22"/>
  <c r="BG252" i="22"/>
  <c r="BK252" i="22"/>
  <c r="BM252" i="22"/>
  <c r="CB252" i="22"/>
  <c r="CC252" i="22"/>
  <c r="K253" i="22"/>
  <c r="B253" i="22"/>
  <c r="A253" i="22"/>
  <c r="C253" i="22"/>
  <c r="D253" i="22"/>
  <c r="E253" i="22"/>
  <c r="H253" i="22"/>
  <c r="N253" i="22"/>
  <c r="X253" i="22"/>
  <c r="BA253" i="22"/>
  <c r="AB253" i="22"/>
  <c r="AC253" i="22"/>
  <c r="AP253" i="22"/>
  <c r="AV253" i="22"/>
  <c r="BG253" i="22"/>
  <c r="BK253" i="22"/>
  <c r="BM253" i="22"/>
  <c r="CB253" i="22"/>
  <c r="CC253" i="22"/>
  <c r="K254" i="22"/>
  <c r="B254" i="22"/>
  <c r="A254" i="22"/>
  <c r="C254" i="22"/>
  <c r="D254" i="22"/>
  <c r="E254" i="22"/>
  <c r="H254" i="22"/>
  <c r="N254" i="22"/>
  <c r="X254" i="22"/>
  <c r="BA254" i="22"/>
  <c r="AB254" i="22"/>
  <c r="AC254" i="22"/>
  <c r="AP254" i="22"/>
  <c r="AV254" i="22"/>
  <c r="BG254" i="22"/>
  <c r="BK254" i="22"/>
  <c r="BM254" i="22"/>
  <c r="CB254" i="22"/>
  <c r="CC254" i="22"/>
  <c r="K255" i="22"/>
  <c r="B255" i="22"/>
  <c r="A255" i="22"/>
  <c r="C255" i="22"/>
  <c r="D255" i="22"/>
  <c r="E255" i="22"/>
  <c r="H255" i="22"/>
  <c r="N255" i="22"/>
  <c r="X255" i="22"/>
  <c r="BA255" i="22"/>
  <c r="AB255" i="22"/>
  <c r="AC255" i="22"/>
  <c r="AP255" i="22"/>
  <c r="AV255" i="22"/>
  <c r="BG255" i="22"/>
  <c r="BK255" i="22"/>
  <c r="BM255" i="22"/>
  <c r="CB255" i="22"/>
  <c r="CC255" i="22"/>
  <c r="K256" i="22"/>
  <c r="B256" i="22"/>
  <c r="A256" i="22"/>
  <c r="C256" i="22"/>
  <c r="D256" i="22"/>
  <c r="E256" i="22"/>
  <c r="H256" i="22"/>
  <c r="N256" i="22"/>
  <c r="X256" i="22"/>
  <c r="BA256" i="22"/>
  <c r="AB256" i="22"/>
  <c r="AC256" i="22"/>
  <c r="AP256" i="22"/>
  <c r="AV256" i="22"/>
  <c r="BG256" i="22"/>
  <c r="BK256" i="22"/>
  <c r="BM256" i="22"/>
  <c r="CB256" i="22"/>
  <c r="CC256" i="22"/>
  <c r="K257" i="22"/>
  <c r="B257" i="22"/>
  <c r="A257" i="22"/>
  <c r="C257" i="22"/>
  <c r="D257" i="22"/>
  <c r="E257" i="22"/>
  <c r="H257" i="22"/>
  <c r="N257" i="22"/>
  <c r="X257" i="22"/>
  <c r="BA257" i="22"/>
  <c r="AB257" i="22"/>
  <c r="AC257" i="22"/>
  <c r="AP257" i="22"/>
  <c r="AV257" i="22"/>
  <c r="BG257" i="22"/>
  <c r="BK257" i="22"/>
  <c r="BM257" i="22"/>
  <c r="CB257" i="22"/>
  <c r="CC257" i="22"/>
  <c r="K258" i="22"/>
  <c r="B258" i="22"/>
  <c r="A258" i="22"/>
  <c r="C258" i="22"/>
  <c r="D258" i="22"/>
  <c r="E258" i="22"/>
  <c r="H258" i="22"/>
  <c r="N258" i="22"/>
  <c r="X258" i="22"/>
  <c r="BA258" i="22"/>
  <c r="AB258" i="22"/>
  <c r="AC258" i="22"/>
  <c r="AP258" i="22"/>
  <c r="AV258" i="22"/>
  <c r="BG258" i="22"/>
  <c r="BK258" i="22"/>
  <c r="BM258" i="22"/>
  <c r="CB258" i="22"/>
  <c r="CC258" i="22"/>
  <c r="K259" i="22"/>
  <c r="B259" i="22"/>
  <c r="A259" i="22"/>
  <c r="C259" i="22"/>
  <c r="D259" i="22"/>
  <c r="E259" i="22"/>
  <c r="H259" i="22"/>
  <c r="N259" i="22"/>
  <c r="X259" i="22"/>
  <c r="BA259" i="22"/>
  <c r="AB259" i="22"/>
  <c r="AC259" i="22"/>
  <c r="AP259" i="22"/>
  <c r="AV259" i="22"/>
  <c r="BG259" i="22"/>
  <c r="BK259" i="22"/>
  <c r="BM259" i="22"/>
  <c r="CB259" i="22"/>
  <c r="CC259" i="22"/>
  <c r="K260" i="22"/>
  <c r="B260" i="22"/>
  <c r="A260" i="22"/>
  <c r="C260" i="22"/>
  <c r="D260" i="22"/>
  <c r="E260" i="22"/>
  <c r="H260" i="22"/>
  <c r="N260" i="22"/>
  <c r="X260" i="22"/>
  <c r="BA260" i="22"/>
  <c r="AB260" i="22"/>
  <c r="AC260" i="22"/>
  <c r="AP260" i="22"/>
  <c r="AV260" i="22"/>
  <c r="BG260" i="22"/>
  <c r="BK260" i="22"/>
  <c r="BM260" i="22"/>
  <c r="CB260" i="22"/>
  <c r="CC260" i="22"/>
  <c r="K261" i="22"/>
  <c r="B261" i="22"/>
  <c r="A261" i="22"/>
  <c r="C261" i="22"/>
  <c r="D261" i="22"/>
  <c r="E261" i="22"/>
  <c r="H261" i="22"/>
  <c r="N261" i="22"/>
  <c r="X261" i="22"/>
  <c r="BA261" i="22"/>
  <c r="AB261" i="22"/>
  <c r="AC261" i="22"/>
  <c r="AP261" i="22"/>
  <c r="AV261" i="22"/>
  <c r="BG261" i="22"/>
  <c r="BK261" i="22"/>
  <c r="BM261" i="22"/>
  <c r="CB261" i="22"/>
  <c r="CC261" i="22"/>
  <c r="K262" i="22"/>
  <c r="B262" i="22"/>
  <c r="A262" i="22"/>
  <c r="C262" i="22"/>
  <c r="D262" i="22"/>
  <c r="E262" i="22"/>
  <c r="H262" i="22"/>
  <c r="N262" i="22"/>
  <c r="X262" i="22"/>
  <c r="BA262" i="22"/>
  <c r="AB262" i="22"/>
  <c r="AC262" i="22"/>
  <c r="AP262" i="22"/>
  <c r="AV262" i="22"/>
  <c r="BG262" i="22"/>
  <c r="BK262" i="22"/>
  <c r="BM262" i="22"/>
  <c r="CB262" i="22"/>
  <c r="CC262" i="22"/>
  <c r="K263" i="22"/>
  <c r="B263" i="22"/>
  <c r="A263" i="22"/>
  <c r="C263" i="22"/>
  <c r="D263" i="22"/>
  <c r="E263" i="22"/>
  <c r="H263" i="22"/>
  <c r="N263" i="22"/>
  <c r="X263" i="22"/>
  <c r="BA263" i="22"/>
  <c r="AB263" i="22"/>
  <c r="AC263" i="22"/>
  <c r="AP263" i="22"/>
  <c r="AV263" i="22"/>
  <c r="BG263" i="22"/>
  <c r="BK263" i="22"/>
  <c r="BM263" i="22"/>
  <c r="CB263" i="22"/>
  <c r="CC263" i="22"/>
  <c r="K264" i="22"/>
  <c r="B264" i="22"/>
  <c r="A264" i="22"/>
  <c r="C264" i="22"/>
  <c r="D264" i="22"/>
  <c r="E264" i="22"/>
  <c r="H264" i="22"/>
  <c r="N264" i="22"/>
  <c r="X264" i="22"/>
  <c r="BA264" i="22"/>
  <c r="AB264" i="22"/>
  <c r="AC264" i="22"/>
  <c r="AP264" i="22"/>
  <c r="AV264" i="22"/>
  <c r="BG264" i="22"/>
  <c r="BK264" i="22"/>
  <c r="BM264" i="22"/>
  <c r="CB264" i="22"/>
  <c r="CC264" i="22"/>
  <c r="K265" i="22"/>
  <c r="B265" i="22"/>
  <c r="A265" i="22"/>
  <c r="C265" i="22"/>
  <c r="D265" i="22"/>
  <c r="E265" i="22"/>
  <c r="H265" i="22"/>
  <c r="N265" i="22"/>
  <c r="X265" i="22"/>
  <c r="BA265" i="22"/>
  <c r="AB265" i="22"/>
  <c r="AC265" i="22"/>
  <c r="AP265" i="22"/>
  <c r="AV265" i="22"/>
  <c r="BG265" i="22"/>
  <c r="BK265" i="22"/>
  <c r="BM265" i="22"/>
  <c r="CB265" i="22"/>
  <c r="CC265" i="22"/>
  <c r="K266" i="22"/>
  <c r="B266" i="22"/>
  <c r="A266" i="22"/>
  <c r="C266" i="22"/>
  <c r="D266" i="22"/>
  <c r="E266" i="22"/>
  <c r="H266" i="22"/>
  <c r="N266" i="22"/>
  <c r="X266" i="22"/>
  <c r="BA266" i="22"/>
  <c r="AB266" i="22"/>
  <c r="AC266" i="22"/>
  <c r="AP266" i="22"/>
  <c r="AV266" i="22"/>
  <c r="BG266" i="22"/>
  <c r="BK266" i="22"/>
  <c r="BM266" i="22"/>
  <c r="CB266" i="22"/>
  <c r="CC266" i="22"/>
  <c r="K267" i="22"/>
  <c r="B267" i="22"/>
  <c r="A267" i="22"/>
  <c r="C267" i="22"/>
  <c r="D267" i="22"/>
  <c r="E267" i="22"/>
  <c r="H267" i="22"/>
  <c r="N267" i="22"/>
  <c r="X267" i="22"/>
  <c r="BA267" i="22"/>
  <c r="AB267" i="22"/>
  <c r="AC267" i="22"/>
  <c r="AP267" i="22"/>
  <c r="AV267" i="22"/>
  <c r="BG267" i="22"/>
  <c r="BK267" i="22"/>
  <c r="BM267" i="22"/>
  <c r="CB267" i="22"/>
  <c r="CC267" i="22"/>
  <c r="K268" i="22"/>
  <c r="B268" i="22"/>
  <c r="A268" i="22"/>
  <c r="C268" i="22"/>
  <c r="D268" i="22"/>
  <c r="E268" i="22"/>
  <c r="H268" i="22"/>
  <c r="N268" i="22"/>
  <c r="X268" i="22"/>
  <c r="BA268" i="22"/>
  <c r="AB268" i="22"/>
  <c r="AC268" i="22"/>
  <c r="AP268" i="22"/>
  <c r="AV268" i="22"/>
  <c r="BG268" i="22"/>
  <c r="BK268" i="22"/>
  <c r="BM268" i="22"/>
  <c r="CB268" i="22"/>
  <c r="CC268" i="22"/>
  <c r="K269" i="22"/>
  <c r="B269" i="22"/>
  <c r="A269" i="22"/>
  <c r="C269" i="22"/>
  <c r="D269" i="22"/>
  <c r="E269" i="22"/>
  <c r="H269" i="22"/>
  <c r="N269" i="22"/>
  <c r="X269" i="22"/>
  <c r="BA269" i="22"/>
  <c r="AB269" i="22"/>
  <c r="AC269" i="22"/>
  <c r="AP269" i="22"/>
  <c r="AV269" i="22"/>
  <c r="BG269" i="22"/>
  <c r="BK269" i="22"/>
  <c r="BM269" i="22"/>
  <c r="CB269" i="22"/>
  <c r="CC269" i="22"/>
  <c r="K270" i="22"/>
  <c r="B270" i="22"/>
  <c r="A270" i="22"/>
  <c r="C270" i="22"/>
  <c r="D270" i="22"/>
  <c r="E270" i="22"/>
  <c r="H270" i="22"/>
  <c r="N270" i="22"/>
  <c r="X270" i="22"/>
  <c r="BA270" i="22"/>
  <c r="AB270" i="22"/>
  <c r="AC270" i="22"/>
  <c r="AP270" i="22"/>
  <c r="AV270" i="22"/>
  <c r="BG270" i="22"/>
  <c r="BK270" i="22"/>
  <c r="BM270" i="22"/>
  <c r="CB270" i="22"/>
  <c r="CC270" i="22"/>
  <c r="K271" i="22"/>
  <c r="B271" i="22"/>
  <c r="A271" i="22"/>
  <c r="C271" i="22"/>
  <c r="D271" i="22"/>
  <c r="E271" i="22"/>
  <c r="H271" i="22"/>
  <c r="N271" i="22"/>
  <c r="X271" i="22"/>
  <c r="BA271" i="22"/>
  <c r="AB271" i="22"/>
  <c r="AC271" i="22"/>
  <c r="AP271" i="22"/>
  <c r="AV271" i="22"/>
  <c r="BG271" i="22"/>
  <c r="BK271" i="22"/>
  <c r="BM271" i="22"/>
  <c r="CB271" i="22"/>
  <c r="CC271" i="22"/>
  <c r="K272" i="22"/>
  <c r="B272" i="22"/>
  <c r="A272" i="22"/>
  <c r="C272" i="22"/>
  <c r="D272" i="22"/>
  <c r="E272" i="22"/>
  <c r="H272" i="22"/>
  <c r="N272" i="22"/>
  <c r="X272" i="22"/>
  <c r="BA272" i="22"/>
  <c r="AB272" i="22"/>
  <c r="AC272" i="22"/>
  <c r="AP272" i="22"/>
  <c r="AV272" i="22"/>
  <c r="BG272" i="22"/>
  <c r="BK272" i="22"/>
  <c r="BM272" i="22"/>
  <c r="CB272" i="22"/>
  <c r="CC272" i="22"/>
  <c r="K273" i="22"/>
  <c r="B273" i="22"/>
  <c r="A273" i="22"/>
  <c r="C273" i="22"/>
  <c r="D273" i="22"/>
  <c r="E273" i="22"/>
  <c r="H273" i="22"/>
  <c r="N273" i="22"/>
  <c r="X273" i="22"/>
  <c r="BA273" i="22"/>
  <c r="AB273" i="22"/>
  <c r="AC273" i="22"/>
  <c r="AP273" i="22"/>
  <c r="AV273" i="22"/>
  <c r="BG273" i="22"/>
  <c r="BK273" i="22"/>
  <c r="BM273" i="22"/>
  <c r="CB273" i="22"/>
  <c r="CC273" i="22"/>
  <c r="K274" i="22"/>
  <c r="B274" i="22"/>
  <c r="A274" i="22"/>
  <c r="C274" i="22"/>
  <c r="D274" i="22"/>
  <c r="E274" i="22"/>
  <c r="H274" i="22"/>
  <c r="N274" i="22"/>
  <c r="X274" i="22"/>
  <c r="BA274" i="22"/>
  <c r="AB274" i="22"/>
  <c r="AC274" i="22"/>
  <c r="AP274" i="22"/>
  <c r="AV274" i="22"/>
  <c r="BG274" i="22"/>
  <c r="BK274" i="22"/>
  <c r="BM274" i="22"/>
  <c r="CB274" i="22"/>
  <c r="CC274" i="22"/>
  <c r="K275" i="22"/>
  <c r="B275" i="22"/>
  <c r="A275" i="22"/>
  <c r="C275" i="22"/>
  <c r="D275" i="22"/>
  <c r="E275" i="22"/>
  <c r="H275" i="22"/>
  <c r="N275" i="22"/>
  <c r="X275" i="22"/>
  <c r="BA275" i="22"/>
  <c r="AB275" i="22"/>
  <c r="AC275" i="22"/>
  <c r="AP275" i="22"/>
  <c r="AV275" i="22"/>
  <c r="BG275" i="22"/>
  <c r="BK275" i="22"/>
  <c r="BM275" i="22"/>
  <c r="CB275" i="22"/>
  <c r="CC275" i="22"/>
  <c r="K276" i="22"/>
  <c r="B276" i="22"/>
  <c r="A276" i="22"/>
  <c r="C276" i="22"/>
  <c r="D276" i="22"/>
  <c r="E276" i="22"/>
  <c r="H276" i="22"/>
  <c r="N276" i="22"/>
  <c r="X276" i="22"/>
  <c r="BA276" i="22"/>
  <c r="AB276" i="22"/>
  <c r="AC276" i="22"/>
  <c r="AP276" i="22"/>
  <c r="AV276" i="22"/>
  <c r="BG276" i="22"/>
  <c r="BK276" i="22"/>
  <c r="BM276" i="22"/>
  <c r="CB276" i="22"/>
  <c r="CC276" i="22"/>
  <c r="K277" i="22"/>
  <c r="B277" i="22"/>
  <c r="A277" i="22"/>
  <c r="C277" i="22"/>
  <c r="D277" i="22"/>
  <c r="E277" i="22"/>
  <c r="H277" i="22"/>
  <c r="N277" i="22"/>
  <c r="X277" i="22"/>
  <c r="BA277" i="22"/>
  <c r="AB277" i="22"/>
  <c r="AC277" i="22"/>
  <c r="AP277" i="22"/>
  <c r="AV277" i="22"/>
  <c r="BG277" i="22"/>
  <c r="BK277" i="22"/>
  <c r="BM277" i="22"/>
  <c r="CB277" i="22"/>
  <c r="CC277" i="22"/>
  <c r="K278" i="22"/>
  <c r="B278" i="22"/>
  <c r="A278" i="22"/>
  <c r="C278" i="22"/>
  <c r="D278" i="22"/>
  <c r="E278" i="22"/>
  <c r="H278" i="22"/>
  <c r="N278" i="22"/>
  <c r="X278" i="22"/>
  <c r="BA278" i="22"/>
  <c r="AB278" i="22"/>
  <c r="AC278" i="22"/>
  <c r="AP278" i="22"/>
  <c r="AV278" i="22"/>
  <c r="BG278" i="22"/>
  <c r="BK278" i="22"/>
  <c r="BM278" i="22"/>
  <c r="CB278" i="22"/>
  <c r="CC278" i="22"/>
  <c r="K279" i="22"/>
  <c r="B279" i="22"/>
  <c r="A279" i="22"/>
  <c r="C279" i="22"/>
  <c r="D279" i="22"/>
  <c r="E279" i="22"/>
  <c r="H279" i="22"/>
  <c r="N279" i="22"/>
  <c r="X279" i="22"/>
  <c r="BA279" i="22"/>
  <c r="AB279" i="22"/>
  <c r="AC279" i="22"/>
  <c r="AP279" i="22"/>
  <c r="AV279" i="22"/>
  <c r="BG279" i="22"/>
  <c r="BK279" i="22"/>
  <c r="BM279" i="22"/>
  <c r="CB279" i="22"/>
  <c r="CC279" i="22"/>
  <c r="K280" i="22"/>
  <c r="B280" i="22"/>
  <c r="A280" i="22"/>
  <c r="C280" i="22"/>
  <c r="D280" i="22"/>
  <c r="E280" i="22"/>
  <c r="H280" i="22"/>
  <c r="N280" i="22"/>
  <c r="X280" i="22"/>
  <c r="BA280" i="22"/>
  <c r="AB280" i="22"/>
  <c r="AC280" i="22"/>
  <c r="AP280" i="22"/>
  <c r="AV280" i="22"/>
  <c r="BG280" i="22"/>
  <c r="BK280" i="22"/>
  <c r="BM280" i="22"/>
  <c r="CB280" i="22"/>
  <c r="CC280" i="22"/>
  <c r="K281" i="22"/>
  <c r="B281" i="22"/>
  <c r="A281" i="22"/>
  <c r="C281" i="22"/>
  <c r="D281" i="22"/>
  <c r="E281" i="22"/>
  <c r="H281" i="22"/>
  <c r="N281" i="22"/>
  <c r="X281" i="22"/>
  <c r="BA281" i="22"/>
  <c r="AB281" i="22"/>
  <c r="AC281" i="22"/>
  <c r="AP281" i="22"/>
  <c r="AV281" i="22"/>
  <c r="BG281" i="22"/>
  <c r="BK281" i="22"/>
  <c r="BM281" i="22"/>
  <c r="CB281" i="22"/>
  <c r="CC281" i="22"/>
  <c r="K282" i="22"/>
  <c r="B282" i="22"/>
  <c r="A282" i="22"/>
  <c r="C282" i="22"/>
  <c r="D282" i="22"/>
  <c r="E282" i="22"/>
  <c r="H282" i="22"/>
  <c r="N282" i="22"/>
  <c r="X282" i="22"/>
  <c r="BA282" i="22"/>
  <c r="AB282" i="22"/>
  <c r="AC282" i="22"/>
  <c r="AP282" i="22"/>
  <c r="AV282" i="22"/>
  <c r="BG282" i="22"/>
  <c r="BK282" i="22"/>
  <c r="BM282" i="22"/>
  <c r="CB282" i="22"/>
  <c r="CC282" i="22"/>
  <c r="K283" i="22"/>
  <c r="B283" i="22"/>
  <c r="A283" i="22"/>
  <c r="C283" i="22"/>
  <c r="D283" i="22"/>
  <c r="E283" i="22"/>
  <c r="H283" i="22"/>
  <c r="N283" i="22"/>
  <c r="X283" i="22"/>
  <c r="BA283" i="22"/>
  <c r="AB283" i="22"/>
  <c r="AC283" i="22"/>
  <c r="AP283" i="22"/>
  <c r="AV283" i="22"/>
  <c r="BG283" i="22"/>
  <c r="BK283" i="22"/>
  <c r="BM283" i="22"/>
  <c r="CB283" i="22"/>
  <c r="CC283" i="22"/>
  <c r="K284" i="22"/>
  <c r="B284" i="22"/>
  <c r="A284" i="22"/>
  <c r="C284" i="22"/>
  <c r="D284" i="22"/>
  <c r="E284" i="22"/>
  <c r="H284" i="22"/>
  <c r="N284" i="22"/>
  <c r="X284" i="22"/>
  <c r="BA284" i="22"/>
  <c r="AB284" i="22"/>
  <c r="AC284" i="22"/>
  <c r="AP284" i="22"/>
  <c r="AV284" i="22"/>
  <c r="BG284" i="22"/>
  <c r="BK284" i="22"/>
  <c r="BM284" i="22"/>
  <c r="CB284" i="22"/>
  <c r="CC284" i="22"/>
  <c r="K285" i="22"/>
  <c r="B285" i="22"/>
  <c r="A285" i="22"/>
  <c r="C285" i="22"/>
  <c r="D285" i="22"/>
  <c r="E285" i="22"/>
  <c r="H285" i="22"/>
  <c r="N285" i="22"/>
  <c r="X285" i="22"/>
  <c r="BA285" i="22"/>
  <c r="AB285" i="22"/>
  <c r="AC285" i="22"/>
  <c r="AP285" i="22"/>
  <c r="AV285" i="22"/>
  <c r="BG285" i="22"/>
  <c r="BK285" i="22"/>
  <c r="BM285" i="22"/>
  <c r="CB285" i="22"/>
  <c r="CC285" i="22"/>
  <c r="K286" i="22"/>
  <c r="B286" i="22"/>
  <c r="A286" i="22"/>
  <c r="C286" i="22"/>
  <c r="D286" i="22"/>
  <c r="E286" i="22"/>
  <c r="H286" i="22"/>
  <c r="N286" i="22"/>
  <c r="X286" i="22"/>
  <c r="BA286" i="22"/>
  <c r="AB286" i="22"/>
  <c r="AC286" i="22"/>
  <c r="AP286" i="22"/>
  <c r="AV286" i="22"/>
  <c r="BG286" i="22"/>
  <c r="BK286" i="22"/>
  <c r="BM286" i="22"/>
  <c r="CB286" i="22"/>
  <c r="CC286" i="22"/>
  <c r="K287" i="22"/>
  <c r="B287" i="22"/>
  <c r="A287" i="22"/>
  <c r="C287" i="22"/>
  <c r="D287" i="22"/>
  <c r="E287" i="22"/>
  <c r="H287" i="22"/>
  <c r="N287" i="22"/>
  <c r="X287" i="22"/>
  <c r="BA287" i="22"/>
  <c r="AB287" i="22"/>
  <c r="AC287" i="22"/>
  <c r="AP287" i="22"/>
  <c r="AV287" i="22"/>
  <c r="BG287" i="22"/>
  <c r="BK287" i="22"/>
  <c r="BM287" i="22"/>
  <c r="CB287" i="22"/>
  <c r="CC287" i="22"/>
  <c r="K288" i="22"/>
  <c r="B288" i="22"/>
  <c r="A288" i="22"/>
  <c r="C288" i="22"/>
  <c r="D288" i="22"/>
  <c r="E288" i="22"/>
  <c r="H288" i="22"/>
  <c r="N288" i="22"/>
  <c r="X288" i="22"/>
  <c r="BA288" i="22"/>
  <c r="AB288" i="22"/>
  <c r="AC288" i="22"/>
  <c r="AP288" i="22"/>
  <c r="AV288" i="22"/>
  <c r="BG288" i="22"/>
  <c r="BK288" i="22"/>
  <c r="BM288" i="22"/>
  <c r="CB288" i="22"/>
  <c r="CC288" i="22"/>
  <c r="K289" i="22"/>
  <c r="B289" i="22"/>
  <c r="A289" i="22"/>
  <c r="C289" i="22"/>
  <c r="D289" i="22"/>
  <c r="E289" i="22"/>
  <c r="H289" i="22"/>
  <c r="N289" i="22"/>
  <c r="X289" i="22"/>
  <c r="BA289" i="22"/>
  <c r="AB289" i="22"/>
  <c r="AC289" i="22"/>
  <c r="AP289" i="22"/>
  <c r="AV289" i="22"/>
  <c r="BG289" i="22"/>
  <c r="BK289" i="22"/>
  <c r="BM289" i="22"/>
  <c r="CB289" i="22"/>
  <c r="CC289" i="22"/>
  <c r="K290" i="22"/>
  <c r="B290" i="22"/>
  <c r="A290" i="22"/>
  <c r="C290" i="22"/>
  <c r="D290" i="22"/>
  <c r="E290" i="22"/>
  <c r="H290" i="22"/>
  <c r="N290" i="22"/>
  <c r="X290" i="22"/>
  <c r="BA290" i="22"/>
  <c r="AB290" i="22"/>
  <c r="AC290" i="22"/>
  <c r="AP290" i="22"/>
  <c r="AV290" i="22"/>
  <c r="BG290" i="22"/>
  <c r="BK290" i="22"/>
  <c r="BM290" i="22"/>
  <c r="CB290" i="22"/>
  <c r="CC290" i="22"/>
  <c r="K291" i="22"/>
  <c r="B291" i="22"/>
  <c r="A291" i="22"/>
  <c r="C291" i="22"/>
  <c r="D291" i="22"/>
  <c r="E291" i="22"/>
  <c r="H291" i="22"/>
  <c r="N291" i="22"/>
  <c r="X291" i="22"/>
  <c r="BA291" i="22"/>
  <c r="AB291" i="22"/>
  <c r="AC291" i="22"/>
  <c r="AP291" i="22"/>
  <c r="AV291" i="22"/>
  <c r="BG291" i="22"/>
  <c r="BK291" i="22"/>
  <c r="BM291" i="22"/>
  <c r="CB291" i="22"/>
  <c r="CC291" i="22"/>
  <c r="K292" i="22"/>
  <c r="B292" i="22"/>
  <c r="A292" i="22"/>
  <c r="C292" i="22"/>
  <c r="D292" i="22"/>
  <c r="E292" i="22"/>
  <c r="H292" i="22"/>
  <c r="N292" i="22"/>
  <c r="X292" i="22"/>
  <c r="BA292" i="22"/>
  <c r="AB292" i="22"/>
  <c r="AC292" i="22"/>
  <c r="AP292" i="22"/>
  <c r="AV292" i="22"/>
  <c r="BG292" i="22"/>
  <c r="BK292" i="22"/>
  <c r="BM292" i="22"/>
  <c r="CB292" i="22"/>
  <c r="CC292" i="22"/>
  <c r="K293" i="22"/>
  <c r="B293" i="22"/>
  <c r="A293" i="22"/>
  <c r="C293" i="22"/>
  <c r="D293" i="22"/>
  <c r="E293" i="22"/>
  <c r="H293" i="22"/>
  <c r="N293" i="22"/>
  <c r="X293" i="22"/>
  <c r="BA293" i="22"/>
  <c r="AB293" i="22"/>
  <c r="AC293" i="22"/>
  <c r="AP293" i="22"/>
  <c r="AV293" i="22"/>
  <c r="BG293" i="22"/>
  <c r="BK293" i="22"/>
  <c r="BM293" i="22"/>
  <c r="CB293" i="22"/>
  <c r="CC293" i="22"/>
  <c r="K294" i="22"/>
  <c r="B294" i="22"/>
  <c r="A294" i="22"/>
  <c r="C294" i="22"/>
  <c r="D294" i="22"/>
  <c r="E294" i="22"/>
  <c r="H294" i="22"/>
  <c r="N294" i="22"/>
  <c r="X294" i="22"/>
  <c r="BA294" i="22"/>
  <c r="AB294" i="22"/>
  <c r="AC294" i="22"/>
  <c r="AP294" i="22"/>
  <c r="AV294" i="22"/>
  <c r="BG294" i="22"/>
  <c r="BK294" i="22"/>
  <c r="BM294" i="22"/>
  <c r="CB294" i="22"/>
  <c r="CC294" i="22"/>
  <c r="K295" i="22"/>
  <c r="B295" i="22"/>
  <c r="A295" i="22"/>
  <c r="C295" i="22"/>
  <c r="D295" i="22"/>
  <c r="E295" i="22"/>
  <c r="H295" i="22"/>
  <c r="N295" i="22"/>
  <c r="X295" i="22"/>
  <c r="BA295" i="22"/>
  <c r="AB295" i="22"/>
  <c r="AC295" i="22"/>
  <c r="AP295" i="22"/>
  <c r="AV295" i="22"/>
  <c r="BG295" i="22"/>
  <c r="BK295" i="22"/>
  <c r="BM295" i="22"/>
  <c r="CB295" i="22"/>
  <c r="CC295" i="22"/>
  <c r="K296" i="22"/>
  <c r="B296" i="22"/>
  <c r="A296" i="22"/>
  <c r="C296" i="22"/>
  <c r="D296" i="22"/>
  <c r="E296" i="22"/>
  <c r="H296" i="22"/>
  <c r="N296" i="22"/>
  <c r="X296" i="22"/>
  <c r="BA296" i="22"/>
  <c r="AB296" i="22"/>
  <c r="AC296" i="22"/>
  <c r="AP296" i="22"/>
  <c r="AV296" i="22"/>
  <c r="BG296" i="22"/>
  <c r="BK296" i="22"/>
  <c r="BM296" i="22"/>
  <c r="CB296" i="22"/>
  <c r="CC296" i="22"/>
  <c r="K297" i="22"/>
  <c r="B297" i="22"/>
  <c r="A297" i="22"/>
  <c r="C297" i="22"/>
  <c r="D297" i="22"/>
  <c r="E297" i="22"/>
  <c r="H297" i="22"/>
  <c r="N297" i="22"/>
  <c r="X297" i="22"/>
  <c r="BA297" i="22"/>
  <c r="AB297" i="22"/>
  <c r="AC297" i="22"/>
  <c r="AP297" i="22"/>
  <c r="AV297" i="22"/>
  <c r="BG297" i="22"/>
  <c r="BK297" i="22"/>
  <c r="BM297" i="22"/>
  <c r="CB297" i="22"/>
  <c r="CC297" i="22"/>
  <c r="K298" i="22"/>
  <c r="B298" i="22"/>
  <c r="A298" i="22"/>
  <c r="C298" i="22"/>
  <c r="D298" i="22"/>
  <c r="E298" i="22"/>
  <c r="H298" i="22"/>
  <c r="N298" i="22"/>
  <c r="X298" i="22"/>
  <c r="BA298" i="22"/>
  <c r="AB298" i="22"/>
  <c r="AC298" i="22"/>
  <c r="AP298" i="22"/>
  <c r="AV298" i="22"/>
  <c r="BG298" i="22"/>
  <c r="BK298" i="22"/>
  <c r="BM298" i="22"/>
  <c r="CB298" i="22"/>
  <c r="CC298" i="22"/>
  <c r="K299" i="22"/>
  <c r="B299" i="22"/>
  <c r="A299" i="22"/>
  <c r="C299" i="22"/>
  <c r="D299" i="22"/>
  <c r="E299" i="22"/>
  <c r="H299" i="22"/>
  <c r="N299" i="22"/>
  <c r="X299" i="22"/>
  <c r="BA299" i="22"/>
  <c r="AB299" i="22"/>
  <c r="AC299" i="22"/>
  <c r="AP299" i="22"/>
  <c r="AV299" i="22"/>
  <c r="BG299" i="22"/>
  <c r="BK299" i="22"/>
  <c r="BM299" i="22"/>
  <c r="CB299" i="22"/>
  <c r="CC299" i="22"/>
  <c r="K300" i="22"/>
  <c r="B300" i="22"/>
  <c r="A300" i="22"/>
  <c r="C300" i="22"/>
  <c r="D300" i="22"/>
  <c r="E300" i="22"/>
  <c r="H300" i="22"/>
  <c r="N300" i="22"/>
  <c r="X300" i="22"/>
  <c r="BA300" i="22"/>
  <c r="AB300" i="22"/>
  <c r="AC300" i="22"/>
  <c r="AP300" i="22"/>
  <c r="AV300" i="22"/>
  <c r="BG300" i="22"/>
  <c r="BK300" i="22"/>
  <c r="BM300" i="22"/>
  <c r="CB300" i="22"/>
  <c r="CC300" i="22"/>
  <c r="K301" i="22"/>
  <c r="B301" i="22"/>
  <c r="A301" i="22"/>
  <c r="C301" i="22"/>
  <c r="D301" i="22"/>
  <c r="E301" i="22"/>
  <c r="H301" i="22"/>
  <c r="N301" i="22"/>
  <c r="X301" i="22"/>
  <c r="BA301" i="22"/>
  <c r="AB301" i="22"/>
  <c r="AC301" i="22"/>
  <c r="AP301" i="22"/>
  <c r="AV301" i="22"/>
  <c r="BG301" i="22"/>
  <c r="BK301" i="22"/>
  <c r="BM301" i="22"/>
  <c r="CB301" i="22"/>
  <c r="CC301" i="22"/>
  <c r="K302" i="22"/>
  <c r="B302" i="22"/>
  <c r="A302" i="22"/>
  <c r="C302" i="22"/>
  <c r="D302" i="22"/>
  <c r="E302" i="22"/>
  <c r="H302" i="22"/>
  <c r="N302" i="22"/>
  <c r="X302" i="22"/>
  <c r="BA302" i="22"/>
  <c r="AB302" i="22"/>
  <c r="AC302" i="22"/>
  <c r="AP302" i="22"/>
  <c r="AV302" i="22"/>
  <c r="BG302" i="22"/>
  <c r="BK302" i="22"/>
  <c r="BM302" i="22"/>
  <c r="CB302" i="22"/>
  <c r="CC302" i="22"/>
  <c r="K303" i="22"/>
  <c r="B303" i="22"/>
  <c r="A303" i="22"/>
  <c r="C303" i="22"/>
  <c r="D303" i="22"/>
  <c r="E303" i="22"/>
  <c r="H303" i="22"/>
  <c r="N303" i="22"/>
  <c r="X303" i="22"/>
  <c r="BA303" i="22"/>
  <c r="AB303" i="22"/>
  <c r="AC303" i="22"/>
  <c r="AP303" i="22"/>
  <c r="AV303" i="22"/>
  <c r="BG303" i="22"/>
  <c r="BK303" i="22"/>
  <c r="BM303" i="22"/>
  <c r="CB303" i="22"/>
  <c r="CC303" i="22"/>
  <c r="K304" i="22"/>
  <c r="B304" i="22"/>
  <c r="A304" i="22"/>
  <c r="C304" i="22"/>
  <c r="D304" i="22"/>
  <c r="E304" i="22"/>
  <c r="H304" i="22"/>
  <c r="N304" i="22"/>
  <c r="X304" i="22"/>
  <c r="BA304" i="22"/>
  <c r="AB304" i="22"/>
  <c r="AC304" i="22"/>
  <c r="AP304" i="22"/>
  <c r="AV304" i="22"/>
  <c r="BG304" i="22"/>
  <c r="BK304" i="22"/>
  <c r="BM304" i="22"/>
  <c r="CB304" i="22"/>
  <c r="CC304" i="22"/>
  <c r="K305" i="22"/>
  <c r="B305" i="22"/>
  <c r="A305" i="22"/>
  <c r="C305" i="22"/>
  <c r="D305" i="22"/>
  <c r="E305" i="22"/>
  <c r="H305" i="22"/>
  <c r="N305" i="22"/>
  <c r="X305" i="22"/>
  <c r="BA305" i="22"/>
  <c r="AB305" i="22"/>
  <c r="AC305" i="22"/>
  <c r="AP305" i="22"/>
  <c r="AV305" i="22"/>
  <c r="BG305" i="22"/>
  <c r="BK305" i="22"/>
  <c r="BM305" i="22"/>
  <c r="CB305" i="22"/>
  <c r="CC305" i="22"/>
  <c r="K306" i="22"/>
  <c r="B306" i="22"/>
  <c r="A306" i="22"/>
  <c r="C306" i="22"/>
  <c r="D306" i="22"/>
  <c r="E306" i="22"/>
  <c r="H306" i="22"/>
  <c r="N306" i="22"/>
  <c r="X306" i="22"/>
  <c r="BA306" i="22"/>
  <c r="AB306" i="22"/>
  <c r="AC306" i="22"/>
  <c r="AP306" i="22"/>
  <c r="AV306" i="22"/>
  <c r="BG306" i="22"/>
  <c r="BK306" i="22"/>
  <c r="BM306" i="22"/>
  <c r="CB306" i="22"/>
  <c r="CC306" i="22"/>
  <c r="K307" i="22"/>
  <c r="B307" i="22"/>
  <c r="A307" i="22"/>
  <c r="C307" i="22"/>
  <c r="D307" i="22"/>
  <c r="E307" i="22"/>
  <c r="H307" i="22"/>
  <c r="N307" i="22"/>
  <c r="X307" i="22"/>
  <c r="BA307" i="22"/>
  <c r="AB307" i="22"/>
  <c r="AC307" i="22"/>
  <c r="AP307" i="22"/>
  <c r="AV307" i="22"/>
  <c r="BG307" i="22"/>
  <c r="BK307" i="22"/>
  <c r="BM307" i="22"/>
  <c r="CB307" i="22"/>
  <c r="CC307" i="22"/>
  <c r="K308" i="22"/>
  <c r="B308" i="22"/>
  <c r="A308" i="22"/>
  <c r="C308" i="22"/>
  <c r="D308" i="22"/>
  <c r="E308" i="22"/>
  <c r="H308" i="22"/>
  <c r="N308" i="22"/>
  <c r="X308" i="22"/>
  <c r="BA308" i="22"/>
  <c r="AB308" i="22"/>
  <c r="AC308" i="22"/>
  <c r="AP308" i="22"/>
  <c r="AV308" i="22"/>
  <c r="BG308" i="22"/>
  <c r="BK308" i="22"/>
  <c r="BM308" i="22"/>
  <c r="CB308" i="22"/>
  <c r="CC308" i="22"/>
  <c r="K309" i="22"/>
  <c r="B309" i="22"/>
  <c r="A309" i="22"/>
  <c r="C309" i="22"/>
  <c r="D309" i="22"/>
  <c r="E309" i="22"/>
  <c r="H309" i="22"/>
  <c r="N309" i="22"/>
  <c r="X309" i="22"/>
  <c r="BA309" i="22"/>
  <c r="AB309" i="22"/>
  <c r="AC309" i="22"/>
  <c r="AP309" i="22"/>
  <c r="AV309" i="22"/>
  <c r="BG309" i="22"/>
  <c r="BK309" i="22"/>
  <c r="BM309" i="22"/>
  <c r="CB309" i="22"/>
  <c r="CC309" i="22"/>
  <c r="K310" i="22"/>
  <c r="B310" i="22"/>
  <c r="A310" i="22"/>
  <c r="C310" i="22"/>
  <c r="D310" i="22"/>
  <c r="E310" i="22"/>
  <c r="H310" i="22"/>
  <c r="N310" i="22"/>
  <c r="X310" i="22"/>
  <c r="BA310" i="22"/>
  <c r="AB310" i="22"/>
  <c r="AC310" i="22"/>
  <c r="AP310" i="22"/>
  <c r="AV310" i="22"/>
  <c r="BG310" i="22"/>
  <c r="BK310" i="22"/>
  <c r="BM310" i="22"/>
  <c r="CB310" i="22"/>
  <c r="CC310" i="22"/>
  <c r="K311" i="22"/>
  <c r="B311" i="22"/>
  <c r="A311" i="22"/>
  <c r="C311" i="22"/>
  <c r="D311" i="22"/>
  <c r="E311" i="22"/>
  <c r="H311" i="22"/>
  <c r="N311" i="22"/>
  <c r="X311" i="22"/>
  <c r="BA311" i="22"/>
  <c r="AB311" i="22"/>
  <c r="AC311" i="22"/>
  <c r="AP311" i="22"/>
  <c r="AV311" i="22"/>
  <c r="BG311" i="22"/>
  <c r="BK311" i="22"/>
  <c r="BM311" i="22"/>
  <c r="CB311" i="22"/>
  <c r="CC311" i="22"/>
  <c r="K312" i="22"/>
  <c r="B312" i="22"/>
  <c r="A312" i="22"/>
  <c r="C312" i="22"/>
  <c r="D312" i="22"/>
  <c r="E312" i="22"/>
  <c r="H312" i="22"/>
  <c r="N312" i="22"/>
  <c r="X312" i="22"/>
  <c r="BA312" i="22"/>
  <c r="AB312" i="22"/>
  <c r="AC312" i="22"/>
  <c r="AP312" i="22"/>
  <c r="AV312" i="22"/>
  <c r="BG312" i="22"/>
  <c r="BK312" i="22"/>
  <c r="BM312" i="22"/>
  <c r="CB312" i="22"/>
  <c r="CC312" i="22"/>
  <c r="K313" i="22"/>
  <c r="B313" i="22"/>
  <c r="A313" i="22"/>
  <c r="C313" i="22"/>
  <c r="D313" i="22"/>
  <c r="E313" i="22"/>
  <c r="H313" i="22"/>
  <c r="N313" i="22"/>
  <c r="X313" i="22"/>
  <c r="BA313" i="22"/>
  <c r="AB313" i="22"/>
  <c r="AC313" i="22"/>
  <c r="AP313" i="22"/>
  <c r="AV313" i="22"/>
  <c r="BG313" i="22"/>
  <c r="BK313" i="22"/>
  <c r="BM313" i="22"/>
  <c r="CB313" i="22"/>
  <c r="CC313" i="22"/>
  <c r="K314" i="22"/>
  <c r="B314" i="22"/>
  <c r="A314" i="22"/>
  <c r="C314" i="22"/>
  <c r="D314" i="22"/>
  <c r="E314" i="22"/>
  <c r="H314" i="22"/>
  <c r="N314" i="22"/>
  <c r="X314" i="22"/>
  <c r="BA314" i="22"/>
  <c r="AB314" i="22"/>
  <c r="AC314" i="22"/>
  <c r="AP314" i="22"/>
  <c r="AV314" i="22"/>
  <c r="BG314" i="22"/>
  <c r="BK314" i="22"/>
  <c r="BM314" i="22"/>
  <c r="CB314" i="22"/>
  <c r="CC314" i="22"/>
  <c r="K315" i="22"/>
  <c r="B315" i="22"/>
  <c r="A315" i="22"/>
  <c r="C315" i="22"/>
  <c r="D315" i="22"/>
  <c r="E315" i="22"/>
  <c r="H315" i="22"/>
  <c r="N315" i="22"/>
  <c r="X315" i="22"/>
  <c r="BA315" i="22"/>
  <c r="AB315" i="22"/>
  <c r="AC315" i="22"/>
  <c r="AP315" i="22"/>
  <c r="AV315" i="22"/>
  <c r="BG315" i="22"/>
  <c r="BK315" i="22"/>
  <c r="BM315" i="22"/>
  <c r="CB315" i="22"/>
  <c r="CC315" i="22"/>
  <c r="K316" i="22"/>
  <c r="B316" i="22"/>
  <c r="A316" i="22"/>
  <c r="C316" i="22"/>
  <c r="D316" i="22"/>
  <c r="E316" i="22"/>
  <c r="H316" i="22"/>
  <c r="N316" i="22"/>
  <c r="X316" i="22"/>
  <c r="BA316" i="22"/>
  <c r="AB316" i="22"/>
  <c r="AC316" i="22"/>
  <c r="AP316" i="22"/>
  <c r="AV316" i="22"/>
  <c r="BG316" i="22"/>
  <c r="BK316" i="22"/>
  <c r="BM316" i="22"/>
  <c r="CB316" i="22"/>
  <c r="CC316" i="22"/>
  <c r="K317" i="22"/>
  <c r="B317" i="22"/>
  <c r="A317" i="22"/>
  <c r="C317" i="22"/>
  <c r="D317" i="22"/>
  <c r="E317" i="22"/>
  <c r="H317" i="22"/>
  <c r="N317" i="22"/>
  <c r="X317" i="22"/>
  <c r="BA317" i="22"/>
  <c r="AB317" i="22"/>
  <c r="AC317" i="22"/>
  <c r="AP317" i="22"/>
  <c r="AV317" i="22"/>
  <c r="BG317" i="22"/>
  <c r="BK317" i="22"/>
  <c r="BM317" i="22"/>
  <c r="CB317" i="22"/>
  <c r="CC317" i="22"/>
  <c r="K318" i="22"/>
  <c r="B318" i="22"/>
  <c r="A318" i="22"/>
  <c r="C318" i="22"/>
  <c r="D318" i="22"/>
  <c r="E318" i="22"/>
  <c r="H318" i="22"/>
  <c r="N318" i="22"/>
  <c r="X318" i="22"/>
  <c r="BA318" i="22"/>
  <c r="AB318" i="22"/>
  <c r="AC318" i="22"/>
  <c r="AP318" i="22"/>
  <c r="AV318" i="22"/>
  <c r="BG318" i="22"/>
  <c r="BK318" i="22"/>
  <c r="BM318" i="22"/>
  <c r="CB318" i="22"/>
  <c r="CC318" i="22"/>
  <c r="K319" i="22"/>
  <c r="B319" i="22"/>
  <c r="A319" i="22"/>
  <c r="C319" i="22"/>
  <c r="D319" i="22"/>
  <c r="E319" i="22"/>
  <c r="H319" i="22"/>
  <c r="N319" i="22"/>
  <c r="X319" i="22"/>
  <c r="BA319" i="22"/>
  <c r="AB319" i="22"/>
  <c r="AC319" i="22"/>
  <c r="AP319" i="22"/>
  <c r="AV319" i="22"/>
  <c r="BG319" i="22"/>
  <c r="BK319" i="22"/>
  <c r="BM319" i="22"/>
  <c r="CB319" i="22"/>
  <c r="CC319" i="22"/>
  <c r="K320" i="22"/>
  <c r="B320" i="22"/>
  <c r="A320" i="22"/>
  <c r="C320" i="22"/>
  <c r="D320" i="22"/>
  <c r="E320" i="22"/>
  <c r="H320" i="22"/>
  <c r="N320" i="22"/>
  <c r="X320" i="22"/>
  <c r="BA320" i="22"/>
  <c r="AB320" i="22"/>
  <c r="AC320" i="22"/>
  <c r="AP320" i="22"/>
  <c r="AV320" i="22"/>
  <c r="BG320" i="22"/>
  <c r="BK320" i="22"/>
  <c r="BM320" i="22"/>
  <c r="CB320" i="22"/>
  <c r="CC320" i="22"/>
  <c r="K321" i="22"/>
  <c r="B321" i="22"/>
  <c r="A321" i="22"/>
  <c r="C321" i="22"/>
  <c r="D321" i="22"/>
  <c r="E321" i="22"/>
  <c r="H321" i="22"/>
  <c r="N321" i="22"/>
  <c r="X321" i="22"/>
  <c r="BA321" i="22"/>
  <c r="AB321" i="22"/>
  <c r="AC321" i="22"/>
  <c r="AP321" i="22"/>
  <c r="AV321" i="22"/>
  <c r="BG321" i="22"/>
  <c r="BK321" i="22"/>
  <c r="BM321" i="22"/>
  <c r="CB321" i="22"/>
  <c r="CC321" i="22"/>
  <c r="K322" i="22"/>
  <c r="B322" i="22"/>
  <c r="A322" i="22"/>
  <c r="C322" i="22"/>
  <c r="D322" i="22"/>
  <c r="E322" i="22"/>
  <c r="H322" i="22"/>
  <c r="N322" i="22"/>
  <c r="X322" i="22"/>
  <c r="BA322" i="22"/>
  <c r="AB322" i="22"/>
  <c r="AC322" i="22"/>
  <c r="AP322" i="22"/>
  <c r="AV322" i="22"/>
  <c r="BG322" i="22"/>
  <c r="BK322" i="22"/>
  <c r="BM322" i="22"/>
  <c r="CB322" i="22"/>
  <c r="CC322" i="22"/>
  <c r="K323" i="22"/>
  <c r="B323" i="22"/>
  <c r="A323" i="22"/>
  <c r="C323" i="22"/>
  <c r="D323" i="22"/>
  <c r="E323" i="22"/>
  <c r="H323" i="22"/>
  <c r="N323" i="22"/>
  <c r="X323" i="22"/>
  <c r="BA323" i="22"/>
  <c r="AB323" i="22"/>
  <c r="AC323" i="22"/>
  <c r="AP323" i="22"/>
  <c r="AV323" i="22"/>
  <c r="BG323" i="22"/>
  <c r="BK323" i="22"/>
  <c r="BM323" i="22"/>
  <c r="CB323" i="22"/>
  <c r="CC323" i="22"/>
  <c r="K324" i="22"/>
  <c r="B324" i="22"/>
  <c r="A324" i="22"/>
  <c r="C324" i="22"/>
  <c r="D324" i="22"/>
  <c r="E324" i="22"/>
  <c r="H324" i="22"/>
  <c r="N324" i="22"/>
  <c r="X324" i="22"/>
  <c r="BA324" i="22"/>
  <c r="AB324" i="22"/>
  <c r="AC324" i="22"/>
  <c r="AP324" i="22"/>
  <c r="AV324" i="22"/>
  <c r="BG324" i="22"/>
  <c r="BK324" i="22"/>
  <c r="BM324" i="22"/>
  <c r="CB324" i="22"/>
  <c r="CC324" i="22"/>
  <c r="K325" i="22"/>
  <c r="B325" i="22"/>
  <c r="A325" i="22"/>
  <c r="C325" i="22"/>
  <c r="D325" i="22"/>
  <c r="E325" i="22"/>
  <c r="H325" i="22"/>
  <c r="N325" i="22"/>
  <c r="X325" i="22"/>
  <c r="BA325" i="22"/>
  <c r="AB325" i="22"/>
  <c r="AC325" i="22"/>
  <c r="AP325" i="22"/>
  <c r="AV325" i="22"/>
  <c r="BG325" i="22"/>
  <c r="BK325" i="22"/>
  <c r="BM325" i="22"/>
  <c r="CB325" i="22"/>
  <c r="CC325" i="22"/>
  <c r="K326" i="22"/>
  <c r="B326" i="22"/>
  <c r="A326" i="22"/>
  <c r="C326" i="22"/>
  <c r="D326" i="22"/>
  <c r="E326" i="22"/>
  <c r="H326" i="22"/>
  <c r="N326" i="22"/>
  <c r="X326" i="22"/>
  <c r="BA326" i="22"/>
  <c r="AB326" i="22"/>
  <c r="AC326" i="22"/>
  <c r="AP326" i="22"/>
  <c r="AV326" i="22"/>
  <c r="BG326" i="22"/>
  <c r="BK326" i="22"/>
  <c r="BM326" i="22"/>
  <c r="CB326" i="22"/>
  <c r="CC326" i="22"/>
  <c r="K327" i="22"/>
  <c r="B327" i="22"/>
  <c r="A327" i="22"/>
  <c r="C327" i="22"/>
  <c r="D327" i="22"/>
  <c r="E327" i="22"/>
  <c r="H327" i="22"/>
  <c r="N327" i="22"/>
  <c r="X327" i="22"/>
  <c r="BA327" i="22"/>
  <c r="AB327" i="22"/>
  <c r="AC327" i="22"/>
  <c r="AP327" i="22"/>
  <c r="AV327" i="22"/>
  <c r="BG327" i="22"/>
  <c r="BK327" i="22"/>
  <c r="BM327" i="22"/>
  <c r="CB327" i="22"/>
  <c r="CC327" i="22"/>
  <c r="K328" i="22"/>
  <c r="B328" i="22"/>
  <c r="A328" i="22"/>
  <c r="C328" i="22"/>
  <c r="D328" i="22"/>
  <c r="E328" i="22"/>
  <c r="H328" i="22"/>
  <c r="N328" i="22"/>
  <c r="X328" i="22"/>
  <c r="BA328" i="22"/>
  <c r="AB328" i="22"/>
  <c r="AC328" i="22"/>
  <c r="AP328" i="22"/>
  <c r="AV328" i="22"/>
  <c r="BG328" i="22"/>
  <c r="BK328" i="22"/>
  <c r="BM328" i="22"/>
  <c r="CB328" i="22"/>
  <c r="CC328" i="22"/>
  <c r="K329" i="22"/>
  <c r="B329" i="22"/>
  <c r="A329" i="22"/>
  <c r="C329" i="22"/>
  <c r="D329" i="22"/>
  <c r="E329" i="22"/>
  <c r="H329" i="22"/>
  <c r="N329" i="22"/>
  <c r="X329" i="22"/>
  <c r="BA329" i="22"/>
  <c r="AB329" i="22"/>
  <c r="AC329" i="22"/>
  <c r="AP329" i="22"/>
  <c r="AV329" i="22"/>
  <c r="BG329" i="22"/>
  <c r="BK329" i="22"/>
  <c r="BM329" i="22"/>
  <c r="CB329" i="22"/>
  <c r="CC329" i="22"/>
  <c r="K330" i="22"/>
  <c r="B330" i="22"/>
  <c r="A330" i="22"/>
  <c r="C330" i="22"/>
  <c r="D330" i="22"/>
  <c r="E330" i="22"/>
  <c r="H330" i="22"/>
  <c r="N330" i="22"/>
  <c r="X330" i="22"/>
  <c r="BA330" i="22"/>
  <c r="AB330" i="22"/>
  <c r="AC330" i="22"/>
  <c r="AP330" i="22"/>
  <c r="AV330" i="22"/>
  <c r="BG330" i="22"/>
  <c r="BK330" i="22"/>
  <c r="BM330" i="22"/>
  <c r="CB330" i="22"/>
  <c r="CC330" i="22"/>
  <c r="K331" i="22"/>
  <c r="B331" i="22"/>
  <c r="A331" i="22"/>
  <c r="C331" i="22"/>
  <c r="D331" i="22"/>
  <c r="E331" i="22"/>
  <c r="H331" i="22"/>
  <c r="N331" i="22"/>
  <c r="X331" i="22"/>
  <c r="BA331" i="22"/>
  <c r="AB331" i="22"/>
  <c r="AC331" i="22"/>
  <c r="AP331" i="22"/>
  <c r="AV331" i="22"/>
  <c r="BG331" i="22"/>
  <c r="BK331" i="22"/>
  <c r="BM331" i="22"/>
  <c r="CB331" i="22"/>
  <c r="CC331" i="22"/>
  <c r="K332" i="22"/>
  <c r="B332" i="22"/>
  <c r="A332" i="22"/>
  <c r="C332" i="22"/>
  <c r="D332" i="22"/>
  <c r="E332" i="22"/>
  <c r="H332" i="22"/>
  <c r="N332" i="22"/>
  <c r="X332" i="22"/>
  <c r="BA332" i="22"/>
  <c r="AB332" i="22"/>
  <c r="AC332" i="22"/>
  <c r="AP332" i="22"/>
  <c r="AV332" i="22"/>
  <c r="BG332" i="22"/>
  <c r="BK332" i="22"/>
  <c r="BM332" i="22"/>
  <c r="CB332" i="22"/>
  <c r="CC332" i="22"/>
  <c r="K333" i="22"/>
  <c r="B333" i="22"/>
  <c r="A333" i="22"/>
  <c r="C333" i="22"/>
  <c r="D333" i="22"/>
  <c r="E333" i="22"/>
  <c r="H333" i="22"/>
  <c r="N333" i="22"/>
  <c r="X333" i="22"/>
  <c r="BA333" i="22"/>
  <c r="AB333" i="22"/>
  <c r="AC333" i="22"/>
  <c r="AP333" i="22"/>
  <c r="AV333" i="22"/>
  <c r="BG333" i="22"/>
  <c r="BK333" i="22"/>
  <c r="BM333" i="22"/>
  <c r="CB333" i="22"/>
  <c r="CC333" i="22"/>
  <c r="K334" i="22"/>
  <c r="B334" i="22"/>
  <c r="A334" i="22"/>
  <c r="C334" i="22"/>
  <c r="D334" i="22"/>
  <c r="E334" i="22"/>
  <c r="H334" i="22"/>
  <c r="N334" i="22"/>
  <c r="X334" i="22"/>
  <c r="BA334" i="22"/>
  <c r="AB334" i="22"/>
  <c r="AC334" i="22"/>
  <c r="AP334" i="22"/>
  <c r="AV334" i="22"/>
  <c r="BG334" i="22"/>
  <c r="BK334" i="22"/>
  <c r="BM334" i="22"/>
  <c r="CB334" i="22"/>
  <c r="CC334" i="22"/>
  <c r="K335" i="22"/>
  <c r="B335" i="22"/>
  <c r="A335" i="22"/>
  <c r="C335" i="22"/>
  <c r="D335" i="22"/>
  <c r="E335" i="22"/>
  <c r="H335" i="22"/>
  <c r="N335" i="22"/>
  <c r="X335" i="22"/>
  <c r="BA335" i="22"/>
  <c r="AB335" i="22"/>
  <c r="AC335" i="22"/>
  <c r="AP335" i="22"/>
  <c r="AV335" i="22"/>
  <c r="BG335" i="22"/>
  <c r="BK335" i="22"/>
  <c r="BM335" i="22"/>
  <c r="CB335" i="22"/>
  <c r="CC335" i="22"/>
  <c r="K336" i="22"/>
  <c r="B336" i="22"/>
  <c r="A336" i="22"/>
  <c r="C336" i="22"/>
  <c r="D336" i="22"/>
  <c r="E336" i="22"/>
  <c r="H336" i="22"/>
  <c r="N336" i="22"/>
  <c r="X336" i="22"/>
  <c r="BA336" i="22"/>
  <c r="AB336" i="22"/>
  <c r="AC336" i="22"/>
  <c r="AP336" i="22"/>
  <c r="AV336" i="22"/>
  <c r="BG336" i="22"/>
  <c r="BK336" i="22"/>
  <c r="BM336" i="22"/>
  <c r="CB336" i="22"/>
  <c r="CC336" i="22"/>
  <c r="K337" i="22"/>
  <c r="B337" i="22"/>
  <c r="A337" i="22"/>
  <c r="C337" i="22"/>
  <c r="D337" i="22"/>
  <c r="E337" i="22"/>
  <c r="H337" i="22"/>
  <c r="N337" i="22"/>
  <c r="X337" i="22"/>
  <c r="BA337" i="22"/>
  <c r="AB337" i="22"/>
  <c r="AC337" i="22"/>
  <c r="AP337" i="22"/>
  <c r="AV337" i="22"/>
  <c r="BG337" i="22"/>
  <c r="BK337" i="22"/>
  <c r="BM337" i="22"/>
  <c r="CB337" i="22"/>
  <c r="CC337" i="22"/>
  <c r="K338" i="22"/>
  <c r="B338" i="22"/>
  <c r="A338" i="22"/>
  <c r="C338" i="22"/>
  <c r="D338" i="22"/>
  <c r="E338" i="22"/>
  <c r="H338" i="22"/>
  <c r="N338" i="22"/>
  <c r="X338" i="22"/>
  <c r="BA338" i="22"/>
  <c r="AB338" i="22"/>
  <c r="AC338" i="22"/>
  <c r="AP338" i="22"/>
  <c r="AV338" i="22"/>
  <c r="BG338" i="22"/>
  <c r="BK338" i="22"/>
  <c r="BM338" i="22"/>
  <c r="CB338" i="22"/>
  <c r="CC338" i="22"/>
  <c r="K339" i="22"/>
  <c r="B339" i="22"/>
  <c r="A339" i="22"/>
  <c r="C339" i="22"/>
  <c r="D339" i="22"/>
  <c r="E339" i="22"/>
  <c r="H339" i="22"/>
  <c r="N339" i="22"/>
  <c r="X339" i="22"/>
  <c r="BA339" i="22"/>
  <c r="AB339" i="22"/>
  <c r="AC339" i="22"/>
  <c r="AP339" i="22"/>
  <c r="AV339" i="22"/>
  <c r="BG339" i="22"/>
  <c r="BK339" i="22"/>
  <c r="BM339" i="22"/>
  <c r="CB339" i="22"/>
  <c r="CC339" i="22"/>
  <c r="K340" i="22"/>
  <c r="B340" i="22"/>
  <c r="A340" i="22"/>
  <c r="C340" i="22"/>
  <c r="D340" i="22"/>
  <c r="E340" i="22"/>
  <c r="H340" i="22"/>
  <c r="N340" i="22"/>
  <c r="X340" i="22"/>
  <c r="BA340" i="22"/>
  <c r="AB340" i="22"/>
  <c r="AC340" i="22"/>
  <c r="AP340" i="22"/>
  <c r="AV340" i="22"/>
  <c r="BG340" i="22"/>
  <c r="BK340" i="22"/>
  <c r="BM340" i="22"/>
  <c r="CB340" i="22"/>
  <c r="CC340" i="22"/>
  <c r="K341" i="22"/>
  <c r="B341" i="22"/>
  <c r="A341" i="22"/>
  <c r="C341" i="22"/>
  <c r="D341" i="22"/>
  <c r="E341" i="22"/>
  <c r="H341" i="22"/>
  <c r="N341" i="22"/>
  <c r="X341" i="22"/>
  <c r="BA341" i="22"/>
  <c r="AB341" i="22"/>
  <c r="AC341" i="22"/>
  <c r="AP341" i="22"/>
  <c r="AV341" i="22"/>
  <c r="BG341" i="22"/>
  <c r="BK341" i="22"/>
  <c r="BM341" i="22"/>
  <c r="CB341" i="22"/>
  <c r="CC341" i="22"/>
  <c r="K342" i="22"/>
  <c r="B342" i="22"/>
  <c r="A342" i="22"/>
  <c r="C342" i="22"/>
  <c r="D342" i="22"/>
  <c r="E342" i="22"/>
  <c r="H342" i="22"/>
  <c r="N342" i="22"/>
  <c r="X342" i="22"/>
  <c r="BA342" i="22"/>
  <c r="AB342" i="22"/>
  <c r="AC342" i="22"/>
  <c r="AP342" i="22"/>
  <c r="AV342" i="22"/>
  <c r="BG342" i="22"/>
  <c r="BK342" i="22"/>
  <c r="BM342" i="22"/>
  <c r="CB342" i="22"/>
  <c r="CC342" i="22"/>
  <c r="K343" i="22"/>
  <c r="B343" i="22"/>
  <c r="A343" i="22"/>
  <c r="C343" i="22"/>
  <c r="D343" i="22"/>
  <c r="E343" i="22"/>
  <c r="H343" i="22"/>
  <c r="N343" i="22"/>
  <c r="X343" i="22"/>
  <c r="BA343" i="22"/>
  <c r="AB343" i="22"/>
  <c r="AC343" i="22"/>
  <c r="AP343" i="22"/>
  <c r="AV343" i="22"/>
  <c r="BG343" i="22"/>
  <c r="BK343" i="22"/>
  <c r="BM343" i="22"/>
  <c r="CB343" i="22"/>
  <c r="CC343" i="22"/>
  <c r="K344" i="22"/>
  <c r="B344" i="22"/>
  <c r="A344" i="22"/>
  <c r="C344" i="22"/>
  <c r="D344" i="22"/>
  <c r="E344" i="22"/>
  <c r="H344" i="22"/>
  <c r="N344" i="22"/>
  <c r="X344" i="22"/>
  <c r="BA344" i="22"/>
  <c r="AB344" i="22"/>
  <c r="AC344" i="22"/>
  <c r="AP344" i="22"/>
  <c r="AV344" i="22"/>
  <c r="BG344" i="22"/>
  <c r="BK344" i="22"/>
  <c r="BM344" i="22"/>
  <c r="CB344" i="22"/>
  <c r="CC344" i="22"/>
  <c r="K345" i="22"/>
  <c r="B345" i="22"/>
  <c r="A345" i="22"/>
  <c r="C345" i="22"/>
  <c r="D345" i="22"/>
  <c r="E345" i="22"/>
  <c r="H345" i="22"/>
  <c r="N345" i="22"/>
  <c r="X345" i="22"/>
  <c r="BA345" i="22"/>
  <c r="AB345" i="22"/>
  <c r="AC345" i="22"/>
  <c r="AP345" i="22"/>
  <c r="AV345" i="22"/>
  <c r="BG345" i="22"/>
  <c r="BK345" i="22"/>
  <c r="BM345" i="22"/>
  <c r="CB345" i="22"/>
  <c r="CC345" i="22"/>
  <c r="K346" i="22"/>
  <c r="B346" i="22"/>
  <c r="A346" i="22"/>
  <c r="C346" i="22"/>
  <c r="D346" i="22"/>
  <c r="E346" i="22"/>
  <c r="H346" i="22"/>
  <c r="N346" i="22"/>
  <c r="X346" i="22"/>
  <c r="BA346" i="22"/>
  <c r="AB346" i="22"/>
  <c r="AC346" i="22"/>
  <c r="AP346" i="22"/>
  <c r="AV346" i="22"/>
  <c r="BG346" i="22"/>
  <c r="BK346" i="22"/>
  <c r="BM346" i="22"/>
  <c r="CB346" i="22"/>
  <c r="CC346" i="22"/>
  <c r="K347" i="22"/>
  <c r="B347" i="22"/>
  <c r="A347" i="22"/>
  <c r="C347" i="22"/>
  <c r="D347" i="22"/>
  <c r="E347" i="22"/>
  <c r="H347" i="22"/>
  <c r="N347" i="22"/>
  <c r="X347" i="22"/>
  <c r="BA347" i="22"/>
  <c r="AB347" i="22"/>
  <c r="AC347" i="22"/>
  <c r="AP347" i="22"/>
  <c r="AV347" i="22"/>
  <c r="BG347" i="22"/>
  <c r="BK347" i="22"/>
  <c r="BM347" i="22"/>
  <c r="CB347" i="22"/>
  <c r="CC347" i="22"/>
  <c r="K348" i="22"/>
  <c r="B348" i="22"/>
  <c r="A348" i="22"/>
  <c r="C348" i="22"/>
  <c r="D348" i="22"/>
  <c r="E348" i="22"/>
  <c r="H348" i="22"/>
  <c r="N348" i="22"/>
  <c r="X348" i="22"/>
  <c r="BA348" i="22"/>
  <c r="AB348" i="22"/>
  <c r="AC348" i="22"/>
  <c r="AP348" i="22"/>
  <c r="AV348" i="22"/>
  <c r="BG348" i="22"/>
  <c r="BK348" i="22"/>
  <c r="BM348" i="22"/>
  <c r="CB348" i="22"/>
  <c r="CC348" i="22"/>
  <c r="K349" i="22"/>
  <c r="B349" i="22"/>
  <c r="A349" i="22"/>
  <c r="C349" i="22"/>
  <c r="D349" i="22"/>
  <c r="E349" i="22"/>
  <c r="H349" i="22"/>
  <c r="N349" i="22"/>
  <c r="X349" i="22"/>
  <c r="BA349" i="22"/>
  <c r="AB349" i="22"/>
  <c r="AC349" i="22"/>
  <c r="AP349" i="22"/>
  <c r="AV349" i="22"/>
  <c r="BG349" i="22"/>
  <c r="BK349" i="22"/>
  <c r="BM349" i="22"/>
  <c r="CB349" i="22"/>
  <c r="CC349" i="22"/>
  <c r="K350" i="22"/>
  <c r="B350" i="22"/>
  <c r="A350" i="22"/>
  <c r="C350" i="22"/>
  <c r="D350" i="22"/>
  <c r="E350" i="22"/>
  <c r="H350" i="22"/>
  <c r="N350" i="22"/>
  <c r="X350" i="22"/>
  <c r="BA350" i="22"/>
  <c r="AB350" i="22"/>
  <c r="AC350" i="22"/>
  <c r="AP350" i="22"/>
  <c r="AV350" i="22"/>
  <c r="BG350" i="22"/>
  <c r="BK350" i="22"/>
  <c r="BM350" i="22"/>
  <c r="CB350" i="22"/>
  <c r="CC350" i="22"/>
  <c r="K351" i="22"/>
  <c r="B351" i="22"/>
  <c r="A351" i="22"/>
  <c r="C351" i="22"/>
  <c r="D351" i="22"/>
  <c r="E351" i="22"/>
  <c r="H351" i="22"/>
  <c r="N351" i="22"/>
  <c r="X351" i="22"/>
  <c r="BA351" i="22"/>
  <c r="AB351" i="22"/>
  <c r="AC351" i="22"/>
  <c r="AP351" i="22"/>
  <c r="AV351" i="22"/>
  <c r="BG351" i="22"/>
  <c r="BK351" i="22"/>
  <c r="BM351" i="22"/>
  <c r="CB351" i="22"/>
  <c r="CC351" i="22"/>
  <c r="K352" i="22"/>
  <c r="B352" i="22"/>
  <c r="A352" i="22"/>
  <c r="C352" i="22"/>
  <c r="D352" i="22"/>
  <c r="E352" i="22"/>
  <c r="H352" i="22"/>
  <c r="N352" i="22"/>
  <c r="X352" i="22"/>
  <c r="BA352" i="22"/>
  <c r="AB352" i="22"/>
  <c r="AC352" i="22"/>
  <c r="AP352" i="22"/>
  <c r="AV352" i="22"/>
  <c r="BG352" i="22"/>
  <c r="BK352" i="22"/>
  <c r="BM352" i="22"/>
  <c r="CB352" i="22"/>
  <c r="CC352" i="22"/>
  <c r="K353" i="22"/>
  <c r="B353" i="22"/>
  <c r="A353" i="22"/>
  <c r="C353" i="22"/>
  <c r="D353" i="22"/>
  <c r="E353" i="22"/>
  <c r="H353" i="22"/>
  <c r="N353" i="22"/>
  <c r="X353" i="22"/>
  <c r="BA353" i="22"/>
  <c r="AB353" i="22"/>
  <c r="AC353" i="22"/>
  <c r="AP353" i="22"/>
  <c r="AV353" i="22"/>
  <c r="BG353" i="22"/>
  <c r="BK353" i="22"/>
  <c r="BM353" i="22"/>
  <c r="CB353" i="22"/>
  <c r="CC353" i="22"/>
  <c r="K354" i="22"/>
  <c r="B354" i="22"/>
  <c r="A354" i="22"/>
  <c r="C354" i="22"/>
  <c r="D354" i="22"/>
  <c r="E354" i="22"/>
  <c r="H354" i="22"/>
  <c r="N354" i="22"/>
  <c r="X354" i="22"/>
  <c r="BA354" i="22"/>
  <c r="AB354" i="22"/>
  <c r="AC354" i="22"/>
  <c r="AP354" i="22"/>
  <c r="AV354" i="22"/>
  <c r="BG354" i="22"/>
  <c r="BK354" i="22"/>
  <c r="BM354" i="22"/>
  <c r="CB354" i="22"/>
  <c r="CC354" i="22"/>
  <c r="K355" i="22"/>
  <c r="B355" i="22"/>
  <c r="A355" i="22"/>
  <c r="C355" i="22"/>
  <c r="D355" i="22"/>
  <c r="E355" i="22"/>
  <c r="H355" i="22"/>
  <c r="N355" i="22"/>
  <c r="X355" i="22"/>
  <c r="BA355" i="22"/>
  <c r="AB355" i="22"/>
  <c r="AC355" i="22"/>
  <c r="AP355" i="22"/>
  <c r="AV355" i="22"/>
  <c r="BG355" i="22"/>
  <c r="BK355" i="22"/>
  <c r="BM355" i="22"/>
  <c r="CB355" i="22"/>
  <c r="CC355" i="22"/>
  <c r="K356" i="22"/>
  <c r="B356" i="22"/>
  <c r="A356" i="22"/>
  <c r="C356" i="22"/>
  <c r="D356" i="22"/>
  <c r="E356" i="22"/>
  <c r="H356" i="22"/>
  <c r="N356" i="22"/>
  <c r="X356" i="22"/>
  <c r="BA356" i="22"/>
  <c r="AB356" i="22"/>
  <c r="AC356" i="22"/>
  <c r="AP356" i="22"/>
  <c r="AV356" i="22"/>
  <c r="BG356" i="22"/>
  <c r="BK356" i="22"/>
  <c r="BM356" i="22"/>
  <c r="CB356" i="22"/>
  <c r="CC356" i="22"/>
  <c r="K357" i="22"/>
  <c r="B357" i="22"/>
  <c r="A357" i="22"/>
  <c r="C357" i="22"/>
  <c r="D357" i="22"/>
  <c r="E357" i="22"/>
  <c r="H357" i="22"/>
  <c r="N357" i="22"/>
  <c r="X357" i="22"/>
  <c r="BA357" i="22"/>
  <c r="AB357" i="22"/>
  <c r="AC357" i="22"/>
  <c r="AP357" i="22"/>
  <c r="AV357" i="22"/>
  <c r="BG357" i="22"/>
  <c r="BK357" i="22"/>
  <c r="BM357" i="22"/>
  <c r="CB357" i="22"/>
  <c r="CC357" i="22"/>
  <c r="K358" i="22"/>
  <c r="B358" i="22"/>
  <c r="A358" i="22"/>
  <c r="C358" i="22"/>
  <c r="D358" i="22"/>
  <c r="E358" i="22"/>
  <c r="H358" i="22"/>
  <c r="N358" i="22"/>
  <c r="X358" i="22"/>
  <c r="BA358" i="22"/>
  <c r="AB358" i="22"/>
  <c r="AC358" i="22"/>
  <c r="AP358" i="22"/>
  <c r="AV358" i="22"/>
  <c r="BG358" i="22"/>
  <c r="BK358" i="22"/>
  <c r="BM358" i="22"/>
  <c r="CB358" i="22"/>
  <c r="CC358" i="22"/>
  <c r="K359" i="22"/>
  <c r="B359" i="22"/>
  <c r="A359" i="22"/>
  <c r="C359" i="22"/>
  <c r="D359" i="22"/>
  <c r="E359" i="22"/>
  <c r="H359" i="22"/>
  <c r="N359" i="22"/>
  <c r="X359" i="22"/>
  <c r="BA359" i="22"/>
  <c r="AB359" i="22"/>
  <c r="AC359" i="22"/>
  <c r="AP359" i="22"/>
  <c r="AV359" i="22"/>
  <c r="BG359" i="22"/>
  <c r="BK359" i="22"/>
  <c r="BM359" i="22"/>
  <c r="CB359" i="22"/>
  <c r="CC359" i="22"/>
  <c r="K360" i="22"/>
  <c r="B360" i="22"/>
  <c r="A360" i="22"/>
  <c r="C360" i="22"/>
  <c r="D360" i="22"/>
  <c r="E360" i="22"/>
  <c r="H360" i="22"/>
  <c r="N360" i="22"/>
  <c r="X360" i="22"/>
  <c r="BA360" i="22"/>
  <c r="AB360" i="22"/>
  <c r="AC360" i="22"/>
  <c r="AP360" i="22"/>
  <c r="AV360" i="22"/>
  <c r="BG360" i="22"/>
  <c r="BK360" i="22"/>
  <c r="BM360" i="22"/>
  <c r="CB360" i="22"/>
  <c r="CC360" i="22"/>
  <c r="K361" i="22"/>
  <c r="B361" i="22"/>
  <c r="A361" i="22"/>
  <c r="C361" i="22"/>
  <c r="D361" i="22"/>
  <c r="E361" i="22"/>
  <c r="H361" i="22"/>
  <c r="N361" i="22"/>
  <c r="X361" i="22"/>
  <c r="BA361" i="22"/>
  <c r="AB361" i="22"/>
  <c r="AC361" i="22"/>
  <c r="AP361" i="22"/>
  <c r="AV361" i="22"/>
  <c r="BG361" i="22"/>
  <c r="BK361" i="22"/>
  <c r="BM361" i="22"/>
  <c r="CB361" i="22"/>
  <c r="CC361" i="22"/>
  <c r="K362" i="22"/>
  <c r="B362" i="22"/>
  <c r="A362" i="22"/>
  <c r="C362" i="22"/>
  <c r="D362" i="22"/>
  <c r="E362" i="22"/>
  <c r="H362" i="22"/>
  <c r="N362" i="22"/>
  <c r="X362" i="22"/>
  <c r="BA362" i="22"/>
  <c r="AB362" i="22"/>
  <c r="AC362" i="22"/>
  <c r="AP362" i="22"/>
  <c r="AV362" i="22"/>
  <c r="BG362" i="22"/>
  <c r="BK362" i="22"/>
  <c r="BM362" i="22"/>
  <c r="CB362" i="22"/>
  <c r="CC362" i="22"/>
  <c r="K363" i="22"/>
  <c r="B363" i="22"/>
  <c r="A363" i="22"/>
  <c r="C363" i="22"/>
  <c r="D363" i="22"/>
  <c r="E363" i="22"/>
  <c r="H363" i="22"/>
  <c r="N363" i="22"/>
  <c r="X363" i="22"/>
  <c r="BA363" i="22"/>
  <c r="AB363" i="22"/>
  <c r="AC363" i="22"/>
  <c r="AP363" i="22"/>
  <c r="AV363" i="22"/>
  <c r="BG363" i="22"/>
  <c r="BK363" i="22"/>
  <c r="BM363" i="22"/>
  <c r="CB363" i="22"/>
  <c r="CC363" i="22"/>
  <c r="K364" i="22"/>
  <c r="B364" i="22"/>
  <c r="A364" i="22"/>
  <c r="C364" i="22"/>
  <c r="D364" i="22"/>
  <c r="E364" i="22"/>
  <c r="H364" i="22"/>
  <c r="N364" i="22"/>
  <c r="X364" i="22"/>
  <c r="BA364" i="22"/>
  <c r="AB364" i="22"/>
  <c r="AC364" i="22"/>
  <c r="AP364" i="22"/>
  <c r="AV364" i="22"/>
  <c r="BG364" i="22"/>
  <c r="BK364" i="22"/>
  <c r="BM364" i="22"/>
  <c r="CB364" i="22"/>
  <c r="CC364" i="22"/>
  <c r="K365" i="22"/>
  <c r="B365" i="22"/>
  <c r="A365" i="22"/>
  <c r="C365" i="22"/>
  <c r="D365" i="22"/>
  <c r="E365" i="22"/>
  <c r="H365" i="22"/>
  <c r="N365" i="22"/>
  <c r="X365" i="22"/>
  <c r="BA365" i="22"/>
  <c r="AB365" i="22"/>
  <c r="AC365" i="22"/>
  <c r="AP365" i="22"/>
  <c r="AV365" i="22"/>
  <c r="BG365" i="22"/>
  <c r="BK365" i="22"/>
  <c r="BM365" i="22"/>
  <c r="CB365" i="22"/>
  <c r="CC365" i="22"/>
  <c r="K366" i="22"/>
  <c r="B366" i="22"/>
  <c r="A366" i="22"/>
  <c r="C366" i="22"/>
  <c r="D366" i="22"/>
  <c r="E366" i="22"/>
  <c r="H366" i="22"/>
  <c r="N366" i="22"/>
  <c r="X366" i="22"/>
  <c r="BA366" i="22"/>
  <c r="AB366" i="22"/>
  <c r="AC366" i="22"/>
  <c r="AP366" i="22"/>
  <c r="AV366" i="22"/>
  <c r="BG366" i="22"/>
  <c r="BK366" i="22"/>
  <c r="BM366" i="22"/>
  <c r="CB366" i="22"/>
  <c r="CC366" i="22"/>
  <c r="K367" i="22"/>
  <c r="B367" i="22"/>
  <c r="A367" i="22"/>
  <c r="C367" i="22"/>
  <c r="D367" i="22"/>
  <c r="E367" i="22"/>
  <c r="H367" i="22"/>
  <c r="N367" i="22"/>
  <c r="X367" i="22"/>
  <c r="BA367" i="22"/>
  <c r="AB367" i="22"/>
  <c r="AC367" i="22"/>
  <c r="AP367" i="22"/>
  <c r="AV367" i="22"/>
  <c r="BG367" i="22"/>
  <c r="BK367" i="22"/>
  <c r="BM367" i="22"/>
  <c r="CB367" i="22"/>
  <c r="CC367" i="22"/>
  <c r="K368" i="22"/>
  <c r="B368" i="22"/>
  <c r="A368" i="22"/>
  <c r="C368" i="22"/>
  <c r="D368" i="22"/>
  <c r="E368" i="22"/>
  <c r="H368" i="22"/>
  <c r="N368" i="22"/>
  <c r="X368" i="22"/>
  <c r="BA368" i="22"/>
  <c r="AB368" i="22"/>
  <c r="AC368" i="22"/>
  <c r="AP368" i="22"/>
  <c r="AV368" i="22"/>
  <c r="BG368" i="22"/>
  <c r="BK368" i="22"/>
  <c r="BM368" i="22"/>
  <c r="CB368" i="22"/>
  <c r="CC368" i="22"/>
  <c r="K369" i="22"/>
  <c r="B369" i="22"/>
  <c r="A369" i="22"/>
  <c r="C369" i="22"/>
  <c r="D369" i="22"/>
  <c r="E369" i="22"/>
  <c r="H369" i="22"/>
  <c r="N369" i="22"/>
  <c r="X369" i="22"/>
  <c r="BA369" i="22"/>
  <c r="AB369" i="22"/>
  <c r="AC369" i="22"/>
  <c r="AP369" i="22"/>
  <c r="AV369" i="22"/>
  <c r="BG369" i="22"/>
  <c r="BK369" i="22"/>
  <c r="BM369" i="22"/>
  <c r="CB369" i="22"/>
  <c r="CC369" i="22"/>
  <c r="K370" i="22"/>
  <c r="B370" i="22"/>
  <c r="A370" i="22"/>
  <c r="C370" i="22"/>
  <c r="D370" i="22"/>
  <c r="E370" i="22"/>
  <c r="H370" i="22"/>
  <c r="N370" i="22"/>
  <c r="X370" i="22"/>
  <c r="BA370" i="22"/>
  <c r="AB370" i="22"/>
  <c r="AC370" i="22"/>
  <c r="AP370" i="22"/>
  <c r="AV370" i="22"/>
  <c r="BG370" i="22"/>
  <c r="BK370" i="22"/>
  <c r="BM370" i="22"/>
  <c r="CB370" i="22"/>
  <c r="CC370" i="22"/>
  <c r="K371" i="22"/>
  <c r="B371" i="22"/>
  <c r="A371" i="22"/>
  <c r="C371" i="22"/>
  <c r="D371" i="22"/>
  <c r="E371" i="22"/>
  <c r="H371" i="22"/>
  <c r="N371" i="22"/>
  <c r="X371" i="22"/>
  <c r="BA371" i="22"/>
  <c r="AB371" i="22"/>
  <c r="AC371" i="22"/>
  <c r="AP371" i="22"/>
  <c r="AV371" i="22"/>
  <c r="BG371" i="22"/>
  <c r="BK371" i="22"/>
  <c r="BM371" i="22"/>
  <c r="CB371" i="22"/>
  <c r="CC371" i="22"/>
  <c r="K372" i="22"/>
  <c r="B372" i="22"/>
  <c r="A372" i="22"/>
  <c r="C372" i="22"/>
  <c r="D372" i="22"/>
  <c r="E372" i="22"/>
  <c r="H372" i="22"/>
  <c r="N372" i="22"/>
  <c r="X372" i="22"/>
  <c r="BA372" i="22"/>
  <c r="AB372" i="22"/>
  <c r="AC372" i="22"/>
  <c r="AP372" i="22"/>
  <c r="AV372" i="22"/>
  <c r="BG372" i="22"/>
  <c r="BK372" i="22"/>
  <c r="BM372" i="22"/>
  <c r="CB372" i="22"/>
  <c r="CC372" i="22"/>
  <c r="K373" i="22"/>
  <c r="B373" i="22"/>
  <c r="A373" i="22"/>
  <c r="C373" i="22"/>
  <c r="D373" i="22"/>
  <c r="E373" i="22"/>
  <c r="H373" i="22"/>
  <c r="N373" i="22"/>
  <c r="X373" i="22"/>
  <c r="BA373" i="22"/>
  <c r="AB373" i="22"/>
  <c r="AC373" i="22"/>
  <c r="AP373" i="22"/>
  <c r="AV373" i="22"/>
  <c r="BG373" i="22"/>
  <c r="BK373" i="22"/>
  <c r="BM373" i="22"/>
  <c r="CB373" i="22"/>
  <c r="CC373" i="22"/>
  <c r="K374" i="22"/>
  <c r="B374" i="22"/>
  <c r="A374" i="22"/>
  <c r="C374" i="22"/>
  <c r="D374" i="22"/>
  <c r="E374" i="22"/>
  <c r="H374" i="22"/>
  <c r="N374" i="22"/>
  <c r="X374" i="22"/>
  <c r="BA374" i="22"/>
  <c r="AB374" i="22"/>
  <c r="AC374" i="22"/>
  <c r="AP374" i="22"/>
  <c r="AV374" i="22"/>
  <c r="BG374" i="22"/>
  <c r="BK374" i="22"/>
  <c r="BM374" i="22"/>
  <c r="CB374" i="22"/>
  <c r="CC374" i="22"/>
  <c r="K375" i="22"/>
  <c r="B375" i="22"/>
  <c r="A375" i="22"/>
  <c r="C375" i="22"/>
  <c r="D375" i="22"/>
  <c r="E375" i="22"/>
  <c r="H375" i="22"/>
  <c r="N375" i="22"/>
  <c r="X375" i="22"/>
  <c r="BA375" i="22"/>
  <c r="AB375" i="22"/>
  <c r="AC375" i="22"/>
  <c r="AP375" i="22"/>
  <c r="AV375" i="22"/>
  <c r="BG375" i="22"/>
  <c r="BK375" i="22"/>
  <c r="BM375" i="22"/>
  <c r="CB375" i="22"/>
  <c r="CC375" i="22"/>
  <c r="K376" i="22"/>
  <c r="B376" i="22"/>
  <c r="A376" i="22"/>
  <c r="C376" i="22"/>
  <c r="D376" i="22"/>
  <c r="E376" i="22"/>
  <c r="H376" i="22"/>
  <c r="N376" i="22"/>
  <c r="X376" i="22"/>
  <c r="BA376" i="22"/>
  <c r="AB376" i="22"/>
  <c r="AC376" i="22"/>
  <c r="AP376" i="22"/>
  <c r="AV376" i="22"/>
  <c r="BG376" i="22"/>
  <c r="BK376" i="22"/>
  <c r="BM376" i="22"/>
  <c r="CB376" i="22"/>
  <c r="CC376" i="22"/>
  <c r="K377" i="22"/>
  <c r="B377" i="22"/>
  <c r="A377" i="22"/>
  <c r="C377" i="22"/>
  <c r="D377" i="22"/>
  <c r="E377" i="22"/>
  <c r="H377" i="22"/>
  <c r="N377" i="22"/>
  <c r="X377" i="22"/>
  <c r="BA377" i="22"/>
  <c r="AB377" i="22"/>
  <c r="AC377" i="22"/>
  <c r="AP377" i="22"/>
  <c r="AV377" i="22"/>
  <c r="BG377" i="22"/>
  <c r="BK377" i="22"/>
  <c r="BM377" i="22"/>
  <c r="CB377" i="22"/>
  <c r="CC377" i="22"/>
  <c r="K378" i="22"/>
  <c r="B378" i="22"/>
  <c r="A378" i="22"/>
  <c r="C378" i="22"/>
  <c r="D378" i="22"/>
  <c r="E378" i="22"/>
  <c r="H378" i="22"/>
  <c r="N378" i="22"/>
  <c r="X378" i="22"/>
  <c r="BA378" i="22"/>
  <c r="AB378" i="22"/>
  <c r="AC378" i="22"/>
  <c r="AP378" i="22"/>
  <c r="AV378" i="22"/>
  <c r="BG378" i="22"/>
  <c r="BK378" i="22"/>
  <c r="BM378" i="22"/>
  <c r="CB378" i="22"/>
  <c r="CC378" i="22"/>
  <c r="K379" i="22"/>
  <c r="B379" i="22"/>
  <c r="A379" i="22"/>
  <c r="C379" i="22"/>
  <c r="D379" i="22"/>
  <c r="E379" i="22"/>
  <c r="H379" i="22"/>
  <c r="N379" i="22"/>
  <c r="X379" i="22"/>
  <c r="BA379" i="22"/>
  <c r="AB379" i="22"/>
  <c r="AC379" i="22"/>
  <c r="AP379" i="22"/>
  <c r="AV379" i="22"/>
  <c r="BG379" i="22"/>
  <c r="BK379" i="22"/>
  <c r="BM379" i="22"/>
  <c r="CB379" i="22"/>
  <c r="CC379" i="22"/>
  <c r="K380" i="22"/>
  <c r="B380" i="22"/>
  <c r="A380" i="22"/>
  <c r="C380" i="22"/>
  <c r="D380" i="22"/>
  <c r="E380" i="22"/>
  <c r="H380" i="22"/>
  <c r="N380" i="22"/>
  <c r="X380" i="22"/>
  <c r="BA380" i="22"/>
  <c r="AB380" i="22"/>
  <c r="AC380" i="22"/>
  <c r="AP380" i="22"/>
  <c r="AV380" i="22"/>
  <c r="BG380" i="22"/>
  <c r="BK380" i="22"/>
  <c r="BM380" i="22"/>
  <c r="CB380" i="22"/>
  <c r="CC380" i="22"/>
  <c r="K381" i="22"/>
  <c r="B381" i="22"/>
  <c r="A381" i="22"/>
  <c r="C381" i="22"/>
  <c r="D381" i="22"/>
  <c r="E381" i="22"/>
  <c r="H381" i="22"/>
  <c r="N381" i="22"/>
  <c r="X381" i="22"/>
  <c r="BA381" i="22"/>
  <c r="AB381" i="22"/>
  <c r="AC381" i="22"/>
  <c r="AP381" i="22"/>
  <c r="AV381" i="22"/>
  <c r="BG381" i="22"/>
  <c r="BK381" i="22"/>
  <c r="BM381" i="22"/>
  <c r="CB381" i="22"/>
  <c r="CC381" i="22"/>
  <c r="K382" i="22"/>
  <c r="B382" i="22"/>
  <c r="A382" i="22"/>
  <c r="C382" i="22"/>
  <c r="D382" i="22"/>
  <c r="E382" i="22"/>
  <c r="H382" i="22"/>
  <c r="N382" i="22"/>
  <c r="X382" i="22"/>
  <c r="BA382" i="22"/>
  <c r="AB382" i="22"/>
  <c r="AC382" i="22"/>
  <c r="AP382" i="22"/>
  <c r="AV382" i="22"/>
  <c r="BG382" i="22"/>
  <c r="BK382" i="22"/>
  <c r="BM382" i="22"/>
  <c r="CB382" i="22"/>
  <c r="CC382" i="22"/>
  <c r="K383" i="22"/>
  <c r="B383" i="22"/>
  <c r="A383" i="22"/>
  <c r="C383" i="22"/>
  <c r="D383" i="22"/>
  <c r="E383" i="22"/>
  <c r="H383" i="22"/>
  <c r="N383" i="22"/>
  <c r="X383" i="22"/>
  <c r="BA383" i="22"/>
  <c r="AB383" i="22"/>
  <c r="AC383" i="22"/>
  <c r="AP383" i="22"/>
  <c r="AV383" i="22"/>
  <c r="BG383" i="22"/>
  <c r="BK383" i="22"/>
  <c r="BM383" i="22"/>
  <c r="CB383" i="22"/>
  <c r="CC383" i="22"/>
  <c r="K384" i="22"/>
  <c r="B384" i="22"/>
  <c r="A384" i="22"/>
  <c r="C384" i="22"/>
  <c r="D384" i="22"/>
  <c r="E384" i="22"/>
  <c r="H384" i="22"/>
  <c r="N384" i="22"/>
  <c r="X384" i="22"/>
  <c r="BA384" i="22"/>
  <c r="AB384" i="22"/>
  <c r="AC384" i="22"/>
  <c r="AP384" i="22"/>
  <c r="AV384" i="22"/>
  <c r="BG384" i="22"/>
  <c r="BK384" i="22"/>
  <c r="BM384" i="22"/>
  <c r="CB384" i="22"/>
  <c r="CC384" i="22"/>
  <c r="K385" i="22"/>
  <c r="B385" i="22"/>
  <c r="A385" i="22"/>
  <c r="C385" i="22"/>
  <c r="D385" i="22"/>
  <c r="E385" i="22"/>
  <c r="H385" i="22"/>
  <c r="N385" i="22"/>
  <c r="X385" i="22"/>
  <c r="BA385" i="22"/>
  <c r="AB385" i="22"/>
  <c r="AC385" i="22"/>
  <c r="AP385" i="22"/>
  <c r="AV385" i="22"/>
  <c r="BG385" i="22"/>
  <c r="BK385" i="22"/>
  <c r="BM385" i="22"/>
  <c r="CB385" i="22"/>
  <c r="CC385" i="22"/>
  <c r="K386" i="22"/>
  <c r="B386" i="22"/>
  <c r="A386" i="22"/>
  <c r="C386" i="22"/>
  <c r="D386" i="22"/>
  <c r="E386" i="22"/>
  <c r="H386" i="22"/>
  <c r="N386" i="22"/>
  <c r="X386" i="22"/>
  <c r="BA386" i="22"/>
  <c r="AB386" i="22"/>
  <c r="AC386" i="22"/>
  <c r="AP386" i="22"/>
  <c r="AV386" i="22"/>
  <c r="BG386" i="22"/>
  <c r="BK386" i="22"/>
  <c r="BM386" i="22"/>
  <c r="CB386" i="22"/>
  <c r="CC386" i="22"/>
  <c r="K387" i="22"/>
  <c r="B387" i="22"/>
  <c r="A387" i="22"/>
  <c r="C387" i="22"/>
  <c r="D387" i="22"/>
  <c r="E387" i="22"/>
  <c r="H387" i="22"/>
  <c r="N387" i="22"/>
  <c r="X387" i="22"/>
  <c r="BA387" i="22"/>
  <c r="AB387" i="22"/>
  <c r="AC387" i="22"/>
  <c r="AP387" i="22"/>
  <c r="AV387" i="22"/>
  <c r="BG387" i="22"/>
  <c r="BK387" i="22"/>
  <c r="BM387" i="22"/>
  <c r="CB387" i="22"/>
  <c r="CC387" i="22"/>
  <c r="K388" i="22"/>
  <c r="B388" i="22"/>
  <c r="A388" i="22"/>
  <c r="C388" i="22"/>
  <c r="D388" i="22"/>
  <c r="E388" i="22"/>
  <c r="H388" i="22"/>
  <c r="N388" i="22"/>
  <c r="X388" i="22"/>
  <c r="BA388" i="22"/>
  <c r="AB388" i="22"/>
  <c r="AC388" i="22"/>
  <c r="AP388" i="22"/>
  <c r="AV388" i="22"/>
  <c r="BG388" i="22"/>
  <c r="BK388" i="22"/>
  <c r="BM388" i="22"/>
  <c r="CB388" i="22"/>
  <c r="CC388" i="22"/>
  <c r="K389" i="22"/>
  <c r="B389" i="22"/>
  <c r="A389" i="22"/>
  <c r="C389" i="22"/>
  <c r="D389" i="22"/>
  <c r="E389" i="22"/>
  <c r="H389" i="22"/>
  <c r="N389" i="22"/>
  <c r="X389" i="22"/>
  <c r="BA389" i="22"/>
  <c r="AB389" i="22"/>
  <c r="AC389" i="22"/>
  <c r="AP389" i="22"/>
  <c r="AV389" i="22"/>
  <c r="BG389" i="22"/>
  <c r="BK389" i="22"/>
  <c r="BM389" i="22"/>
  <c r="CB389" i="22"/>
  <c r="CC389" i="22"/>
  <c r="K390" i="22"/>
  <c r="B390" i="22"/>
  <c r="A390" i="22"/>
  <c r="C390" i="22"/>
  <c r="D390" i="22"/>
  <c r="E390" i="22"/>
  <c r="H390" i="22"/>
  <c r="N390" i="22"/>
  <c r="X390" i="22"/>
  <c r="BA390" i="22"/>
  <c r="AB390" i="22"/>
  <c r="AC390" i="22"/>
  <c r="AP390" i="22"/>
  <c r="AV390" i="22"/>
  <c r="BG390" i="22"/>
  <c r="BK390" i="22"/>
  <c r="BM390" i="22"/>
  <c r="CB390" i="22"/>
  <c r="CC390" i="22"/>
  <c r="K391" i="22"/>
  <c r="B391" i="22"/>
  <c r="A391" i="22"/>
  <c r="C391" i="22"/>
  <c r="D391" i="22"/>
  <c r="E391" i="22"/>
  <c r="H391" i="22"/>
  <c r="N391" i="22"/>
  <c r="X391" i="22"/>
  <c r="BA391" i="22"/>
  <c r="AB391" i="22"/>
  <c r="AC391" i="22"/>
  <c r="AP391" i="22"/>
  <c r="AV391" i="22"/>
  <c r="BG391" i="22"/>
  <c r="BK391" i="22"/>
  <c r="BM391" i="22"/>
  <c r="CB391" i="22"/>
  <c r="CC391" i="22"/>
  <c r="K392" i="22"/>
  <c r="B392" i="22"/>
  <c r="A392" i="22"/>
  <c r="C392" i="22"/>
  <c r="D392" i="22"/>
  <c r="E392" i="22"/>
  <c r="H392" i="22"/>
  <c r="N392" i="22"/>
  <c r="X392" i="22"/>
  <c r="BA392" i="22"/>
  <c r="AB392" i="22"/>
  <c r="AC392" i="22"/>
  <c r="AP392" i="22"/>
  <c r="AV392" i="22"/>
  <c r="BG392" i="22"/>
  <c r="BK392" i="22"/>
  <c r="BM392" i="22"/>
  <c r="CB392" i="22"/>
  <c r="CC392" i="22"/>
  <c r="K393" i="22"/>
  <c r="B393" i="22"/>
  <c r="A393" i="22"/>
  <c r="C393" i="22"/>
  <c r="D393" i="22"/>
  <c r="E393" i="22"/>
  <c r="H393" i="22"/>
  <c r="N393" i="22"/>
  <c r="X393" i="22"/>
  <c r="BA393" i="22"/>
  <c r="AB393" i="22"/>
  <c r="AC393" i="22"/>
  <c r="AP393" i="22"/>
  <c r="AV393" i="22"/>
  <c r="BG393" i="22"/>
  <c r="BK393" i="22"/>
  <c r="BM393" i="22"/>
  <c r="CB393" i="22"/>
  <c r="CC393" i="22"/>
  <c r="K394" i="22"/>
  <c r="B394" i="22"/>
  <c r="A394" i="22"/>
  <c r="C394" i="22"/>
  <c r="D394" i="22"/>
  <c r="E394" i="22"/>
  <c r="H394" i="22"/>
  <c r="N394" i="22"/>
  <c r="X394" i="22"/>
  <c r="BA394" i="22"/>
  <c r="AB394" i="22"/>
  <c r="AC394" i="22"/>
  <c r="AP394" i="22"/>
  <c r="AV394" i="22"/>
  <c r="BG394" i="22"/>
  <c r="BK394" i="22"/>
  <c r="BM394" i="22"/>
  <c r="CB394" i="22"/>
  <c r="CC394" i="22"/>
  <c r="K395" i="22"/>
  <c r="B395" i="22"/>
  <c r="A395" i="22"/>
  <c r="C395" i="22"/>
  <c r="D395" i="22"/>
  <c r="E395" i="22"/>
  <c r="H395" i="22"/>
  <c r="N395" i="22"/>
  <c r="X395" i="22"/>
  <c r="BA395" i="22"/>
  <c r="AB395" i="22"/>
  <c r="AC395" i="22"/>
  <c r="AP395" i="22"/>
  <c r="AV395" i="22"/>
  <c r="BG395" i="22"/>
  <c r="BK395" i="22"/>
  <c r="BM395" i="22"/>
  <c r="CB395" i="22"/>
  <c r="CC395" i="22"/>
  <c r="K396" i="22"/>
  <c r="B396" i="22"/>
  <c r="A396" i="22"/>
  <c r="C396" i="22"/>
  <c r="D396" i="22"/>
  <c r="E396" i="22"/>
  <c r="H396" i="22"/>
  <c r="N396" i="22"/>
  <c r="X396" i="22"/>
  <c r="BA396" i="22"/>
  <c r="AB396" i="22"/>
  <c r="AC396" i="22"/>
  <c r="AP396" i="22"/>
  <c r="AV396" i="22"/>
  <c r="BG396" i="22"/>
  <c r="BK396" i="22"/>
  <c r="BM396" i="22"/>
  <c r="CB396" i="22"/>
  <c r="CC396" i="22"/>
  <c r="K397" i="22"/>
  <c r="B397" i="22"/>
  <c r="A397" i="22"/>
  <c r="C397" i="22"/>
  <c r="D397" i="22"/>
  <c r="E397" i="22"/>
  <c r="H397" i="22"/>
  <c r="N397" i="22"/>
  <c r="X397" i="22"/>
  <c r="BA397" i="22"/>
  <c r="AB397" i="22"/>
  <c r="AC397" i="22"/>
  <c r="AP397" i="22"/>
  <c r="AV397" i="22"/>
  <c r="BG397" i="22"/>
  <c r="BK397" i="22"/>
  <c r="BM397" i="22"/>
  <c r="CB397" i="22"/>
  <c r="CC397" i="22"/>
  <c r="K398" i="22"/>
  <c r="B398" i="22"/>
  <c r="A398" i="22"/>
  <c r="C398" i="22"/>
  <c r="D398" i="22"/>
  <c r="E398" i="22"/>
  <c r="H398" i="22"/>
  <c r="N398" i="22"/>
  <c r="X398" i="22"/>
  <c r="BA398" i="22"/>
  <c r="AB398" i="22"/>
  <c r="AC398" i="22"/>
  <c r="AP398" i="22"/>
  <c r="AV398" i="22"/>
  <c r="BG398" i="22"/>
  <c r="BK398" i="22"/>
  <c r="BM398" i="22"/>
  <c r="CB398" i="22"/>
  <c r="CC398" i="22"/>
  <c r="K399" i="22"/>
  <c r="B399" i="22"/>
  <c r="A399" i="22"/>
  <c r="C399" i="22"/>
  <c r="D399" i="22"/>
  <c r="E399" i="22"/>
  <c r="H399" i="22"/>
  <c r="N399" i="22"/>
  <c r="X399" i="22"/>
  <c r="BA399" i="22"/>
  <c r="AB399" i="22"/>
  <c r="AC399" i="22"/>
  <c r="AP399" i="22"/>
  <c r="AV399" i="22"/>
  <c r="BG399" i="22"/>
  <c r="BK399" i="22"/>
  <c r="BM399" i="22"/>
  <c r="CB399" i="22"/>
  <c r="CC399" i="22"/>
  <c r="K400" i="22"/>
  <c r="B400" i="22"/>
  <c r="A400" i="22"/>
  <c r="C400" i="22"/>
  <c r="D400" i="22"/>
  <c r="E400" i="22"/>
  <c r="H400" i="22"/>
  <c r="N400" i="22"/>
  <c r="X400" i="22"/>
  <c r="BA400" i="22"/>
  <c r="AB400" i="22"/>
  <c r="AC400" i="22"/>
  <c r="AP400" i="22"/>
  <c r="AV400" i="22"/>
  <c r="BG400" i="22"/>
  <c r="BK400" i="22"/>
  <c r="BM400" i="22"/>
  <c r="CB400" i="22"/>
  <c r="CC400" i="22"/>
  <c r="K401" i="22"/>
  <c r="B401" i="22"/>
  <c r="A401" i="22"/>
  <c r="C401" i="22"/>
  <c r="D401" i="22"/>
  <c r="E401" i="22"/>
  <c r="H401" i="22"/>
  <c r="N401" i="22"/>
  <c r="X401" i="22"/>
  <c r="BA401" i="22"/>
  <c r="AB401" i="22"/>
  <c r="AC401" i="22"/>
  <c r="AP401" i="22"/>
  <c r="AV401" i="22"/>
  <c r="BG401" i="22"/>
  <c r="BK401" i="22"/>
  <c r="BM401" i="22"/>
  <c r="CB401" i="22"/>
  <c r="CC401" i="22"/>
  <c r="K402" i="22"/>
  <c r="B402" i="22"/>
  <c r="A402" i="22"/>
  <c r="C402" i="22"/>
  <c r="D402" i="22"/>
  <c r="E402" i="22"/>
  <c r="H402" i="22"/>
  <c r="N402" i="22"/>
  <c r="X402" i="22"/>
  <c r="BA402" i="22"/>
  <c r="AB402" i="22"/>
  <c r="AC402" i="22"/>
  <c r="AP402" i="22"/>
  <c r="AV402" i="22"/>
  <c r="BG402" i="22"/>
  <c r="BK402" i="22"/>
  <c r="BM402" i="22"/>
  <c r="CB402" i="22"/>
  <c r="CC402" i="22"/>
  <c r="K403" i="22"/>
  <c r="B403" i="22"/>
  <c r="A403" i="22"/>
  <c r="C403" i="22"/>
  <c r="D403" i="22"/>
  <c r="E403" i="22"/>
  <c r="H403" i="22"/>
  <c r="N403" i="22"/>
  <c r="X403" i="22"/>
  <c r="BA403" i="22"/>
  <c r="AB403" i="22"/>
  <c r="AC403" i="22"/>
  <c r="AP403" i="22"/>
  <c r="AV403" i="22"/>
  <c r="BG403" i="22"/>
  <c r="BK403" i="22"/>
  <c r="BM403" i="22"/>
  <c r="CB403" i="22"/>
  <c r="CC403" i="22"/>
  <c r="K404" i="22"/>
  <c r="B404" i="22"/>
  <c r="A404" i="22"/>
  <c r="C404" i="22"/>
  <c r="D404" i="22"/>
  <c r="E404" i="22"/>
  <c r="H404" i="22"/>
  <c r="N404" i="22"/>
  <c r="X404" i="22"/>
  <c r="BA404" i="22"/>
  <c r="AB404" i="22"/>
  <c r="AC404" i="22"/>
  <c r="AP404" i="22"/>
  <c r="AV404" i="22"/>
  <c r="BG404" i="22"/>
  <c r="BK404" i="22"/>
  <c r="BM404" i="22"/>
  <c r="CB404" i="22"/>
  <c r="CC404" i="22"/>
  <c r="K405" i="22"/>
  <c r="B405" i="22"/>
  <c r="A405" i="22"/>
  <c r="C405" i="22"/>
  <c r="D405" i="22"/>
  <c r="E405" i="22"/>
  <c r="H405" i="22"/>
  <c r="N405" i="22"/>
  <c r="X405" i="22"/>
  <c r="BA405" i="22"/>
  <c r="AB405" i="22"/>
  <c r="AC405" i="22"/>
  <c r="AP405" i="22"/>
  <c r="AV405" i="22"/>
  <c r="BG405" i="22"/>
  <c r="BK405" i="22"/>
  <c r="BM405" i="22"/>
  <c r="CB405" i="22"/>
  <c r="CC405" i="22"/>
  <c r="K406" i="22"/>
  <c r="B406" i="22"/>
  <c r="A406" i="22"/>
  <c r="C406" i="22"/>
  <c r="D406" i="22"/>
  <c r="E406" i="22"/>
  <c r="H406" i="22"/>
  <c r="N406" i="22"/>
  <c r="X406" i="22"/>
  <c r="BA406" i="22"/>
  <c r="AB406" i="22"/>
  <c r="AC406" i="22"/>
  <c r="AP406" i="22"/>
  <c r="AV406" i="22"/>
  <c r="BG406" i="22"/>
  <c r="BK406" i="22"/>
  <c r="BM406" i="22"/>
  <c r="CB406" i="22"/>
  <c r="CC406" i="22"/>
  <c r="K407" i="22"/>
  <c r="B407" i="22"/>
  <c r="A407" i="22"/>
  <c r="C407" i="22"/>
  <c r="D407" i="22"/>
  <c r="E407" i="22"/>
  <c r="H407" i="22"/>
  <c r="N407" i="22"/>
  <c r="X407" i="22"/>
  <c r="BA407" i="22"/>
  <c r="AB407" i="22"/>
  <c r="AC407" i="22"/>
  <c r="AP407" i="22"/>
  <c r="AV407" i="22"/>
  <c r="BG407" i="22"/>
  <c r="BK407" i="22"/>
  <c r="BM407" i="22"/>
  <c r="CB407" i="22"/>
  <c r="CC407" i="22"/>
  <c r="K408" i="22"/>
  <c r="B408" i="22"/>
  <c r="A408" i="22"/>
  <c r="C408" i="22"/>
  <c r="D408" i="22"/>
  <c r="E408" i="22"/>
  <c r="H408" i="22"/>
  <c r="N408" i="22"/>
  <c r="X408" i="22"/>
  <c r="BA408" i="22"/>
  <c r="AB408" i="22"/>
  <c r="AC408" i="22"/>
  <c r="AP408" i="22"/>
  <c r="AV408" i="22"/>
  <c r="BG408" i="22"/>
  <c r="BK408" i="22"/>
  <c r="BM408" i="22"/>
  <c r="CB408" i="22"/>
  <c r="CC408" i="22"/>
  <c r="K409" i="22"/>
  <c r="B409" i="22"/>
  <c r="A409" i="22"/>
  <c r="C409" i="22"/>
  <c r="D409" i="22"/>
  <c r="E409" i="22"/>
  <c r="H409" i="22"/>
  <c r="N409" i="22"/>
  <c r="X409" i="22"/>
  <c r="BA409" i="22"/>
  <c r="AB409" i="22"/>
  <c r="AC409" i="22"/>
  <c r="AP409" i="22"/>
  <c r="AV409" i="22"/>
  <c r="BG409" i="22"/>
  <c r="BK409" i="22"/>
  <c r="BM409" i="22"/>
  <c r="CB409" i="22"/>
  <c r="CC409" i="22"/>
  <c r="K410" i="22"/>
  <c r="B410" i="22"/>
  <c r="A410" i="22"/>
  <c r="C410" i="22"/>
  <c r="D410" i="22"/>
  <c r="E410" i="22"/>
  <c r="H410" i="22"/>
  <c r="N410" i="22"/>
  <c r="X410" i="22"/>
  <c r="BA410" i="22"/>
  <c r="AB410" i="22"/>
  <c r="AC410" i="22"/>
  <c r="AP410" i="22"/>
  <c r="AV410" i="22"/>
  <c r="BG410" i="22"/>
  <c r="BK410" i="22"/>
  <c r="BM410" i="22"/>
  <c r="CB410" i="22"/>
  <c r="CC410" i="22"/>
  <c r="K411" i="22"/>
  <c r="B411" i="22"/>
  <c r="A411" i="22"/>
  <c r="C411" i="22"/>
  <c r="D411" i="22"/>
  <c r="E411" i="22"/>
  <c r="H411" i="22"/>
  <c r="N411" i="22"/>
  <c r="X411" i="22"/>
  <c r="BA411" i="22"/>
  <c r="AB411" i="22"/>
  <c r="AC411" i="22"/>
  <c r="AP411" i="22"/>
  <c r="AV411" i="22"/>
  <c r="BG411" i="22"/>
  <c r="BK411" i="22"/>
  <c r="BM411" i="22"/>
  <c r="CB411" i="22"/>
  <c r="CC411" i="22"/>
  <c r="K412" i="22"/>
  <c r="B412" i="22"/>
  <c r="A412" i="22"/>
  <c r="C412" i="22"/>
  <c r="D412" i="22"/>
  <c r="E412" i="22"/>
  <c r="H412" i="22"/>
  <c r="N412" i="22"/>
  <c r="X412" i="22"/>
  <c r="BA412" i="22"/>
  <c r="AB412" i="22"/>
  <c r="AC412" i="22"/>
  <c r="AP412" i="22"/>
  <c r="AV412" i="22"/>
  <c r="BG412" i="22"/>
  <c r="BK412" i="22"/>
  <c r="BM412" i="22"/>
  <c r="CB412" i="22"/>
  <c r="CC412" i="22"/>
  <c r="K413" i="22"/>
  <c r="B413" i="22"/>
  <c r="A413" i="22"/>
  <c r="C413" i="22"/>
  <c r="D413" i="22"/>
  <c r="E413" i="22"/>
  <c r="H413" i="22"/>
  <c r="N413" i="22"/>
  <c r="X413" i="22"/>
  <c r="BA413" i="22"/>
  <c r="AB413" i="22"/>
  <c r="AC413" i="22"/>
  <c r="AP413" i="22"/>
  <c r="AV413" i="22"/>
  <c r="BG413" i="22"/>
  <c r="BK413" i="22"/>
  <c r="BM413" i="22"/>
  <c r="CB413" i="22"/>
  <c r="CC413" i="22"/>
  <c r="K414" i="22"/>
  <c r="B414" i="22"/>
  <c r="A414" i="22"/>
  <c r="C414" i="22"/>
  <c r="D414" i="22"/>
  <c r="E414" i="22"/>
  <c r="H414" i="22"/>
  <c r="N414" i="22"/>
  <c r="X414" i="22"/>
  <c r="BA414" i="22"/>
  <c r="AB414" i="22"/>
  <c r="AC414" i="22"/>
  <c r="AP414" i="22"/>
  <c r="AV414" i="22"/>
  <c r="BG414" i="22"/>
  <c r="BK414" i="22"/>
  <c r="BM414" i="22"/>
  <c r="CB414" i="22"/>
  <c r="CC414" i="22"/>
  <c r="K415" i="22"/>
  <c r="B415" i="22"/>
  <c r="A415" i="22"/>
  <c r="C415" i="22"/>
  <c r="D415" i="22"/>
  <c r="E415" i="22"/>
  <c r="H415" i="22"/>
  <c r="N415" i="22"/>
  <c r="X415" i="22"/>
  <c r="BA415" i="22"/>
  <c r="AB415" i="22"/>
  <c r="AC415" i="22"/>
  <c r="AP415" i="22"/>
  <c r="AV415" i="22"/>
  <c r="BG415" i="22"/>
  <c r="BK415" i="22"/>
  <c r="BM415" i="22"/>
  <c r="CB415" i="22"/>
  <c r="CC415" i="22"/>
  <c r="K416" i="22"/>
  <c r="B416" i="22"/>
  <c r="A416" i="22"/>
  <c r="C416" i="22"/>
  <c r="D416" i="22"/>
  <c r="E416" i="22"/>
  <c r="H416" i="22"/>
  <c r="N416" i="22"/>
  <c r="X416" i="22"/>
  <c r="BA416" i="22"/>
  <c r="AB416" i="22"/>
  <c r="AC416" i="22"/>
  <c r="AP416" i="22"/>
  <c r="AV416" i="22"/>
  <c r="BG416" i="22"/>
  <c r="BK416" i="22"/>
  <c r="BM416" i="22"/>
  <c r="CB416" i="22"/>
  <c r="CC416" i="22"/>
  <c r="K417" i="22"/>
  <c r="B417" i="22"/>
  <c r="A417" i="22"/>
  <c r="C417" i="22"/>
  <c r="D417" i="22"/>
  <c r="E417" i="22"/>
  <c r="H417" i="22"/>
  <c r="N417" i="22"/>
  <c r="X417" i="22"/>
  <c r="BA417" i="22"/>
  <c r="AB417" i="22"/>
  <c r="AC417" i="22"/>
  <c r="AP417" i="22"/>
  <c r="AV417" i="22"/>
  <c r="BG417" i="22"/>
  <c r="BK417" i="22"/>
  <c r="BM417" i="22"/>
  <c r="CB417" i="22"/>
  <c r="CC417" i="22"/>
  <c r="K418" i="22"/>
  <c r="B418" i="22"/>
  <c r="A418" i="22"/>
  <c r="C418" i="22"/>
  <c r="D418" i="22"/>
  <c r="E418" i="22"/>
  <c r="H418" i="22"/>
  <c r="N418" i="22"/>
  <c r="X418" i="22"/>
  <c r="BA418" i="22"/>
  <c r="AB418" i="22"/>
  <c r="AC418" i="22"/>
  <c r="AP418" i="22"/>
  <c r="AV418" i="22"/>
  <c r="BG418" i="22"/>
  <c r="BK418" i="22"/>
  <c r="BM418" i="22"/>
  <c r="CB418" i="22"/>
  <c r="CC418" i="22"/>
  <c r="K419" i="22"/>
  <c r="B419" i="22"/>
  <c r="A419" i="22"/>
  <c r="C419" i="22"/>
  <c r="D419" i="22"/>
  <c r="E419" i="22"/>
  <c r="H419" i="22"/>
  <c r="N419" i="22"/>
  <c r="X419" i="22"/>
  <c r="BA419" i="22"/>
  <c r="AB419" i="22"/>
  <c r="AC419" i="22"/>
  <c r="AP419" i="22"/>
  <c r="AV419" i="22"/>
  <c r="BG419" i="22"/>
  <c r="BK419" i="22"/>
  <c r="BM419" i="22"/>
  <c r="CB419" i="22"/>
  <c r="CC419" i="22"/>
  <c r="K420" i="22"/>
  <c r="B420" i="22"/>
  <c r="A420" i="22"/>
  <c r="C420" i="22"/>
  <c r="D420" i="22"/>
  <c r="E420" i="22"/>
  <c r="H420" i="22"/>
  <c r="N420" i="22"/>
  <c r="X420" i="22"/>
  <c r="BA420" i="22"/>
  <c r="AB420" i="22"/>
  <c r="AC420" i="22"/>
  <c r="AP420" i="22"/>
  <c r="AV420" i="22"/>
  <c r="BG420" i="22"/>
  <c r="BK420" i="22"/>
  <c r="BM420" i="22"/>
  <c r="CB420" i="22"/>
  <c r="CC420" i="22"/>
  <c r="K421" i="22"/>
  <c r="B421" i="22"/>
  <c r="A421" i="22"/>
  <c r="C421" i="22"/>
  <c r="D421" i="22"/>
  <c r="E421" i="22"/>
  <c r="H421" i="22"/>
  <c r="N421" i="22"/>
  <c r="X421" i="22"/>
  <c r="BA421" i="22"/>
  <c r="AB421" i="22"/>
  <c r="AC421" i="22"/>
  <c r="AP421" i="22"/>
  <c r="AV421" i="22"/>
  <c r="BG421" i="22"/>
  <c r="BK421" i="22"/>
  <c r="BM421" i="22"/>
  <c r="CB421" i="22"/>
  <c r="CC421" i="22"/>
  <c r="K422" i="22"/>
  <c r="B422" i="22"/>
  <c r="A422" i="22"/>
  <c r="C422" i="22"/>
  <c r="D422" i="22"/>
  <c r="E422" i="22"/>
  <c r="H422" i="22"/>
  <c r="N422" i="22"/>
  <c r="X422" i="22"/>
  <c r="BA422" i="22"/>
  <c r="AB422" i="22"/>
  <c r="AC422" i="22"/>
  <c r="AP422" i="22"/>
  <c r="AV422" i="22"/>
  <c r="BG422" i="22"/>
  <c r="BK422" i="22"/>
  <c r="BM422" i="22"/>
  <c r="CB422" i="22"/>
  <c r="CC422" i="22"/>
  <c r="K423" i="22"/>
  <c r="B423" i="22"/>
  <c r="A423" i="22"/>
  <c r="C423" i="22"/>
  <c r="D423" i="22"/>
  <c r="E423" i="22"/>
  <c r="H423" i="22"/>
  <c r="N423" i="22"/>
  <c r="X423" i="22"/>
  <c r="BA423" i="22"/>
  <c r="AB423" i="22"/>
  <c r="AC423" i="22"/>
  <c r="AP423" i="22"/>
  <c r="AV423" i="22"/>
  <c r="BG423" i="22"/>
  <c r="BK423" i="22"/>
  <c r="BM423" i="22"/>
  <c r="CB423" i="22"/>
  <c r="CC423" i="22"/>
  <c r="K424" i="22"/>
  <c r="B424" i="22"/>
  <c r="A424" i="22"/>
  <c r="C424" i="22"/>
  <c r="D424" i="22"/>
  <c r="E424" i="22"/>
  <c r="H424" i="22"/>
  <c r="N424" i="22"/>
  <c r="X424" i="22"/>
  <c r="BA424" i="22"/>
  <c r="AB424" i="22"/>
  <c r="AC424" i="22"/>
  <c r="AP424" i="22"/>
  <c r="AV424" i="22"/>
  <c r="BG424" i="22"/>
  <c r="BK424" i="22"/>
  <c r="BM424" i="22"/>
  <c r="CB424" i="22"/>
  <c r="CC424" i="22"/>
  <c r="K425" i="22"/>
  <c r="B425" i="22"/>
  <c r="A425" i="22"/>
  <c r="C425" i="22"/>
  <c r="D425" i="22"/>
  <c r="E425" i="22"/>
  <c r="H425" i="22"/>
  <c r="N425" i="22"/>
  <c r="X425" i="22"/>
  <c r="BA425" i="22"/>
  <c r="AB425" i="22"/>
  <c r="AC425" i="22"/>
  <c r="AP425" i="22"/>
  <c r="AV425" i="22"/>
  <c r="BG425" i="22"/>
  <c r="BK425" i="22"/>
  <c r="BM425" i="22"/>
  <c r="CB425" i="22"/>
  <c r="CC425" i="22"/>
  <c r="K426" i="22"/>
  <c r="B426" i="22"/>
  <c r="A426" i="22"/>
  <c r="C426" i="22"/>
  <c r="D426" i="22"/>
  <c r="E426" i="22"/>
  <c r="H426" i="22"/>
  <c r="N426" i="22"/>
  <c r="X426" i="22"/>
  <c r="BA426" i="22"/>
  <c r="AB426" i="22"/>
  <c r="AC426" i="22"/>
  <c r="AP426" i="22"/>
  <c r="AV426" i="22"/>
  <c r="BG426" i="22"/>
  <c r="BK426" i="22"/>
  <c r="BM426" i="22"/>
  <c r="CB426" i="22"/>
  <c r="CC426" i="22"/>
  <c r="K427" i="22"/>
  <c r="B427" i="22"/>
  <c r="A427" i="22"/>
  <c r="C427" i="22"/>
  <c r="D427" i="22"/>
  <c r="E427" i="22"/>
  <c r="H427" i="22"/>
  <c r="N427" i="22"/>
  <c r="X427" i="22"/>
  <c r="BA427" i="22"/>
  <c r="AB427" i="22"/>
  <c r="AC427" i="22"/>
  <c r="AP427" i="22"/>
  <c r="AV427" i="22"/>
  <c r="BG427" i="22"/>
  <c r="BK427" i="22"/>
  <c r="BM427" i="22"/>
  <c r="CB427" i="22"/>
  <c r="CC427" i="22"/>
  <c r="K428" i="22"/>
  <c r="B428" i="22"/>
  <c r="A428" i="22"/>
  <c r="C428" i="22"/>
  <c r="D428" i="22"/>
  <c r="E428" i="22"/>
  <c r="H428" i="22"/>
  <c r="N428" i="22"/>
  <c r="X428" i="22"/>
  <c r="BA428" i="22"/>
  <c r="AB428" i="22"/>
  <c r="AC428" i="22"/>
  <c r="AP428" i="22"/>
  <c r="AV428" i="22"/>
  <c r="BG428" i="22"/>
  <c r="BK428" i="22"/>
  <c r="BM428" i="22"/>
  <c r="CB428" i="22"/>
  <c r="CC428" i="22"/>
  <c r="K429" i="22"/>
  <c r="B429" i="22"/>
  <c r="A429" i="22"/>
  <c r="C429" i="22"/>
  <c r="D429" i="22"/>
  <c r="E429" i="22"/>
  <c r="H429" i="22"/>
  <c r="N429" i="22"/>
  <c r="X429" i="22"/>
  <c r="BA429" i="22"/>
  <c r="AB429" i="22"/>
  <c r="AC429" i="22"/>
  <c r="AP429" i="22"/>
  <c r="AV429" i="22"/>
  <c r="BG429" i="22"/>
  <c r="BK429" i="22"/>
  <c r="BM429" i="22"/>
  <c r="CB429" i="22"/>
  <c r="CC429" i="22"/>
  <c r="K430" i="22"/>
  <c r="B430" i="22"/>
  <c r="A430" i="22"/>
  <c r="C430" i="22"/>
  <c r="D430" i="22"/>
  <c r="E430" i="22"/>
  <c r="H430" i="22"/>
  <c r="N430" i="22"/>
  <c r="X430" i="22"/>
  <c r="BA430" i="22"/>
  <c r="AB430" i="22"/>
  <c r="AC430" i="22"/>
  <c r="AP430" i="22"/>
  <c r="AV430" i="22"/>
  <c r="BG430" i="22"/>
  <c r="BK430" i="22"/>
  <c r="BM430" i="22"/>
  <c r="CB430" i="22"/>
  <c r="CC430" i="22"/>
  <c r="K431" i="22"/>
  <c r="B431" i="22"/>
  <c r="A431" i="22"/>
  <c r="C431" i="22"/>
  <c r="D431" i="22"/>
  <c r="E431" i="22"/>
  <c r="H431" i="22"/>
  <c r="N431" i="22"/>
  <c r="X431" i="22"/>
  <c r="BA431" i="22"/>
  <c r="AB431" i="22"/>
  <c r="AC431" i="22"/>
  <c r="AP431" i="22"/>
  <c r="AV431" i="22"/>
  <c r="BG431" i="22"/>
  <c r="BK431" i="22"/>
  <c r="BM431" i="22"/>
  <c r="CB431" i="22"/>
  <c r="CC431" i="22"/>
  <c r="K432" i="22"/>
  <c r="B432" i="22"/>
  <c r="A432" i="22"/>
  <c r="C432" i="22"/>
  <c r="D432" i="22"/>
  <c r="E432" i="22"/>
  <c r="H432" i="22"/>
  <c r="N432" i="22"/>
  <c r="X432" i="22"/>
  <c r="BA432" i="22"/>
  <c r="AB432" i="22"/>
  <c r="AC432" i="22"/>
  <c r="AP432" i="22"/>
  <c r="AV432" i="22"/>
  <c r="BG432" i="22"/>
  <c r="BK432" i="22"/>
  <c r="BM432" i="22"/>
  <c r="CB432" i="22"/>
  <c r="CC432" i="22"/>
  <c r="K433" i="22"/>
  <c r="B433" i="22"/>
  <c r="A433" i="22"/>
  <c r="C433" i="22"/>
  <c r="D433" i="22"/>
  <c r="E433" i="22"/>
  <c r="H433" i="22"/>
  <c r="N433" i="22"/>
  <c r="X433" i="22"/>
  <c r="BA433" i="22"/>
  <c r="AB433" i="22"/>
  <c r="AC433" i="22"/>
  <c r="AP433" i="22"/>
  <c r="AV433" i="22"/>
  <c r="BG433" i="22"/>
  <c r="BK433" i="22"/>
  <c r="BM433" i="22"/>
  <c r="CB433" i="22"/>
  <c r="CC433" i="22"/>
  <c r="K434" i="22"/>
  <c r="B434" i="22"/>
  <c r="A434" i="22"/>
  <c r="C434" i="22"/>
  <c r="D434" i="22"/>
  <c r="E434" i="22"/>
  <c r="H434" i="22"/>
  <c r="N434" i="22"/>
  <c r="X434" i="22"/>
  <c r="BA434" i="22"/>
  <c r="AB434" i="22"/>
  <c r="AC434" i="22"/>
  <c r="AP434" i="22"/>
  <c r="AV434" i="22"/>
  <c r="BG434" i="22"/>
  <c r="BK434" i="22"/>
  <c r="BM434" i="22"/>
  <c r="CB434" i="22"/>
  <c r="CC434" i="22"/>
  <c r="K435" i="22"/>
  <c r="B435" i="22"/>
  <c r="A435" i="22"/>
  <c r="C435" i="22"/>
  <c r="D435" i="22"/>
  <c r="E435" i="22"/>
  <c r="H435" i="22"/>
  <c r="N435" i="22"/>
  <c r="X435" i="22"/>
  <c r="BA435" i="22"/>
  <c r="AB435" i="22"/>
  <c r="AC435" i="22"/>
  <c r="AP435" i="22"/>
  <c r="AV435" i="22"/>
  <c r="BG435" i="22"/>
  <c r="BK435" i="22"/>
  <c r="BM435" i="22"/>
  <c r="CB435" i="22"/>
  <c r="CC435" i="22"/>
  <c r="K436" i="22"/>
  <c r="B436" i="22"/>
  <c r="A436" i="22"/>
  <c r="C436" i="22"/>
  <c r="D436" i="22"/>
  <c r="E436" i="22"/>
  <c r="H436" i="22"/>
  <c r="N436" i="22"/>
  <c r="X436" i="22"/>
  <c r="BA436" i="22"/>
  <c r="AB436" i="22"/>
  <c r="AC436" i="22"/>
  <c r="AP436" i="22"/>
  <c r="AV436" i="22"/>
  <c r="BG436" i="22"/>
  <c r="BK436" i="22"/>
  <c r="BM436" i="22"/>
  <c r="CB436" i="22"/>
  <c r="CC436" i="22"/>
  <c r="K437" i="22"/>
  <c r="B437" i="22"/>
  <c r="A437" i="22"/>
  <c r="C437" i="22"/>
  <c r="D437" i="22"/>
  <c r="E437" i="22"/>
  <c r="H437" i="22"/>
  <c r="N437" i="22"/>
  <c r="X437" i="22"/>
  <c r="BA437" i="22"/>
  <c r="AB437" i="22"/>
  <c r="AC437" i="22"/>
  <c r="AP437" i="22"/>
  <c r="AV437" i="22"/>
  <c r="BG437" i="22"/>
  <c r="BK437" i="22"/>
  <c r="BM437" i="22"/>
  <c r="CB437" i="22"/>
  <c r="CC437" i="22"/>
  <c r="K438" i="22"/>
  <c r="B438" i="22"/>
  <c r="A438" i="22"/>
  <c r="C438" i="22"/>
  <c r="D438" i="22"/>
  <c r="E438" i="22"/>
  <c r="H438" i="22"/>
  <c r="N438" i="22"/>
  <c r="X438" i="22"/>
  <c r="BA438" i="22"/>
  <c r="AB438" i="22"/>
  <c r="AC438" i="22"/>
  <c r="AP438" i="22"/>
  <c r="AV438" i="22"/>
  <c r="BG438" i="22"/>
  <c r="BK438" i="22"/>
  <c r="BM438" i="22"/>
  <c r="CB438" i="22"/>
  <c r="CC438" i="22"/>
  <c r="K439" i="22"/>
  <c r="B439" i="22"/>
  <c r="A439" i="22"/>
  <c r="C439" i="22"/>
  <c r="D439" i="22"/>
  <c r="E439" i="22"/>
  <c r="H439" i="22"/>
  <c r="N439" i="22"/>
  <c r="X439" i="22"/>
  <c r="BA439" i="22"/>
  <c r="AB439" i="22"/>
  <c r="AC439" i="22"/>
  <c r="AP439" i="22"/>
  <c r="AV439" i="22"/>
  <c r="BG439" i="22"/>
  <c r="BK439" i="22"/>
  <c r="BM439" i="22"/>
  <c r="CB439" i="22"/>
  <c r="CC439" i="22"/>
  <c r="K440" i="22"/>
  <c r="B440" i="22"/>
  <c r="A440" i="22"/>
  <c r="C440" i="22"/>
  <c r="D440" i="22"/>
  <c r="E440" i="22"/>
  <c r="H440" i="22"/>
  <c r="N440" i="22"/>
  <c r="X440" i="22"/>
  <c r="BA440" i="22"/>
  <c r="AB440" i="22"/>
  <c r="AC440" i="22"/>
  <c r="AP440" i="22"/>
  <c r="AV440" i="22"/>
  <c r="BG440" i="22"/>
  <c r="BK440" i="22"/>
  <c r="BM440" i="22"/>
  <c r="CB440" i="22"/>
  <c r="CC440" i="22"/>
  <c r="K441" i="22"/>
  <c r="B441" i="22"/>
  <c r="A441" i="22"/>
  <c r="C441" i="22"/>
  <c r="D441" i="22"/>
  <c r="E441" i="22"/>
  <c r="H441" i="22"/>
  <c r="N441" i="22"/>
  <c r="X441" i="22"/>
  <c r="BA441" i="22"/>
  <c r="AB441" i="22"/>
  <c r="AC441" i="22"/>
  <c r="AP441" i="22"/>
  <c r="AV441" i="22"/>
  <c r="BG441" i="22"/>
  <c r="BK441" i="22"/>
  <c r="BM441" i="22"/>
  <c r="CB441" i="22"/>
  <c r="CC441" i="22"/>
  <c r="K442" i="22"/>
  <c r="B442" i="22"/>
  <c r="A442" i="22"/>
  <c r="C442" i="22"/>
  <c r="D442" i="22"/>
  <c r="E442" i="22"/>
  <c r="H442" i="22"/>
  <c r="N442" i="22"/>
  <c r="X442" i="22"/>
  <c r="BA442" i="22"/>
  <c r="AB442" i="22"/>
  <c r="AC442" i="22"/>
  <c r="AP442" i="22"/>
  <c r="AV442" i="22"/>
  <c r="BG442" i="22"/>
  <c r="BK442" i="22"/>
  <c r="BM442" i="22"/>
  <c r="CB442" i="22"/>
  <c r="CC442" i="22"/>
  <c r="K443" i="22"/>
  <c r="B443" i="22"/>
  <c r="A443" i="22"/>
  <c r="C443" i="22"/>
  <c r="D443" i="22"/>
  <c r="E443" i="22"/>
  <c r="H443" i="22"/>
  <c r="N443" i="22"/>
  <c r="X443" i="22"/>
  <c r="BA443" i="22"/>
  <c r="AB443" i="22"/>
  <c r="AC443" i="22"/>
  <c r="AP443" i="22"/>
  <c r="AV443" i="22"/>
  <c r="BG443" i="22"/>
  <c r="BK443" i="22"/>
  <c r="BM443" i="22"/>
  <c r="CB443" i="22"/>
  <c r="CC443" i="22"/>
  <c r="K444" i="22"/>
  <c r="B444" i="22"/>
  <c r="A444" i="22"/>
  <c r="C444" i="22"/>
  <c r="D444" i="22"/>
  <c r="E444" i="22"/>
  <c r="H444" i="22"/>
  <c r="N444" i="22"/>
  <c r="X444" i="22"/>
  <c r="BA444" i="22"/>
  <c r="AB444" i="22"/>
  <c r="AC444" i="22"/>
  <c r="AP444" i="22"/>
  <c r="AV444" i="22"/>
  <c r="BG444" i="22"/>
  <c r="BK444" i="22"/>
  <c r="BM444" i="22"/>
  <c r="CB444" i="22"/>
  <c r="CC444" i="22"/>
  <c r="K445" i="22"/>
  <c r="B445" i="22"/>
  <c r="A445" i="22"/>
  <c r="C445" i="22"/>
  <c r="D445" i="22"/>
  <c r="E445" i="22"/>
  <c r="H445" i="22"/>
  <c r="N445" i="22"/>
  <c r="X445" i="22"/>
  <c r="BA445" i="22"/>
  <c r="AB445" i="22"/>
  <c r="AC445" i="22"/>
  <c r="AP445" i="22"/>
  <c r="AV445" i="22"/>
  <c r="BG445" i="22"/>
  <c r="BK445" i="22"/>
  <c r="BM445" i="22"/>
  <c r="CB445" i="22"/>
  <c r="CC445" i="22"/>
  <c r="K446" i="22"/>
  <c r="B446" i="22"/>
  <c r="A446" i="22"/>
  <c r="C446" i="22"/>
  <c r="D446" i="22"/>
  <c r="E446" i="22"/>
  <c r="H446" i="22"/>
  <c r="N446" i="22"/>
  <c r="X446" i="22"/>
  <c r="BA446" i="22"/>
  <c r="AB446" i="22"/>
  <c r="AC446" i="22"/>
  <c r="AP446" i="22"/>
  <c r="AV446" i="22"/>
  <c r="BG446" i="22"/>
  <c r="BK446" i="22"/>
  <c r="BM446" i="22"/>
  <c r="CB446" i="22"/>
  <c r="CC446" i="22"/>
  <c r="K447" i="22"/>
  <c r="B447" i="22"/>
  <c r="A447" i="22"/>
  <c r="C447" i="22"/>
  <c r="D447" i="22"/>
  <c r="E447" i="22"/>
  <c r="H447" i="22"/>
  <c r="N447" i="22"/>
  <c r="X447" i="22"/>
  <c r="BA447" i="22"/>
  <c r="AB447" i="22"/>
  <c r="AC447" i="22"/>
  <c r="AP447" i="22"/>
  <c r="AV447" i="22"/>
  <c r="BG447" i="22"/>
  <c r="BK447" i="22"/>
  <c r="BM447" i="22"/>
  <c r="CB447" i="22"/>
  <c r="CC447" i="22"/>
  <c r="K448" i="22"/>
  <c r="B448" i="22"/>
  <c r="A448" i="22"/>
  <c r="C448" i="22"/>
  <c r="D448" i="22"/>
  <c r="E448" i="22"/>
  <c r="H448" i="22"/>
  <c r="N448" i="22"/>
  <c r="X448" i="22"/>
  <c r="BA448" i="22"/>
  <c r="AB448" i="22"/>
  <c r="AC448" i="22"/>
  <c r="AP448" i="22"/>
  <c r="AV448" i="22"/>
  <c r="BG448" i="22"/>
  <c r="BK448" i="22"/>
  <c r="BM448" i="22"/>
  <c r="CB448" i="22"/>
  <c r="CC448" i="22"/>
  <c r="K449" i="22"/>
  <c r="B449" i="22"/>
  <c r="A449" i="22"/>
  <c r="C449" i="22"/>
  <c r="D449" i="22"/>
  <c r="E449" i="22"/>
  <c r="H449" i="22"/>
  <c r="N449" i="22"/>
  <c r="X449" i="22"/>
  <c r="BA449" i="22"/>
  <c r="AB449" i="22"/>
  <c r="AC449" i="22"/>
  <c r="AP449" i="22"/>
  <c r="AV449" i="22"/>
  <c r="BG449" i="22"/>
  <c r="BK449" i="22"/>
  <c r="BM449" i="22"/>
  <c r="CB449" i="22"/>
  <c r="CC449" i="22"/>
  <c r="K450" i="22"/>
  <c r="B450" i="22"/>
  <c r="A450" i="22"/>
  <c r="C450" i="22"/>
  <c r="D450" i="22"/>
  <c r="E450" i="22"/>
  <c r="H450" i="22"/>
  <c r="N450" i="22"/>
  <c r="X450" i="22"/>
  <c r="BA450" i="22"/>
  <c r="AB450" i="22"/>
  <c r="AC450" i="22"/>
  <c r="AP450" i="22"/>
  <c r="AV450" i="22"/>
  <c r="BG450" i="22"/>
  <c r="BK450" i="22"/>
  <c r="BM450" i="22"/>
  <c r="CB450" i="22"/>
  <c r="CC450" i="22"/>
  <c r="K451" i="22"/>
  <c r="B451" i="22"/>
  <c r="A451" i="22"/>
  <c r="C451" i="22"/>
  <c r="D451" i="22"/>
  <c r="E451" i="22"/>
  <c r="H451" i="22"/>
  <c r="N451" i="22"/>
  <c r="X451" i="22"/>
  <c r="BA451" i="22"/>
  <c r="AB451" i="22"/>
  <c r="AC451" i="22"/>
  <c r="AP451" i="22"/>
  <c r="AV451" i="22"/>
  <c r="BG451" i="22"/>
  <c r="BK451" i="22"/>
  <c r="BM451" i="22"/>
  <c r="CB451" i="22"/>
  <c r="CC451" i="22"/>
  <c r="K452" i="22"/>
  <c r="B452" i="22"/>
  <c r="A452" i="22"/>
  <c r="C452" i="22"/>
  <c r="D452" i="22"/>
  <c r="E452" i="22"/>
  <c r="H452" i="22"/>
  <c r="N452" i="22"/>
  <c r="X452" i="22"/>
  <c r="BA452" i="22"/>
  <c r="AB452" i="22"/>
  <c r="AC452" i="22"/>
  <c r="AP452" i="22"/>
  <c r="AV452" i="22"/>
  <c r="BG452" i="22"/>
  <c r="BK452" i="22"/>
  <c r="BM452" i="22"/>
  <c r="CB452" i="22"/>
  <c r="CC452" i="22"/>
  <c r="K453" i="22"/>
  <c r="B453" i="22"/>
  <c r="A453" i="22"/>
  <c r="C453" i="22"/>
  <c r="D453" i="22"/>
  <c r="E453" i="22"/>
  <c r="H453" i="22"/>
  <c r="N453" i="22"/>
  <c r="X453" i="22"/>
  <c r="BA453" i="22"/>
  <c r="AB453" i="22"/>
  <c r="AC453" i="22"/>
  <c r="AP453" i="22"/>
  <c r="AV453" i="22"/>
  <c r="BG453" i="22"/>
  <c r="BK453" i="22"/>
  <c r="BM453" i="22"/>
  <c r="CB453" i="22"/>
  <c r="CC453" i="22"/>
  <c r="K454" i="22"/>
  <c r="B454" i="22"/>
  <c r="A454" i="22"/>
  <c r="C454" i="22"/>
  <c r="D454" i="22"/>
  <c r="E454" i="22"/>
  <c r="H454" i="22"/>
  <c r="N454" i="22"/>
  <c r="X454" i="22"/>
  <c r="BA454" i="22"/>
  <c r="AB454" i="22"/>
  <c r="AC454" i="22"/>
  <c r="AP454" i="22"/>
  <c r="AV454" i="22"/>
  <c r="BG454" i="22"/>
  <c r="BK454" i="22"/>
  <c r="BM454" i="22"/>
  <c r="CB454" i="22"/>
  <c r="CC454" i="22"/>
  <c r="K455" i="22"/>
  <c r="B455" i="22"/>
  <c r="A455" i="22"/>
  <c r="C455" i="22"/>
  <c r="D455" i="22"/>
  <c r="E455" i="22"/>
  <c r="H455" i="22"/>
  <c r="N455" i="22"/>
  <c r="X455" i="22"/>
  <c r="BA455" i="22"/>
  <c r="AB455" i="22"/>
  <c r="AC455" i="22"/>
  <c r="AP455" i="22"/>
  <c r="AV455" i="22"/>
  <c r="BG455" i="22"/>
  <c r="BK455" i="22"/>
  <c r="BM455" i="22"/>
  <c r="CB455" i="22"/>
  <c r="CC455" i="22"/>
  <c r="K456" i="22"/>
  <c r="B456" i="22"/>
  <c r="A456" i="22"/>
  <c r="C456" i="22"/>
  <c r="D456" i="22"/>
  <c r="E456" i="22"/>
  <c r="H456" i="22"/>
  <c r="N456" i="22"/>
  <c r="X456" i="22"/>
  <c r="BA456" i="22"/>
  <c r="AB456" i="22"/>
  <c r="AC456" i="22"/>
  <c r="AP456" i="22"/>
  <c r="AV456" i="22"/>
  <c r="BG456" i="22"/>
  <c r="BK456" i="22"/>
  <c r="BM456" i="22"/>
  <c r="CB456" i="22"/>
  <c r="CC456" i="22"/>
  <c r="K457" i="22"/>
  <c r="B457" i="22"/>
  <c r="A457" i="22"/>
  <c r="C457" i="22"/>
  <c r="D457" i="22"/>
  <c r="E457" i="22"/>
  <c r="H457" i="22"/>
  <c r="N457" i="22"/>
  <c r="X457" i="22"/>
  <c r="BA457" i="22"/>
  <c r="AB457" i="22"/>
  <c r="AC457" i="22"/>
  <c r="AP457" i="22"/>
  <c r="AV457" i="22"/>
  <c r="BG457" i="22"/>
  <c r="BK457" i="22"/>
  <c r="BM457" i="22"/>
  <c r="CB457" i="22"/>
  <c r="CC457" i="22"/>
  <c r="K458" i="22"/>
  <c r="B458" i="22"/>
  <c r="A458" i="22"/>
  <c r="C458" i="22"/>
  <c r="D458" i="22"/>
  <c r="E458" i="22"/>
  <c r="H458" i="22"/>
  <c r="N458" i="22"/>
  <c r="X458" i="22"/>
  <c r="BA458" i="22"/>
  <c r="AB458" i="22"/>
  <c r="AC458" i="22"/>
  <c r="AP458" i="22"/>
  <c r="AV458" i="22"/>
  <c r="BG458" i="22"/>
  <c r="BK458" i="22"/>
  <c r="BM458" i="22"/>
  <c r="CB458" i="22"/>
  <c r="CC458" i="22"/>
  <c r="K459" i="22"/>
  <c r="B459" i="22"/>
  <c r="A459" i="22"/>
  <c r="C459" i="22"/>
  <c r="D459" i="22"/>
  <c r="E459" i="22"/>
  <c r="H459" i="22"/>
  <c r="N459" i="22"/>
  <c r="X459" i="22"/>
  <c r="BA459" i="22"/>
  <c r="AB459" i="22"/>
  <c r="AC459" i="22"/>
  <c r="AP459" i="22"/>
  <c r="AV459" i="22"/>
  <c r="BG459" i="22"/>
  <c r="BK459" i="22"/>
  <c r="BM459" i="22"/>
  <c r="CB459" i="22"/>
  <c r="CC459" i="22"/>
  <c r="K460" i="22"/>
  <c r="B460" i="22"/>
  <c r="A460" i="22"/>
  <c r="C460" i="22"/>
  <c r="D460" i="22"/>
  <c r="E460" i="22"/>
  <c r="H460" i="22"/>
  <c r="N460" i="22"/>
  <c r="X460" i="22"/>
  <c r="BA460" i="22"/>
  <c r="AB460" i="22"/>
  <c r="AC460" i="22"/>
  <c r="AP460" i="22"/>
  <c r="AV460" i="22"/>
  <c r="BG460" i="22"/>
  <c r="BK460" i="22"/>
  <c r="BM460" i="22"/>
  <c r="CB460" i="22"/>
  <c r="CC460" i="22"/>
  <c r="K461" i="22"/>
  <c r="B461" i="22"/>
  <c r="A461" i="22"/>
  <c r="C461" i="22"/>
  <c r="D461" i="22"/>
  <c r="E461" i="22"/>
  <c r="H461" i="22"/>
  <c r="N461" i="22"/>
  <c r="X461" i="22"/>
  <c r="BA461" i="22"/>
  <c r="AB461" i="22"/>
  <c r="AC461" i="22"/>
  <c r="AP461" i="22"/>
  <c r="AV461" i="22"/>
  <c r="BG461" i="22"/>
  <c r="BK461" i="22"/>
  <c r="BM461" i="22"/>
  <c r="CB461" i="22"/>
  <c r="CC461" i="22"/>
  <c r="K462" i="22"/>
  <c r="B462" i="22"/>
  <c r="A462" i="22"/>
  <c r="C462" i="22"/>
  <c r="D462" i="22"/>
  <c r="E462" i="22"/>
  <c r="H462" i="22"/>
  <c r="N462" i="22"/>
  <c r="X462" i="22"/>
  <c r="BA462" i="22"/>
  <c r="AB462" i="22"/>
  <c r="AC462" i="22"/>
  <c r="AP462" i="22"/>
  <c r="AV462" i="22"/>
  <c r="BG462" i="22"/>
  <c r="BK462" i="22"/>
  <c r="BM462" i="22"/>
  <c r="CB462" i="22"/>
  <c r="CC462" i="22"/>
  <c r="K463" i="22"/>
  <c r="B463" i="22"/>
  <c r="A463" i="22"/>
  <c r="C463" i="22"/>
  <c r="D463" i="22"/>
  <c r="E463" i="22"/>
  <c r="H463" i="22"/>
  <c r="N463" i="22"/>
  <c r="X463" i="22"/>
  <c r="BA463" i="22"/>
  <c r="AB463" i="22"/>
  <c r="AC463" i="22"/>
  <c r="AP463" i="22"/>
  <c r="AV463" i="22"/>
  <c r="BG463" i="22"/>
  <c r="BK463" i="22"/>
  <c r="BM463" i="22"/>
  <c r="CB463" i="22"/>
  <c r="CC463" i="22"/>
  <c r="K464" i="22"/>
  <c r="B464" i="22"/>
  <c r="A464" i="22"/>
  <c r="C464" i="22"/>
  <c r="D464" i="22"/>
  <c r="E464" i="22"/>
  <c r="H464" i="22"/>
  <c r="N464" i="22"/>
  <c r="X464" i="22"/>
  <c r="BA464" i="22"/>
  <c r="AB464" i="22"/>
  <c r="AC464" i="22"/>
  <c r="AP464" i="22"/>
  <c r="AV464" i="22"/>
  <c r="BG464" i="22"/>
  <c r="BK464" i="22"/>
  <c r="BM464" i="22"/>
  <c r="CB464" i="22"/>
  <c r="CC464" i="22"/>
  <c r="K465" i="22"/>
  <c r="B465" i="22"/>
  <c r="A465" i="22"/>
  <c r="C465" i="22"/>
  <c r="D465" i="22"/>
  <c r="E465" i="22"/>
  <c r="H465" i="22"/>
  <c r="N465" i="22"/>
  <c r="X465" i="22"/>
  <c r="BA465" i="22"/>
  <c r="AB465" i="22"/>
  <c r="AC465" i="22"/>
  <c r="AP465" i="22"/>
  <c r="AV465" i="22"/>
  <c r="BG465" i="22"/>
  <c r="BK465" i="22"/>
  <c r="BM465" i="22"/>
  <c r="CB465" i="22"/>
  <c r="CC465" i="22"/>
  <c r="K466" i="22"/>
  <c r="B466" i="22"/>
  <c r="A466" i="22"/>
  <c r="C466" i="22"/>
  <c r="D466" i="22"/>
  <c r="E466" i="22"/>
  <c r="H466" i="22"/>
  <c r="N466" i="22"/>
  <c r="X466" i="22"/>
  <c r="BA466" i="22"/>
  <c r="AB466" i="22"/>
  <c r="AC466" i="22"/>
  <c r="AP466" i="22"/>
  <c r="AV466" i="22"/>
  <c r="BG466" i="22"/>
  <c r="BK466" i="22"/>
  <c r="BM466" i="22"/>
  <c r="CB466" i="22"/>
  <c r="CC466" i="22"/>
  <c r="K467" i="22"/>
  <c r="B467" i="22"/>
  <c r="A467" i="22"/>
  <c r="C467" i="22"/>
  <c r="D467" i="22"/>
  <c r="E467" i="22"/>
  <c r="H467" i="22"/>
  <c r="N467" i="22"/>
  <c r="X467" i="22"/>
  <c r="BA467" i="22"/>
  <c r="AB467" i="22"/>
  <c r="AC467" i="22"/>
  <c r="AP467" i="22"/>
  <c r="AV467" i="22"/>
  <c r="BG467" i="22"/>
  <c r="BK467" i="22"/>
  <c r="BM467" i="22"/>
  <c r="CB467" i="22"/>
  <c r="CC467" i="22"/>
  <c r="K468" i="22"/>
  <c r="B468" i="22"/>
  <c r="A468" i="22"/>
  <c r="C468" i="22"/>
  <c r="D468" i="22"/>
  <c r="E468" i="22"/>
  <c r="H468" i="22"/>
  <c r="N468" i="22"/>
  <c r="X468" i="22"/>
  <c r="BA468" i="22"/>
  <c r="AB468" i="22"/>
  <c r="AC468" i="22"/>
  <c r="AP468" i="22"/>
  <c r="AV468" i="22"/>
  <c r="BG468" i="22"/>
  <c r="BK468" i="22"/>
  <c r="BM468" i="22"/>
  <c r="CB468" i="22"/>
  <c r="CC468" i="22"/>
  <c r="K469" i="22"/>
  <c r="B469" i="22"/>
  <c r="A469" i="22"/>
  <c r="C469" i="22"/>
  <c r="D469" i="22"/>
  <c r="E469" i="22"/>
  <c r="H469" i="22"/>
  <c r="N469" i="22"/>
  <c r="X469" i="22"/>
  <c r="BA469" i="22"/>
  <c r="AB469" i="22"/>
  <c r="AC469" i="22"/>
  <c r="AP469" i="22"/>
  <c r="AV469" i="22"/>
  <c r="BG469" i="22"/>
  <c r="BK469" i="22"/>
  <c r="BM469" i="22"/>
  <c r="CB469" i="22"/>
  <c r="CC469" i="22"/>
  <c r="K470" i="22"/>
  <c r="B470" i="22"/>
  <c r="A470" i="22"/>
  <c r="C470" i="22"/>
  <c r="D470" i="22"/>
  <c r="E470" i="22"/>
  <c r="H470" i="22"/>
  <c r="N470" i="22"/>
  <c r="X470" i="22"/>
  <c r="BA470" i="22"/>
  <c r="AB470" i="22"/>
  <c r="AC470" i="22"/>
  <c r="AP470" i="22"/>
  <c r="AV470" i="22"/>
  <c r="BG470" i="22"/>
  <c r="BK470" i="22"/>
  <c r="BM470" i="22"/>
  <c r="CB470" i="22"/>
  <c r="CC470" i="22"/>
  <c r="K471" i="22"/>
  <c r="B471" i="22"/>
  <c r="A471" i="22"/>
  <c r="C471" i="22"/>
  <c r="D471" i="22"/>
  <c r="E471" i="22"/>
  <c r="H471" i="22"/>
  <c r="N471" i="22"/>
  <c r="X471" i="22"/>
  <c r="BA471" i="22"/>
  <c r="AB471" i="22"/>
  <c r="AC471" i="22"/>
  <c r="AP471" i="22"/>
  <c r="AV471" i="22"/>
  <c r="BG471" i="22"/>
  <c r="BK471" i="22"/>
  <c r="BM471" i="22"/>
  <c r="CB471" i="22"/>
  <c r="CC471" i="22"/>
  <c r="K472" i="22"/>
  <c r="B472" i="22"/>
  <c r="A472" i="22"/>
  <c r="C472" i="22"/>
  <c r="D472" i="22"/>
  <c r="E472" i="22"/>
  <c r="H472" i="22"/>
  <c r="N472" i="22"/>
  <c r="X472" i="22"/>
  <c r="BA472" i="22"/>
  <c r="AB472" i="22"/>
  <c r="AC472" i="22"/>
  <c r="AP472" i="22"/>
  <c r="AV472" i="22"/>
  <c r="BG472" i="22"/>
  <c r="BK472" i="22"/>
  <c r="BM472" i="22"/>
  <c r="CB472" i="22"/>
  <c r="CC472" i="22"/>
  <c r="K473" i="22"/>
  <c r="B473" i="22"/>
  <c r="A473" i="22"/>
  <c r="C473" i="22"/>
  <c r="D473" i="22"/>
  <c r="E473" i="22"/>
  <c r="H473" i="22"/>
  <c r="N473" i="22"/>
  <c r="X473" i="22"/>
  <c r="BA473" i="22"/>
  <c r="AB473" i="22"/>
  <c r="AC473" i="22"/>
  <c r="AP473" i="22"/>
  <c r="AV473" i="22"/>
  <c r="BG473" i="22"/>
  <c r="BK473" i="22"/>
  <c r="BM473" i="22"/>
  <c r="CB473" i="22"/>
  <c r="CC473" i="22"/>
  <c r="K474" i="22"/>
  <c r="B474" i="22"/>
  <c r="A474" i="22"/>
  <c r="C474" i="22"/>
  <c r="D474" i="22"/>
  <c r="E474" i="22"/>
  <c r="H474" i="22"/>
  <c r="N474" i="22"/>
  <c r="X474" i="22"/>
  <c r="BA474" i="22"/>
  <c r="AB474" i="22"/>
  <c r="AC474" i="22"/>
  <c r="AP474" i="22"/>
  <c r="AV474" i="22"/>
  <c r="BG474" i="22"/>
  <c r="BK474" i="22"/>
  <c r="BM474" i="22"/>
  <c r="CB474" i="22"/>
  <c r="CC474" i="22"/>
  <c r="K475" i="22"/>
  <c r="B475" i="22"/>
  <c r="A475" i="22"/>
  <c r="C475" i="22"/>
  <c r="D475" i="22"/>
  <c r="E475" i="22"/>
  <c r="H475" i="22"/>
  <c r="N475" i="22"/>
  <c r="X475" i="22"/>
  <c r="BA475" i="22"/>
  <c r="AB475" i="22"/>
  <c r="AC475" i="22"/>
  <c r="AP475" i="22"/>
  <c r="AV475" i="22"/>
  <c r="BG475" i="22"/>
  <c r="BK475" i="22"/>
  <c r="BM475" i="22"/>
  <c r="CB475" i="22"/>
  <c r="CC475" i="22"/>
  <c r="K476" i="22"/>
  <c r="B476" i="22"/>
  <c r="A476" i="22"/>
  <c r="C476" i="22"/>
  <c r="D476" i="22"/>
  <c r="E476" i="22"/>
  <c r="H476" i="22"/>
  <c r="N476" i="22"/>
  <c r="X476" i="22"/>
  <c r="BA476" i="22"/>
  <c r="AB476" i="22"/>
  <c r="AC476" i="22"/>
  <c r="AP476" i="22"/>
  <c r="AV476" i="22"/>
  <c r="BG476" i="22"/>
  <c r="BK476" i="22"/>
  <c r="BM476" i="22"/>
  <c r="CB476" i="22"/>
  <c r="CC476" i="22"/>
  <c r="K477" i="22"/>
  <c r="B477" i="22"/>
  <c r="A477" i="22"/>
  <c r="C477" i="22"/>
  <c r="D477" i="22"/>
  <c r="E477" i="22"/>
  <c r="H477" i="22"/>
  <c r="N477" i="22"/>
  <c r="X477" i="22"/>
  <c r="BA477" i="22"/>
  <c r="AB477" i="22"/>
  <c r="AC477" i="22"/>
  <c r="AP477" i="22"/>
  <c r="AV477" i="22"/>
  <c r="BG477" i="22"/>
  <c r="BK477" i="22"/>
  <c r="BM477" i="22"/>
  <c r="CB477" i="22"/>
  <c r="CC477" i="22"/>
  <c r="K478" i="22"/>
  <c r="B478" i="22"/>
  <c r="A478" i="22"/>
  <c r="C478" i="22"/>
  <c r="D478" i="22"/>
  <c r="E478" i="22"/>
  <c r="H478" i="22"/>
  <c r="N478" i="22"/>
  <c r="X478" i="22"/>
  <c r="BA478" i="22"/>
  <c r="AB478" i="22"/>
  <c r="AC478" i="22"/>
  <c r="AP478" i="22"/>
  <c r="AV478" i="22"/>
  <c r="BG478" i="22"/>
  <c r="BK478" i="22"/>
  <c r="BM478" i="22"/>
  <c r="CB478" i="22"/>
  <c r="CC478" i="22"/>
  <c r="K479" i="22"/>
  <c r="B479" i="22"/>
  <c r="A479" i="22"/>
  <c r="C479" i="22"/>
  <c r="D479" i="22"/>
  <c r="E479" i="22"/>
  <c r="H479" i="22"/>
  <c r="N479" i="22"/>
  <c r="X479" i="22"/>
  <c r="BA479" i="22"/>
  <c r="AB479" i="22"/>
  <c r="AC479" i="22"/>
  <c r="AP479" i="22"/>
  <c r="AV479" i="22"/>
  <c r="BG479" i="22"/>
  <c r="BK479" i="22"/>
  <c r="BM479" i="22"/>
  <c r="CB479" i="22"/>
  <c r="CC479" i="22"/>
  <c r="K480" i="22"/>
  <c r="B480" i="22"/>
  <c r="A480" i="22"/>
  <c r="C480" i="22"/>
  <c r="D480" i="22"/>
  <c r="E480" i="22"/>
  <c r="H480" i="22"/>
  <c r="N480" i="22"/>
  <c r="X480" i="22"/>
  <c r="BA480" i="22"/>
  <c r="AB480" i="22"/>
  <c r="AC480" i="22"/>
  <c r="AP480" i="22"/>
  <c r="AV480" i="22"/>
  <c r="BG480" i="22"/>
  <c r="BK480" i="22"/>
  <c r="BM480" i="22"/>
  <c r="CB480" i="22"/>
  <c r="CC480" i="22"/>
  <c r="K481" i="22"/>
  <c r="B481" i="22"/>
  <c r="A481" i="22"/>
  <c r="C481" i="22"/>
  <c r="D481" i="22"/>
  <c r="E481" i="22"/>
  <c r="H481" i="22"/>
  <c r="N481" i="22"/>
  <c r="X481" i="22"/>
  <c r="BA481" i="22"/>
  <c r="AB481" i="22"/>
  <c r="AC481" i="22"/>
  <c r="AP481" i="22"/>
  <c r="AV481" i="22"/>
  <c r="BG481" i="22"/>
  <c r="BK481" i="22"/>
  <c r="BM481" i="22"/>
  <c r="CB481" i="22"/>
  <c r="CC481" i="22"/>
  <c r="K482" i="22"/>
  <c r="B482" i="22"/>
  <c r="A482" i="22"/>
  <c r="C482" i="22"/>
  <c r="D482" i="22"/>
  <c r="E482" i="22"/>
  <c r="H482" i="22"/>
  <c r="N482" i="22"/>
  <c r="X482" i="22"/>
  <c r="BA482" i="22"/>
  <c r="AB482" i="22"/>
  <c r="AC482" i="22"/>
  <c r="AP482" i="22"/>
  <c r="AV482" i="22"/>
  <c r="BG482" i="22"/>
  <c r="BK482" i="22"/>
  <c r="BM482" i="22"/>
  <c r="CB482" i="22"/>
  <c r="CC482" i="22"/>
  <c r="K483" i="22"/>
  <c r="B483" i="22"/>
  <c r="A483" i="22"/>
  <c r="C483" i="22"/>
  <c r="D483" i="22"/>
  <c r="E483" i="22"/>
  <c r="H483" i="22"/>
  <c r="N483" i="22"/>
  <c r="X483" i="22"/>
  <c r="BA483" i="22"/>
  <c r="AB483" i="22"/>
  <c r="AC483" i="22"/>
  <c r="AP483" i="22"/>
  <c r="AV483" i="22"/>
  <c r="BG483" i="22"/>
  <c r="BK483" i="22"/>
  <c r="BM483" i="22"/>
  <c r="CB483" i="22"/>
  <c r="CC483" i="22"/>
  <c r="K484" i="22"/>
  <c r="B484" i="22"/>
  <c r="A484" i="22"/>
  <c r="C484" i="22"/>
  <c r="D484" i="22"/>
  <c r="E484" i="22"/>
  <c r="H484" i="22"/>
  <c r="N484" i="22"/>
  <c r="X484" i="22"/>
  <c r="BA484" i="22"/>
  <c r="AB484" i="22"/>
  <c r="AC484" i="22"/>
  <c r="AP484" i="22"/>
  <c r="AV484" i="22"/>
  <c r="BG484" i="22"/>
  <c r="BK484" i="22"/>
  <c r="BM484" i="22"/>
  <c r="CB484" i="22"/>
  <c r="CC484" i="22"/>
  <c r="K485" i="22"/>
  <c r="B485" i="22"/>
  <c r="A485" i="22"/>
  <c r="C485" i="22"/>
  <c r="D485" i="22"/>
  <c r="E485" i="22"/>
  <c r="H485" i="22"/>
  <c r="N485" i="22"/>
  <c r="X485" i="22"/>
  <c r="BA485" i="22"/>
  <c r="AB485" i="22"/>
  <c r="AC485" i="22"/>
  <c r="AP485" i="22"/>
  <c r="AV485" i="22"/>
  <c r="BG485" i="22"/>
  <c r="BK485" i="22"/>
  <c r="BM485" i="22"/>
  <c r="CB485" i="22"/>
  <c r="CC485" i="22"/>
  <c r="K486" i="22"/>
  <c r="B486" i="22"/>
  <c r="A486" i="22"/>
  <c r="C486" i="22"/>
  <c r="D486" i="22"/>
  <c r="E486" i="22"/>
  <c r="H486" i="22"/>
  <c r="N486" i="22"/>
  <c r="X486" i="22"/>
  <c r="BA486" i="22"/>
  <c r="AB486" i="22"/>
  <c r="AC486" i="22"/>
  <c r="AP486" i="22"/>
  <c r="AV486" i="22"/>
  <c r="BG486" i="22"/>
  <c r="BK486" i="22"/>
  <c r="BM486" i="22"/>
  <c r="CB486" i="22"/>
  <c r="CC486" i="22"/>
  <c r="K487" i="22"/>
  <c r="B487" i="22"/>
  <c r="A487" i="22"/>
  <c r="C487" i="22"/>
  <c r="D487" i="22"/>
  <c r="E487" i="22"/>
  <c r="H487" i="22"/>
  <c r="N487" i="22"/>
  <c r="X487" i="22"/>
  <c r="BA487" i="22"/>
  <c r="AB487" i="22"/>
  <c r="AC487" i="22"/>
  <c r="AP487" i="22"/>
  <c r="AV487" i="22"/>
  <c r="BG487" i="22"/>
  <c r="BK487" i="22"/>
  <c r="BM487" i="22"/>
  <c r="CB487" i="22"/>
  <c r="CC487" i="22"/>
  <c r="K488" i="22"/>
  <c r="B488" i="22"/>
  <c r="A488" i="22"/>
  <c r="C488" i="22"/>
  <c r="D488" i="22"/>
  <c r="E488" i="22"/>
  <c r="H488" i="22"/>
  <c r="N488" i="22"/>
  <c r="X488" i="22"/>
  <c r="BA488" i="22"/>
  <c r="AB488" i="22"/>
  <c r="AC488" i="22"/>
  <c r="AP488" i="22"/>
  <c r="AV488" i="22"/>
  <c r="BG488" i="22"/>
  <c r="BK488" i="22"/>
  <c r="BM488" i="22"/>
  <c r="CB488" i="22"/>
  <c r="CC488" i="22"/>
  <c r="K489" i="22"/>
  <c r="B489" i="22"/>
  <c r="A489" i="22"/>
  <c r="C489" i="22"/>
  <c r="D489" i="22"/>
  <c r="E489" i="22"/>
  <c r="H489" i="22"/>
  <c r="N489" i="22"/>
  <c r="X489" i="22"/>
  <c r="BA489" i="22"/>
  <c r="AB489" i="22"/>
  <c r="AC489" i="22"/>
  <c r="AP489" i="22"/>
  <c r="AV489" i="22"/>
  <c r="BG489" i="22"/>
  <c r="BK489" i="22"/>
  <c r="BM489" i="22"/>
  <c r="CB489" i="22"/>
  <c r="CC489" i="22"/>
  <c r="K490" i="22"/>
  <c r="B490" i="22"/>
  <c r="A490" i="22"/>
  <c r="C490" i="22"/>
  <c r="D490" i="22"/>
  <c r="E490" i="22"/>
  <c r="H490" i="22"/>
  <c r="N490" i="22"/>
  <c r="X490" i="22"/>
  <c r="BA490" i="22"/>
  <c r="AB490" i="22"/>
  <c r="AC490" i="22"/>
  <c r="AP490" i="22"/>
  <c r="AV490" i="22"/>
  <c r="BG490" i="22"/>
  <c r="BK490" i="22"/>
  <c r="BM490" i="22"/>
  <c r="CB490" i="22"/>
  <c r="CC490" i="22"/>
  <c r="K491" i="22"/>
  <c r="B491" i="22"/>
  <c r="A491" i="22"/>
  <c r="C491" i="22"/>
  <c r="D491" i="22"/>
  <c r="E491" i="22"/>
  <c r="H491" i="22"/>
  <c r="N491" i="22"/>
  <c r="X491" i="22"/>
  <c r="BA491" i="22"/>
  <c r="AB491" i="22"/>
  <c r="AC491" i="22"/>
  <c r="AP491" i="22"/>
  <c r="AV491" i="22"/>
  <c r="BG491" i="22"/>
  <c r="BK491" i="22"/>
  <c r="BM491" i="22"/>
  <c r="CB491" i="22"/>
  <c r="CC491" i="22"/>
  <c r="K492" i="22"/>
  <c r="B492" i="22"/>
  <c r="A492" i="22"/>
  <c r="C492" i="22"/>
  <c r="D492" i="22"/>
  <c r="E492" i="22"/>
  <c r="H492" i="22"/>
  <c r="N492" i="22"/>
  <c r="X492" i="22"/>
  <c r="BA492" i="22"/>
  <c r="AB492" i="22"/>
  <c r="AC492" i="22"/>
  <c r="AP492" i="22"/>
  <c r="AV492" i="22"/>
  <c r="BG492" i="22"/>
  <c r="BK492" i="22"/>
  <c r="BM492" i="22"/>
  <c r="CB492" i="22"/>
  <c r="CC492" i="22"/>
  <c r="K493" i="22"/>
  <c r="B493" i="22"/>
  <c r="A493" i="22"/>
  <c r="C493" i="22"/>
  <c r="D493" i="22"/>
  <c r="E493" i="22"/>
  <c r="H493" i="22"/>
  <c r="N493" i="22"/>
  <c r="X493" i="22"/>
  <c r="BA493" i="22"/>
  <c r="AB493" i="22"/>
  <c r="AC493" i="22"/>
  <c r="AP493" i="22"/>
  <c r="AV493" i="22"/>
  <c r="BG493" i="22"/>
  <c r="BK493" i="22"/>
  <c r="BM493" i="22"/>
  <c r="CB493" i="22"/>
  <c r="CC493" i="22"/>
  <c r="K494" i="22"/>
  <c r="B494" i="22"/>
  <c r="A494" i="22"/>
  <c r="C494" i="22"/>
  <c r="D494" i="22"/>
  <c r="E494" i="22"/>
  <c r="H494" i="22"/>
  <c r="N494" i="22"/>
  <c r="X494" i="22"/>
  <c r="BA494" i="22"/>
  <c r="AB494" i="22"/>
  <c r="AC494" i="22"/>
  <c r="AP494" i="22"/>
  <c r="AV494" i="22"/>
  <c r="BG494" i="22"/>
  <c r="BK494" i="22"/>
  <c r="BM494" i="22"/>
  <c r="CB494" i="22"/>
  <c r="CC494" i="22"/>
  <c r="K495" i="22"/>
  <c r="B495" i="22"/>
  <c r="A495" i="22"/>
  <c r="C495" i="22"/>
  <c r="D495" i="22"/>
  <c r="E495" i="22"/>
  <c r="H495" i="22"/>
  <c r="N495" i="22"/>
  <c r="X495" i="22"/>
  <c r="BA495" i="22"/>
  <c r="AB495" i="22"/>
  <c r="AC495" i="22"/>
  <c r="AP495" i="22"/>
  <c r="AV495" i="22"/>
  <c r="BG495" i="22"/>
  <c r="BK495" i="22"/>
  <c r="BM495" i="22"/>
  <c r="CB495" i="22"/>
  <c r="CC495" i="22"/>
  <c r="K496" i="22"/>
  <c r="B496" i="22"/>
  <c r="A496" i="22"/>
  <c r="C496" i="22"/>
  <c r="D496" i="22"/>
  <c r="E496" i="22"/>
  <c r="H496" i="22"/>
  <c r="N496" i="22"/>
  <c r="X496" i="22"/>
  <c r="BA496" i="22"/>
  <c r="AB496" i="22"/>
  <c r="AC496" i="22"/>
  <c r="AP496" i="22"/>
  <c r="AV496" i="22"/>
  <c r="BG496" i="22"/>
  <c r="BK496" i="22"/>
  <c r="BM496" i="22"/>
  <c r="CB496" i="22"/>
  <c r="CC496" i="22"/>
  <c r="K497" i="22"/>
  <c r="B497" i="22"/>
  <c r="A497" i="22"/>
  <c r="C497" i="22"/>
  <c r="D497" i="22"/>
  <c r="E497" i="22"/>
  <c r="H497" i="22"/>
  <c r="N497" i="22"/>
  <c r="X497" i="22"/>
  <c r="BA497" i="22"/>
  <c r="AB497" i="22"/>
  <c r="AC497" i="22"/>
  <c r="AP497" i="22"/>
  <c r="AV497" i="22"/>
  <c r="BG497" i="22"/>
  <c r="BK497" i="22"/>
  <c r="BM497" i="22"/>
  <c r="CB497" i="22"/>
  <c r="CC497" i="22"/>
  <c r="K498" i="22"/>
  <c r="B498" i="22"/>
  <c r="A498" i="22"/>
  <c r="C498" i="22"/>
  <c r="D498" i="22"/>
  <c r="E498" i="22"/>
  <c r="H498" i="22"/>
  <c r="N498" i="22"/>
  <c r="X498" i="22"/>
  <c r="BA498" i="22"/>
  <c r="AB498" i="22"/>
  <c r="AC498" i="22"/>
  <c r="AP498" i="22"/>
  <c r="AV498" i="22"/>
  <c r="BG498" i="22"/>
  <c r="BK498" i="22"/>
  <c r="BM498" i="22"/>
  <c r="CB498" i="22"/>
  <c r="CC498" i="22"/>
  <c r="K499" i="22"/>
  <c r="B499" i="22"/>
  <c r="A499" i="22"/>
  <c r="C499" i="22"/>
  <c r="D499" i="22"/>
  <c r="E499" i="22"/>
  <c r="H499" i="22"/>
  <c r="N499" i="22"/>
  <c r="X499" i="22"/>
  <c r="BA499" i="22"/>
  <c r="AB499" i="22"/>
  <c r="AC499" i="22"/>
  <c r="AP499" i="22"/>
  <c r="AV499" i="22"/>
  <c r="BG499" i="22"/>
  <c r="BK499" i="22"/>
  <c r="BM499" i="22"/>
  <c r="CB499" i="22"/>
  <c r="CC499" i="22"/>
  <c r="K500" i="22"/>
  <c r="B500" i="22"/>
  <c r="A500" i="22"/>
  <c r="C500" i="22"/>
  <c r="D500" i="22"/>
  <c r="E500" i="22"/>
  <c r="H500" i="22"/>
  <c r="N500" i="22"/>
  <c r="X500" i="22"/>
  <c r="BA500" i="22"/>
  <c r="AB500" i="22"/>
  <c r="AC500" i="22"/>
  <c r="AP500" i="22"/>
  <c r="AV500" i="22"/>
  <c r="BG500" i="22"/>
  <c r="BK500" i="22"/>
  <c r="BM500" i="22"/>
  <c r="CB500" i="22"/>
  <c r="CC500" i="22"/>
  <c r="K501" i="22"/>
  <c r="B501" i="22"/>
  <c r="A501" i="22"/>
  <c r="C501" i="22"/>
  <c r="D501" i="22"/>
  <c r="E501" i="22"/>
  <c r="H501" i="22"/>
  <c r="N501" i="22"/>
  <c r="X501" i="22"/>
  <c r="BA501" i="22"/>
  <c r="AB501" i="22"/>
  <c r="AC501" i="22"/>
  <c r="AP501" i="22"/>
  <c r="AV501" i="22"/>
  <c r="BG501" i="22"/>
  <c r="BK501" i="22"/>
  <c r="BM501" i="22"/>
  <c r="CB501" i="22"/>
  <c r="CC501" i="22"/>
  <c r="K502" i="22"/>
  <c r="B502" i="22"/>
  <c r="A502" i="22"/>
  <c r="C502" i="22"/>
  <c r="D502" i="22"/>
  <c r="E502" i="22"/>
  <c r="H502" i="22"/>
  <c r="N502" i="22"/>
  <c r="X502" i="22"/>
  <c r="BA502" i="22"/>
  <c r="AB502" i="22"/>
  <c r="AC502" i="22"/>
  <c r="AP502" i="22"/>
  <c r="AV502" i="22"/>
  <c r="BG502" i="22"/>
  <c r="BK502" i="22"/>
  <c r="BM502" i="22"/>
  <c r="CB502" i="22"/>
  <c r="CC502" i="22"/>
  <c r="K503" i="22"/>
  <c r="B503" i="22"/>
  <c r="A503" i="22"/>
  <c r="C503" i="22"/>
  <c r="D503" i="22"/>
  <c r="E503" i="22"/>
  <c r="H503" i="22"/>
  <c r="N503" i="22"/>
  <c r="X503" i="22"/>
  <c r="BA503" i="22"/>
  <c r="AB503" i="22"/>
  <c r="AC503" i="22"/>
  <c r="AP503" i="22"/>
  <c r="AV503" i="22"/>
  <c r="BG503" i="22"/>
  <c r="BK503" i="22"/>
  <c r="BM503" i="22"/>
  <c r="CB503" i="22"/>
  <c r="CC503" i="22"/>
  <c r="K504" i="22"/>
  <c r="B504" i="22"/>
  <c r="A504" i="22"/>
  <c r="C504" i="22"/>
  <c r="D504" i="22"/>
  <c r="E504" i="22"/>
  <c r="H504" i="22"/>
  <c r="N504" i="22"/>
  <c r="X504" i="22"/>
  <c r="BA504" i="22"/>
  <c r="AB504" i="22"/>
  <c r="AC504" i="22"/>
  <c r="AP504" i="22"/>
  <c r="AV504" i="22"/>
  <c r="BG504" i="22"/>
  <c r="BK504" i="22"/>
  <c r="BM504" i="22"/>
  <c r="CB504" i="22"/>
  <c r="CC504" i="22"/>
  <c r="K505" i="22"/>
  <c r="B505" i="22"/>
  <c r="A505" i="22"/>
  <c r="C505" i="22"/>
  <c r="D505" i="22"/>
  <c r="E505" i="22"/>
  <c r="H505" i="22"/>
  <c r="N505" i="22"/>
  <c r="X505" i="22"/>
  <c r="BA505" i="22"/>
  <c r="AB505" i="22"/>
  <c r="AC505" i="22"/>
  <c r="AP505" i="22"/>
  <c r="AV505" i="22"/>
  <c r="BG505" i="22"/>
  <c r="BK505" i="22"/>
  <c r="BM505" i="22"/>
  <c r="CB505" i="22"/>
  <c r="CC505" i="22"/>
  <c r="K506" i="22"/>
  <c r="B506" i="22"/>
  <c r="A506" i="22"/>
  <c r="C506" i="22"/>
  <c r="D506" i="22"/>
  <c r="E506" i="22"/>
  <c r="H506" i="22"/>
  <c r="N506" i="22"/>
  <c r="X506" i="22"/>
  <c r="BA506" i="22"/>
  <c r="AB506" i="22"/>
  <c r="AC506" i="22"/>
  <c r="AP506" i="22"/>
  <c r="AV506" i="22"/>
  <c r="BG506" i="22"/>
  <c r="BK506" i="22"/>
  <c r="BM506" i="22"/>
  <c r="CB506" i="22"/>
  <c r="CC506" i="22"/>
  <c r="K507" i="22"/>
  <c r="B507" i="22"/>
  <c r="A507" i="22"/>
  <c r="C507" i="22"/>
  <c r="D507" i="22"/>
  <c r="E507" i="22"/>
  <c r="H507" i="22"/>
  <c r="N507" i="22"/>
  <c r="X507" i="22"/>
  <c r="BA507" i="22"/>
  <c r="AB507" i="22"/>
  <c r="AC507" i="22"/>
  <c r="AP507" i="22"/>
  <c r="AV507" i="22"/>
  <c r="BG507" i="22"/>
  <c r="BK507" i="22"/>
  <c r="BM507" i="22"/>
  <c r="CB507" i="22"/>
  <c r="CC507" i="22"/>
  <c r="K508" i="22"/>
  <c r="B508" i="22"/>
  <c r="A508" i="22"/>
  <c r="C508" i="22"/>
  <c r="D508" i="22"/>
  <c r="E508" i="22"/>
  <c r="H508" i="22"/>
  <c r="N508" i="22"/>
  <c r="X508" i="22"/>
  <c r="BA508" i="22"/>
  <c r="AB508" i="22"/>
  <c r="AC508" i="22"/>
  <c r="AP508" i="22"/>
  <c r="AV508" i="22"/>
  <c r="BG508" i="22"/>
  <c r="BK508" i="22"/>
  <c r="BM508" i="22"/>
  <c r="CB508" i="22"/>
  <c r="CC508" i="22"/>
  <c r="K509" i="22"/>
  <c r="B509" i="22"/>
  <c r="A509" i="22"/>
  <c r="C509" i="22"/>
  <c r="D509" i="22"/>
  <c r="E509" i="22"/>
  <c r="H509" i="22"/>
  <c r="N509" i="22"/>
  <c r="X509" i="22"/>
  <c r="BA509" i="22"/>
  <c r="AB509" i="22"/>
  <c r="AC509" i="22"/>
  <c r="AP509" i="22"/>
  <c r="AV509" i="22"/>
  <c r="BG509" i="22"/>
  <c r="BK509" i="22"/>
  <c r="BM509" i="22"/>
  <c r="CB509" i="22"/>
  <c r="CC509" i="22"/>
  <c r="K510" i="22"/>
  <c r="B510" i="22"/>
  <c r="A510" i="22"/>
  <c r="C510" i="22"/>
  <c r="D510" i="22"/>
  <c r="E510" i="22"/>
  <c r="H510" i="22"/>
  <c r="N510" i="22"/>
  <c r="X510" i="22"/>
  <c r="BA510" i="22"/>
  <c r="AB510" i="22"/>
  <c r="AC510" i="22"/>
  <c r="AP510" i="22"/>
  <c r="AV510" i="22"/>
  <c r="BG510" i="22"/>
  <c r="BK510" i="22"/>
  <c r="BM510" i="22"/>
  <c r="CB510" i="22"/>
  <c r="CC510" i="22"/>
  <c r="K511" i="22"/>
  <c r="B511" i="22"/>
  <c r="A511" i="22"/>
  <c r="C511" i="22"/>
  <c r="D511" i="22"/>
  <c r="E511" i="22"/>
  <c r="H511" i="22"/>
  <c r="N511" i="22"/>
  <c r="X511" i="22"/>
  <c r="BA511" i="22"/>
  <c r="AB511" i="22"/>
  <c r="AC511" i="22"/>
  <c r="AP511" i="22"/>
  <c r="AV511" i="22"/>
  <c r="BG511" i="22"/>
  <c r="BK511" i="22"/>
  <c r="BM511" i="22"/>
  <c r="CB511" i="22"/>
  <c r="CC511" i="22"/>
  <c r="K512" i="22"/>
  <c r="B512" i="22"/>
  <c r="A512" i="22"/>
  <c r="C512" i="22"/>
  <c r="D512" i="22"/>
  <c r="E512" i="22"/>
  <c r="H512" i="22"/>
  <c r="N512" i="22"/>
  <c r="X512" i="22"/>
  <c r="BA512" i="22"/>
  <c r="AB512" i="22"/>
  <c r="AC512" i="22"/>
  <c r="AP512" i="22"/>
  <c r="AV512" i="22"/>
  <c r="BG512" i="22"/>
  <c r="BK512" i="22"/>
  <c r="BM512" i="22"/>
  <c r="CB512" i="22"/>
  <c r="CC512" i="22"/>
  <c r="K513" i="22"/>
  <c r="B513" i="22"/>
  <c r="A513" i="22"/>
  <c r="C513" i="22"/>
  <c r="D513" i="22"/>
  <c r="E513" i="22"/>
  <c r="H513" i="22"/>
  <c r="N513" i="22"/>
  <c r="X513" i="22"/>
  <c r="BA513" i="22"/>
  <c r="AB513" i="22"/>
  <c r="AC513" i="22"/>
  <c r="AP513" i="22"/>
  <c r="AV513" i="22"/>
  <c r="BG513" i="22"/>
  <c r="BK513" i="22"/>
  <c r="BM513" i="22"/>
  <c r="CB513" i="22"/>
  <c r="CC513" i="22"/>
  <c r="K514" i="22"/>
  <c r="B514" i="22"/>
  <c r="A514" i="22"/>
  <c r="C514" i="22"/>
  <c r="D514" i="22"/>
  <c r="E514" i="22"/>
  <c r="H514" i="22"/>
  <c r="N514" i="22"/>
  <c r="X514" i="22"/>
  <c r="BA514" i="22"/>
  <c r="AB514" i="22"/>
  <c r="AC514" i="22"/>
  <c r="AP514" i="22"/>
  <c r="AV514" i="22"/>
  <c r="BG514" i="22"/>
  <c r="BK514" i="22"/>
  <c r="BM514" i="22"/>
  <c r="CB514" i="22"/>
  <c r="CC514" i="22"/>
  <c r="K515" i="22"/>
  <c r="B515" i="22"/>
  <c r="A515" i="22"/>
  <c r="C515" i="22"/>
  <c r="D515" i="22"/>
  <c r="E515" i="22"/>
  <c r="H515" i="22"/>
  <c r="N515" i="22"/>
  <c r="X515" i="22"/>
  <c r="BA515" i="22"/>
  <c r="AB515" i="22"/>
  <c r="AC515" i="22"/>
  <c r="AP515" i="22"/>
  <c r="AV515" i="22"/>
  <c r="BG515" i="22"/>
  <c r="BK515" i="22"/>
  <c r="BM515" i="22"/>
  <c r="CB515" i="22"/>
  <c r="CC515" i="22"/>
  <c r="K516" i="22"/>
  <c r="B516" i="22"/>
  <c r="A516" i="22"/>
  <c r="C516" i="22"/>
  <c r="D516" i="22"/>
  <c r="E516" i="22"/>
  <c r="H516" i="22"/>
  <c r="N516" i="22"/>
  <c r="X516" i="22"/>
  <c r="BA516" i="22"/>
  <c r="AB516" i="22"/>
  <c r="AC516" i="22"/>
  <c r="AP516" i="22"/>
  <c r="AV516" i="22"/>
  <c r="BG516" i="22"/>
  <c r="BK516" i="22"/>
  <c r="BM516" i="22"/>
  <c r="CB516" i="22"/>
  <c r="CC516" i="22"/>
  <c r="K517" i="22"/>
  <c r="B517" i="22"/>
  <c r="A517" i="22"/>
  <c r="C517" i="22"/>
  <c r="D517" i="22"/>
  <c r="E517" i="22"/>
  <c r="H517" i="22"/>
  <c r="N517" i="22"/>
  <c r="X517" i="22"/>
  <c r="BA517" i="22"/>
  <c r="AB517" i="22"/>
  <c r="AC517" i="22"/>
  <c r="AP517" i="22"/>
  <c r="AV517" i="22"/>
  <c r="BG517" i="22"/>
  <c r="BK517" i="22"/>
  <c r="BM517" i="22"/>
  <c r="CB517" i="22"/>
  <c r="CC517" i="22"/>
  <c r="K518" i="22"/>
  <c r="B518" i="22"/>
  <c r="A518" i="22"/>
  <c r="C518" i="22"/>
  <c r="D518" i="22"/>
  <c r="E518" i="22"/>
  <c r="H518" i="22"/>
  <c r="N518" i="22"/>
  <c r="X518" i="22"/>
  <c r="BA518" i="22"/>
  <c r="AB518" i="22"/>
  <c r="AC518" i="22"/>
  <c r="AP518" i="22"/>
  <c r="AV518" i="22"/>
  <c r="BG518" i="22"/>
  <c r="BK518" i="22"/>
  <c r="BM518" i="22"/>
  <c r="CB518" i="22"/>
  <c r="CC518" i="22"/>
  <c r="K519" i="22"/>
  <c r="B519" i="22"/>
  <c r="A519" i="22"/>
  <c r="C519" i="22"/>
  <c r="D519" i="22"/>
  <c r="E519" i="22"/>
  <c r="H519" i="22"/>
  <c r="N519" i="22"/>
  <c r="X519" i="22"/>
  <c r="BA519" i="22"/>
  <c r="AB519" i="22"/>
  <c r="AC519" i="22"/>
  <c r="AP519" i="22"/>
  <c r="AV519" i="22"/>
  <c r="BG519" i="22"/>
  <c r="BK519" i="22"/>
  <c r="BM519" i="22"/>
  <c r="CB519" i="22"/>
  <c r="CC519" i="22"/>
  <c r="K520" i="22"/>
  <c r="B520" i="22"/>
  <c r="A520" i="22"/>
  <c r="C520" i="22"/>
  <c r="D520" i="22"/>
  <c r="E520" i="22"/>
  <c r="H520" i="22"/>
  <c r="N520" i="22"/>
  <c r="X520" i="22"/>
  <c r="BA520" i="22"/>
  <c r="AB520" i="22"/>
  <c r="AC520" i="22"/>
  <c r="AP520" i="22"/>
  <c r="AV520" i="22"/>
  <c r="BG520" i="22"/>
  <c r="BK520" i="22"/>
  <c r="BM520" i="22"/>
  <c r="CB520" i="22"/>
  <c r="CC520" i="22"/>
  <c r="K521" i="22"/>
  <c r="B521" i="22"/>
  <c r="A521" i="22"/>
  <c r="C521" i="22"/>
  <c r="D521" i="22"/>
  <c r="E521" i="22"/>
  <c r="H521" i="22"/>
  <c r="N521" i="22"/>
  <c r="X521" i="22"/>
  <c r="BA521" i="22"/>
  <c r="AB521" i="22"/>
  <c r="AC521" i="22"/>
  <c r="AP521" i="22"/>
  <c r="AV521" i="22"/>
  <c r="BG521" i="22"/>
  <c r="BK521" i="22"/>
  <c r="BM521" i="22"/>
  <c r="CB521" i="22"/>
  <c r="CC521" i="22"/>
  <c r="K522" i="22"/>
  <c r="B522" i="22"/>
  <c r="A522" i="22"/>
  <c r="C522" i="22"/>
  <c r="D522" i="22"/>
  <c r="E522" i="22"/>
  <c r="H522" i="22"/>
  <c r="N522" i="22"/>
  <c r="X522" i="22"/>
  <c r="BA522" i="22"/>
  <c r="AB522" i="22"/>
  <c r="AC522" i="22"/>
  <c r="AP522" i="22"/>
  <c r="AV522" i="22"/>
  <c r="BG522" i="22"/>
  <c r="BK522" i="22"/>
  <c r="BM522" i="22"/>
  <c r="CB522" i="22"/>
  <c r="CC522" i="22"/>
  <c r="K523" i="22"/>
  <c r="B523" i="22"/>
  <c r="A523" i="22"/>
  <c r="C523" i="22"/>
  <c r="D523" i="22"/>
  <c r="E523" i="22"/>
  <c r="H523" i="22"/>
  <c r="N523" i="22"/>
  <c r="X523" i="22"/>
  <c r="BA523" i="22"/>
  <c r="AB523" i="22"/>
  <c r="AC523" i="22"/>
  <c r="AP523" i="22"/>
  <c r="AV523" i="22"/>
  <c r="BG523" i="22"/>
  <c r="BK523" i="22"/>
  <c r="BM523" i="22"/>
  <c r="CB523" i="22"/>
  <c r="CC523" i="22"/>
  <c r="K524" i="22"/>
  <c r="B524" i="22"/>
  <c r="A524" i="22"/>
  <c r="C524" i="22"/>
  <c r="D524" i="22"/>
  <c r="E524" i="22"/>
  <c r="H524" i="22"/>
  <c r="N524" i="22"/>
  <c r="X524" i="22"/>
  <c r="BA524" i="22"/>
  <c r="AB524" i="22"/>
  <c r="AC524" i="22"/>
  <c r="AP524" i="22"/>
  <c r="AV524" i="22"/>
  <c r="BG524" i="22"/>
  <c r="BK524" i="22"/>
  <c r="BM524" i="22"/>
  <c r="CB524" i="22"/>
  <c r="CC524" i="22"/>
  <c r="K525" i="22"/>
  <c r="B525" i="22"/>
  <c r="A525" i="22"/>
  <c r="C525" i="22"/>
  <c r="D525" i="22"/>
  <c r="E525" i="22"/>
  <c r="H525" i="22"/>
  <c r="N525" i="22"/>
  <c r="X525" i="22"/>
  <c r="BA525" i="22"/>
  <c r="AB525" i="22"/>
  <c r="AC525" i="22"/>
  <c r="AP525" i="22"/>
  <c r="AV525" i="22"/>
  <c r="BG525" i="22"/>
  <c r="BK525" i="22"/>
  <c r="BM525" i="22"/>
  <c r="CB525" i="22"/>
  <c r="CC525" i="22"/>
  <c r="K526" i="22"/>
  <c r="B526" i="22"/>
  <c r="A526" i="22"/>
  <c r="C526" i="22"/>
  <c r="D526" i="22"/>
  <c r="E526" i="22"/>
  <c r="H526" i="22"/>
  <c r="N526" i="22"/>
  <c r="X526" i="22"/>
  <c r="BA526" i="22"/>
  <c r="AB526" i="22"/>
  <c r="AC526" i="22"/>
  <c r="AP526" i="22"/>
  <c r="AV526" i="22"/>
  <c r="BG526" i="22"/>
  <c r="BK526" i="22"/>
  <c r="BM526" i="22"/>
  <c r="CB526" i="22"/>
  <c r="CC526" i="22"/>
  <c r="K527" i="22"/>
  <c r="B527" i="22"/>
  <c r="A527" i="22"/>
  <c r="C527" i="22"/>
  <c r="D527" i="22"/>
  <c r="E527" i="22"/>
  <c r="H527" i="22"/>
  <c r="N527" i="22"/>
  <c r="X527" i="22"/>
  <c r="BA527" i="22"/>
  <c r="AB527" i="22"/>
  <c r="AC527" i="22"/>
  <c r="AP527" i="22"/>
  <c r="AV527" i="22"/>
  <c r="BG527" i="22"/>
  <c r="BK527" i="22"/>
  <c r="BM527" i="22"/>
  <c r="CB527" i="22"/>
  <c r="CC527" i="22"/>
  <c r="K528" i="22"/>
  <c r="B528" i="22"/>
  <c r="A528" i="22"/>
  <c r="C528" i="22"/>
  <c r="D528" i="22"/>
  <c r="E528" i="22"/>
  <c r="H528" i="22"/>
  <c r="N528" i="22"/>
  <c r="X528" i="22"/>
  <c r="BA528" i="22"/>
  <c r="AB528" i="22"/>
  <c r="AC528" i="22"/>
  <c r="AP528" i="22"/>
  <c r="AV528" i="22"/>
  <c r="BG528" i="22"/>
  <c r="BK528" i="22"/>
  <c r="BM528" i="22"/>
  <c r="CB528" i="22"/>
  <c r="CC528" i="22"/>
  <c r="K529" i="22"/>
  <c r="B529" i="22"/>
  <c r="A529" i="22"/>
  <c r="C529" i="22"/>
  <c r="D529" i="22"/>
  <c r="E529" i="22"/>
  <c r="H529" i="22"/>
  <c r="N529" i="22"/>
  <c r="X529" i="22"/>
  <c r="BA529" i="22"/>
  <c r="AB529" i="22"/>
  <c r="AC529" i="22"/>
  <c r="AP529" i="22"/>
  <c r="AV529" i="22"/>
  <c r="BG529" i="22"/>
  <c r="BK529" i="22"/>
  <c r="BM529" i="22"/>
  <c r="CB529" i="22"/>
  <c r="CC529" i="22"/>
  <c r="K530" i="22"/>
  <c r="B530" i="22"/>
  <c r="A530" i="22"/>
  <c r="C530" i="22"/>
  <c r="D530" i="22"/>
  <c r="E530" i="22"/>
  <c r="H530" i="22"/>
  <c r="N530" i="22"/>
  <c r="X530" i="22"/>
  <c r="BA530" i="22"/>
  <c r="AB530" i="22"/>
  <c r="AC530" i="22"/>
  <c r="AP530" i="22"/>
  <c r="AV530" i="22"/>
  <c r="BG530" i="22"/>
  <c r="BK530" i="22"/>
  <c r="BM530" i="22"/>
  <c r="CB530" i="22"/>
  <c r="CC530" i="22"/>
  <c r="K531" i="22"/>
  <c r="B531" i="22"/>
  <c r="A531" i="22"/>
  <c r="C531" i="22"/>
  <c r="D531" i="22"/>
  <c r="E531" i="22"/>
  <c r="H531" i="22"/>
  <c r="N531" i="22"/>
  <c r="X531" i="22"/>
  <c r="BA531" i="22"/>
  <c r="AB531" i="22"/>
  <c r="AC531" i="22"/>
  <c r="AP531" i="22"/>
  <c r="AV531" i="22"/>
  <c r="BG531" i="22"/>
  <c r="BK531" i="22"/>
  <c r="BM531" i="22"/>
  <c r="CB531" i="22"/>
  <c r="CC531" i="22"/>
  <c r="K532" i="22"/>
  <c r="B532" i="22"/>
  <c r="A532" i="22"/>
  <c r="C532" i="22"/>
  <c r="D532" i="22"/>
  <c r="E532" i="22"/>
  <c r="H532" i="22"/>
  <c r="N532" i="22"/>
  <c r="X532" i="22"/>
  <c r="BA532" i="22"/>
  <c r="AB532" i="22"/>
  <c r="AC532" i="22"/>
  <c r="AP532" i="22"/>
  <c r="AV532" i="22"/>
  <c r="BG532" i="22"/>
  <c r="BK532" i="22"/>
  <c r="BM532" i="22"/>
  <c r="CB532" i="22"/>
  <c r="CC532" i="22"/>
  <c r="K533" i="22"/>
  <c r="B533" i="22"/>
  <c r="A533" i="22"/>
  <c r="C533" i="22"/>
  <c r="D533" i="22"/>
  <c r="E533" i="22"/>
  <c r="H533" i="22"/>
  <c r="N533" i="22"/>
  <c r="X533" i="22"/>
  <c r="BA533" i="22"/>
  <c r="AB533" i="22"/>
  <c r="AC533" i="22"/>
  <c r="AP533" i="22"/>
  <c r="AV533" i="22"/>
  <c r="BG533" i="22"/>
  <c r="BK533" i="22"/>
  <c r="BM533" i="22"/>
  <c r="CB533" i="22"/>
  <c r="CC533" i="22"/>
  <c r="K534" i="22"/>
  <c r="B534" i="22"/>
  <c r="A534" i="22"/>
  <c r="C534" i="22"/>
  <c r="D534" i="22"/>
  <c r="E534" i="22"/>
  <c r="H534" i="22"/>
  <c r="N534" i="22"/>
  <c r="X534" i="22"/>
  <c r="BA534" i="22"/>
  <c r="AB534" i="22"/>
  <c r="AC534" i="22"/>
  <c r="AP534" i="22"/>
  <c r="AV534" i="22"/>
  <c r="BG534" i="22"/>
  <c r="BK534" i="22"/>
  <c r="BM534" i="22"/>
  <c r="CB534" i="22"/>
  <c r="CC534" i="22"/>
  <c r="K535" i="22"/>
  <c r="B535" i="22"/>
  <c r="A535" i="22"/>
  <c r="C535" i="22"/>
  <c r="D535" i="22"/>
  <c r="E535" i="22"/>
  <c r="H535" i="22"/>
  <c r="N535" i="22"/>
  <c r="X535" i="22"/>
  <c r="BA535" i="22"/>
  <c r="AB535" i="22"/>
  <c r="AC535" i="22"/>
  <c r="AP535" i="22"/>
  <c r="AV535" i="22"/>
  <c r="BG535" i="22"/>
  <c r="BK535" i="22"/>
  <c r="BM535" i="22"/>
  <c r="CB535" i="22"/>
  <c r="CC535" i="22"/>
  <c r="K536" i="22"/>
  <c r="B536" i="22"/>
  <c r="A536" i="22"/>
  <c r="C536" i="22"/>
  <c r="D536" i="22"/>
  <c r="E536" i="22"/>
  <c r="H536" i="22"/>
  <c r="N536" i="22"/>
  <c r="X536" i="22"/>
  <c r="BA536" i="22"/>
  <c r="AB536" i="22"/>
  <c r="AC536" i="22"/>
  <c r="AP536" i="22"/>
  <c r="AV536" i="22"/>
  <c r="BG536" i="22"/>
  <c r="BK536" i="22"/>
  <c r="BM536" i="22"/>
  <c r="CB536" i="22"/>
  <c r="CC536" i="22"/>
  <c r="K537" i="22"/>
  <c r="B537" i="22"/>
  <c r="A537" i="22"/>
  <c r="C537" i="22"/>
  <c r="D537" i="22"/>
  <c r="E537" i="22"/>
  <c r="H537" i="22"/>
  <c r="N537" i="22"/>
  <c r="X537" i="22"/>
  <c r="BA537" i="22"/>
  <c r="AB537" i="22"/>
  <c r="AC537" i="22"/>
  <c r="AP537" i="22"/>
  <c r="AV537" i="22"/>
  <c r="BG537" i="22"/>
  <c r="BK537" i="22"/>
  <c r="BM537" i="22"/>
  <c r="CB537" i="22"/>
  <c r="CC537" i="22"/>
  <c r="K538" i="22"/>
  <c r="B538" i="22"/>
  <c r="A538" i="22"/>
  <c r="C538" i="22"/>
  <c r="D538" i="22"/>
  <c r="E538" i="22"/>
  <c r="H538" i="22"/>
  <c r="N538" i="22"/>
  <c r="X538" i="22"/>
  <c r="BA538" i="22"/>
  <c r="AB538" i="22"/>
  <c r="AC538" i="22"/>
  <c r="AP538" i="22"/>
  <c r="AV538" i="22"/>
  <c r="BG538" i="22"/>
  <c r="BK538" i="22"/>
  <c r="BM538" i="22"/>
  <c r="CB538" i="22"/>
  <c r="CC538" i="22"/>
  <c r="K539" i="22"/>
  <c r="B539" i="22"/>
  <c r="A539" i="22"/>
  <c r="C539" i="22"/>
  <c r="D539" i="22"/>
  <c r="E539" i="22"/>
  <c r="H539" i="22"/>
  <c r="N539" i="22"/>
  <c r="X539" i="22"/>
  <c r="BA539" i="22"/>
  <c r="AB539" i="22"/>
  <c r="AC539" i="22"/>
  <c r="AP539" i="22"/>
  <c r="AV539" i="22"/>
  <c r="BG539" i="22"/>
  <c r="BK539" i="22"/>
  <c r="BM539" i="22"/>
  <c r="CB539" i="22"/>
  <c r="CC539" i="22"/>
  <c r="K540" i="22"/>
  <c r="B540" i="22"/>
  <c r="A540" i="22"/>
  <c r="C540" i="22"/>
  <c r="D540" i="22"/>
  <c r="E540" i="22"/>
  <c r="H540" i="22"/>
  <c r="N540" i="22"/>
  <c r="X540" i="22"/>
  <c r="BA540" i="22"/>
  <c r="AB540" i="22"/>
  <c r="AC540" i="22"/>
  <c r="AP540" i="22"/>
  <c r="AV540" i="22"/>
  <c r="BG540" i="22"/>
  <c r="BK540" i="22"/>
  <c r="BM540" i="22"/>
  <c r="CB540" i="22"/>
  <c r="CC540" i="22"/>
  <c r="K541" i="22"/>
  <c r="B541" i="22"/>
  <c r="A541" i="22"/>
  <c r="C541" i="22"/>
  <c r="D541" i="22"/>
  <c r="E541" i="22"/>
  <c r="H541" i="22"/>
  <c r="N541" i="22"/>
  <c r="X541" i="22"/>
  <c r="BA541" i="22"/>
  <c r="AB541" i="22"/>
  <c r="AC541" i="22"/>
  <c r="AP541" i="22"/>
  <c r="AV541" i="22"/>
  <c r="BG541" i="22"/>
  <c r="BK541" i="22"/>
  <c r="BM541" i="22"/>
  <c r="CB541" i="22"/>
  <c r="CC541" i="22"/>
  <c r="K542" i="22"/>
  <c r="B542" i="22"/>
  <c r="A542" i="22"/>
  <c r="C542" i="22"/>
  <c r="D542" i="22"/>
  <c r="E542" i="22"/>
  <c r="H542" i="22"/>
  <c r="N542" i="22"/>
  <c r="X542" i="22"/>
  <c r="BA542" i="22"/>
  <c r="AB542" i="22"/>
  <c r="AC542" i="22"/>
  <c r="AP542" i="22"/>
  <c r="AV542" i="22"/>
  <c r="BG542" i="22"/>
  <c r="BK542" i="22"/>
  <c r="BM542" i="22"/>
  <c r="CB542" i="22"/>
  <c r="CC542" i="22"/>
  <c r="K543" i="22"/>
  <c r="B543" i="22"/>
  <c r="A543" i="22"/>
  <c r="C543" i="22"/>
  <c r="D543" i="22"/>
  <c r="E543" i="22"/>
  <c r="H543" i="22"/>
  <c r="N543" i="22"/>
  <c r="X543" i="22"/>
  <c r="BA543" i="22"/>
  <c r="AB543" i="22"/>
  <c r="AC543" i="22"/>
  <c r="AP543" i="22"/>
  <c r="AV543" i="22"/>
  <c r="BG543" i="22"/>
  <c r="BK543" i="22"/>
  <c r="BM543" i="22"/>
  <c r="CB543" i="22"/>
  <c r="CC543" i="22"/>
  <c r="K544" i="22"/>
  <c r="B544" i="22"/>
  <c r="A544" i="22"/>
  <c r="C544" i="22"/>
  <c r="D544" i="22"/>
  <c r="E544" i="22"/>
  <c r="H544" i="22"/>
  <c r="N544" i="22"/>
  <c r="X544" i="22"/>
  <c r="BA544" i="22"/>
  <c r="AB544" i="22"/>
  <c r="AC544" i="22"/>
  <c r="AP544" i="22"/>
  <c r="AV544" i="22"/>
  <c r="BG544" i="22"/>
  <c r="BK544" i="22"/>
  <c r="BM544" i="22"/>
  <c r="CB544" i="22"/>
  <c r="CC544" i="22"/>
  <c r="K545" i="22"/>
  <c r="B545" i="22"/>
  <c r="A545" i="22"/>
  <c r="C545" i="22"/>
  <c r="D545" i="22"/>
  <c r="E545" i="22"/>
  <c r="H545" i="22"/>
  <c r="N545" i="22"/>
  <c r="X545" i="22"/>
  <c r="BA545" i="22"/>
  <c r="AB545" i="22"/>
  <c r="AC545" i="22"/>
  <c r="AP545" i="22"/>
  <c r="AV545" i="22"/>
  <c r="BG545" i="22"/>
  <c r="BK545" i="22"/>
  <c r="BM545" i="22"/>
  <c r="CB545" i="22"/>
  <c r="CC545" i="22"/>
  <c r="K546" i="22"/>
  <c r="B546" i="22"/>
  <c r="A546" i="22"/>
  <c r="C546" i="22"/>
  <c r="D546" i="22"/>
  <c r="E546" i="22"/>
  <c r="H546" i="22"/>
  <c r="N546" i="22"/>
  <c r="X546" i="22"/>
  <c r="BA546" i="22"/>
  <c r="AB546" i="22"/>
  <c r="AC546" i="22"/>
  <c r="AP546" i="22"/>
  <c r="AV546" i="22"/>
  <c r="BG546" i="22"/>
  <c r="BK546" i="22"/>
  <c r="BM546" i="22"/>
  <c r="CB546" i="22"/>
  <c r="CC546" i="22"/>
  <c r="K547" i="22"/>
  <c r="B547" i="22"/>
  <c r="A547" i="22"/>
  <c r="C547" i="22"/>
  <c r="D547" i="22"/>
  <c r="E547" i="22"/>
  <c r="H547" i="22"/>
  <c r="N547" i="22"/>
  <c r="X547" i="22"/>
  <c r="BA547" i="22"/>
  <c r="AB547" i="22"/>
  <c r="AC547" i="22"/>
  <c r="AP547" i="22"/>
  <c r="AV547" i="22"/>
  <c r="BG547" i="22"/>
  <c r="BK547" i="22"/>
  <c r="BM547" i="22"/>
  <c r="CB547" i="22"/>
  <c r="CC547" i="22"/>
  <c r="K548" i="22"/>
  <c r="B548" i="22"/>
  <c r="A548" i="22"/>
  <c r="C548" i="22"/>
  <c r="D548" i="22"/>
  <c r="E548" i="22"/>
  <c r="H548" i="22"/>
  <c r="N548" i="22"/>
  <c r="X548" i="22"/>
  <c r="BA548" i="22"/>
  <c r="AB548" i="22"/>
  <c r="AC548" i="22"/>
  <c r="AP548" i="22"/>
  <c r="AV548" i="22"/>
  <c r="BG548" i="22"/>
  <c r="BK548" i="22"/>
  <c r="BM548" i="22"/>
  <c r="CB548" i="22"/>
  <c r="CC548" i="22"/>
  <c r="K549" i="22"/>
  <c r="B549" i="22"/>
  <c r="A549" i="22"/>
  <c r="C549" i="22"/>
  <c r="D549" i="22"/>
  <c r="E549" i="22"/>
  <c r="H549" i="22"/>
  <c r="N549" i="22"/>
  <c r="X549" i="22"/>
  <c r="BA549" i="22"/>
  <c r="AB549" i="22"/>
  <c r="AC549" i="22"/>
  <c r="AP549" i="22"/>
  <c r="AV549" i="22"/>
  <c r="BG549" i="22"/>
  <c r="BK549" i="22"/>
  <c r="BM549" i="22"/>
  <c r="CB549" i="22"/>
  <c r="CC549" i="22"/>
  <c r="K550" i="22"/>
  <c r="B550" i="22"/>
  <c r="A550" i="22"/>
  <c r="C550" i="22"/>
  <c r="D550" i="22"/>
  <c r="E550" i="22"/>
  <c r="H550" i="22"/>
  <c r="N550" i="22"/>
  <c r="X550" i="22"/>
  <c r="BA550" i="22"/>
  <c r="AB550" i="22"/>
  <c r="AC550" i="22"/>
  <c r="AP550" i="22"/>
  <c r="AV550" i="22"/>
  <c r="BG550" i="22"/>
  <c r="BK550" i="22"/>
  <c r="BM550" i="22"/>
  <c r="CB550" i="22"/>
  <c r="CC550" i="22"/>
  <c r="K551" i="22"/>
  <c r="B551" i="22"/>
  <c r="A551" i="22"/>
  <c r="C551" i="22"/>
  <c r="D551" i="22"/>
  <c r="E551" i="22"/>
  <c r="H551" i="22"/>
  <c r="N551" i="22"/>
  <c r="X551" i="22"/>
  <c r="BA551" i="22"/>
  <c r="AB551" i="22"/>
  <c r="AC551" i="22"/>
  <c r="AP551" i="22"/>
  <c r="AV551" i="22"/>
  <c r="BG551" i="22"/>
  <c r="BK551" i="22"/>
  <c r="BM551" i="22"/>
  <c r="CB551" i="22"/>
  <c r="CC551" i="22"/>
  <c r="K552" i="22"/>
  <c r="B552" i="22"/>
  <c r="A552" i="22"/>
  <c r="C552" i="22"/>
  <c r="D552" i="22"/>
  <c r="E552" i="22"/>
  <c r="H552" i="22"/>
  <c r="N552" i="22"/>
  <c r="X552" i="22"/>
  <c r="BA552" i="22"/>
  <c r="AB552" i="22"/>
  <c r="AC552" i="22"/>
  <c r="AP552" i="22"/>
  <c r="AV552" i="22"/>
  <c r="BG552" i="22"/>
  <c r="BK552" i="22"/>
  <c r="BM552" i="22"/>
  <c r="CB552" i="22"/>
  <c r="CC552" i="22"/>
  <c r="K553" i="22"/>
  <c r="B553" i="22"/>
  <c r="A553" i="22"/>
  <c r="C553" i="22"/>
  <c r="D553" i="22"/>
  <c r="E553" i="22"/>
  <c r="H553" i="22"/>
  <c r="N553" i="22"/>
  <c r="X553" i="22"/>
  <c r="BA553" i="22"/>
  <c r="AB553" i="22"/>
  <c r="AC553" i="22"/>
  <c r="AP553" i="22"/>
  <c r="AV553" i="22"/>
  <c r="BG553" i="22"/>
  <c r="BK553" i="22"/>
  <c r="BM553" i="22"/>
  <c r="CB553" i="22"/>
  <c r="CC553" i="22"/>
  <c r="K554" i="22"/>
  <c r="B554" i="22"/>
  <c r="A554" i="22"/>
  <c r="C554" i="22"/>
  <c r="D554" i="22"/>
  <c r="E554" i="22"/>
  <c r="H554" i="22"/>
  <c r="N554" i="22"/>
  <c r="X554" i="22"/>
  <c r="BA554" i="22"/>
  <c r="AB554" i="22"/>
  <c r="AC554" i="22"/>
  <c r="AP554" i="22"/>
  <c r="AV554" i="22"/>
  <c r="BG554" i="22"/>
  <c r="BK554" i="22"/>
  <c r="BM554" i="22"/>
  <c r="CB554" i="22"/>
  <c r="CC554" i="22"/>
  <c r="K555" i="22"/>
  <c r="B555" i="22"/>
  <c r="A555" i="22"/>
  <c r="C555" i="22"/>
  <c r="D555" i="22"/>
  <c r="E555" i="22"/>
  <c r="H555" i="22"/>
  <c r="N555" i="22"/>
  <c r="X555" i="22"/>
  <c r="BA555" i="22"/>
  <c r="AB555" i="22"/>
  <c r="AC555" i="22"/>
  <c r="AP555" i="22"/>
  <c r="AV555" i="22"/>
  <c r="BG555" i="22"/>
  <c r="BK555" i="22"/>
  <c r="BM555" i="22"/>
  <c r="CB555" i="22"/>
  <c r="CC555" i="22"/>
  <c r="K556" i="22"/>
  <c r="B556" i="22"/>
  <c r="A556" i="22"/>
  <c r="C556" i="22"/>
  <c r="D556" i="22"/>
  <c r="E556" i="22"/>
  <c r="H556" i="22"/>
  <c r="N556" i="22"/>
  <c r="X556" i="22"/>
  <c r="BA556" i="22"/>
  <c r="AB556" i="22"/>
  <c r="AC556" i="22"/>
  <c r="AP556" i="22"/>
  <c r="AV556" i="22"/>
  <c r="BG556" i="22"/>
  <c r="BK556" i="22"/>
  <c r="BM556" i="22"/>
  <c r="CB556" i="22"/>
  <c r="CC556" i="22"/>
  <c r="K557" i="22"/>
  <c r="B557" i="22"/>
  <c r="A557" i="22"/>
  <c r="C557" i="22"/>
  <c r="D557" i="22"/>
  <c r="E557" i="22"/>
  <c r="H557" i="22"/>
  <c r="N557" i="22"/>
  <c r="X557" i="22"/>
  <c r="BA557" i="22"/>
  <c r="AB557" i="22"/>
  <c r="AC557" i="22"/>
  <c r="AP557" i="22"/>
  <c r="AV557" i="22"/>
  <c r="BG557" i="22"/>
  <c r="BK557" i="22"/>
  <c r="BM557" i="22"/>
  <c r="CB557" i="22"/>
  <c r="CC557" i="22"/>
  <c r="K558" i="22"/>
  <c r="B558" i="22"/>
  <c r="A558" i="22"/>
  <c r="C558" i="22"/>
  <c r="D558" i="22"/>
  <c r="E558" i="22"/>
  <c r="H558" i="22"/>
  <c r="N558" i="22"/>
  <c r="X558" i="22"/>
  <c r="BA558" i="22"/>
  <c r="AB558" i="22"/>
  <c r="AC558" i="22"/>
  <c r="AP558" i="22"/>
  <c r="AV558" i="22"/>
  <c r="BG558" i="22"/>
  <c r="BK558" i="22"/>
  <c r="BM558" i="22"/>
  <c r="CB558" i="22"/>
  <c r="CC558" i="22"/>
  <c r="K559" i="22"/>
  <c r="B559" i="22"/>
  <c r="A559" i="22"/>
  <c r="C559" i="22"/>
  <c r="D559" i="22"/>
  <c r="E559" i="22"/>
  <c r="H559" i="22"/>
  <c r="N559" i="22"/>
  <c r="X559" i="22"/>
  <c r="BA559" i="22"/>
  <c r="AB559" i="22"/>
  <c r="AC559" i="22"/>
  <c r="AP559" i="22"/>
  <c r="AV559" i="22"/>
  <c r="BG559" i="22"/>
  <c r="BK559" i="22"/>
  <c r="BM559" i="22"/>
  <c r="CB559" i="22"/>
  <c r="CC559" i="22"/>
  <c r="K560" i="22"/>
  <c r="B560" i="22"/>
  <c r="A560" i="22"/>
  <c r="C560" i="22"/>
  <c r="D560" i="22"/>
  <c r="E560" i="22"/>
  <c r="H560" i="22"/>
  <c r="N560" i="22"/>
  <c r="X560" i="22"/>
  <c r="BA560" i="22"/>
  <c r="AB560" i="22"/>
  <c r="AC560" i="22"/>
  <c r="AP560" i="22"/>
  <c r="AV560" i="22"/>
  <c r="BG560" i="22"/>
  <c r="BK560" i="22"/>
  <c r="BM560" i="22"/>
  <c r="CB560" i="22"/>
  <c r="CC560" i="22"/>
  <c r="K561" i="22"/>
  <c r="B561" i="22"/>
  <c r="A561" i="22"/>
  <c r="C561" i="22"/>
  <c r="D561" i="22"/>
  <c r="E561" i="22"/>
  <c r="H561" i="22"/>
  <c r="N561" i="22"/>
  <c r="X561" i="22"/>
  <c r="BA561" i="22"/>
  <c r="AB561" i="22"/>
  <c r="AC561" i="22"/>
  <c r="AP561" i="22"/>
  <c r="AV561" i="22"/>
  <c r="BG561" i="22"/>
  <c r="BK561" i="22"/>
  <c r="BM561" i="22"/>
  <c r="CB561" i="22"/>
  <c r="CC561" i="22"/>
  <c r="K562" i="22"/>
  <c r="B562" i="22"/>
  <c r="A562" i="22"/>
  <c r="C562" i="22"/>
  <c r="D562" i="22"/>
  <c r="E562" i="22"/>
  <c r="H562" i="22"/>
  <c r="N562" i="22"/>
  <c r="X562" i="22"/>
  <c r="BA562" i="22"/>
  <c r="AB562" i="22"/>
  <c r="AC562" i="22"/>
  <c r="AP562" i="22"/>
  <c r="AV562" i="22"/>
  <c r="BG562" i="22"/>
  <c r="BK562" i="22"/>
  <c r="BM562" i="22"/>
  <c r="CB562" i="22"/>
  <c r="CC562" i="22"/>
  <c r="K563" i="22"/>
  <c r="B563" i="22"/>
  <c r="A563" i="22"/>
  <c r="C563" i="22"/>
  <c r="D563" i="22"/>
  <c r="E563" i="22"/>
  <c r="H563" i="22"/>
  <c r="N563" i="22"/>
  <c r="X563" i="22"/>
  <c r="BA563" i="22"/>
  <c r="AB563" i="22"/>
  <c r="AC563" i="22"/>
  <c r="AP563" i="22"/>
  <c r="AV563" i="22"/>
  <c r="BG563" i="22"/>
  <c r="BK563" i="22"/>
  <c r="BM563" i="22"/>
  <c r="CB563" i="22"/>
  <c r="CC563" i="22"/>
  <c r="K564" i="22"/>
  <c r="B564" i="22"/>
  <c r="A564" i="22"/>
  <c r="C564" i="22"/>
  <c r="D564" i="22"/>
  <c r="E564" i="22"/>
  <c r="H564" i="22"/>
  <c r="N564" i="22"/>
  <c r="X564" i="22"/>
  <c r="BA564" i="22"/>
  <c r="AB564" i="22"/>
  <c r="AC564" i="22"/>
  <c r="AP564" i="22"/>
  <c r="AV564" i="22"/>
  <c r="BG564" i="22"/>
  <c r="BK564" i="22"/>
  <c r="BM564" i="22"/>
  <c r="CB564" i="22"/>
  <c r="CC564" i="22"/>
  <c r="K565" i="22"/>
  <c r="B565" i="22"/>
  <c r="A565" i="22"/>
  <c r="C565" i="22"/>
  <c r="D565" i="22"/>
  <c r="E565" i="22"/>
  <c r="H565" i="22"/>
  <c r="N565" i="22"/>
  <c r="X565" i="22"/>
  <c r="BA565" i="22"/>
  <c r="AB565" i="22"/>
  <c r="AC565" i="22"/>
  <c r="AP565" i="22"/>
  <c r="AV565" i="22"/>
  <c r="BG565" i="22"/>
  <c r="BK565" i="22"/>
  <c r="BM565" i="22"/>
  <c r="CB565" i="22"/>
  <c r="CC565" i="22"/>
  <c r="K566" i="22"/>
  <c r="B566" i="22"/>
  <c r="A566" i="22"/>
  <c r="C566" i="22"/>
  <c r="D566" i="22"/>
  <c r="E566" i="22"/>
  <c r="H566" i="22"/>
  <c r="N566" i="22"/>
  <c r="X566" i="22"/>
  <c r="BA566" i="22"/>
  <c r="AB566" i="22"/>
  <c r="AC566" i="22"/>
  <c r="AP566" i="22"/>
  <c r="AV566" i="22"/>
  <c r="BG566" i="22"/>
  <c r="BK566" i="22"/>
  <c r="BM566" i="22"/>
  <c r="CB566" i="22"/>
  <c r="CC566" i="22"/>
  <c r="K567" i="22"/>
  <c r="B567" i="22"/>
  <c r="A567" i="22"/>
  <c r="C567" i="22"/>
  <c r="D567" i="22"/>
  <c r="E567" i="22"/>
  <c r="H567" i="22"/>
  <c r="N567" i="22"/>
  <c r="X567" i="22"/>
  <c r="BA567" i="22"/>
  <c r="AB567" i="22"/>
  <c r="AC567" i="22"/>
  <c r="AP567" i="22"/>
  <c r="AV567" i="22"/>
  <c r="BG567" i="22"/>
  <c r="BK567" i="22"/>
  <c r="BM567" i="22"/>
  <c r="CB567" i="22"/>
  <c r="CC567" i="22"/>
  <c r="K568" i="22"/>
  <c r="B568" i="22"/>
  <c r="A568" i="22"/>
  <c r="C568" i="22"/>
  <c r="D568" i="22"/>
  <c r="E568" i="22"/>
  <c r="H568" i="22"/>
  <c r="N568" i="22"/>
  <c r="X568" i="22"/>
  <c r="BA568" i="22"/>
  <c r="AB568" i="22"/>
  <c r="AC568" i="22"/>
  <c r="AP568" i="22"/>
  <c r="AV568" i="22"/>
  <c r="BG568" i="22"/>
  <c r="BK568" i="22"/>
  <c r="BM568" i="22"/>
  <c r="CB568" i="22"/>
  <c r="CC568" i="22"/>
  <c r="K569" i="22"/>
  <c r="B569" i="22"/>
  <c r="A569" i="22"/>
  <c r="C569" i="22"/>
  <c r="D569" i="22"/>
  <c r="E569" i="22"/>
  <c r="H569" i="22"/>
  <c r="N569" i="22"/>
  <c r="X569" i="22"/>
  <c r="BA569" i="22"/>
  <c r="AB569" i="22"/>
  <c r="AC569" i="22"/>
  <c r="AP569" i="22"/>
  <c r="AV569" i="22"/>
  <c r="BG569" i="22"/>
  <c r="BK569" i="22"/>
  <c r="BM569" i="22"/>
  <c r="CB569" i="22"/>
  <c r="CC569" i="22"/>
  <c r="K570" i="22"/>
  <c r="B570" i="22"/>
  <c r="A570" i="22"/>
  <c r="C570" i="22"/>
  <c r="D570" i="22"/>
  <c r="E570" i="22"/>
  <c r="H570" i="22"/>
  <c r="N570" i="22"/>
  <c r="X570" i="22"/>
  <c r="BA570" i="22"/>
  <c r="AB570" i="22"/>
  <c r="AC570" i="22"/>
  <c r="AP570" i="22"/>
  <c r="AV570" i="22"/>
  <c r="BG570" i="22"/>
  <c r="BK570" i="22"/>
  <c r="BM570" i="22"/>
  <c r="CB570" i="22"/>
  <c r="CC570" i="22"/>
  <c r="K571" i="22"/>
  <c r="B571" i="22"/>
  <c r="A571" i="22"/>
  <c r="C571" i="22"/>
  <c r="D571" i="22"/>
  <c r="E571" i="22"/>
  <c r="H571" i="22"/>
  <c r="N571" i="22"/>
  <c r="X571" i="22"/>
  <c r="BA571" i="22"/>
  <c r="AB571" i="22"/>
  <c r="AC571" i="22"/>
  <c r="AP571" i="22"/>
  <c r="AV571" i="22"/>
  <c r="BG571" i="22"/>
  <c r="BK571" i="22"/>
  <c r="BM571" i="22"/>
  <c r="CB571" i="22"/>
  <c r="CC571" i="22"/>
  <c r="K572" i="22"/>
  <c r="B572" i="22"/>
  <c r="A572" i="22"/>
  <c r="C572" i="22"/>
  <c r="D572" i="22"/>
  <c r="E572" i="22"/>
  <c r="H572" i="22"/>
  <c r="N572" i="22"/>
  <c r="X572" i="22"/>
  <c r="BA572" i="22"/>
  <c r="AB572" i="22"/>
  <c r="AC572" i="22"/>
  <c r="AP572" i="22"/>
  <c r="AV572" i="22"/>
  <c r="BG572" i="22"/>
  <c r="BK572" i="22"/>
  <c r="BM572" i="22"/>
  <c r="CB572" i="22"/>
  <c r="CC572" i="22"/>
  <c r="K573" i="22"/>
  <c r="B573" i="22"/>
  <c r="A573" i="22"/>
  <c r="C573" i="22"/>
  <c r="D573" i="22"/>
  <c r="E573" i="22"/>
  <c r="H573" i="22"/>
  <c r="N573" i="22"/>
  <c r="X573" i="22"/>
  <c r="BA573" i="22"/>
  <c r="AB573" i="22"/>
  <c r="AC573" i="22"/>
  <c r="AP573" i="22"/>
  <c r="AV573" i="22"/>
  <c r="BG573" i="22"/>
  <c r="BK573" i="22"/>
  <c r="BM573" i="22"/>
  <c r="CB573" i="22"/>
  <c r="CC573" i="22"/>
  <c r="K574" i="22"/>
  <c r="B574" i="22"/>
  <c r="A574" i="22"/>
  <c r="C574" i="22"/>
  <c r="D574" i="22"/>
  <c r="E574" i="22"/>
  <c r="H574" i="22"/>
  <c r="N574" i="22"/>
  <c r="X574" i="22"/>
  <c r="BA574" i="22"/>
  <c r="AB574" i="22"/>
  <c r="AC574" i="22"/>
  <c r="AP574" i="22"/>
  <c r="AV574" i="22"/>
  <c r="BG574" i="22"/>
  <c r="BK574" i="22"/>
  <c r="BM574" i="22"/>
  <c r="CB574" i="22"/>
  <c r="CC574" i="22"/>
  <c r="K575" i="22"/>
  <c r="B575" i="22"/>
  <c r="A575" i="22"/>
  <c r="C575" i="22"/>
  <c r="D575" i="22"/>
  <c r="E575" i="22"/>
  <c r="H575" i="22"/>
  <c r="N575" i="22"/>
  <c r="X575" i="22"/>
  <c r="BA575" i="22"/>
  <c r="AB575" i="22"/>
  <c r="AC575" i="22"/>
  <c r="AP575" i="22"/>
  <c r="AV575" i="22"/>
  <c r="BG575" i="22"/>
  <c r="BK575" i="22"/>
  <c r="BM575" i="22"/>
  <c r="CB575" i="22"/>
  <c r="CC575" i="22"/>
  <c r="K576" i="22"/>
  <c r="B576" i="22"/>
  <c r="A576" i="22"/>
  <c r="C576" i="22"/>
  <c r="D576" i="22"/>
  <c r="E576" i="22"/>
  <c r="H576" i="22"/>
  <c r="N576" i="22"/>
  <c r="X576" i="22"/>
  <c r="BA576" i="22"/>
  <c r="AB576" i="22"/>
  <c r="AC576" i="22"/>
  <c r="AP576" i="22"/>
  <c r="AV576" i="22"/>
  <c r="BG576" i="22"/>
  <c r="BK576" i="22"/>
  <c r="BM576" i="22"/>
  <c r="CB576" i="22"/>
  <c r="CC576" i="22"/>
  <c r="K577" i="22"/>
  <c r="B577" i="22"/>
  <c r="A577" i="22"/>
  <c r="C577" i="22"/>
  <c r="D577" i="22"/>
  <c r="E577" i="22"/>
  <c r="H577" i="22"/>
  <c r="N577" i="22"/>
  <c r="X577" i="22"/>
  <c r="BA577" i="22"/>
  <c r="AB577" i="22"/>
  <c r="AC577" i="22"/>
  <c r="AP577" i="22"/>
  <c r="AV577" i="22"/>
  <c r="BG577" i="22"/>
  <c r="BK577" i="22"/>
  <c r="BM577" i="22"/>
  <c r="CB577" i="22"/>
  <c r="CC577" i="22"/>
  <c r="K578" i="22"/>
  <c r="B578" i="22"/>
  <c r="A578" i="22"/>
  <c r="C578" i="22"/>
  <c r="D578" i="22"/>
  <c r="E578" i="22"/>
  <c r="H578" i="22"/>
  <c r="N578" i="22"/>
  <c r="X578" i="22"/>
  <c r="BA578" i="22"/>
  <c r="AB578" i="22"/>
  <c r="AC578" i="22"/>
  <c r="AP578" i="22"/>
  <c r="AV578" i="22"/>
  <c r="BG578" i="22"/>
  <c r="BK578" i="22"/>
  <c r="BM578" i="22"/>
  <c r="CB578" i="22"/>
  <c r="CC578" i="22"/>
  <c r="K579" i="22"/>
  <c r="B579" i="22"/>
  <c r="A579" i="22"/>
  <c r="C579" i="22"/>
  <c r="D579" i="22"/>
  <c r="E579" i="22"/>
  <c r="H579" i="22"/>
  <c r="N579" i="22"/>
  <c r="X579" i="22"/>
  <c r="BA579" i="22"/>
  <c r="AB579" i="22"/>
  <c r="AC579" i="22"/>
  <c r="AP579" i="22"/>
  <c r="AV579" i="22"/>
  <c r="BG579" i="22"/>
  <c r="BK579" i="22"/>
  <c r="BM579" i="22"/>
  <c r="CB579" i="22"/>
  <c r="CC579" i="22"/>
  <c r="K580" i="22"/>
  <c r="B580" i="22"/>
  <c r="A580" i="22"/>
  <c r="C580" i="22"/>
  <c r="D580" i="22"/>
  <c r="E580" i="22"/>
  <c r="H580" i="22"/>
  <c r="N580" i="22"/>
  <c r="X580" i="22"/>
  <c r="BA580" i="22"/>
  <c r="AB580" i="22"/>
  <c r="AC580" i="22"/>
  <c r="AP580" i="22"/>
  <c r="AV580" i="22"/>
  <c r="BG580" i="22"/>
  <c r="BK580" i="22"/>
  <c r="BM580" i="22"/>
  <c r="CB580" i="22"/>
  <c r="CC580" i="22"/>
  <c r="K581" i="22"/>
  <c r="B581" i="22"/>
  <c r="A581" i="22"/>
  <c r="C581" i="22"/>
  <c r="D581" i="22"/>
  <c r="E581" i="22"/>
  <c r="H581" i="22"/>
  <c r="N581" i="22"/>
  <c r="X581" i="22"/>
  <c r="BA581" i="22"/>
  <c r="AB581" i="22"/>
  <c r="AC581" i="22"/>
  <c r="AP581" i="22"/>
  <c r="AV581" i="22"/>
  <c r="BG581" i="22"/>
  <c r="BK581" i="22"/>
  <c r="BM581" i="22"/>
  <c r="CB581" i="22"/>
  <c r="CC581" i="22"/>
  <c r="K582" i="22"/>
  <c r="B582" i="22"/>
  <c r="A582" i="22"/>
  <c r="C582" i="22"/>
  <c r="D582" i="22"/>
  <c r="E582" i="22"/>
  <c r="H582" i="22"/>
  <c r="N582" i="22"/>
  <c r="X582" i="22"/>
  <c r="BA582" i="22"/>
  <c r="AB582" i="22"/>
  <c r="AC582" i="22"/>
  <c r="AP582" i="22"/>
  <c r="AV582" i="22"/>
  <c r="BG582" i="22"/>
  <c r="BK582" i="22"/>
  <c r="BM582" i="22"/>
  <c r="CB582" i="22"/>
  <c r="CC582" i="22"/>
  <c r="K583" i="22"/>
  <c r="B583" i="22"/>
  <c r="A583" i="22"/>
  <c r="C583" i="22"/>
  <c r="D583" i="22"/>
  <c r="E583" i="22"/>
  <c r="H583" i="22"/>
  <c r="N583" i="22"/>
  <c r="X583" i="22"/>
  <c r="BA583" i="22"/>
  <c r="AB583" i="22"/>
  <c r="AC583" i="22"/>
  <c r="AP583" i="22"/>
  <c r="AV583" i="22"/>
  <c r="BG583" i="22"/>
  <c r="BK583" i="22"/>
  <c r="BM583" i="22"/>
  <c r="CB583" i="22"/>
  <c r="CC583" i="22"/>
  <c r="K584" i="22"/>
  <c r="B584" i="22"/>
  <c r="A584" i="22"/>
  <c r="C584" i="22"/>
  <c r="D584" i="22"/>
  <c r="E584" i="22"/>
  <c r="H584" i="22"/>
  <c r="N584" i="22"/>
  <c r="X584" i="22"/>
  <c r="BA584" i="22"/>
  <c r="AB584" i="22"/>
  <c r="AC584" i="22"/>
  <c r="AP584" i="22"/>
  <c r="AV584" i="22"/>
  <c r="BG584" i="22"/>
  <c r="BK584" i="22"/>
  <c r="BM584" i="22"/>
  <c r="CB584" i="22"/>
  <c r="CC584" i="22"/>
  <c r="K585" i="22"/>
  <c r="B585" i="22"/>
  <c r="A585" i="22"/>
  <c r="C585" i="22"/>
  <c r="D585" i="22"/>
  <c r="E585" i="22"/>
  <c r="H585" i="22"/>
  <c r="N585" i="22"/>
  <c r="X585" i="22"/>
  <c r="BA585" i="22"/>
  <c r="AB585" i="22"/>
  <c r="AC585" i="22"/>
  <c r="AP585" i="22"/>
  <c r="AV585" i="22"/>
  <c r="BG585" i="22"/>
  <c r="BK585" i="22"/>
  <c r="BM585" i="22"/>
  <c r="CB585" i="22"/>
  <c r="CC585" i="22"/>
  <c r="K586" i="22"/>
  <c r="B586" i="22"/>
  <c r="A586" i="22"/>
  <c r="C586" i="22"/>
  <c r="D586" i="22"/>
  <c r="E586" i="22"/>
  <c r="H586" i="22"/>
  <c r="N586" i="22"/>
  <c r="X586" i="22"/>
  <c r="BA586" i="22"/>
  <c r="AB586" i="22"/>
  <c r="AC586" i="22"/>
  <c r="AP586" i="22"/>
  <c r="AV586" i="22"/>
  <c r="BG586" i="22"/>
  <c r="BK586" i="22"/>
  <c r="BM586" i="22"/>
  <c r="CB586" i="22"/>
  <c r="CC586" i="22"/>
  <c r="K587" i="22"/>
  <c r="B587" i="22"/>
  <c r="A587" i="22"/>
  <c r="C587" i="22"/>
  <c r="D587" i="22"/>
  <c r="E587" i="22"/>
  <c r="H587" i="22"/>
  <c r="N587" i="22"/>
  <c r="X587" i="22"/>
  <c r="BA587" i="22"/>
  <c r="AB587" i="22"/>
  <c r="AC587" i="22"/>
  <c r="AP587" i="22"/>
  <c r="AV587" i="22"/>
  <c r="BG587" i="22"/>
  <c r="BK587" i="22"/>
  <c r="BM587" i="22"/>
  <c r="CB587" i="22"/>
  <c r="CC587" i="22"/>
  <c r="K588" i="22"/>
  <c r="B588" i="22"/>
  <c r="A588" i="22"/>
  <c r="C588" i="22"/>
  <c r="D588" i="22"/>
  <c r="E588" i="22"/>
  <c r="H588" i="22"/>
  <c r="N588" i="22"/>
  <c r="X588" i="22"/>
  <c r="BA588" i="22"/>
  <c r="AB588" i="22"/>
  <c r="AC588" i="22"/>
  <c r="AP588" i="22"/>
  <c r="AV588" i="22"/>
  <c r="BG588" i="22"/>
  <c r="BK588" i="22"/>
  <c r="BM588" i="22"/>
  <c r="CB588" i="22"/>
  <c r="CC588" i="22"/>
  <c r="K589" i="22"/>
  <c r="B589" i="22"/>
  <c r="A589" i="22"/>
  <c r="C589" i="22"/>
  <c r="D589" i="22"/>
  <c r="E589" i="22"/>
  <c r="H589" i="22"/>
  <c r="N589" i="22"/>
  <c r="X589" i="22"/>
  <c r="BA589" i="22"/>
  <c r="AB589" i="22"/>
  <c r="AC589" i="22"/>
  <c r="AP589" i="22"/>
  <c r="AV589" i="22"/>
  <c r="BG589" i="22"/>
  <c r="BK589" i="22"/>
  <c r="BM589" i="22"/>
  <c r="CB589" i="22"/>
  <c r="CC589" i="22"/>
  <c r="K590" i="22"/>
  <c r="B590" i="22"/>
  <c r="A590" i="22"/>
  <c r="C590" i="22"/>
  <c r="D590" i="22"/>
  <c r="E590" i="22"/>
  <c r="H590" i="22"/>
  <c r="N590" i="22"/>
  <c r="X590" i="22"/>
  <c r="BA590" i="22"/>
  <c r="AB590" i="22"/>
  <c r="AC590" i="22"/>
  <c r="AP590" i="22"/>
  <c r="AV590" i="22"/>
  <c r="BG590" i="22"/>
  <c r="BK590" i="22"/>
  <c r="BM590" i="22"/>
  <c r="CB590" i="22"/>
  <c r="CC590" i="22"/>
  <c r="K591" i="22"/>
  <c r="B591" i="22"/>
  <c r="A591" i="22"/>
  <c r="C591" i="22"/>
  <c r="D591" i="22"/>
  <c r="E591" i="22"/>
  <c r="H591" i="22"/>
  <c r="N591" i="22"/>
  <c r="X591" i="22"/>
  <c r="BA591" i="22"/>
  <c r="AB591" i="22"/>
  <c r="AC591" i="22"/>
  <c r="AP591" i="22"/>
  <c r="AV591" i="22"/>
  <c r="BG591" i="22"/>
  <c r="BK591" i="22"/>
  <c r="BM591" i="22"/>
  <c r="CB591" i="22"/>
  <c r="CC591" i="22"/>
  <c r="K592" i="22"/>
  <c r="B592" i="22"/>
  <c r="A592" i="22"/>
  <c r="C592" i="22"/>
  <c r="D592" i="22"/>
  <c r="E592" i="22"/>
  <c r="H592" i="22"/>
  <c r="N592" i="22"/>
  <c r="X592" i="22"/>
  <c r="BA592" i="22"/>
  <c r="AB592" i="22"/>
  <c r="AC592" i="22"/>
  <c r="AP592" i="22"/>
  <c r="AV592" i="22"/>
  <c r="BG592" i="22"/>
  <c r="BK592" i="22"/>
  <c r="BM592" i="22"/>
  <c r="CB592" i="22"/>
  <c r="CC592" i="22"/>
  <c r="K593" i="22"/>
  <c r="B593" i="22"/>
  <c r="A593" i="22"/>
  <c r="C593" i="22"/>
  <c r="D593" i="22"/>
  <c r="E593" i="22"/>
  <c r="H593" i="22"/>
  <c r="N593" i="22"/>
  <c r="X593" i="22"/>
  <c r="BA593" i="22"/>
  <c r="AB593" i="22"/>
  <c r="AC593" i="22"/>
  <c r="AP593" i="22"/>
  <c r="AV593" i="22"/>
  <c r="BG593" i="22"/>
  <c r="BK593" i="22"/>
  <c r="BM593" i="22"/>
  <c r="CB593" i="22"/>
  <c r="CC593" i="22"/>
  <c r="K594" i="22"/>
  <c r="B594" i="22"/>
  <c r="A594" i="22"/>
  <c r="C594" i="22"/>
  <c r="D594" i="22"/>
  <c r="E594" i="22"/>
  <c r="H594" i="22"/>
  <c r="N594" i="22"/>
  <c r="X594" i="22"/>
  <c r="BA594" i="22"/>
  <c r="AB594" i="22"/>
  <c r="AC594" i="22"/>
  <c r="AP594" i="22"/>
  <c r="AV594" i="22"/>
  <c r="BG594" i="22"/>
  <c r="BK594" i="22"/>
  <c r="BM594" i="22"/>
  <c r="CB594" i="22"/>
  <c r="CC594" i="22"/>
  <c r="K595" i="22"/>
  <c r="B595" i="22"/>
  <c r="A595" i="22"/>
  <c r="C595" i="22"/>
  <c r="D595" i="22"/>
  <c r="E595" i="22"/>
  <c r="H595" i="22"/>
  <c r="N595" i="22"/>
  <c r="X595" i="22"/>
  <c r="BA595" i="22"/>
  <c r="AB595" i="22"/>
  <c r="AC595" i="22"/>
  <c r="AP595" i="22"/>
  <c r="AV595" i="22"/>
  <c r="BG595" i="22"/>
  <c r="BK595" i="22"/>
  <c r="BM595" i="22"/>
  <c r="CB595" i="22"/>
  <c r="CC595" i="22"/>
  <c r="K596" i="22"/>
  <c r="B596" i="22"/>
  <c r="A596" i="22"/>
  <c r="C596" i="22"/>
  <c r="D596" i="22"/>
  <c r="E596" i="22"/>
  <c r="H596" i="22"/>
  <c r="N596" i="22"/>
  <c r="X596" i="22"/>
  <c r="BA596" i="22"/>
  <c r="AB596" i="22"/>
  <c r="AC596" i="22"/>
  <c r="AP596" i="22"/>
  <c r="AV596" i="22"/>
  <c r="BG596" i="22"/>
  <c r="BK596" i="22"/>
  <c r="BM596" i="22"/>
  <c r="CB596" i="22"/>
  <c r="CC596" i="22"/>
  <c r="K597" i="22"/>
  <c r="B597" i="22"/>
  <c r="A597" i="22"/>
  <c r="C597" i="22"/>
  <c r="D597" i="22"/>
  <c r="E597" i="22"/>
  <c r="H597" i="22"/>
  <c r="N597" i="22"/>
  <c r="X597" i="22"/>
  <c r="BA597" i="22"/>
  <c r="AB597" i="22"/>
  <c r="AC597" i="22"/>
  <c r="AP597" i="22"/>
  <c r="AV597" i="22"/>
  <c r="BG597" i="22"/>
  <c r="BK597" i="22"/>
  <c r="BM597" i="22"/>
  <c r="CB597" i="22"/>
  <c r="CC597" i="22"/>
  <c r="K598" i="22"/>
  <c r="B598" i="22"/>
  <c r="A598" i="22"/>
  <c r="C598" i="22"/>
  <c r="D598" i="22"/>
  <c r="E598" i="22"/>
  <c r="H598" i="22"/>
  <c r="N598" i="22"/>
  <c r="X598" i="22"/>
  <c r="BA598" i="22"/>
  <c r="AB598" i="22"/>
  <c r="AC598" i="22"/>
  <c r="AP598" i="22"/>
  <c r="AV598" i="22"/>
  <c r="BG598" i="22"/>
  <c r="BK598" i="22"/>
  <c r="BM598" i="22"/>
  <c r="CB598" i="22"/>
  <c r="CC598" i="22"/>
  <c r="K599" i="22"/>
  <c r="B599" i="22"/>
  <c r="A599" i="22"/>
  <c r="C599" i="22"/>
  <c r="D599" i="22"/>
  <c r="E599" i="22"/>
  <c r="H599" i="22"/>
  <c r="N599" i="22"/>
  <c r="X599" i="22"/>
  <c r="BA599" i="22"/>
  <c r="AB599" i="22"/>
  <c r="AC599" i="22"/>
  <c r="AP599" i="22"/>
  <c r="AV599" i="22"/>
  <c r="BG599" i="22"/>
  <c r="BK599" i="22"/>
  <c r="BM599" i="22"/>
  <c r="CB599" i="22"/>
  <c r="CC599" i="22"/>
  <c r="K600" i="22"/>
  <c r="B600" i="22"/>
  <c r="A600" i="22"/>
  <c r="C600" i="22"/>
  <c r="D600" i="22"/>
  <c r="E600" i="22"/>
  <c r="H600" i="22"/>
  <c r="N600" i="22"/>
  <c r="X600" i="22"/>
  <c r="BA600" i="22"/>
  <c r="AB600" i="22"/>
  <c r="AC600" i="22"/>
  <c r="AP600" i="22"/>
  <c r="AV600" i="22"/>
  <c r="BG600" i="22"/>
  <c r="BK600" i="22"/>
  <c r="BM600" i="22"/>
  <c r="CB600" i="22"/>
  <c r="CC600" i="22"/>
  <c r="K601" i="22"/>
  <c r="B601" i="22"/>
  <c r="A601" i="22"/>
  <c r="C601" i="22"/>
  <c r="D601" i="22"/>
  <c r="E601" i="22"/>
  <c r="H601" i="22"/>
  <c r="N601" i="22"/>
  <c r="X601" i="22"/>
  <c r="BA601" i="22"/>
  <c r="AB601" i="22"/>
  <c r="AC601" i="22"/>
  <c r="AP601" i="22"/>
  <c r="AV601" i="22"/>
  <c r="BG601" i="22"/>
  <c r="BK601" i="22"/>
  <c r="BM601" i="22"/>
  <c r="CB601" i="22"/>
  <c r="CC601" i="22"/>
  <c r="K602" i="22"/>
  <c r="B602" i="22"/>
  <c r="A602" i="22"/>
  <c r="C602" i="22"/>
  <c r="D602" i="22"/>
  <c r="E602" i="22"/>
  <c r="H602" i="22"/>
  <c r="N602" i="22"/>
  <c r="X602" i="22"/>
  <c r="BA602" i="22"/>
  <c r="AB602" i="22"/>
  <c r="AC602" i="22"/>
  <c r="AP602" i="22"/>
  <c r="AV602" i="22"/>
  <c r="BG602" i="22"/>
  <c r="BK602" i="22"/>
  <c r="BM602" i="22"/>
  <c r="CB602" i="22"/>
  <c r="CC602" i="22"/>
  <c r="K603" i="22"/>
  <c r="B603" i="22"/>
  <c r="A603" i="22"/>
  <c r="C603" i="22"/>
  <c r="D603" i="22"/>
  <c r="E603" i="22"/>
  <c r="H603" i="22"/>
  <c r="N603" i="22"/>
  <c r="X603" i="22"/>
  <c r="BA603" i="22"/>
  <c r="AB603" i="22"/>
  <c r="AC603" i="22"/>
  <c r="AP603" i="22"/>
  <c r="AV603" i="22"/>
  <c r="BG603" i="22"/>
  <c r="BK603" i="22"/>
  <c r="BM603" i="22"/>
  <c r="CB603" i="22"/>
  <c r="CC603" i="22"/>
  <c r="K604" i="22"/>
  <c r="B604" i="22"/>
  <c r="A604" i="22"/>
  <c r="C604" i="22"/>
  <c r="D604" i="22"/>
  <c r="E604" i="22"/>
  <c r="H604" i="22"/>
  <c r="N604" i="22"/>
  <c r="X604" i="22"/>
  <c r="BA604" i="22"/>
  <c r="AB604" i="22"/>
  <c r="AC604" i="22"/>
  <c r="AP604" i="22"/>
  <c r="AV604" i="22"/>
  <c r="BG604" i="22"/>
  <c r="BK604" i="22"/>
  <c r="BM604" i="22"/>
  <c r="CB604" i="22"/>
  <c r="CC604" i="22"/>
  <c r="K605" i="22"/>
  <c r="B605" i="22"/>
  <c r="A605" i="22"/>
  <c r="C605" i="22"/>
  <c r="D605" i="22"/>
  <c r="E605" i="22"/>
  <c r="H605" i="22"/>
  <c r="N605" i="22"/>
  <c r="X605" i="22"/>
  <c r="BA605" i="22"/>
  <c r="AB605" i="22"/>
  <c r="AC605" i="22"/>
  <c r="AP605" i="22"/>
  <c r="AV605" i="22"/>
  <c r="BG605" i="22"/>
  <c r="BK605" i="22"/>
  <c r="BM605" i="22"/>
  <c r="CB605" i="22"/>
  <c r="CC605" i="22"/>
  <c r="K606" i="22"/>
  <c r="B606" i="22"/>
  <c r="A606" i="22"/>
  <c r="C606" i="22"/>
  <c r="D606" i="22"/>
  <c r="E606" i="22"/>
  <c r="H606" i="22"/>
  <c r="N606" i="22"/>
  <c r="X606" i="22"/>
  <c r="BA606" i="22"/>
  <c r="AB606" i="22"/>
  <c r="AC606" i="22"/>
  <c r="AP606" i="22"/>
  <c r="AV606" i="22"/>
  <c r="BG606" i="22"/>
  <c r="BK606" i="22"/>
  <c r="BM606" i="22"/>
  <c r="CB606" i="22"/>
  <c r="CC606" i="22"/>
  <c r="K607" i="22"/>
  <c r="B607" i="22"/>
  <c r="A607" i="22"/>
  <c r="C607" i="22"/>
  <c r="D607" i="22"/>
  <c r="E607" i="22"/>
  <c r="H607" i="22"/>
  <c r="N607" i="22"/>
  <c r="X607" i="22"/>
  <c r="BA607" i="22"/>
  <c r="AB607" i="22"/>
  <c r="AC607" i="22"/>
  <c r="AP607" i="22"/>
  <c r="AV607" i="22"/>
  <c r="BG607" i="22"/>
  <c r="BK607" i="22"/>
  <c r="BM607" i="22"/>
  <c r="CB607" i="22"/>
  <c r="CC607" i="22"/>
  <c r="K608" i="22"/>
  <c r="B608" i="22"/>
  <c r="A608" i="22"/>
  <c r="C608" i="22"/>
  <c r="D608" i="22"/>
  <c r="E608" i="22"/>
  <c r="H608" i="22"/>
  <c r="N608" i="22"/>
  <c r="X608" i="22"/>
  <c r="BA608" i="22"/>
  <c r="AB608" i="22"/>
  <c r="AC608" i="22"/>
  <c r="AP608" i="22"/>
  <c r="AV608" i="22"/>
  <c r="BG608" i="22"/>
  <c r="BK608" i="22"/>
  <c r="BM608" i="22"/>
  <c r="CB608" i="22"/>
  <c r="CC608" i="22"/>
  <c r="K609" i="22"/>
  <c r="B609" i="22"/>
  <c r="A609" i="22"/>
  <c r="C609" i="22"/>
  <c r="D609" i="22"/>
  <c r="E609" i="22"/>
  <c r="H609" i="22"/>
  <c r="N609" i="22"/>
  <c r="X609" i="22"/>
  <c r="BA609" i="22"/>
  <c r="AB609" i="22"/>
  <c r="AC609" i="22"/>
  <c r="AP609" i="22"/>
  <c r="AV609" i="22"/>
  <c r="BG609" i="22"/>
  <c r="BK609" i="22"/>
  <c r="BM609" i="22"/>
  <c r="CB609" i="22"/>
  <c r="CC609" i="22"/>
  <c r="K610" i="22"/>
  <c r="B610" i="22"/>
  <c r="A610" i="22"/>
  <c r="C610" i="22"/>
  <c r="D610" i="22"/>
  <c r="E610" i="22"/>
  <c r="H610" i="22"/>
  <c r="N610" i="22"/>
  <c r="X610" i="22"/>
  <c r="BA610" i="22"/>
  <c r="AB610" i="22"/>
  <c r="AC610" i="22"/>
  <c r="AP610" i="22"/>
  <c r="AV610" i="22"/>
  <c r="BG610" i="22"/>
  <c r="BK610" i="22"/>
  <c r="BM610" i="22"/>
  <c r="CB610" i="22"/>
  <c r="CC610" i="22"/>
  <c r="K611" i="22"/>
  <c r="B611" i="22"/>
  <c r="A611" i="22"/>
  <c r="C611" i="22"/>
  <c r="D611" i="22"/>
  <c r="E611" i="22"/>
  <c r="H611" i="22"/>
  <c r="N611" i="22"/>
  <c r="X611" i="22"/>
  <c r="BA611" i="22"/>
  <c r="AB611" i="22"/>
  <c r="AC611" i="22"/>
  <c r="AP611" i="22"/>
  <c r="AV611" i="22"/>
  <c r="BG611" i="22"/>
  <c r="BK611" i="22"/>
  <c r="BM611" i="22"/>
  <c r="CB611" i="22"/>
  <c r="CC611" i="22"/>
  <c r="K612" i="22"/>
  <c r="B612" i="22"/>
  <c r="A612" i="22"/>
  <c r="C612" i="22"/>
  <c r="D612" i="22"/>
  <c r="E612" i="22"/>
  <c r="H612" i="22"/>
  <c r="N612" i="22"/>
  <c r="X612" i="22"/>
  <c r="BA612" i="22"/>
  <c r="AB612" i="22"/>
  <c r="AC612" i="22"/>
  <c r="AP612" i="22"/>
  <c r="AV612" i="22"/>
  <c r="BG612" i="22"/>
  <c r="BK612" i="22"/>
  <c r="BM612" i="22"/>
  <c r="CB612" i="22"/>
  <c r="CC612" i="22"/>
  <c r="K613" i="22"/>
  <c r="B613" i="22"/>
  <c r="A613" i="22"/>
  <c r="C613" i="22"/>
  <c r="D613" i="22"/>
  <c r="E613" i="22"/>
  <c r="H613" i="22"/>
  <c r="N613" i="22"/>
  <c r="X613" i="22"/>
  <c r="BA613" i="22"/>
  <c r="AB613" i="22"/>
  <c r="AC613" i="22"/>
  <c r="AP613" i="22"/>
  <c r="AV613" i="22"/>
  <c r="BG613" i="22"/>
  <c r="BK613" i="22"/>
  <c r="BM613" i="22"/>
  <c r="CB613" i="22"/>
  <c r="CC613" i="22"/>
  <c r="K614" i="22"/>
  <c r="B614" i="22"/>
  <c r="A614" i="22"/>
  <c r="C614" i="22"/>
  <c r="D614" i="22"/>
  <c r="E614" i="22"/>
  <c r="H614" i="22"/>
  <c r="N614" i="22"/>
  <c r="X614" i="22"/>
  <c r="BA614" i="22"/>
  <c r="AB614" i="22"/>
  <c r="AC614" i="22"/>
  <c r="AP614" i="22"/>
  <c r="AV614" i="22"/>
  <c r="BG614" i="22"/>
  <c r="BK614" i="22"/>
  <c r="BM614" i="22"/>
  <c r="CB614" i="22"/>
  <c r="CC614" i="22"/>
  <c r="K615" i="22"/>
  <c r="B615" i="22"/>
  <c r="A615" i="22"/>
  <c r="C615" i="22"/>
  <c r="D615" i="22"/>
  <c r="E615" i="22"/>
  <c r="H615" i="22"/>
  <c r="N615" i="22"/>
  <c r="X615" i="22"/>
  <c r="BA615" i="22"/>
  <c r="AB615" i="22"/>
  <c r="AC615" i="22"/>
  <c r="AP615" i="22"/>
  <c r="AV615" i="22"/>
  <c r="BG615" i="22"/>
  <c r="BK615" i="22"/>
  <c r="BM615" i="22"/>
  <c r="CB615" i="22"/>
  <c r="CC615" i="22"/>
  <c r="K616" i="22"/>
  <c r="B616" i="22"/>
  <c r="A616" i="22"/>
  <c r="C616" i="22"/>
  <c r="D616" i="22"/>
  <c r="E616" i="22"/>
  <c r="H616" i="22"/>
  <c r="N616" i="22"/>
  <c r="X616" i="22"/>
  <c r="BA616" i="22"/>
  <c r="AB616" i="22"/>
  <c r="AC616" i="22"/>
  <c r="AP616" i="22"/>
  <c r="AV616" i="22"/>
  <c r="BG616" i="22"/>
  <c r="BK616" i="22"/>
  <c r="BM616" i="22"/>
  <c r="CB616" i="22"/>
  <c r="CC616" i="22"/>
  <c r="K617" i="22"/>
  <c r="B617" i="22"/>
  <c r="A617" i="22"/>
  <c r="C617" i="22"/>
  <c r="D617" i="22"/>
  <c r="E617" i="22"/>
  <c r="H617" i="22"/>
  <c r="N617" i="22"/>
  <c r="X617" i="22"/>
  <c r="BA617" i="22"/>
  <c r="AB617" i="22"/>
  <c r="AC617" i="22"/>
  <c r="AP617" i="22"/>
  <c r="AV617" i="22"/>
  <c r="BG617" i="22"/>
  <c r="BK617" i="22"/>
  <c r="BM617" i="22"/>
  <c r="CB617" i="22"/>
  <c r="CC617" i="22"/>
  <c r="K618" i="22"/>
  <c r="B618" i="22"/>
  <c r="A618" i="22"/>
  <c r="C618" i="22"/>
  <c r="D618" i="22"/>
  <c r="E618" i="22"/>
  <c r="H618" i="22"/>
  <c r="N618" i="22"/>
  <c r="X618" i="22"/>
  <c r="BA618" i="22"/>
  <c r="AB618" i="22"/>
  <c r="AC618" i="22"/>
  <c r="AP618" i="22"/>
  <c r="AV618" i="22"/>
  <c r="BG618" i="22"/>
  <c r="BK618" i="22"/>
  <c r="BM618" i="22"/>
  <c r="CB618" i="22"/>
  <c r="CC618" i="22"/>
  <c r="K619" i="22"/>
  <c r="B619" i="22"/>
  <c r="A619" i="22"/>
  <c r="C619" i="22"/>
  <c r="D619" i="22"/>
  <c r="E619" i="22"/>
  <c r="H619" i="22"/>
  <c r="N619" i="22"/>
  <c r="X619" i="22"/>
  <c r="BA619" i="22"/>
  <c r="AB619" i="22"/>
  <c r="AC619" i="22"/>
  <c r="AP619" i="22"/>
  <c r="AV619" i="22"/>
  <c r="BG619" i="22"/>
  <c r="BK619" i="22"/>
  <c r="BM619" i="22"/>
  <c r="CB619" i="22"/>
  <c r="CC619" i="22"/>
  <c r="K620" i="22"/>
  <c r="B620" i="22"/>
  <c r="A620" i="22"/>
  <c r="C620" i="22"/>
  <c r="D620" i="22"/>
  <c r="E620" i="22"/>
  <c r="H620" i="22"/>
  <c r="N620" i="22"/>
  <c r="X620" i="22"/>
  <c r="BA620" i="22"/>
  <c r="AB620" i="22"/>
  <c r="AC620" i="22"/>
  <c r="AP620" i="22"/>
  <c r="AV620" i="22"/>
  <c r="BG620" i="22"/>
  <c r="BK620" i="22"/>
  <c r="BM620" i="22"/>
  <c r="CB620" i="22"/>
  <c r="CC620" i="22"/>
  <c r="K621" i="22"/>
  <c r="B621" i="22"/>
  <c r="A621" i="22"/>
  <c r="C621" i="22"/>
  <c r="D621" i="22"/>
  <c r="E621" i="22"/>
  <c r="H621" i="22"/>
  <c r="N621" i="22"/>
  <c r="X621" i="22"/>
  <c r="BA621" i="22"/>
  <c r="AB621" i="22"/>
  <c r="AC621" i="22"/>
  <c r="AP621" i="22"/>
  <c r="AV621" i="22"/>
  <c r="BG621" i="22"/>
  <c r="BK621" i="22"/>
  <c r="BM621" i="22"/>
  <c r="CB621" i="22"/>
  <c r="CC621" i="22"/>
  <c r="K622" i="22"/>
  <c r="B622" i="22"/>
  <c r="A622" i="22"/>
  <c r="C622" i="22"/>
  <c r="D622" i="22"/>
  <c r="E622" i="22"/>
  <c r="H622" i="22"/>
  <c r="N622" i="22"/>
  <c r="X622" i="22"/>
  <c r="BA622" i="22"/>
  <c r="AB622" i="22"/>
  <c r="AC622" i="22"/>
  <c r="AP622" i="22"/>
  <c r="AV622" i="22"/>
  <c r="BG622" i="22"/>
  <c r="BK622" i="22"/>
  <c r="BM622" i="22"/>
  <c r="CB622" i="22"/>
  <c r="CC622" i="22"/>
  <c r="K623" i="22"/>
  <c r="B623" i="22"/>
  <c r="A623" i="22"/>
  <c r="C623" i="22"/>
  <c r="D623" i="22"/>
  <c r="E623" i="22"/>
  <c r="H623" i="22"/>
  <c r="N623" i="22"/>
  <c r="X623" i="22"/>
  <c r="BA623" i="22"/>
  <c r="AB623" i="22"/>
  <c r="AC623" i="22"/>
  <c r="AP623" i="22"/>
  <c r="AV623" i="22"/>
  <c r="BG623" i="22"/>
  <c r="BK623" i="22"/>
  <c r="BM623" i="22"/>
  <c r="CB623" i="22"/>
  <c r="CC623" i="22"/>
  <c r="K624" i="22"/>
  <c r="B624" i="22"/>
  <c r="A624" i="22"/>
  <c r="C624" i="22"/>
  <c r="D624" i="22"/>
  <c r="E624" i="22"/>
  <c r="H624" i="22"/>
  <c r="N624" i="22"/>
  <c r="X624" i="22"/>
  <c r="BA624" i="22"/>
  <c r="AB624" i="22"/>
  <c r="AC624" i="22"/>
  <c r="AP624" i="22"/>
  <c r="AV624" i="22"/>
  <c r="BG624" i="22"/>
  <c r="BK624" i="22"/>
  <c r="BM624" i="22"/>
  <c r="CB624" i="22"/>
  <c r="CC624" i="22"/>
  <c r="K625" i="22"/>
  <c r="B625" i="22"/>
  <c r="A625" i="22"/>
  <c r="C625" i="22"/>
  <c r="D625" i="22"/>
  <c r="E625" i="22"/>
  <c r="H625" i="22"/>
  <c r="N625" i="22"/>
  <c r="X625" i="22"/>
  <c r="BA625" i="22"/>
  <c r="AB625" i="22"/>
  <c r="AC625" i="22"/>
  <c r="AP625" i="22"/>
  <c r="AV625" i="22"/>
  <c r="BG625" i="22"/>
  <c r="BK625" i="22"/>
  <c r="BM625" i="22"/>
  <c r="CB625" i="22"/>
  <c r="CC625" i="22"/>
  <c r="K626" i="22"/>
  <c r="B626" i="22"/>
  <c r="A626" i="22"/>
  <c r="C626" i="22"/>
  <c r="D626" i="22"/>
  <c r="E626" i="22"/>
  <c r="H626" i="22"/>
  <c r="N626" i="22"/>
  <c r="X626" i="22"/>
  <c r="BA626" i="22"/>
  <c r="AB626" i="22"/>
  <c r="AC626" i="22"/>
  <c r="AP626" i="22"/>
  <c r="AV626" i="22"/>
  <c r="BG626" i="22"/>
  <c r="BK626" i="22"/>
  <c r="BM626" i="22"/>
  <c r="CB626" i="22"/>
  <c r="CC626" i="22"/>
  <c r="K627" i="22"/>
  <c r="B627" i="22"/>
  <c r="A627" i="22"/>
  <c r="C627" i="22"/>
  <c r="D627" i="22"/>
  <c r="E627" i="22"/>
  <c r="H627" i="22"/>
  <c r="N627" i="22"/>
  <c r="X627" i="22"/>
  <c r="BA627" i="22"/>
  <c r="AB627" i="22"/>
  <c r="AC627" i="22"/>
  <c r="AP627" i="22"/>
  <c r="AV627" i="22"/>
  <c r="BG627" i="22"/>
  <c r="BK627" i="22"/>
  <c r="BM627" i="22"/>
  <c r="CB627" i="22"/>
  <c r="CC627" i="22"/>
  <c r="K628" i="22"/>
  <c r="B628" i="22"/>
  <c r="A628" i="22"/>
  <c r="C628" i="22"/>
  <c r="D628" i="22"/>
  <c r="E628" i="22"/>
  <c r="H628" i="22"/>
  <c r="N628" i="22"/>
  <c r="X628" i="22"/>
  <c r="BA628" i="22"/>
  <c r="AB628" i="22"/>
  <c r="AC628" i="22"/>
  <c r="AP628" i="22"/>
  <c r="AV628" i="22"/>
  <c r="BG628" i="22"/>
  <c r="BK628" i="22"/>
  <c r="BM628" i="22"/>
  <c r="CB628" i="22"/>
  <c r="CC628" i="22"/>
  <c r="K629" i="22"/>
  <c r="B629" i="22"/>
  <c r="A629" i="22"/>
  <c r="C629" i="22"/>
  <c r="D629" i="22"/>
  <c r="E629" i="22"/>
  <c r="H629" i="22"/>
  <c r="N629" i="22"/>
  <c r="X629" i="22"/>
  <c r="BA629" i="22"/>
  <c r="AB629" i="22"/>
  <c r="AC629" i="22"/>
  <c r="AP629" i="22"/>
  <c r="AV629" i="22"/>
  <c r="BG629" i="22"/>
  <c r="BK629" i="22"/>
  <c r="BM629" i="22"/>
  <c r="CB629" i="22"/>
  <c r="CC629" i="22"/>
  <c r="K630" i="22"/>
  <c r="B630" i="22"/>
  <c r="A630" i="22"/>
  <c r="C630" i="22"/>
  <c r="D630" i="22"/>
  <c r="E630" i="22"/>
  <c r="H630" i="22"/>
  <c r="N630" i="22"/>
  <c r="X630" i="22"/>
  <c r="BA630" i="22"/>
  <c r="AB630" i="22"/>
  <c r="AC630" i="22"/>
  <c r="AP630" i="22"/>
  <c r="AV630" i="22"/>
  <c r="BG630" i="22"/>
  <c r="BK630" i="22"/>
  <c r="BM630" i="22"/>
  <c r="CB630" i="22"/>
  <c r="CC630" i="22"/>
  <c r="K631" i="22"/>
  <c r="B631" i="22"/>
  <c r="A631" i="22"/>
  <c r="C631" i="22"/>
  <c r="D631" i="22"/>
  <c r="E631" i="22"/>
  <c r="H631" i="22"/>
  <c r="N631" i="22"/>
  <c r="X631" i="22"/>
  <c r="BA631" i="22"/>
  <c r="AB631" i="22"/>
  <c r="AC631" i="22"/>
  <c r="AP631" i="22"/>
  <c r="AV631" i="22"/>
  <c r="BG631" i="22"/>
  <c r="BK631" i="22"/>
  <c r="BM631" i="22"/>
  <c r="CB631" i="22"/>
  <c r="CC631" i="22"/>
  <c r="K632" i="22"/>
  <c r="B632" i="22"/>
  <c r="A632" i="22"/>
  <c r="C632" i="22"/>
  <c r="D632" i="22"/>
  <c r="E632" i="22"/>
  <c r="H632" i="22"/>
  <c r="N632" i="22"/>
  <c r="X632" i="22"/>
  <c r="BA632" i="22"/>
  <c r="AB632" i="22"/>
  <c r="AC632" i="22"/>
  <c r="AP632" i="22"/>
  <c r="AV632" i="22"/>
  <c r="BG632" i="22"/>
  <c r="BK632" i="22"/>
  <c r="BM632" i="22"/>
  <c r="CB632" i="22"/>
  <c r="CC632" i="22"/>
  <c r="K633" i="22"/>
  <c r="B633" i="22"/>
  <c r="A633" i="22"/>
  <c r="C633" i="22"/>
  <c r="D633" i="22"/>
  <c r="E633" i="22"/>
  <c r="H633" i="22"/>
  <c r="N633" i="22"/>
  <c r="X633" i="22"/>
  <c r="BA633" i="22"/>
  <c r="AB633" i="22"/>
  <c r="AC633" i="22"/>
  <c r="AP633" i="22"/>
  <c r="AV633" i="22"/>
  <c r="BG633" i="22"/>
  <c r="BK633" i="22"/>
  <c r="BM633" i="22"/>
  <c r="CB633" i="22"/>
  <c r="CC633" i="22"/>
  <c r="K634" i="22"/>
  <c r="B634" i="22"/>
  <c r="A634" i="22"/>
  <c r="C634" i="22"/>
  <c r="D634" i="22"/>
  <c r="E634" i="22"/>
  <c r="H634" i="22"/>
  <c r="N634" i="22"/>
  <c r="X634" i="22"/>
  <c r="BA634" i="22"/>
  <c r="AB634" i="22"/>
  <c r="AC634" i="22"/>
  <c r="AP634" i="22"/>
  <c r="AV634" i="22"/>
  <c r="BG634" i="22"/>
  <c r="BK634" i="22"/>
  <c r="BM634" i="22"/>
  <c r="CB634" i="22"/>
  <c r="CC634" i="22"/>
  <c r="K635" i="22"/>
  <c r="B635" i="22"/>
  <c r="A635" i="22"/>
  <c r="C635" i="22"/>
  <c r="D635" i="22"/>
  <c r="E635" i="22"/>
  <c r="H635" i="22"/>
  <c r="N635" i="22"/>
  <c r="X635" i="22"/>
  <c r="BA635" i="22"/>
  <c r="AB635" i="22"/>
  <c r="AC635" i="22"/>
  <c r="AP635" i="22"/>
  <c r="AV635" i="22"/>
  <c r="BG635" i="22"/>
  <c r="BK635" i="22"/>
  <c r="BM635" i="22"/>
  <c r="CB635" i="22"/>
  <c r="CC635" i="22"/>
  <c r="K636" i="22"/>
  <c r="B636" i="22"/>
  <c r="A636" i="22"/>
  <c r="C636" i="22"/>
  <c r="D636" i="22"/>
  <c r="E636" i="22"/>
  <c r="H636" i="22"/>
  <c r="N636" i="22"/>
  <c r="X636" i="22"/>
  <c r="BA636" i="22"/>
  <c r="AB636" i="22"/>
  <c r="AC636" i="22"/>
  <c r="AP636" i="22"/>
  <c r="AV636" i="22"/>
  <c r="BG636" i="22"/>
  <c r="BK636" i="22"/>
  <c r="BM636" i="22"/>
  <c r="CB636" i="22"/>
  <c r="CC636" i="22"/>
  <c r="K637" i="22"/>
  <c r="B637" i="22"/>
  <c r="A637" i="22"/>
  <c r="C637" i="22"/>
  <c r="D637" i="22"/>
  <c r="E637" i="22"/>
  <c r="H637" i="22"/>
  <c r="N637" i="22"/>
  <c r="X637" i="22"/>
  <c r="BA637" i="22"/>
  <c r="AB637" i="22"/>
  <c r="AC637" i="22"/>
  <c r="AP637" i="22"/>
  <c r="AV637" i="22"/>
  <c r="BG637" i="22"/>
  <c r="BK637" i="22"/>
  <c r="BM637" i="22"/>
  <c r="CB637" i="22"/>
  <c r="CC637" i="22"/>
  <c r="K638" i="22"/>
  <c r="B638" i="22"/>
  <c r="A638" i="22"/>
  <c r="C638" i="22"/>
  <c r="D638" i="22"/>
  <c r="E638" i="22"/>
  <c r="H638" i="22"/>
  <c r="N638" i="22"/>
  <c r="X638" i="22"/>
  <c r="BA638" i="22"/>
  <c r="AB638" i="22"/>
  <c r="AC638" i="22"/>
  <c r="AP638" i="22"/>
  <c r="AV638" i="22"/>
  <c r="BG638" i="22"/>
  <c r="BK638" i="22"/>
  <c r="BM638" i="22"/>
  <c r="CB638" i="22"/>
  <c r="CC638" i="22"/>
  <c r="K639" i="22"/>
  <c r="B639" i="22"/>
  <c r="A639" i="22"/>
  <c r="C639" i="22"/>
  <c r="D639" i="22"/>
  <c r="E639" i="22"/>
  <c r="H639" i="22"/>
  <c r="N639" i="22"/>
  <c r="X639" i="22"/>
  <c r="BA639" i="22"/>
  <c r="AB639" i="22"/>
  <c r="AC639" i="22"/>
  <c r="AP639" i="22"/>
  <c r="AV639" i="22"/>
  <c r="BG639" i="22"/>
  <c r="BK639" i="22"/>
  <c r="BM639" i="22"/>
  <c r="CB639" i="22"/>
  <c r="CC639" i="22"/>
  <c r="K640" i="22"/>
  <c r="B640" i="22"/>
  <c r="A640" i="22"/>
  <c r="C640" i="22"/>
  <c r="D640" i="22"/>
  <c r="E640" i="22"/>
  <c r="H640" i="22"/>
  <c r="N640" i="22"/>
  <c r="X640" i="22"/>
  <c r="BA640" i="22"/>
  <c r="AB640" i="22"/>
  <c r="AC640" i="22"/>
  <c r="AP640" i="22"/>
  <c r="AV640" i="22"/>
  <c r="BG640" i="22"/>
  <c r="BK640" i="22"/>
  <c r="BM640" i="22"/>
  <c r="CB640" i="22"/>
  <c r="CC640" i="22"/>
  <c r="K641" i="22"/>
  <c r="B641" i="22"/>
  <c r="A641" i="22"/>
  <c r="C641" i="22"/>
  <c r="D641" i="22"/>
  <c r="E641" i="22"/>
  <c r="H641" i="22"/>
  <c r="N641" i="22"/>
  <c r="X641" i="22"/>
  <c r="BA641" i="22"/>
  <c r="AB641" i="22"/>
  <c r="AC641" i="22"/>
  <c r="AP641" i="22"/>
  <c r="AV641" i="22"/>
  <c r="BG641" i="22"/>
  <c r="BK641" i="22"/>
  <c r="BM641" i="22"/>
  <c r="CB641" i="22"/>
  <c r="CC641" i="22"/>
  <c r="K642" i="22"/>
  <c r="B642" i="22"/>
  <c r="A642" i="22"/>
  <c r="C642" i="22"/>
  <c r="D642" i="22"/>
  <c r="E642" i="22"/>
  <c r="H642" i="22"/>
  <c r="N642" i="22"/>
  <c r="X642" i="22"/>
  <c r="BA642" i="22"/>
  <c r="AB642" i="22"/>
  <c r="AC642" i="22"/>
  <c r="AP642" i="22"/>
  <c r="AV642" i="22"/>
  <c r="BG642" i="22"/>
  <c r="BK642" i="22"/>
  <c r="BM642" i="22"/>
  <c r="CB642" i="22"/>
  <c r="CC642" i="22"/>
  <c r="K643" i="22"/>
  <c r="B643" i="22"/>
  <c r="A643" i="22"/>
  <c r="C643" i="22"/>
  <c r="D643" i="22"/>
  <c r="E643" i="22"/>
  <c r="H643" i="22"/>
  <c r="N643" i="22"/>
  <c r="X643" i="22"/>
  <c r="BA643" i="22"/>
  <c r="AB643" i="22"/>
  <c r="AC643" i="22"/>
  <c r="AP643" i="22"/>
  <c r="AV643" i="22"/>
  <c r="BG643" i="22"/>
  <c r="BK643" i="22"/>
  <c r="BM643" i="22"/>
  <c r="CB643" i="22"/>
  <c r="CC643" i="22"/>
  <c r="K644" i="22"/>
  <c r="B644" i="22"/>
  <c r="A644" i="22"/>
  <c r="C644" i="22"/>
  <c r="D644" i="22"/>
  <c r="E644" i="22"/>
  <c r="H644" i="22"/>
  <c r="N644" i="22"/>
  <c r="X644" i="22"/>
  <c r="BA644" i="22"/>
  <c r="AB644" i="22"/>
  <c r="AC644" i="22"/>
  <c r="AP644" i="22"/>
  <c r="AV644" i="22"/>
  <c r="BG644" i="22"/>
  <c r="BK644" i="22"/>
  <c r="BM644" i="22"/>
  <c r="CB644" i="22"/>
  <c r="CC644" i="22"/>
  <c r="K645" i="22"/>
  <c r="B645" i="22"/>
  <c r="A645" i="22"/>
  <c r="C645" i="22"/>
  <c r="D645" i="22"/>
  <c r="E645" i="22"/>
  <c r="H645" i="22"/>
  <c r="N645" i="22"/>
  <c r="X645" i="22"/>
  <c r="BA645" i="22"/>
  <c r="AB645" i="22"/>
  <c r="AC645" i="22"/>
  <c r="AP645" i="22"/>
  <c r="AV645" i="22"/>
  <c r="BG645" i="22"/>
  <c r="BK645" i="22"/>
  <c r="BM645" i="22"/>
  <c r="CB645" i="22"/>
  <c r="CC645" i="22"/>
  <c r="K646" i="22"/>
  <c r="B646" i="22"/>
  <c r="A646" i="22"/>
  <c r="C646" i="22"/>
  <c r="D646" i="22"/>
  <c r="E646" i="22"/>
  <c r="H646" i="22"/>
  <c r="N646" i="22"/>
  <c r="X646" i="22"/>
  <c r="BA646" i="22"/>
  <c r="AB646" i="22"/>
  <c r="AC646" i="22"/>
  <c r="AP646" i="22"/>
  <c r="AV646" i="22"/>
  <c r="BG646" i="22"/>
  <c r="BK646" i="22"/>
  <c r="BM646" i="22"/>
  <c r="CB646" i="22"/>
  <c r="CC646" i="22"/>
  <c r="K647" i="22"/>
  <c r="B647" i="22"/>
  <c r="A647" i="22"/>
  <c r="C647" i="22"/>
  <c r="D647" i="22"/>
  <c r="E647" i="22"/>
  <c r="H647" i="22"/>
  <c r="N647" i="22"/>
  <c r="X647" i="22"/>
  <c r="BA647" i="22"/>
  <c r="AB647" i="22"/>
  <c r="AC647" i="22"/>
  <c r="AP647" i="22"/>
  <c r="AV647" i="22"/>
  <c r="BG647" i="22"/>
  <c r="BK647" i="22"/>
  <c r="BM647" i="22"/>
  <c r="CB647" i="22"/>
  <c r="CC647" i="22"/>
  <c r="K648" i="22"/>
  <c r="B648" i="22"/>
  <c r="A648" i="22"/>
  <c r="C648" i="22"/>
  <c r="D648" i="22"/>
  <c r="E648" i="22"/>
  <c r="H648" i="22"/>
  <c r="N648" i="22"/>
  <c r="X648" i="22"/>
  <c r="BA648" i="22"/>
  <c r="AB648" i="22"/>
  <c r="AC648" i="22"/>
  <c r="AP648" i="22"/>
  <c r="AV648" i="22"/>
  <c r="BG648" i="22"/>
  <c r="BK648" i="22"/>
  <c r="BM648" i="22"/>
  <c r="CB648" i="22"/>
  <c r="CC648" i="22"/>
  <c r="K649" i="22"/>
  <c r="B649" i="22"/>
  <c r="A649" i="22"/>
  <c r="C649" i="22"/>
  <c r="D649" i="22"/>
  <c r="E649" i="22"/>
  <c r="H649" i="22"/>
  <c r="N649" i="22"/>
  <c r="X649" i="22"/>
  <c r="BA649" i="22"/>
  <c r="AB649" i="22"/>
  <c r="AC649" i="22"/>
  <c r="AP649" i="22"/>
  <c r="AV649" i="22"/>
  <c r="BG649" i="22"/>
  <c r="BK649" i="22"/>
  <c r="BM649" i="22"/>
  <c r="CB649" i="22"/>
  <c r="CC649" i="22"/>
  <c r="K650" i="22"/>
  <c r="B650" i="22"/>
  <c r="A650" i="22"/>
  <c r="C650" i="22"/>
  <c r="D650" i="22"/>
  <c r="E650" i="22"/>
  <c r="H650" i="22"/>
  <c r="N650" i="22"/>
  <c r="X650" i="22"/>
  <c r="BA650" i="22"/>
  <c r="AB650" i="22"/>
  <c r="AC650" i="22"/>
  <c r="AP650" i="22"/>
  <c r="AV650" i="22"/>
  <c r="BG650" i="22"/>
  <c r="BK650" i="22"/>
  <c r="BM650" i="22"/>
  <c r="CB650" i="22"/>
  <c r="CC650" i="22"/>
  <c r="K651" i="22"/>
  <c r="B651" i="22"/>
  <c r="A651" i="22"/>
  <c r="C651" i="22"/>
  <c r="D651" i="22"/>
  <c r="E651" i="22"/>
  <c r="H651" i="22"/>
  <c r="N651" i="22"/>
  <c r="X651" i="22"/>
  <c r="BA651" i="22"/>
  <c r="AB651" i="22"/>
  <c r="AC651" i="22"/>
  <c r="AP651" i="22"/>
  <c r="AV651" i="22"/>
  <c r="BG651" i="22"/>
  <c r="BK651" i="22"/>
  <c r="BM651" i="22"/>
  <c r="CB651" i="22"/>
  <c r="CC651" i="22"/>
  <c r="K652" i="22"/>
  <c r="B652" i="22"/>
  <c r="A652" i="22"/>
  <c r="C652" i="22"/>
  <c r="D652" i="22"/>
  <c r="E652" i="22"/>
  <c r="H652" i="22"/>
  <c r="N652" i="22"/>
  <c r="X652" i="22"/>
  <c r="BA652" i="22"/>
  <c r="AB652" i="22"/>
  <c r="AC652" i="22"/>
  <c r="AP652" i="22"/>
  <c r="AV652" i="22"/>
  <c r="BG652" i="22"/>
  <c r="BK652" i="22"/>
  <c r="BM652" i="22"/>
  <c r="CB652" i="22"/>
  <c r="CC652" i="22"/>
  <c r="K653" i="22"/>
  <c r="B653" i="22"/>
  <c r="A653" i="22"/>
  <c r="C653" i="22"/>
  <c r="D653" i="22"/>
  <c r="E653" i="22"/>
  <c r="H653" i="22"/>
  <c r="N653" i="22"/>
  <c r="X653" i="22"/>
  <c r="BA653" i="22"/>
  <c r="AB653" i="22"/>
  <c r="AC653" i="22"/>
  <c r="AP653" i="22"/>
  <c r="AV653" i="22"/>
  <c r="BG653" i="22"/>
  <c r="BK653" i="22"/>
  <c r="BM653" i="22"/>
  <c r="CB653" i="22"/>
  <c r="CC653" i="22"/>
  <c r="K654" i="22"/>
  <c r="B654" i="22"/>
  <c r="A654" i="22"/>
  <c r="C654" i="22"/>
  <c r="D654" i="22"/>
  <c r="E654" i="22"/>
  <c r="H654" i="22"/>
  <c r="N654" i="22"/>
  <c r="X654" i="22"/>
  <c r="BA654" i="22"/>
  <c r="AB654" i="22"/>
  <c r="AC654" i="22"/>
  <c r="AP654" i="22"/>
  <c r="AV654" i="22"/>
  <c r="BG654" i="22"/>
  <c r="BK654" i="22"/>
  <c r="BM654" i="22"/>
  <c r="CB654" i="22"/>
  <c r="CC654" i="22"/>
  <c r="K655" i="22"/>
  <c r="B655" i="22"/>
  <c r="A655" i="22"/>
  <c r="C655" i="22"/>
  <c r="D655" i="22"/>
  <c r="E655" i="22"/>
  <c r="H655" i="22"/>
  <c r="N655" i="22"/>
  <c r="X655" i="22"/>
  <c r="BA655" i="22"/>
  <c r="AB655" i="22"/>
  <c r="AC655" i="22"/>
  <c r="AP655" i="22"/>
  <c r="AV655" i="22"/>
  <c r="BG655" i="22"/>
  <c r="BK655" i="22"/>
  <c r="BM655" i="22"/>
  <c r="CB655" i="22"/>
  <c r="CC655" i="22"/>
  <c r="K656" i="22"/>
  <c r="B656" i="22"/>
  <c r="A656" i="22"/>
  <c r="C656" i="22"/>
  <c r="D656" i="22"/>
  <c r="E656" i="22"/>
  <c r="H656" i="22"/>
  <c r="N656" i="22"/>
  <c r="X656" i="22"/>
  <c r="BA656" i="22"/>
  <c r="AB656" i="22"/>
  <c r="AC656" i="22"/>
  <c r="AP656" i="22"/>
  <c r="AV656" i="22"/>
  <c r="BG656" i="22"/>
  <c r="BK656" i="22"/>
  <c r="BM656" i="22"/>
  <c r="CB656" i="22"/>
  <c r="CC656" i="22"/>
  <c r="K657" i="22"/>
  <c r="B657" i="22"/>
  <c r="A657" i="22"/>
  <c r="C657" i="22"/>
  <c r="D657" i="22"/>
  <c r="E657" i="22"/>
  <c r="H657" i="22"/>
  <c r="N657" i="22"/>
  <c r="X657" i="22"/>
  <c r="BA657" i="22"/>
  <c r="AB657" i="22"/>
  <c r="AC657" i="22"/>
  <c r="AP657" i="22"/>
  <c r="AV657" i="22"/>
  <c r="BG657" i="22"/>
  <c r="BK657" i="22"/>
  <c r="BM657" i="22"/>
  <c r="CB657" i="22"/>
  <c r="CC657" i="22"/>
  <c r="K658" i="22"/>
  <c r="B658" i="22"/>
  <c r="A658" i="22"/>
  <c r="C658" i="22"/>
  <c r="D658" i="22"/>
  <c r="E658" i="22"/>
  <c r="H658" i="22"/>
  <c r="N658" i="22"/>
  <c r="X658" i="22"/>
  <c r="BA658" i="22"/>
  <c r="AB658" i="22"/>
  <c r="AC658" i="22"/>
  <c r="AP658" i="22"/>
  <c r="AV658" i="22"/>
  <c r="BG658" i="22"/>
  <c r="BK658" i="22"/>
  <c r="BM658" i="22"/>
  <c r="CB658" i="22"/>
  <c r="CC658" i="22"/>
  <c r="K659" i="22"/>
  <c r="B659" i="22"/>
  <c r="A659" i="22"/>
  <c r="C659" i="22"/>
  <c r="D659" i="22"/>
  <c r="E659" i="22"/>
  <c r="H659" i="22"/>
  <c r="N659" i="22"/>
  <c r="X659" i="22"/>
  <c r="BA659" i="22"/>
  <c r="AB659" i="22"/>
  <c r="AC659" i="22"/>
  <c r="AP659" i="22"/>
  <c r="AV659" i="22"/>
  <c r="BG659" i="22"/>
  <c r="BK659" i="22"/>
  <c r="BM659" i="22"/>
  <c r="CB659" i="22"/>
  <c r="CC659" i="22"/>
  <c r="K660" i="22"/>
  <c r="B660" i="22"/>
  <c r="A660" i="22"/>
  <c r="C660" i="22"/>
  <c r="D660" i="22"/>
  <c r="E660" i="22"/>
  <c r="H660" i="22"/>
  <c r="N660" i="22"/>
  <c r="X660" i="22"/>
  <c r="BA660" i="22"/>
  <c r="AB660" i="22"/>
  <c r="AC660" i="22"/>
  <c r="AP660" i="22"/>
  <c r="AV660" i="22"/>
  <c r="BG660" i="22"/>
  <c r="BK660" i="22"/>
  <c r="BM660" i="22"/>
  <c r="CB660" i="22"/>
  <c r="CC660" i="22"/>
  <c r="K661" i="22"/>
  <c r="B661" i="22"/>
  <c r="A661" i="22"/>
  <c r="C661" i="22"/>
  <c r="D661" i="22"/>
  <c r="E661" i="22"/>
  <c r="H661" i="22"/>
  <c r="N661" i="22"/>
  <c r="X661" i="22"/>
  <c r="BA661" i="22"/>
  <c r="AB661" i="22"/>
  <c r="AC661" i="22"/>
  <c r="AP661" i="22"/>
  <c r="AV661" i="22"/>
  <c r="BG661" i="22"/>
  <c r="BK661" i="22"/>
  <c r="BM661" i="22"/>
  <c r="CB661" i="22"/>
  <c r="CC661" i="22"/>
  <c r="K662" i="22"/>
  <c r="B662" i="22"/>
  <c r="A662" i="22"/>
  <c r="C662" i="22"/>
  <c r="D662" i="22"/>
  <c r="E662" i="22"/>
  <c r="H662" i="22"/>
  <c r="N662" i="22"/>
  <c r="X662" i="22"/>
  <c r="BA662" i="22"/>
  <c r="AB662" i="22"/>
  <c r="AC662" i="22"/>
  <c r="AP662" i="22"/>
  <c r="AV662" i="22"/>
  <c r="BG662" i="22"/>
  <c r="BK662" i="22"/>
  <c r="BM662" i="22"/>
  <c r="CB662" i="22"/>
  <c r="CC662" i="22"/>
  <c r="K663" i="22"/>
  <c r="B663" i="22"/>
  <c r="A663" i="22"/>
  <c r="C663" i="22"/>
  <c r="D663" i="22"/>
  <c r="E663" i="22"/>
  <c r="H663" i="22"/>
  <c r="N663" i="22"/>
  <c r="X663" i="22"/>
  <c r="BA663" i="22"/>
  <c r="AB663" i="22"/>
  <c r="AC663" i="22"/>
  <c r="AP663" i="22"/>
  <c r="AV663" i="22"/>
  <c r="BG663" i="22"/>
  <c r="BK663" i="22"/>
  <c r="BM663" i="22"/>
  <c r="CB663" i="22"/>
  <c r="CC663" i="22"/>
  <c r="K664" i="22"/>
  <c r="B664" i="22"/>
  <c r="A664" i="22"/>
  <c r="C664" i="22"/>
  <c r="D664" i="22"/>
  <c r="E664" i="22"/>
  <c r="H664" i="22"/>
  <c r="N664" i="22"/>
  <c r="X664" i="22"/>
  <c r="BA664" i="22"/>
  <c r="AB664" i="22"/>
  <c r="AC664" i="22"/>
  <c r="AP664" i="22"/>
  <c r="AV664" i="22"/>
  <c r="BG664" i="22"/>
  <c r="BK664" i="22"/>
  <c r="BM664" i="22"/>
  <c r="CB664" i="22"/>
  <c r="CC664" i="22"/>
  <c r="K665" i="22"/>
  <c r="B665" i="22"/>
  <c r="A665" i="22"/>
  <c r="C665" i="22"/>
  <c r="D665" i="22"/>
  <c r="E665" i="22"/>
  <c r="H665" i="22"/>
  <c r="N665" i="22"/>
  <c r="X665" i="22"/>
  <c r="BA665" i="22"/>
  <c r="AB665" i="22"/>
  <c r="AC665" i="22"/>
  <c r="AP665" i="22"/>
  <c r="AV665" i="22"/>
  <c r="BG665" i="22"/>
  <c r="BK665" i="22"/>
  <c r="BM665" i="22"/>
  <c r="CB665" i="22"/>
  <c r="CC665" i="22"/>
  <c r="K666" i="22"/>
  <c r="B666" i="22"/>
  <c r="A666" i="22"/>
  <c r="C666" i="22"/>
  <c r="D666" i="22"/>
  <c r="E666" i="22"/>
  <c r="H666" i="22"/>
  <c r="N666" i="22"/>
  <c r="X666" i="22"/>
  <c r="BA666" i="22"/>
  <c r="AB666" i="22"/>
  <c r="AC666" i="22"/>
  <c r="AP666" i="22"/>
  <c r="AV666" i="22"/>
  <c r="BG666" i="22"/>
  <c r="BK666" i="22"/>
  <c r="BM666" i="22"/>
  <c r="CB666" i="22"/>
  <c r="CC666" i="22"/>
  <c r="K667" i="22"/>
  <c r="B667" i="22"/>
  <c r="A667" i="22"/>
  <c r="C667" i="22"/>
  <c r="D667" i="22"/>
  <c r="E667" i="22"/>
  <c r="H667" i="22"/>
  <c r="N667" i="22"/>
  <c r="X667" i="22"/>
  <c r="BA667" i="22"/>
  <c r="AB667" i="22"/>
  <c r="AC667" i="22"/>
  <c r="AP667" i="22"/>
  <c r="AV667" i="22"/>
  <c r="BG667" i="22"/>
  <c r="BK667" i="22"/>
  <c r="BM667" i="22"/>
  <c r="CB667" i="22"/>
  <c r="CC667" i="22"/>
  <c r="K668" i="22"/>
  <c r="B668" i="22"/>
  <c r="A668" i="22"/>
  <c r="C668" i="22"/>
  <c r="D668" i="22"/>
  <c r="E668" i="22"/>
  <c r="H668" i="22"/>
  <c r="N668" i="22"/>
  <c r="X668" i="22"/>
  <c r="BA668" i="22"/>
  <c r="AB668" i="22"/>
  <c r="AC668" i="22"/>
  <c r="AP668" i="22"/>
  <c r="AV668" i="22"/>
  <c r="BG668" i="22"/>
  <c r="BK668" i="22"/>
  <c r="BM668" i="22"/>
  <c r="CB668" i="22"/>
  <c r="CC668" i="22"/>
  <c r="K669" i="22"/>
  <c r="B669" i="22"/>
  <c r="A669" i="22"/>
  <c r="C669" i="22"/>
  <c r="D669" i="22"/>
  <c r="E669" i="22"/>
  <c r="H669" i="22"/>
  <c r="N669" i="22"/>
  <c r="X669" i="22"/>
  <c r="BA669" i="22"/>
  <c r="AB669" i="22"/>
  <c r="AC669" i="22"/>
  <c r="AP669" i="22"/>
  <c r="AV669" i="22"/>
  <c r="BG669" i="22"/>
  <c r="BK669" i="22"/>
  <c r="BM669" i="22"/>
  <c r="CB669" i="22"/>
  <c r="CC669" i="22"/>
  <c r="K670" i="22"/>
  <c r="B670" i="22"/>
  <c r="A670" i="22"/>
  <c r="C670" i="22"/>
  <c r="D670" i="22"/>
  <c r="E670" i="22"/>
  <c r="H670" i="22"/>
  <c r="N670" i="22"/>
  <c r="X670" i="22"/>
  <c r="BA670" i="22"/>
  <c r="AB670" i="22"/>
  <c r="AC670" i="22"/>
  <c r="AP670" i="22"/>
  <c r="AV670" i="22"/>
  <c r="BG670" i="22"/>
  <c r="BK670" i="22"/>
  <c r="BM670" i="22"/>
  <c r="CB670" i="22"/>
  <c r="CC670" i="22"/>
  <c r="K671" i="22"/>
  <c r="B671" i="22"/>
  <c r="A671" i="22"/>
  <c r="C671" i="22"/>
  <c r="D671" i="22"/>
  <c r="E671" i="22"/>
  <c r="H671" i="22"/>
  <c r="N671" i="22"/>
  <c r="X671" i="22"/>
  <c r="BA671" i="22"/>
  <c r="AB671" i="22"/>
  <c r="AC671" i="22"/>
  <c r="AP671" i="22"/>
  <c r="AV671" i="22"/>
  <c r="BG671" i="22"/>
  <c r="BK671" i="22"/>
  <c r="BM671" i="22"/>
  <c r="CB671" i="22"/>
  <c r="CC671" i="22"/>
  <c r="K672" i="22"/>
  <c r="B672" i="22"/>
  <c r="A672" i="22"/>
  <c r="C672" i="22"/>
  <c r="D672" i="22"/>
  <c r="E672" i="22"/>
  <c r="H672" i="22"/>
  <c r="N672" i="22"/>
  <c r="X672" i="22"/>
  <c r="BA672" i="22"/>
  <c r="AB672" i="22"/>
  <c r="AC672" i="22"/>
  <c r="AP672" i="22"/>
  <c r="AV672" i="22"/>
  <c r="BG672" i="22"/>
  <c r="BK672" i="22"/>
  <c r="BM672" i="22"/>
  <c r="CB672" i="22"/>
  <c r="CC672" i="22"/>
  <c r="K673" i="22"/>
  <c r="B673" i="22"/>
  <c r="A673" i="22"/>
  <c r="C673" i="22"/>
  <c r="D673" i="22"/>
  <c r="E673" i="22"/>
  <c r="H673" i="22"/>
  <c r="N673" i="22"/>
  <c r="X673" i="22"/>
  <c r="BA673" i="22"/>
  <c r="AB673" i="22"/>
  <c r="AC673" i="22"/>
  <c r="AP673" i="22"/>
  <c r="AV673" i="22"/>
  <c r="BG673" i="22"/>
  <c r="BK673" i="22"/>
  <c r="BM673" i="22"/>
  <c r="CB673" i="22"/>
  <c r="CC673" i="22"/>
  <c r="K674" i="22"/>
  <c r="B674" i="22"/>
  <c r="A674" i="22"/>
  <c r="C674" i="22"/>
  <c r="D674" i="22"/>
  <c r="E674" i="22"/>
  <c r="H674" i="22"/>
  <c r="N674" i="22"/>
  <c r="X674" i="22"/>
  <c r="BA674" i="22"/>
  <c r="AB674" i="22"/>
  <c r="AC674" i="22"/>
  <c r="AP674" i="22"/>
  <c r="AV674" i="22"/>
  <c r="BG674" i="22"/>
  <c r="BK674" i="22"/>
  <c r="BM674" i="22"/>
  <c r="CB674" i="22"/>
  <c r="CC674" i="22"/>
  <c r="K675" i="22"/>
  <c r="B675" i="22"/>
  <c r="A675" i="22"/>
  <c r="C675" i="22"/>
  <c r="D675" i="22"/>
  <c r="E675" i="22"/>
  <c r="H675" i="22"/>
  <c r="N675" i="22"/>
  <c r="X675" i="22"/>
  <c r="BA675" i="22"/>
  <c r="AB675" i="22"/>
  <c r="AC675" i="22"/>
  <c r="AP675" i="22"/>
  <c r="AV675" i="22"/>
  <c r="BG675" i="22"/>
  <c r="BK675" i="22"/>
  <c r="BM675" i="22"/>
  <c r="CB675" i="22"/>
  <c r="CC675" i="22"/>
  <c r="K676" i="22"/>
  <c r="B676" i="22"/>
  <c r="A676" i="22"/>
  <c r="C676" i="22"/>
  <c r="D676" i="22"/>
  <c r="E676" i="22"/>
  <c r="H676" i="22"/>
  <c r="N676" i="22"/>
  <c r="X676" i="22"/>
  <c r="BA676" i="22"/>
  <c r="AB676" i="22"/>
  <c r="AC676" i="22"/>
  <c r="AP676" i="22"/>
  <c r="AV676" i="22"/>
  <c r="BG676" i="22"/>
  <c r="BK676" i="22"/>
  <c r="BM676" i="22"/>
  <c r="CB676" i="22"/>
  <c r="CC676" i="22"/>
  <c r="K677" i="22"/>
  <c r="B677" i="22"/>
  <c r="A677" i="22"/>
  <c r="C677" i="22"/>
  <c r="D677" i="22"/>
  <c r="E677" i="22"/>
  <c r="H677" i="22"/>
  <c r="N677" i="22"/>
  <c r="X677" i="22"/>
  <c r="BA677" i="22"/>
  <c r="AB677" i="22"/>
  <c r="AC677" i="22"/>
  <c r="AP677" i="22"/>
  <c r="AV677" i="22"/>
  <c r="BG677" i="22"/>
  <c r="BK677" i="22"/>
  <c r="BM677" i="22"/>
  <c r="CB677" i="22"/>
  <c r="CC677" i="22"/>
  <c r="K678" i="22"/>
  <c r="B678" i="22"/>
  <c r="A678" i="22"/>
  <c r="C678" i="22"/>
  <c r="D678" i="22"/>
  <c r="E678" i="22"/>
  <c r="H678" i="22"/>
  <c r="N678" i="22"/>
  <c r="X678" i="22"/>
  <c r="BA678" i="22"/>
  <c r="AB678" i="22"/>
  <c r="AC678" i="22"/>
  <c r="AP678" i="22"/>
  <c r="AV678" i="22"/>
  <c r="BG678" i="22"/>
  <c r="BK678" i="22"/>
  <c r="BM678" i="22"/>
  <c r="CB678" i="22"/>
  <c r="CC678" i="22"/>
  <c r="K679" i="22"/>
  <c r="B679" i="22"/>
  <c r="A679" i="22"/>
  <c r="C679" i="22"/>
  <c r="D679" i="22"/>
  <c r="E679" i="22"/>
  <c r="H679" i="22"/>
  <c r="N679" i="22"/>
  <c r="X679" i="22"/>
  <c r="BA679" i="22"/>
  <c r="AB679" i="22"/>
  <c r="AC679" i="22"/>
  <c r="AP679" i="22"/>
  <c r="AV679" i="22"/>
  <c r="BG679" i="22"/>
  <c r="BK679" i="22"/>
  <c r="BM679" i="22"/>
  <c r="CB679" i="22"/>
  <c r="CC679" i="22"/>
  <c r="K680" i="22"/>
  <c r="B680" i="22"/>
  <c r="A680" i="22"/>
  <c r="C680" i="22"/>
  <c r="D680" i="22"/>
  <c r="E680" i="22"/>
  <c r="H680" i="22"/>
  <c r="N680" i="22"/>
  <c r="X680" i="22"/>
  <c r="BA680" i="22"/>
  <c r="AB680" i="22"/>
  <c r="AC680" i="22"/>
  <c r="AP680" i="22"/>
  <c r="AV680" i="22"/>
  <c r="BG680" i="22"/>
  <c r="BK680" i="22"/>
  <c r="BM680" i="22"/>
  <c r="CB680" i="22"/>
  <c r="CC680" i="22"/>
  <c r="K681" i="22"/>
  <c r="B681" i="22"/>
  <c r="A681" i="22"/>
  <c r="C681" i="22"/>
  <c r="D681" i="22"/>
  <c r="E681" i="22"/>
  <c r="H681" i="22"/>
  <c r="N681" i="22"/>
  <c r="X681" i="22"/>
  <c r="BA681" i="22"/>
  <c r="AB681" i="22"/>
  <c r="AC681" i="22"/>
  <c r="AP681" i="22"/>
  <c r="AV681" i="22"/>
  <c r="BG681" i="22"/>
  <c r="BK681" i="22"/>
  <c r="BM681" i="22"/>
  <c r="CB681" i="22"/>
  <c r="CC681" i="22"/>
  <c r="K682" i="22"/>
  <c r="B682" i="22"/>
  <c r="A682" i="22"/>
  <c r="C682" i="22"/>
  <c r="D682" i="22"/>
  <c r="E682" i="22"/>
  <c r="H682" i="22"/>
  <c r="N682" i="22"/>
  <c r="X682" i="22"/>
  <c r="BA682" i="22"/>
  <c r="AB682" i="22"/>
  <c r="AC682" i="22"/>
  <c r="AP682" i="22"/>
  <c r="AV682" i="22"/>
  <c r="BG682" i="22"/>
  <c r="BK682" i="22"/>
  <c r="BM682" i="22"/>
  <c r="CB682" i="22"/>
  <c r="CC682" i="22"/>
  <c r="K683" i="22"/>
  <c r="B683" i="22"/>
  <c r="A683" i="22"/>
  <c r="C683" i="22"/>
  <c r="D683" i="22"/>
  <c r="E683" i="22"/>
  <c r="H683" i="22"/>
  <c r="N683" i="22"/>
  <c r="X683" i="22"/>
  <c r="BA683" i="22"/>
  <c r="AB683" i="22"/>
  <c r="AC683" i="22"/>
  <c r="AP683" i="22"/>
  <c r="AV683" i="22"/>
  <c r="BG683" i="22"/>
  <c r="BK683" i="22"/>
  <c r="BM683" i="22"/>
  <c r="CB683" i="22"/>
  <c r="CC683" i="22"/>
  <c r="K684" i="22"/>
  <c r="B684" i="22"/>
  <c r="A684" i="22"/>
  <c r="C684" i="22"/>
  <c r="D684" i="22"/>
  <c r="E684" i="22"/>
  <c r="H684" i="22"/>
  <c r="N684" i="22"/>
  <c r="X684" i="22"/>
  <c r="BA684" i="22"/>
  <c r="AB684" i="22"/>
  <c r="AC684" i="22"/>
  <c r="AP684" i="22"/>
  <c r="AV684" i="22"/>
  <c r="BG684" i="22"/>
  <c r="BK684" i="22"/>
  <c r="BM684" i="22"/>
  <c r="CB684" i="22"/>
  <c r="CC684" i="22"/>
  <c r="K685" i="22"/>
  <c r="B685" i="22"/>
  <c r="A685" i="22"/>
  <c r="C685" i="22"/>
  <c r="D685" i="22"/>
  <c r="E685" i="22"/>
  <c r="H685" i="22"/>
  <c r="N685" i="22"/>
  <c r="X685" i="22"/>
  <c r="BA685" i="22"/>
  <c r="AB685" i="22"/>
  <c r="AC685" i="22"/>
  <c r="AP685" i="22"/>
  <c r="AV685" i="22"/>
  <c r="BG685" i="22"/>
  <c r="BK685" i="22"/>
  <c r="BM685" i="22"/>
  <c r="CB685" i="22"/>
  <c r="CC685" i="22"/>
  <c r="K686" i="22"/>
  <c r="B686" i="22"/>
  <c r="A686" i="22"/>
  <c r="C686" i="22"/>
  <c r="D686" i="22"/>
  <c r="E686" i="22"/>
  <c r="H686" i="22"/>
  <c r="N686" i="22"/>
  <c r="X686" i="22"/>
  <c r="BA686" i="22"/>
  <c r="AB686" i="22"/>
  <c r="AC686" i="22"/>
  <c r="AP686" i="22"/>
  <c r="AV686" i="22"/>
  <c r="BG686" i="22"/>
  <c r="BK686" i="22"/>
  <c r="BM686" i="22"/>
  <c r="CB686" i="22"/>
  <c r="CC686" i="22"/>
  <c r="K687" i="22"/>
  <c r="B687" i="22"/>
  <c r="A687" i="22"/>
  <c r="C687" i="22"/>
  <c r="D687" i="22"/>
  <c r="E687" i="22"/>
  <c r="H687" i="22"/>
  <c r="N687" i="22"/>
  <c r="X687" i="22"/>
  <c r="BA687" i="22"/>
  <c r="AB687" i="22"/>
  <c r="AC687" i="22"/>
  <c r="AP687" i="22"/>
  <c r="AV687" i="22"/>
  <c r="BG687" i="22"/>
  <c r="BK687" i="22"/>
  <c r="BM687" i="22"/>
  <c r="CB687" i="22"/>
  <c r="CC687" i="22"/>
  <c r="K688" i="22"/>
  <c r="B688" i="22"/>
  <c r="A688" i="22"/>
  <c r="C688" i="22"/>
  <c r="D688" i="22"/>
  <c r="E688" i="22"/>
  <c r="H688" i="22"/>
  <c r="N688" i="22"/>
  <c r="X688" i="22"/>
  <c r="BA688" i="22"/>
  <c r="AB688" i="22"/>
  <c r="AC688" i="22"/>
  <c r="AP688" i="22"/>
  <c r="AV688" i="22"/>
  <c r="BG688" i="22"/>
  <c r="BK688" i="22"/>
  <c r="BM688" i="22"/>
  <c r="CB688" i="22"/>
  <c r="CC688" i="22"/>
  <c r="K689" i="22"/>
  <c r="B689" i="22"/>
  <c r="A689" i="22"/>
  <c r="C689" i="22"/>
  <c r="D689" i="22"/>
  <c r="E689" i="22"/>
  <c r="H689" i="22"/>
  <c r="N689" i="22"/>
  <c r="X689" i="22"/>
  <c r="BA689" i="22"/>
  <c r="AB689" i="22"/>
  <c r="AC689" i="22"/>
  <c r="AP689" i="22"/>
  <c r="AV689" i="22"/>
  <c r="BG689" i="22"/>
  <c r="BK689" i="22"/>
  <c r="BM689" i="22"/>
  <c r="CB689" i="22"/>
  <c r="CC689" i="22"/>
  <c r="K690" i="22"/>
  <c r="B690" i="22"/>
  <c r="A690" i="22"/>
  <c r="C690" i="22"/>
  <c r="D690" i="22"/>
  <c r="E690" i="22"/>
  <c r="H690" i="22"/>
  <c r="N690" i="22"/>
  <c r="X690" i="22"/>
  <c r="BA690" i="22"/>
  <c r="AB690" i="22"/>
  <c r="AC690" i="22"/>
  <c r="AP690" i="22"/>
  <c r="AV690" i="22"/>
  <c r="BG690" i="22"/>
  <c r="BK690" i="22"/>
  <c r="BM690" i="22"/>
  <c r="CB690" i="22"/>
  <c r="CC690" i="22"/>
  <c r="K691" i="22"/>
  <c r="B691" i="22"/>
  <c r="A691" i="22"/>
  <c r="C691" i="22"/>
  <c r="D691" i="22"/>
  <c r="E691" i="22"/>
  <c r="H691" i="22"/>
  <c r="N691" i="22"/>
  <c r="X691" i="22"/>
  <c r="BA691" i="22"/>
  <c r="AB691" i="22"/>
  <c r="AC691" i="22"/>
  <c r="AP691" i="22"/>
  <c r="AV691" i="22"/>
  <c r="BG691" i="22"/>
  <c r="BK691" i="22"/>
  <c r="BM691" i="22"/>
  <c r="CB691" i="22"/>
  <c r="CC691" i="22"/>
  <c r="K692" i="22"/>
  <c r="B692" i="22"/>
  <c r="A692" i="22"/>
  <c r="C692" i="22"/>
  <c r="D692" i="22"/>
  <c r="E692" i="22"/>
  <c r="H692" i="22"/>
  <c r="N692" i="22"/>
  <c r="X692" i="22"/>
  <c r="BA692" i="22"/>
  <c r="AB692" i="22"/>
  <c r="AC692" i="22"/>
  <c r="AP692" i="22"/>
  <c r="AV692" i="22"/>
  <c r="BG692" i="22"/>
  <c r="BK692" i="22"/>
  <c r="BM692" i="22"/>
  <c r="CB692" i="22"/>
  <c r="CC692" i="22"/>
  <c r="K693" i="22"/>
  <c r="B693" i="22"/>
  <c r="A693" i="22"/>
  <c r="C693" i="22"/>
  <c r="D693" i="22"/>
  <c r="E693" i="22"/>
  <c r="H693" i="22"/>
  <c r="N693" i="22"/>
  <c r="X693" i="22"/>
  <c r="BA693" i="22"/>
  <c r="AB693" i="22"/>
  <c r="AC693" i="22"/>
  <c r="AP693" i="22"/>
  <c r="AV693" i="22"/>
  <c r="BG693" i="22"/>
  <c r="BK693" i="22"/>
  <c r="BM693" i="22"/>
  <c r="CB693" i="22"/>
  <c r="CC693" i="22"/>
  <c r="K694" i="22"/>
  <c r="B694" i="22"/>
  <c r="A694" i="22"/>
  <c r="C694" i="22"/>
  <c r="D694" i="22"/>
  <c r="E694" i="22"/>
  <c r="H694" i="22"/>
  <c r="N694" i="22"/>
  <c r="X694" i="22"/>
  <c r="BA694" i="22"/>
  <c r="AB694" i="22"/>
  <c r="AC694" i="22"/>
  <c r="AP694" i="22"/>
  <c r="AV694" i="22"/>
  <c r="BG694" i="22"/>
  <c r="BK694" i="22"/>
  <c r="BM694" i="22"/>
  <c r="CB694" i="22"/>
  <c r="CC694" i="22"/>
  <c r="K695" i="22"/>
  <c r="B695" i="22"/>
  <c r="A695" i="22"/>
  <c r="C695" i="22"/>
  <c r="D695" i="22"/>
  <c r="E695" i="22"/>
  <c r="H695" i="22"/>
  <c r="N695" i="22"/>
  <c r="X695" i="22"/>
  <c r="BA695" i="22"/>
  <c r="AB695" i="22"/>
  <c r="AC695" i="22"/>
  <c r="AP695" i="22"/>
  <c r="AV695" i="22"/>
  <c r="BG695" i="22"/>
  <c r="BK695" i="22"/>
  <c r="BM695" i="22"/>
  <c r="CB695" i="22"/>
  <c r="CC695" i="22"/>
  <c r="K696" i="22"/>
  <c r="B696" i="22"/>
  <c r="A696" i="22"/>
  <c r="C696" i="22"/>
  <c r="D696" i="22"/>
  <c r="E696" i="22"/>
  <c r="H696" i="22"/>
  <c r="N696" i="22"/>
  <c r="X696" i="22"/>
  <c r="BA696" i="22"/>
  <c r="AB696" i="22"/>
  <c r="AC696" i="22"/>
  <c r="AP696" i="22"/>
  <c r="AV696" i="22"/>
  <c r="BG696" i="22"/>
  <c r="BK696" i="22"/>
  <c r="BM696" i="22"/>
  <c r="CB696" i="22"/>
  <c r="CC696" i="22"/>
  <c r="K697" i="22"/>
  <c r="B697" i="22"/>
  <c r="A697" i="22"/>
  <c r="C697" i="22"/>
  <c r="D697" i="22"/>
  <c r="E697" i="22"/>
  <c r="H697" i="22"/>
  <c r="N697" i="22"/>
  <c r="X697" i="22"/>
  <c r="BA697" i="22"/>
  <c r="AB697" i="22"/>
  <c r="AC697" i="22"/>
  <c r="AP697" i="22"/>
  <c r="AV697" i="22"/>
  <c r="BG697" i="22"/>
  <c r="BK697" i="22"/>
  <c r="BM697" i="22"/>
  <c r="CB697" i="22"/>
  <c r="CC697" i="22"/>
  <c r="K698" i="22"/>
  <c r="B698" i="22"/>
  <c r="A698" i="22"/>
  <c r="C698" i="22"/>
  <c r="D698" i="22"/>
  <c r="E698" i="22"/>
  <c r="H698" i="22"/>
  <c r="N698" i="22"/>
  <c r="X698" i="22"/>
  <c r="BA698" i="22"/>
  <c r="AB698" i="22"/>
  <c r="AC698" i="22"/>
  <c r="AP698" i="22"/>
  <c r="AV698" i="22"/>
  <c r="BG698" i="22"/>
  <c r="BK698" i="22"/>
  <c r="BM698" i="22"/>
  <c r="CB698" i="22"/>
  <c r="CC698" i="22"/>
  <c r="K699" i="22"/>
  <c r="B699" i="22"/>
  <c r="A699" i="22"/>
  <c r="C699" i="22"/>
  <c r="D699" i="22"/>
  <c r="E699" i="22"/>
  <c r="H699" i="22"/>
  <c r="N699" i="22"/>
  <c r="X699" i="22"/>
  <c r="BA699" i="22"/>
  <c r="AB699" i="22"/>
  <c r="AC699" i="22"/>
  <c r="AP699" i="22"/>
  <c r="AV699" i="22"/>
  <c r="BG699" i="22"/>
  <c r="BK699" i="22"/>
  <c r="BM699" i="22"/>
  <c r="CB699" i="22"/>
  <c r="CC699" i="22"/>
  <c r="K700" i="22"/>
  <c r="B700" i="22"/>
  <c r="A700" i="22"/>
  <c r="C700" i="22"/>
  <c r="D700" i="22"/>
  <c r="E700" i="22"/>
  <c r="H700" i="22"/>
  <c r="N700" i="22"/>
  <c r="X700" i="22"/>
  <c r="BA700" i="22"/>
  <c r="AB700" i="22"/>
  <c r="AC700" i="22"/>
  <c r="AP700" i="22"/>
  <c r="AV700" i="22"/>
  <c r="BG700" i="22"/>
  <c r="BK700" i="22"/>
  <c r="BM700" i="22"/>
  <c r="CB700" i="22"/>
  <c r="CC700" i="22"/>
  <c r="K701" i="22"/>
  <c r="B701" i="22"/>
  <c r="A701" i="22"/>
  <c r="C701" i="22"/>
  <c r="D701" i="22"/>
  <c r="E701" i="22"/>
  <c r="H701" i="22"/>
  <c r="N701" i="22"/>
  <c r="X701" i="22"/>
  <c r="BA701" i="22"/>
  <c r="AB701" i="22"/>
  <c r="AC701" i="22"/>
  <c r="AP701" i="22"/>
  <c r="AV701" i="22"/>
  <c r="BG701" i="22"/>
  <c r="BK701" i="22"/>
  <c r="BM701" i="22"/>
  <c r="CB701" i="22"/>
  <c r="CC701" i="22"/>
  <c r="K702" i="22"/>
  <c r="B702" i="22"/>
  <c r="A702" i="22"/>
  <c r="C702" i="22"/>
  <c r="D702" i="22"/>
  <c r="E702" i="22"/>
  <c r="H702" i="22"/>
  <c r="N702" i="22"/>
  <c r="X702" i="22"/>
  <c r="BA702" i="22"/>
  <c r="AB702" i="22"/>
  <c r="AC702" i="22"/>
  <c r="AP702" i="22"/>
  <c r="AV702" i="22"/>
  <c r="BG702" i="22"/>
  <c r="BK702" i="22"/>
  <c r="BM702" i="22"/>
  <c r="CB702" i="22"/>
  <c r="CC702" i="22"/>
  <c r="K703" i="22"/>
  <c r="B703" i="22"/>
  <c r="A703" i="22"/>
  <c r="C703" i="22"/>
  <c r="D703" i="22"/>
  <c r="E703" i="22"/>
  <c r="H703" i="22"/>
  <c r="N703" i="22"/>
  <c r="X703" i="22"/>
  <c r="BA703" i="22"/>
  <c r="AB703" i="22"/>
  <c r="AC703" i="22"/>
  <c r="AP703" i="22"/>
  <c r="AV703" i="22"/>
  <c r="BG703" i="22"/>
  <c r="BK703" i="22"/>
  <c r="BM703" i="22"/>
  <c r="CB703" i="22"/>
  <c r="CC703" i="22"/>
  <c r="K704" i="22"/>
  <c r="B704" i="22"/>
  <c r="A704" i="22"/>
  <c r="C704" i="22"/>
  <c r="D704" i="22"/>
  <c r="E704" i="22"/>
  <c r="H704" i="22"/>
  <c r="N704" i="22"/>
  <c r="X704" i="22"/>
  <c r="BA704" i="22"/>
  <c r="AB704" i="22"/>
  <c r="AC704" i="22"/>
  <c r="AP704" i="22"/>
  <c r="AV704" i="22"/>
  <c r="BG704" i="22"/>
  <c r="BK704" i="22"/>
  <c r="BM704" i="22"/>
  <c r="CB704" i="22"/>
  <c r="CC704" i="22"/>
  <c r="K705" i="22"/>
  <c r="B705" i="22"/>
  <c r="A705" i="22"/>
  <c r="C705" i="22"/>
  <c r="D705" i="22"/>
  <c r="E705" i="22"/>
  <c r="H705" i="22"/>
  <c r="N705" i="22"/>
  <c r="X705" i="22"/>
  <c r="BA705" i="22"/>
  <c r="AB705" i="22"/>
  <c r="AC705" i="22"/>
  <c r="AP705" i="22"/>
  <c r="AV705" i="22"/>
  <c r="BG705" i="22"/>
  <c r="BK705" i="22"/>
  <c r="BM705" i="22"/>
  <c r="CB705" i="22"/>
  <c r="CC705" i="22"/>
  <c r="K706" i="22"/>
  <c r="B706" i="22"/>
  <c r="A706" i="22"/>
  <c r="C706" i="22"/>
  <c r="D706" i="22"/>
  <c r="E706" i="22"/>
  <c r="H706" i="22"/>
  <c r="N706" i="22"/>
  <c r="X706" i="22"/>
  <c r="BA706" i="22"/>
  <c r="AB706" i="22"/>
  <c r="AC706" i="22"/>
  <c r="AP706" i="22"/>
  <c r="AV706" i="22"/>
  <c r="BG706" i="22"/>
  <c r="BK706" i="22"/>
  <c r="BM706" i="22"/>
  <c r="CB706" i="22"/>
  <c r="CC706" i="22"/>
  <c r="K707" i="22"/>
  <c r="B707" i="22"/>
  <c r="A707" i="22"/>
  <c r="C707" i="22"/>
  <c r="D707" i="22"/>
  <c r="E707" i="22"/>
  <c r="H707" i="22"/>
  <c r="N707" i="22"/>
  <c r="X707" i="22"/>
  <c r="BA707" i="22"/>
  <c r="AB707" i="22"/>
  <c r="AC707" i="22"/>
  <c r="AP707" i="22"/>
  <c r="AV707" i="22"/>
  <c r="BG707" i="22"/>
  <c r="BK707" i="22"/>
  <c r="BM707" i="22"/>
  <c r="CB707" i="22"/>
  <c r="CC707" i="22"/>
  <c r="K708" i="22"/>
  <c r="B708" i="22"/>
  <c r="A708" i="22"/>
  <c r="C708" i="22"/>
  <c r="D708" i="22"/>
  <c r="E708" i="22"/>
  <c r="H708" i="22"/>
  <c r="N708" i="22"/>
  <c r="X708" i="22"/>
  <c r="BA708" i="22"/>
  <c r="AB708" i="22"/>
  <c r="AC708" i="22"/>
  <c r="AP708" i="22"/>
  <c r="AV708" i="22"/>
  <c r="BG708" i="22"/>
  <c r="BK708" i="22"/>
  <c r="BM708" i="22"/>
  <c r="CB708" i="22"/>
  <c r="CC708" i="22"/>
  <c r="K709" i="22"/>
  <c r="B709" i="22"/>
  <c r="A709" i="22"/>
  <c r="C709" i="22"/>
  <c r="D709" i="22"/>
  <c r="E709" i="22"/>
  <c r="H709" i="22"/>
  <c r="N709" i="22"/>
  <c r="X709" i="22"/>
  <c r="BA709" i="22"/>
  <c r="AB709" i="22"/>
  <c r="AC709" i="22"/>
  <c r="AP709" i="22"/>
  <c r="AV709" i="22"/>
  <c r="BG709" i="22"/>
  <c r="BK709" i="22"/>
  <c r="BM709" i="22"/>
  <c r="CB709" i="22"/>
  <c r="CC709" i="22"/>
  <c r="K710" i="22"/>
  <c r="B710" i="22"/>
  <c r="A710" i="22"/>
  <c r="C710" i="22"/>
  <c r="D710" i="22"/>
  <c r="E710" i="22"/>
  <c r="H710" i="22"/>
  <c r="N710" i="22"/>
  <c r="X710" i="22"/>
  <c r="BA710" i="22"/>
  <c r="AB710" i="22"/>
  <c r="AC710" i="22"/>
  <c r="AP710" i="22"/>
  <c r="AV710" i="22"/>
  <c r="BG710" i="22"/>
  <c r="BK710" i="22"/>
  <c r="BM710" i="22"/>
  <c r="CB710" i="22"/>
  <c r="CC710" i="22"/>
  <c r="K711" i="22"/>
  <c r="B711" i="22"/>
  <c r="A711" i="22"/>
  <c r="C711" i="22"/>
  <c r="D711" i="22"/>
  <c r="E711" i="22"/>
  <c r="H711" i="22"/>
  <c r="N711" i="22"/>
  <c r="X711" i="22"/>
  <c r="BA711" i="22"/>
  <c r="AB711" i="22"/>
  <c r="AC711" i="22"/>
  <c r="AP711" i="22"/>
  <c r="AV711" i="22"/>
  <c r="BG711" i="22"/>
  <c r="BK711" i="22"/>
  <c r="BM711" i="22"/>
  <c r="CB711" i="22"/>
  <c r="CC711" i="22"/>
  <c r="K712" i="22"/>
  <c r="B712" i="22"/>
  <c r="A712" i="22"/>
  <c r="C712" i="22"/>
  <c r="D712" i="22"/>
  <c r="E712" i="22"/>
  <c r="H712" i="22"/>
  <c r="N712" i="22"/>
  <c r="X712" i="22"/>
  <c r="BA712" i="22"/>
  <c r="AB712" i="22"/>
  <c r="AC712" i="22"/>
  <c r="AP712" i="22"/>
  <c r="AV712" i="22"/>
  <c r="BG712" i="22"/>
  <c r="BK712" i="22"/>
  <c r="BM712" i="22"/>
  <c r="CB712" i="22"/>
  <c r="CC712" i="22"/>
  <c r="K713" i="22"/>
  <c r="B713" i="22"/>
  <c r="A713" i="22"/>
  <c r="C713" i="22"/>
  <c r="D713" i="22"/>
  <c r="E713" i="22"/>
  <c r="H713" i="22"/>
  <c r="N713" i="22"/>
  <c r="X713" i="22"/>
  <c r="BA713" i="22"/>
  <c r="AB713" i="22"/>
  <c r="AC713" i="22"/>
  <c r="AP713" i="22"/>
  <c r="AV713" i="22"/>
  <c r="BG713" i="22"/>
  <c r="BK713" i="22"/>
  <c r="BM713" i="22"/>
  <c r="CB713" i="22"/>
  <c r="CC713" i="22"/>
  <c r="K714" i="22"/>
  <c r="B714" i="22"/>
  <c r="A714" i="22"/>
  <c r="C714" i="22"/>
  <c r="D714" i="22"/>
  <c r="E714" i="22"/>
  <c r="H714" i="22"/>
  <c r="N714" i="22"/>
  <c r="X714" i="22"/>
  <c r="BA714" i="22"/>
  <c r="AB714" i="22"/>
  <c r="AC714" i="22"/>
  <c r="AP714" i="22"/>
  <c r="AV714" i="22"/>
  <c r="BG714" i="22"/>
  <c r="BK714" i="22"/>
  <c r="BM714" i="22"/>
  <c r="CB714" i="22"/>
  <c r="CC714" i="22"/>
  <c r="K715" i="22"/>
  <c r="B715" i="22"/>
  <c r="A715" i="22"/>
  <c r="C715" i="22"/>
  <c r="D715" i="22"/>
  <c r="E715" i="22"/>
  <c r="H715" i="22"/>
  <c r="N715" i="22"/>
  <c r="X715" i="22"/>
  <c r="BA715" i="22"/>
  <c r="AB715" i="22"/>
  <c r="AC715" i="22"/>
  <c r="AP715" i="22"/>
  <c r="AV715" i="22"/>
  <c r="BG715" i="22"/>
  <c r="BK715" i="22"/>
  <c r="BM715" i="22"/>
  <c r="CB715" i="22"/>
  <c r="CC715" i="22"/>
  <c r="K716" i="22"/>
  <c r="B716" i="22"/>
  <c r="A716" i="22"/>
  <c r="C716" i="22"/>
  <c r="D716" i="22"/>
  <c r="E716" i="22"/>
  <c r="H716" i="22"/>
  <c r="N716" i="22"/>
  <c r="X716" i="22"/>
  <c r="BA716" i="22"/>
  <c r="AB716" i="22"/>
  <c r="AC716" i="22"/>
  <c r="AP716" i="22"/>
  <c r="AV716" i="22"/>
  <c r="BG716" i="22"/>
  <c r="BK716" i="22"/>
  <c r="BM716" i="22"/>
  <c r="CB716" i="22"/>
  <c r="CC716" i="22"/>
  <c r="K717" i="22"/>
  <c r="B717" i="22"/>
  <c r="A717" i="22"/>
  <c r="C717" i="22"/>
  <c r="D717" i="22"/>
  <c r="E717" i="22"/>
  <c r="H717" i="22"/>
  <c r="N717" i="22"/>
  <c r="X717" i="22"/>
  <c r="BA717" i="22"/>
  <c r="AB717" i="22"/>
  <c r="AC717" i="22"/>
  <c r="AP717" i="22"/>
  <c r="AV717" i="22"/>
  <c r="BG717" i="22"/>
  <c r="BK717" i="22"/>
  <c r="BM717" i="22"/>
  <c r="CB717" i="22"/>
  <c r="CC717" i="22"/>
  <c r="K718" i="22"/>
  <c r="B718" i="22"/>
  <c r="A718" i="22"/>
  <c r="C718" i="22"/>
  <c r="D718" i="22"/>
  <c r="E718" i="22"/>
  <c r="H718" i="22"/>
  <c r="N718" i="22"/>
  <c r="X718" i="22"/>
  <c r="BA718" i="22"/>
  <c r="AB718" i="22"/>
  <c r="AC718" i="22"/>
  <c r="AP718" i="22"/>
  <c r="AV718" i="22"/>
  <c r="BG718" i="22"/>
  <c r="BK718" i="22"/>
  <c r="BM718" i="22"/>
  <c r="CB718" i="22"/>
  <c r="CC718" i="22"/>
  <c r="K719" i="22"/>
  <c r="B719" i="22"/>
  <c r="A719" i="22"/>
  <c r="C719" i="22"/>
  <c r="D719" i="22"/>
  <c r="E719" i="22"/>
  <c r="H719" i="22"/>
  <c r="N719" i="22"/>
  <c r="X719" i="22"/>
  <c r="BA719" i="22"/>
  <c r="AB719" i="22"/>
  <c r="AC719" i="22"/>
  <c r="AP719" i="22"/>
  <c r="AV719" i="22"/>
  <c r="BG719" i="22"/>
  <c r="BK719" i="22"/>
  <c r="BM719" i="22"/>
  <c r="CB719" i="22"/>
  <c r="CC719" i="22"/>
  <c r="K720" i="22"/>
  <c r="B720" i="22"/>
  <c r="A720" i="22"/>
  <c r="C720" i="22"/>
  <c r="D720" i="22"/>
  <c r="E720" i="22"/>
  <c r="H720" i="22"/>
  <c r="N720" i="22"/>
  <c r="X720" i="22"/>
  <c r="BA720" i="22"/>
  <c r="AB720" i="22"/>
  <c r="AC720" i="22"/>
  <c r="AP720" i="22"/>
  <c r="AV720" i="22"/>
  <c r="BG720" i="22"/>
  <c r="BK720" i="22"/>
  <c r="BM720" i="22"/>
  <c r="CB720" i="22"/>
  <c r="CC720" i="22"/>
  <c r="K721" i="22"/>
  <c r="B721" i="22"/>
  <c r="A721" i="22"/>
  <c r="C721" i="22"/>
  <c r="D721" i="22"/>
  <c r="E721" i="22"/>
  <c r="H721" i="22"/>
  <c r="N721" i="22"/>
  <c r="X721" i="22"/>
  <c r="BA721" i="22"/>
  <c r="AB721" i="22"/>
  <c r="AC721" i="22"/>
  <c r="AP721" i="22"/>
  <c r="AV721" i="22"/>
  <c r="BG721" i="22"/>
  <c r="BK721" i="22"/>
  <c r="BM721" i="22"/>
  <c r="CB721" i="22"/>
  <c r="CC721" i="22"/>
  <c r="K722" i="22"/>
  <c r="B722" i="22"/>
  <c r="A722" i="22"/>
  <c r="C722" i="22"/>
  <c r="D722" i="22"/>
  <c r="E722" i="22"/>
  <c r="H722" i="22"/>
  <c r="N722" i="22"/>
  <c r="X722" i="22"/>
  <c r="BA722" i="22"/>
  <c r="AB722" i="22"/>
  <c r="AC722" i="22"/>
  <c r="AP722" i="22"/>
  <c r="AV722" i="22"/>
  <c r="BG722" i="22"/>
  <c r="BK722" i="22"/>
  <c r="BM722" i="22"/>
  <c r="CB722" i="22"/>
  <c r="CC722" i="22"/>
  <c r="K723" i="22"/>
  <c r="B723" i="22"/>
  <c r="A723" i="22"/>
  <c r="C723" i="22"/>
  <c r="D723" i="22"/>
  <c r="E723" i="22"/>
  <c r="H723" i="22"/>
  <c r="N723" i="22"/>
  <c r="X723" i="22"/>
  <c r="BA723" i="22"/>
  <c r="AB723" i="22"/>
  <c r="AC723" i="22"/>
  <c r="AP723" i="22"/>
  <c r="AV723" i="22"/>
  <c r="BG723" i="22"/>
  <c r="BK723" i="22"/>
  <c r="BM723" i="22"/>
  <c r="CB723" i="22"/>
  <c r="CC723" i="22"/>
  <c r="K724" i="22"/>
  <c r="B724" i="22"/>
  <c r="A724" i="22"/>
  <c r="C724" i="22"/>
  <c r="D724" i="22"/>
  <c r="E724" i="22"/>
  <c r="H724" i="22"/>
  <c r="N724" i="22"/>
  <c r="X724" i="22"/>
  <c r="BA724" i="22"/>
  <c r="AB724" i="22"/>
  <c r="AC724" i="22"/>
  <c r="AP724" i="22"/>
  <c r="AV724" i="22"/>
  <c r="BG724" i="22"/>
  <c r="BK724" i="22"/>
  <c r="BM724" i="22"/>
  <c r="CB724" i="22"/>
  <c r="CC724" i="22"/>
  <c r="K725" i="22"/>
  <c r="B725" i="22"/>
  <c r="A725" i="22"/>
  <c r="C725" i="22"/>
  <c r="D725" i="22"/>
  <c r="E725" i="22"/>
  <c r="H725" i="22"/>
  <c r="N725" i="22"/>
  <c r="X725" i="22"/>
  <c r="BA725" i="22"/>
  <c r="AB725" i="22"/>
  <c r="AC725" i="22"/>
  <c r="AP725" i="22"/>
  <c r="AV725" i="22"/>
  <c r="BG725" i="22"/>
  <c r="BK725" i="22"/>
  <c r="BM725" i="22"/>
  <c r="CB725" i="22"/>
  <c r="CC725" i="22"/>
  <c r="K726" i="22"/>
  <c r="B726" i="22"/>
  <c r="A726" i="22"/>
  <c r="C726" i="22"/>
  <c r="D726" i="22"/>
  <c r="E726" i="22"/>
  <c r="H726" i="22"/>
  <c r="N726" i="22"/>
  <c r="X726" i="22"/>
  <c r="BA726" i="22"/>
  <c r="AB726" i="22"/>
  <c r="AC726" i="22"/>
  <c r="AP726" i="22"/>
  <c r="AV726" i="22"/>
  <c r="BG726" i="22"/>
  <c r="BK726" i="22"/>
  <c r="BM726" i="22"/>
  <c r="CB726" i="22"/>
  <c r="CC726" i="22"/>
  <c r="K727" i="22"/>
  <c r="B727" i="22"/>
  <c r="A727" i="22"/>
  <c r="C727" i="22"/>
  <c r="D727" i="22"/>
  <c r="E727" i="22"/>
  <c r="H727" i="22"/>
  <c r="N727" i="22"/>
  <c r="X727" i="22"/>
  <c r="BA727" i="22"/>
  <c r="AB727" i="22"/>
  <c r="AC727" i="22"/>
  <c r="AP727" i="22"/>
  <c r="AV727" i="22"/>
  <c r="BG727" i="22"/>
  <c r="BK727" i="22"/>
  <c r="BM727" i="22"/>
  <c r="CB727" i="22"/>
  <c r="CC727" i="22"/>
  <c r="K728" i="22"/>
  <c r="B728" i="22"/>
  <c r="A728" i="22"/>
  <c r="C728" i="22"/>
  <c r="D728" i="22"/>
  <c r="E728" i="22"/>
  <c r="H728" i="22"/>
  <c r="N728" i="22"/>
  <c r="X728" i="22"/>
  <c r="BA728" i="22"/>
  <c r="AB728" i="22"/>
  <c r="AC728" i="22"/>
  <c r="AP728" i="22"/>
  <c r="AV728" i="22"/>
  <c r="BG728" i="22"/>
  <c r="BK728" i="22"/>
  <c r="BM728" i="22"/>
  <c r="CB728" i="22"/>
  <c r="CC728" i="22"/>
  <c r="K729" i="22"/>
  <c r="B729" i="22"/>
  <c r="A729" i="22"/>
  <c r="C729" i="22"/>
  <c r="D729" i="22"/>
  <c r="E729" i="22"/>
  <c r="H729" i="22"/>
  <c r="N729" i="22"/>
  <c r="X729" i="22"/>
  <c r="BA729" i="22"/>
  <c r="AB729" i="22"/>
  <c r="AC729" i="22"/>
  <c r="AP729" i="22"/>
  <c r="AV729" i="22"/>
  <c r="BG729" i="22"/>
  <c r="BK729" i="22"/>
  <c r="BM729" i="22"/>
  <c r="CB729" i="22"/>
  <c r="CC729" i="22"/>
  <c r="K730" i="22"/>
  <c r="B730" i="22"/>
  <c r="A730" i="22"/>
  <c r="C730" i="22"/>
  <c r="D730" i="22"/>
  <c r="E730" i="22"/>
  <c r="H730" i="22"/>
  <c r="N730" i="22"/>
  <c r="X730" i="22"/>
  <c r="BA730" i="22"/>
  <c r="AB730" i="22"/>
  <c r="AC730" i="22"/>
  <c r="AP730" i="22"/>
  <c r="AV730" i="22"/>
  <c r="BG730" i="22"/>
  <c r="BK730" i="22"/>
  <c r="BM730" i="22"/>
  <c r="CB730" i="22"/>
  <c r="CC730" i="22"/>
  <c r="K731" i="22"/>
  <c r="B731" i="22"/>
  <c r="A731" i="22"/>
  <c r="C731" i="22"/>
  <c r="D731" i="22"/>
  <c r="E731" i="22"/>
  <c r="H731" i="22"/>
  <c r="N731" i="22"/>
  <c r="X731" i="22"/>
  <c r="BA731" i="22"/>
  <c r="AB731" i="22"/>
  <c r="AC731" i="22"/>
  <c r="AP731" i="22"/>
  <c r="AV731" i="22"/>
  <c r="BG731" i="22"/>
  <c r="BK731" i="22"/>
  <c r="BM731" i="22"/>
  <c r="CB731" i="22"/>
  <c r="CC731" i="22"/>
  <c r="K732" i="22"/>
  <c r="B732" i="22"/>
  <c r="A732" i="22"/>
  <c r="C732" i="22"/>
  <c r="D732" i="22"/>
  <c r="E732" i="22"/>
  <c r="H732" i="22"/>
  <c r="N732" i="22"/>
  <c r="X732" i="22"/>
  <c r="BA732" i="22"/>
  <c r="AB732" i="22"/>
  <c r="AC732" i="22"/>
  <c r="AP732" i="22"/>
  <c r="AV732" i="22"/>
  <c r="BG732" i="22"/>
  <c r="BK732" i="22"/>
  <c r="BM732" i="22"/>
  <c r="CB732" i="22"/>
  <c r="CC732" i="22"/>
  <c r="K733" i="22"/>
  <c r="B733" i="22"/>
  <c r="A733" i="22"/>
  <c r="C733" i="22"/>
  <c r="D733" i="22"/>
  <c r="E733" i="22"/>
  <c r="H733" i="22"/>
  <c r="N733" i="22"/>
  <c r="X733" i="22"/>
  <c r="BA733" i="22"/>
  <c r="AB733" i="22"/>
  <c r="AC733" i="22"/>
  <c r="AP733" i="22"/>
  <c r="AV733" i="22"/>
  <c r="BG733" i="22"/>
  <c r="BK733" i="22"/>
  <c r="BM733" i="22"/>
  <c r="CB733" i="22"/>
  <c r="CC733" i="22"/>
  <c r="K734" i="22"/>
  <c r="B734" i="22"/>
  <c r="A734" i="22"/>
  <c r="C734" i="22"/>
  <c r="D734" i="22"/>
  <c r="E734" i="22"/>
  <c r="H734" i="22"/>
  <c r="N734" i="22"/>
  <c r="X734" i="22"/>
  <c r="BA734" i="22"/>
  <c r="AB734" i="22"/>
  <c r="AC734" i="22"/>
  <c r="AP734" i="22"/>
  <c r="AV734" i="22"/>
  <c r="BG734" i="22"/>
  <c r="BK734" i="22"/>
  <c r="BM734" i="22"/>
  <c r="CB734" i="22"/>
  <c r="CC734" i="22"/>
  <c r="K735" i="22"/>
  <c r="B735" i="22"/>
  <c r="A735" i="22"/>
  <c r="C735" i="22"/>
  <c r="D735" i="22"/>
  <c r="E735" i="22"/>
  <c r="H735" i="22"/>
  <c r="N735" i="22"/>
  <c r="X735" i="22"/>
  <c r="BA735" i="22"/>
  <c r="AB735" i="22"/>
  <c r="AC735" i="22"/>
  <c r="AP735" i="22"/>
  <c r="AV735" i="22"/>
  <c r="BG735" i="22"/>
  <c r="BK735" i="22"/>
  <c r="BM735" i="22"/>
  <c r="CB735" i="22"/>
  <c r="CC735" i="22"/>
  <c r="K736" i="22"/>
  <c r="B736" i="22"/>
  <c r="A736" i="22"/>
  <c r="C736" i="22"/>
  <c r="D736" i="22"/>
  <c r="E736" i="22"/>
  <c r="H736" i="22"/>
  <c r="N736" i="22"/>
  <c r="X736" i="22"/>
  <c r="BA736" i="22"/>
  <c r="AB736" i="22"/>
  <c r="AC736" i="22"/>
  <c r="AP736" i="22"/>
  <c r="AV736" i="22"/>
  <c r="BG736" i="22"/>
  <c r="BK736" i="22"/>
  <c r="BM736" i="22"/>
  <c r="CB736" i="22"/>
  <c r="CC736" i="22"/>
  <c r="K737" i="22"/>
  <c r="B737" i="22"/>
  <c r="A737" i="22"/>
  <c r="C737" i="22"/>
  <c r="D737" i="22"/>
  <c r="E737" i="22"/>
  <c r="H737" i="22"/>
  <c r="N737" i="22"/>
  <c r="X737" i="22"/>
  <c r="BA737" i="22"/>
  <c r="AB737" i="22"/>
  <c r="AC737" i="22"/>
  <c r="AP737" i="22"/>
  <c r="AV737" i="22"/>
  <c r="BG737" i="22"/>
  <c r="BK737" i="22"/>
  <c r="BM737" i="22"/>
  <c r="CB737" i="22"/>
  <c r="CC737" i="22"/>
  <c r="K738" i="22"/>
  <c r="B738" i="22"/>
  <c r="A738" i="22"/>
  <c r="C738" i="22"/>
  <c r="D738" i="22"/>
  <c r="E738" i="22"/>
  <c r="H738" i="22"/>
  <c r="N738" i="22"/>
  <c r="X738" i="22"/>
  <c r="BA738" i="22"/>
  <c r="AB738" i="22"/>
  <c r="AC738" i="22"/>
  <c r="AP738" i="22"/>
  <c r="AV738" i="22"/>
  <c r="BG738" i="22"/>
  <c r="BK738" i="22"/>
  <c r="BM738" i="22"/>
  <c r="CB738" i="22"/>
  <c r="CC738" i="22"/>
  <c r="K739" i="22"/>
  <c r="B739" i="22"/>
  <c r="A739" i="22"/>
  <c r="C739" i="22"/>
  <c r="D739" i="22"/>
  <c r="E739" i="22"/>
  <c r="H739" i="22"/>
  <c r="N739" i="22"/>
  <c r="X739" i="22"/>
  <c r="BA739" i="22"/>
  <c r="AB739" i="22"/>
  <c r="AC739" i="22"/>
  <c r="AP739" i="22"/>
  <c r="AV739" i="22"/>
  <c r="BG739" i="22"/>
  <c r="BK739" i="22"/>
  <c r="BM739" i="22"/>
  <c r="CB739" i="22"/>
  <c r="CC739" i="22"/>
  <c r="K740" i="22"/>
  <c r="B740" i="22"/>
  <c r="A740" i="22"/>
  <c r="C740" i="22"/>
  <c r="D740" i="22"/>
  <c r="E740" i="22"/>
  <c r="H740" i="22"/>
  <c r="N740" i="22"/>
  <c r="X740" i="22"/>
  <c r="BA740" i="22"/>
  <c r="AB740" i="22"/>
  <c r="AC740" i="22"/>
  <c r="AP740" i="22"/>
  <c r="AV740" i="22"/>
  <c r="BG740" i="22"/>
  <c r="BK740" i="22"/>
  <c r="BM740" i="22"/>
  <c r="CB740" i="22"/>
  <c r="CC740" i="22"/>
  <c r="K741" i="22"/>
  <c r="B741" i="22"/>
  <c r="A741" i="22"/>
  <c r="C741" i="22"/>
  <c r="D741" i="22"/>
  <c r="E741" i="22"/>
  <c r="H741" i="22"/>
  <c r="N741" i="22"/>
  <c r="X741" i="22"/>
  <c r="BA741" i="22"/>
  <c r="AB741" i="22"/>
  <c r="AC741" i="22"/>
  <c r="AP741" i="22"/>
  <c r="AV741" i="22"/>
  <c r="BG741" i="22"/>
  <c r="BK741" i="22"/>
  <c r="BM741" i="22"/>
  <c r="CB741" i="22"/>
  <c r="CC741" i="22"/>
  <c r="K742" i="22"/>
  <c r="B742" i="22"/>
  <c r="A742" i="22"/>
  <c r="C742" i="22"/>
  <c r="D742" i="22"/>
  <c r="E742" i="22"/>
  <c r="H742" i="22"/>
  <c r="N742" i="22"/>
  <c r="X742" i="22"/>
  <c r="BA742" i="22"/>
  <c r="AB742" i="22"/>
  <c r="AC742" i="22"/>
  <c r="AP742" i="22"/>
  <c r="AV742" i="22"/>
  <c r="BG742" i="22"/>
  <c r="BK742" i="22"/>
  <c r="BM742" i="22"/>
  <c r="CB742" i="22"/>
  <c r="CC742" i="22"/>
  <c r="K743" i="22"/>
  <c r="B743" i="22"/>
  <c r="A743" i="22"/>
  <c r="C743" i="22"/>
  <c r="D743" i="22"/>
  <c r="E743" i="22"/>
  <c r="H743" i="22"/>
  <c r="N743" i="22"/>
  <c r="X743" i="22"/>
  <c r="BA743" i="22"/>
  <c r="AB743" i="22"/>
  <c r="AC743" i="22"/>
  <c r="AP743" i="22"/>
  <c r="AV743" i="22"/>
  <c r="BG743" i="22"/>
  <c r="BK743" i="22"/>
  <c r="BM743" i="22"/>
  <c r="CB743" i="22"/>
  <c r="CC743" i="22"/>
  <c r="K744" i="22"/>
  <c r="B744" i="22"/>
  <c r="A744" i="22"/>
  <c r="C744" i="22"/>
  <c r="D744" i="22"/>
  <c r="E744" i="22"/>
  <c r="H744" i="22"/>
  <c r="N744" i="22"/>
  <c r="X744" i="22"/>
  <c r="BA744" i="22"/>
  <c r="AB744" i="22"/>
  <c r="AC744" i="22"/>
  <c r="AP744" i="22"/>
  <c r="AV744" i="22"/>
  <c r="BG744" i="22"/>
  <c r="BK744" i="22"/>
  <c r="BM744" i="22"/>
  <c r="CB744" i="22"/>
  <c r="CC744" i="22"/>
  <c r="K745" i="22"/>
  <c r="B745" i="22"/>
  <c r="A745" i="22"/>
  <c r="C745" i="22"/>
  <c r="D745" i="22"/>
  <c r="E745" i="22"/>
  <c r="H745" i="22"/>
  <c r="N745" i="22"/>
  <c r="X745" i="22"/>
  <c r="BA745" i="22"/>
  <c r="AB745" i="22"/>
  <c r="AC745" i="22"/>
  <c r="AP745" i="22"/>
  <c r="AV745" i="22"/>
  <c r="BG745" i="22"/>
  <c r="BK745" i="22"/>
  <c r="BM745" i="22"/>
  <c r="CB745" i="22"/>
  <c r="CC745" i="22"/>
  <c r="K746" i="22"/>
  <c r="B746" i="22"/>
  <c r="A746" i="22"/>
  <c r="C746" i="22"/>
  <c r="D746" i="22"/>
  <c r="E746" i="22"/>
  <c r="H746" i="22"/>
  <c r="N746" i="22"/>
  <c r="X746" i="22"/>
  <c r="BA746" i="22"/>
  <c r="AB746" i="22"/>
  <c r="AC746" i="22"/>
  <c r="AP746" i="22"/>
  <c r="AV746" i="22"/>
  <c r="BG746" i="22"/>
  <c r="BK746" i="22"/>
  <c r="BM746" i="22"/>
  <c r="CB746" i="22"/>
  <c r="CC746" i="22"/>
  <c r="K747" i="22"/>
  <c r="B747" i="22"/>
  <c r="A747" i="22"/>
  <c r="C747" i="22"/>
  <c r="D747" i="22"/>
  <c r="E747" i="22"/>
  <c r="H747" i="22"/>
  <c r="N747" i="22"/>
  <c r="X747" i="22"/>
  <c r="BA747" i="22"/>
  <c r="AB747" i="22"/>
  <c r="AC747" i="22"/>
  <c r="AP747" i="22"/>
  <c r="AV747" i="22"/>
  <c r="BG747" i="22"/>
  <c r="BK747" i="22"/>
  <c r="BM747" i="22"/>
  <c r="CB747" i="22"/>
  <c r="CC747" i="22"/>
  <c r="K748" i="22"/>
  <c r="B748" i="22"/>
  <c r="A748" i="22"/>
  <c r="C748" i="22"/>
  <c r="D748" i="22"/>
  <c r="E748" i="22"/>
  <c r="H748" i="22"/>
  <c r="N748" i="22"/>
  <c r="X748" i="22"/>
  <c r="BA748" i="22"/>
  <c r="AB748" i="22"/>
  <c r="AC748" i="22"/>
  <c r="AP748" i="22"/>
  <c r="AV748" i="22"/>
  <c r="BG748" i="22"/>
  <c r="BK748" i="22"/>
  <c r="BM748" i="22"/>
  <c r="CB748" i="22"/>
  <c r="CC748" i="22"/>
  <c r="K749" i="22"/>
  <c r="B749" i="22"/>
  <c r="A749" i="22"/>
  <c r="C749" i="22"/>
  <c r="D749" i="22"/>
  <c r="E749" i="22"/>
  <c r="H749" i="22"/>
  <c r="N749" i="22"/>
  <c r="X749" i="22"/>
  <c r="BA749" i="22"/>
  <c r="AB749" i="22"/>
  <c r="AC749" i="22"/>
  <c r="AP749" i="22"/>
  <c r="AV749" i="22"/>
  <c r="BG749" i="22"/>
  <c r="BK749" i="22"/>
  <c r="BM749" i="22"/>
  <c r="CB749" i="22"/>
  <c r="CC749" i="22"/>
  <c r="K750" i="22"/>
  <c r="B750" i="22"/>
  <c r="A750" i="22"/>
  <c r="C750" i="22"/>
  <c r="D750" i="22"/>
  <c r="E750" i="22"/>
  <c r="H750" i="22"/>
  <c r="N750" i="22"/>
  <c r="X750" i="22"/>
  <c r="BA750" i="22"/>
  <c r="AB750" i="22"/>
  <c r="AC750" i="22"/>
  <c r="AP750" i="22"/>
  <c r="AV750" i="22"/>
  <c r="BG750" i="22"/>
  <c r="BK750" i="22"/>
  <c r="BM750" i="22"/>
  <c r="CB750" i="22"/>
  <c r="CC750" i="22"/>
  <c r="K751" i="22"/>
  <c r="B751" i="22"/>
  <c r="A751" i="22"/>
  <c r="C751" i="22"/>
  <c r="D751" i="22"/>
  <c r="E751" i="22"/>
  <c r="H751" i="22"/>
  <c r="N751" i="22"/>
  <c r="X751" i="22"/>
  <c r="BA751" i="22"/>
  <c r="AB751" i="22"/>
  <c r="AC751" i="22"/>
  <c r="AP751" i="22"/>
  <c r="AV751" i="22"/>
  <c r="BG751" i="22"/>
  <c r="BK751" i="22"/>
  <c r="BM751" i="22"/>
  <c r="CB751" i="22"/>
  <c r="CC751" i="22"/>
  <c r="K752" i="22"/>
  <c r="B752" i="22"/>
  <c r="A752" i="22"/>
  <c r="C752" i="22"/>
  <c r="D752" i="22"/>
  <c r="E752" i="22"/>
  <c r="H752" i="22"/>
  <c r="N752" i="22"/>
  <c r="X752" i="22"/>
  <c r="BA752" i="22"/>
  <c r="AB752" i="22"/>
  <c r="AC752" i="22"/>
  <c r="AP752" i="22"/>
  <c r="AV752" i="22"/>
  <c r="BG752" i="22"/>
  <c r="BK752" i="22"/>
  <c r="BM752" i="22"/>
  <c r="CB752" i="22"/>
  <c r="CC752" i="22"/>
  <c r="K753" i="22"/>
  <c r="B753" i="22"/>
  <c r="A753" i="22"/>
  <c r="C753" i="22"/>
  <c r="D753" i="22"/>
  <c r="E753" i="22"/>
  <c r="H753" i="22"/>
  <c r="N753" i="22"/>
  <c r="X753" i="22"/>
  <c r="BA753" i="22"/>
  <c r="AB753" i="22"/>
  <c r="AC753" i="22"/>
  <c r="AP753" i="22"/>
  <c r="AV753" i="22"/>
  <c r="BG753" i="22"/>
  <c r="BK753" i="22"/>
  <c r="BM753" i="22"/>
  <c r="CB753" i="22"/>
  <c r="CC753" i="22"/>
  <c r="K754" i="22"/>
  <c r="B754" i="22"/>
  <c r="A754" i="22"/>
  <c r="C754" i="22"/>
  <c r="D754" i="22"/>
  <c r="E754" i="22"/>
  <c r="H754" i="22"/>
  <c r="N754" i="22"/>
  <c r="X754" i="22"/>
  <c r="BA754" i="22"/>
  <c r="AB754" i="22"/>
  <c r="AC754" i="22"/>
  <c r="AP754" i="22"/>
  <c r="AV754" i="22"/>
  <c r="BG754" i="22"/>
  <c r="BK754" i="22"/>
  <c r="BM754" i="22"/>
  <c r="CB754" i="22"/>
  <c r="CC754" i="22"/>
  <c r="K755" i="22"/>
  <c r="B755" i="22"/>
  <c r="A755" i="22"/>
  <c r="C755" i="22"/>
  <c r="D755" i="22"/>
  <c r="E755" i="22"/>
  <c r="H755" i="22"/>
  <c r="N755" i="22"/>
  <c r="X755" i="22"/>
  <c r="BA755" i="22"/>
  <c r="AB755" i="22"/>
  <c r="AC755" i="22"/>
  <c r="AP755" i="22"/>
  <c r="AV755" i="22"/>
  <c r="BG755" i="22"/>
  <c r="BK755" i="22"/>
  <c r="BM755" i="22"/>
  <c r="CB755" i="22"/>
  <c r="CC755" i="22"/>
  <c r="K756" i="22"/>
  <c r="B756" i="22"/>
  <c r="A756" i="22"/>
  <c r="C756" i="22"/>
  <c r="D756" i="22"/>
  <c r="E756" i="22"/>
  <c r="H756" i="22"/>
  <c r="N756" i="22"/>
  <c r="X756" i="22"/>
  <c r="BA756" i="22"/>
  <c r="AB756" i="22"/>
  <c r="AC756" i="22"/>
  <c r="AP756" i="22"/>
  <c r="AV756" i="22"/>
  <c r="BG756" i="22"/>
  <c r="BK756" i="22"/>
  <c r="BM756" i="22"/>
  <c r="CB756" i="22"/>
  <c r="CC756" i="22"/>
  <c r="K757" i="22"/>
  <c r="B757" i="22"/>
  <c r="A757" i="22"/>
  <c r="C757" i="22"/>
  <c r="D757" i="22"/>
  <c r="E757" i="22"/>
  <c r="H757" i="22"/>
  <c r="N757" i="22"/>
  <c r="X757" i="22"/>
  <c r="BA757" i="22"/>
  <c r="AB757" i="22"/>
  <c r="AC757" i="22"/>
  <c r="AP757" i="22"/>
  <c r="AV757" i="22"/>
  <c r="BG757" i="22"/>
  <c r="BK757" i="22"/>
  <c r="BM757" i="22"/>
  <c r="CB757" i="22"/>
  <c r="CC757" i="22"/>
  <c r="K758" i="22"/>
  <c r="B758" i="22"/>
  <c r="A758" i="22"/>
  <c r="C758" i="22"/>
  <c r="D758" i="22"/>
  <c r="E758" i="22"/>
  <c r="H758" i="22"/>
  <c r="N758" i="22"/>
  <c r="X758" i="22"/>
  <c r="BA758" i="22"/>
  <c r="AB758" i="22"/>
  <c r="AC758" i="22"/>
  <c r="AP758" i="22"/>
  <c r="AV758" i="22"/>
  <c r="BG758" i="22"/>
  <c r="BK758" i="22"/>
  <c r="BM758" i="22"/>
  <c r="CB758" i="22"/>
  <c r="CC758" i="22"/>
  <c r="K759" i="22"/>
  <c r="B759" i="22"/>
  <c r="A759" i="22"/>
  <c r="C759" i="22"/>
  <c r="D759" i="22"/>
  <c r="E759" i="22"/>
  <c r="H759" i="22"/>
  <c r="N759" i="22"/>
  <c r="X759" i="22"/>
  <c r="BA759" i="22"/>
  <c r="AB759" i="22"/>
  <c r="AC759" i="22"/>
  <c r="AP759" i="22"/>
  <c r="AV759" i="22"/>
  <c r="BG759" i="22"/>
  <c r="BK759" i="22"/>
  <c r="BM759" i="22"/>
  <c r="CB759" i="22"/>
  <c r="CC759" i="22"/>
  <c r="K760" i="22"/>
  <c r="B760" i="22"/>
  <c r="A760" i="22"/>
  <c r="C760" i="22"/>
  <c r="D760" i="22"/>
  <c r="E760" i="22"/>
  <c r="H760" i="22"/>
  <c r="N760" i="22"/>
  <c r="X760" i="22"/>
  <c r="BA760" i="22"/>
  <c r="AB760" i="22"/>
  <c r="AC760" i="22"/>
  <c r="AP760" i="22"/>
  <c r="AV760" i="22"/>
  <c r="BG760" i="22"/>
  <c r="BK760" i="22"/>
  <c r="BM760" i="22"/>
  <c r="CB760" i="22"/>
  <c r="CC760" i="22"/>
  <c r="K761" i="22"/>
  <c r="B761" i="22"/>
  <c r="A761" i="22"/>
  <c r="C761" i="22"/>
  <c r="D761" i="22"/>
  <c r="E761" i="22"/>
  <c r="H761" i="22"/>
  <c r="N761" i="22"/>
  <c r="X761" i="22"/>
  <c r="BA761" i="22"/>
  <c r="AB761" i="22"/>
  <c r="AC761" i="22"/>
  <c r="AP761" i="22"/>
  <c r="AV761" i="22"/>
  <c r="BG761" i="22"/>
  <c r="BK761" i="22"/>
  <c r="BM761" i="22"/>
  <c r="CB761" i="22"/>
  <c r="CC761" i="22"/>
  <c r="K762" i="22"/>
  <c r="B762" i="22"/>
  <c r="A762" i="22"/>
  <c r="C762" i="22"/>
  <c r="D762" i="22"/>
  <c r="E762" i="22"/>
  <c r="H762" i="22"/>
  <c r="N762" i="22"/>
  <c r="X762" i="22"/>
  <c r="BA762" i="22"/>
  <c r="AB762" i="22"/>
  <c r="AC762" i="22"/>
  <c r="AP762" i="22"/>
  <c r="AV762" i="22"/>
  <c r="BG762" i="22"/>
  <c r="BK762" i="22"/>
  <c r="BM762" i="22"/>
  <c r="CB762" i="22"/>
  <c r="CC762" i="22"/>
  <c r="K763" i="22"/>
  <c r="B763" i="22"/>
  <c r="A763" i="22"/>
  <c r="C763" i="22"/>
  <c r="D763" i="22"/>
  <c r="E763" i="22"/>
  <c r="H763" i="22"/>
  <c r="N763" i="22"/>
  <c r="X763" i="22"/>
  <c r="BA763" i="22"/>
  <c r="AB763" i="22"/>
  <c r="AC763" i="22"/>
  <c r="AP763" i="22"/>
  <c r="AV763" i="22"/>
  <c r="BG763" i="22"/>
  <c r="BK763" i="22"/>
  <c r="BM763" i="22"/>
  <c r="CB763" i="22"/>
  <c r="CC763" i="22"/>
  <c r="K764" i="22"/>
  <c r="B764" i="22"/>
  <c r="A764" i="22"/>
  <c r="C764" i="22"/>
  <c r="D764" i="22"/>
  <c r="E764" i="22"/>
  <c r="H764" i="22"/>
  <c r="N764" i="22"/>
  <c r="X764" i="22"/>
  <c r="BA764" i="22"/>
  <c r="AB764" i="22"/>
  <c r="AC764" i="22"/>
  <c r="AP764" i="22"/>
  <c r="AV764" i="22"/>
  <c r="BG764" i="22"/>
  <c r="BK764" i="22"/>
  <c r="BM764" i="22"/>
  <c r="CB764" i="22"/>
  <c r="CC764" i="22"/>
  <c r="K765" i="22"/>
  <c r="B765" i="22"/>
  <c r="A765" i="22"/>
  <c r="C765" i="22"/>
  <c r="D765" i="22"/>
  <c r="E765" i="22"/>
  <c r="H765" i="22"/>
  <c r="N765" i="22"/>
  <c r="X765" i="22"/>
  <c r="BA765" i="22"/>
  <c r="AB765" i="22"/>
  <c r="AC765" i="22"/>
  <c r="AP765" i="22"/>
  <c r="AV765" i="22"/>
  <c r="BG765" i="22"/>
  <c r="BK765" i="22"/>
  <c r="BM765" i="22"/>
  <c r="CB765" i="22"/>
  <c r="CC765" i="22"/>
  <c r="K766" i="22"/>
  <c r="B766" i="22"/>
  <c r="A766" i="22"/>
  <c r="C766" i="22"/>
  <c r="D766" i="22"/>
  <c r="E766" i="22"/>
  <c r="H766" i="22"/>
  <c r="N766" i="22"/>
  <c r="X766" i="22"/>
  <c r="BA766" i="22"/>
  <c r="AB766" i="22"/>
  <c r="AC766" i="22"/>
  <c r="AP766" i="22"/>
  <c r="AV766" i="22"/>
  <c r="BG766" i="22"/>
  <c r="BK766" i="22"/>
  <c r="BM766" i="22"/>
  <c r="CB766" i="22"/>
  <c r="CC766" i="22"/>
  <c r="K767" i="22"/>
  <c r="B767" i="22"/>
  <c r="A767" i="22"/>
  <c r="C767" i="22"/>
  <c r="D767" i="22"/>
  <c r="E767" i="22"/>
  <c r="H767" i="22"/>
  <c r="N767" i="22"/>
  <c r="X767" i="22"/>
  <c r="BA767" i="22"/>
  <c r="AB767" i="22"/>
  <c r="AC767" i="22"/>
  <c r="AP767" i="22"/>
  <c r="AV767" i="22"/>
  <c r="BG767" i="22"/>
  <c r="BK767" i="22"/>
  <c r="BM767" i="22"/>
  <c r="CB767" i="22"/>
  <c r="CC767" i="22"/>
  <c r="K768" i="22"/>
  <c r="B768" i="22"/>
  <c r="A768" i="22"/>
  <c r="C768" i="22"/>
  <c r="D768" i="22"/>
  <c r="E768" i="22"/>
  <c r="H768" i="22"/>
  <c r="N768" i="22"/>
  <c r="X768" i="22"/>
  <c r="BA768" i="22"/>
  <c r="AB768" i="22"/>
  <c r="AC768" i="22"/>
  <c r="AP768" i="22"/>
  <c r="AV768" i="22"/>
  <c r="BG768" i="22"/>
  <c r="BK768" i="22"/>
  <c r="BM768" i="22"/>
  <c r="CB768" i="22"/>
  <c r="CC768" i="22"/>
  <c r="K769" i="22"/>
  <c r="B769" i="22"/>
  <c r="A769" i="22"/>
  <c r="C769" i="22"/>
  <c r="D769" i="22"/>
  <c r="E769" i="22"/>
  <c r="H769" i="22"/>
  <c r="N769" i="22"/>
  <c r="X769" i="22"/>
  <c r="BA769" i="22"/>
  <c r="AB769" i="22"/>
  <c r="AC769" i="22"/>
  <c r="AP769" i="22"/>
  <c r="AV769" i="22"/>
  <c r="BG769" i="22"/>
  <c r="BK769" i="22"/>
  <c r="BM769" i="22"/>
  <c r="CB769" i="22"/>
  <c r="CC769" i="22"/>
  <c r="K770" i="22"/>
  <c r="B770" i="22"/>
  <c r="A770" i="22"/>
  <c r="C770" i="22"/>
  <c r="D770" i="22"/>
  <c r="E770" i="22"/>
  <c r="H770" i="22"/>
  <c r="N770" i="22"/>
  <c r="X770" i="22"/>
  <c r="BA770" i="22"/>
  <c r="AB770" i="22"/>
  <c r="AC770" i="22"/>
  <c r="AP770" i="22"/>
  <c r="AV770" i="22"/>
  <c r="BG770" i="22"/>
  <c r="BK770" i="22"/>
  <c r="BM770" i="22"/>
  <c r="CB770" i="22"/>
  <c r="CC770" i="22"/>
  <c r="K771" i="22"/>
  <c r="B771" i="22"/>
  <c r="A771" i="22"/>
  <c r="C771" i="22"/>
  <c r="D771" i="22"/>
  <c r="E771" i="22"/>
  <c r="H771" i="22"/>
  <c r="N771" i="22"/>
  <c r="X771" i="22"/>
  <c r="BA771" i="22"/>
  <c r="AB771" i="22"/>
  <c r="AC771" i="22"/>
  <c r="AP771" i="22"/>
  <c r="AV771" i="22"/>
  <c r="BG771" i="22"/>
  <c r="BK771" i="22"/>
  <c r="BM771" i="22"/>
  <c r="CB771" i="22"/>
  <c r="CC771" i="22"/>
  <c r="K772" i="22"/>
  <c r="B772" i="22"/>
  <c r="A772" i="22"/>
  <c r="C772" i="22"/>
  <c r="D772" i="22"/>
  <c r="E772" i="22"/>
  <c r="H772" i="22"/>
  <c r="N772" i="22"/>
  <c r="X772" i="22"/>
  <c r="BA772" i="22"/>
  <c r="AB772" i="22"/>
  <c r="AC772" i="22"/>
  <c r="AP772" i="22"/>
  <c r="AV772" i="22"/>
  <c r="BG772" i="22"/>
  <c r="BK772" i="22"/>
  <c r="BM772" i="22"/>
  <c r="CB772" i="22"/>
  <c r="CC772" i="22"/>
  <c r="K773" i="22"/>
  <c r="B773" i="22"/>
  <c r="A773" i="22"/>
  <c r="C773" i="22"/>
  <c r="D773" i="22"/>
  <c r="E773" i="22"/>
  <c r="H773" i="22"/>
  <c r="N773" i="22"/>
  <c r="X773" i="22"/>
  <c r="BA773" i="22"/>
  <c r="AB773" i="22"/>
  <c r="AC773" i="22"/>
  <c r="AP773" i="22"/>
  <c r="AV773" i="22"/>
  <c r="BG773" i="22"/>
  <c r="BK773" i="22"/>
  <c r="BM773" i="22"/>
  <c r="CB773" i="22"/>
  <c r="CC773" i="22"/>
  <c r="K774" i="22"/>
  <c r="B774" i="22"/>
  <c r="A774" i="22"/>
  <c r="C774" i="22"/>
  <c r="D774" i="22"/>
  <c r="E774" i="22"/>
  <c r="H774" i="22"/>
  <c r="N774" i="22"/>
  <c r="X774" i="22"/>
  <c r="BA774" i="22"/>
  <c r="AB774" i="22"/>
  <c r="AC774" i="22"/>
  <c r="AP774" i="22"/>
  <c r="AV774" i="22"/>
  <c r="BG774" i="22"/>
  <c r="BK774" i="22"/>
  <c r="BM774" i="22"/>
  <c r="CB774" i="22"/>
  <c r="CC774" i="22"/>
  <c r="K775" i="22"/>
  <c r="B775" i="22"/>
  <c r="A775" i="22"/>
  <c r="C775" i="22"/>
  <c r="D775" i="22"/>
  <c r="E775" i="22"/>
  <c r="H775" i="22"/>
  <c r="N775" i="22"/>
  <c r="X775" i="22"/>
  <c r="BA775" i="22"/>
  <c r="AB775" i="22"/>
  <c r="AC775" i="22"/>
  <c r="AP775" i="22"/>
  <c r="AV775" i="22"/>
  <c r="BG775" i="22"/>
  <c r="BK775" i="22"/>
  <c r="BM775" i="22"/>
  <c r="CB775" i="22"/>
  <c r="CC775" i="22"/>
  <c r="K776" i="22"/>
  <c r="B776" i="22"/>
  <c r="A776" i="22"/>
  <c r="C776" i="22"/>
  <c r="D776" i="22"/>
  <c r="E776" i="22"/>
  <c r="H776" i="22"/>
  <c r="N776" i="22"/>
  <c r="X776" i="22"/>
  <c r="BA776" i="22"/>
  <c r="AB776" i="22"/>
  <c r="AC776" i="22"/>
  <c r="AP776" i="22"/>
  <c r="AV776" i="22"/>
  <c r="BG776" i="22"/>
  <c r="BK776" i="22"/>
  <c r="BM776" i="22"/>
  <c r="CB776" i="22"/>
  <c r="CC776" i="22"/>
  <c r="K777" i="22"/>
  <c r="B777" i="22"/>
  <c r="A777" i="22"/>
  <c r="C777" i="22"/>
  <c r="D777" i="22"/>
  <c r="E777" i="22"/>
  <c r="H777" i="22"/>
  <c r="N777" i="22"/>
  <c r="X777" i="22"/>
  <c r="BA777" i="22"/>
  <c r="AB777" i="22"/>
  <c r="AC777" i="22"/>
  <c r="AP777" i="22"/>
  <c r="AV777" i="22"/>
  <c r="BG777" i="22"/>
  <c r="BK777" i="22"/>
  <c r="BM777" i="22"/>
  <c r="CB777" i="22"/>
  <c r="CC777" i="22"/>
  <c r="K778" i="22"/>
  <c r="B778" i="22"/>
  <c r="A778" i="22"/>
  <c r="C778" i="22"/>
  <c r="D778" i="22"/>
  <c r="E778" i="22"/>
  <c r="H778" i="22"/>
  <c r="N778" i="22"/>
  <c r="X778" i="22"/>
  <c r="BA778" i="22"/>
  <c r="AB778" i="22"/>
  <c r="AC778" i="22"/>
  <c r="AP778" i="22"/>
  <c r="AV778" i="22"/>
  <c r="BG778" i="22"/>
  <c r="BK778" i="22"/>
  <c r="BM778" i="22"/>
  <c r="CB778" i="22"/>
  <c r="CC778" i="22"/>
  <c r="K779" i="22"/>
  <c r="B779" i="22"/>
  <c r="A779" i="22"/>
  <c r="C779" i="22"/>
  <c r="D779" i="22"/>
  <c r="E779" i="22"/>
  <c r="H779" i="22"/>
  <c r="N779" i="22"/>
  <c r="X779" i="22"/>
  <c r="BA779" i="22"/>
  <c r="AB779" i="22"/>
  <c r="AC779" i="22"/>
  <c r="AP779" i="22"/>
  <c r="AV779" i="22"/>
  <c r="BG779" i="22"/>
  <c r="BK779" i="22"/>
  <c r="BM779" i="22"/>
  <c r="CB779" i="22"/>
  <c r="CC779" i="22"/>
  <c r="K780" i="22"/>
  <c r="B780" i="22"/>
  <c r="A780" i="22"/>
  <c r="C780" i="22"/>
  <c r="D780" i="22"/>
  <c r="E780" i="22"/>
  <c r="H780" i="22"/>
  <c r="N780" i="22"/>
  <c r="X780" i="22"/>
  <c r="BA780" i="22"/>
  <c r="AB780" i="22"/>
  <c r="AC780" i="22"/>
  <c r="AP780" i="22"/>
  <c r="AV780" i="22"/>
  <c r="BG780" i="22"/>
  <c r="BK780" i="22"/>
  <c r="BM780" i="22"/>
  <c r="CB780" i="22"/>
  <c r="CC780" i="22"/>
  <c r="K781" i="22"/>
  <c r="B781" i="22"/>
  <c r="A781" i="22"/>
  <c r="C781" i="22"/>
  <c r="D781" i="22"/>
  <c r="E781" i="22"/>
  <c r="H781" i="22"/>
  <c r="N781" i="22"/>
  <c r="X781" i="22"/>
  <c r="BA781" i="22"/>
  <c r="AB781" i="22"/>
  <c r="AC781" i="22"/>
  <c r="AP781" i="22"/>
  <c r="AV781" i="22"/>
  <c r="BG781" i="22"/>
  <c r="BK781" i="22"/>
  <c r="BM781" i="22"/>
  <c r="CB781" i="22"/>
  <c r="CC781" i="22"/>
  <c r="K782" i="22"/>
  <c r="B782" i="22"/>
  <c r="A782" i="22"/>
  <c r="C782" i="22"/>
  <c r="D782" i="22"/>
  <c r="E782" i="22"/>
  <c r="H782" i="22"/>
  <c r="N782" i="22"/>
  <c r="X782" i="22"/>
  <c r="BA782" i="22"/>
  <c r="AB782" i="22"/>
  <c r="AC782" i="22"/>
  <c r="AP782" i="22"/>
  <c r="AV782" i="22"/>
  <c r="BG782" i="22"/>
  <c r="BK782" i="22"/>
  <c r="BM782" i="22"/>
  <c r="CB782" i="22"/>
  <c r="CC782" i="22"/>
  <c r="K783" i="22"/>
  <c r="B783" i="22"/>
  <c r="A783" i="22"/>
  <c r="C783" i="22"/>
  <c r="D783" i="22"/>
  <c r="E783" i="22"/>
  <c r="H783" i="22"/>
  <c r="N783" i="22"/>
  <c r="X783" i="22"/>
  <c r="BA783" i="22"/>
  <c r="AB783" i="22"/>
  <c r="AC783" i="22"/>
  <c r="AP783" i="22"/>
  <c r="AV783" i="22"/>
  <c r="BG783" i="22"/>
  <c r="BK783" i="22"/>
  <c r="BM783" i="22"/>
  <c r="CB783" i="22"/>
  <c r="CC783" i="22"/>
  <c r="K784" i="22"/>
  <c r="B784" i="22"/>
  <c r="A784" i="22"/>
  <c r="C784" i="22"/>
  <c r="D784" i="22"/>
  <c r="E784" i="22"/>
  <c r="H784" i="22"/>
  <c r="N784" i="22"/>
  <c r="X784" i="22"/>
  <c r="BA784" i="22"/>
  <c r="AB784" i="22"/>
  <c r="AC784" i="22"/>
  <c r="AP784" i="22"/>
  <c r="AV784" i="22"/>
  <c r="BG784" i="22"/>
  <c r="BK784" i="22"/>
  <c r="BM784" i="22"/>
  <c r="CB784" i="22"/>
  <c r="CC784" i="22"/>
  <c r="K785" i="22"/>
  <c r="B785" i="22"/>
  <c r="A785" i="22"/>
  <c r="C785" i="22"/>
  <c r="D785" i="22"/>
  <c r="E785" i="22"/>
  <c r="H785" i="22"/>
  <c r="N785" i="22"/>
  <c r="X785" i="22"/>
  <c r="BA785" i="22"/>
  <c r="AB785" i="22"/>
  <c r="AC785" i="22"/>
  <c r="AP785" i="22"/>
  <c r="AV785" i="22"/>
  <c r="BG785" i="22"/>
  <c r="BK785" i="22"/>
  <c r="BM785" i="22"/>
  <c r="CB785" i="22"/>
  <c r="CC785" i="22"/>
  <c r="K786" i="22"/>
  <c r="B786" i="22"/>
  <c r="A786" i="22"/>
  <c r="C786" i="22"/>
  <c r="D786" i="22"/>
  <c r="E786" i="22"/>
  <c r="H786" i="22"/>
  <c r="N786" i="22"/>
  <c r="X786" i="22"/>
  <c r="BA786" i="22"/>
  <c r="AB786" i="22"/>
  <c r="AC786" i="22"/>
  <c r="AP786" i="22"/>
  <c r="AV786" i="22"/>
  <c r="BG786" i="22"/>
  <c r="BK786" i="22"/>
  <c r="BM786" i="22"/>
  <c r="CB786" i="22"/>
  <c r="CC786" i="22"/>
  <c r="K787" i="22"/>
  <c r="B787" i="22"/>
  <c r="A787" i="22"/>
  <c r="C787" i="22"/>
  <c r="D787" i="22"/>
  <c r="E787" i="22"/>
  <c r="H787" i="22"/>
  <c r="N787" i="22"/>
  <c r="X787" i="22"/>
  <c r="BA787" i="22"/>
  <c r="AB787" i="22"/>
  <c r="AC787" i="22"/>
  <c r="AP787" i="22"/>
  <c r="AV787" i="22"/>
  <c r="BG787" i="22"/>
  <c r="BK787" i="22"/>
  <c r="BM787" i="22"/>
  <c r="CB787" i="22"/>
  <c r="CC787" i="22"/>
  <c r="K788" i="22"/>
  <c r="B788" i="22"/>
  <c r="A788" i="22"/>
  <c r="C788" i="22"/>
  <c r="D788" i="22"/>
  <c r="E788" i="22"/>
  <c r="H788" i="22"/>
  <c r="N788" i="22"/>
  <c r="X788" i="22"/>
  <c r="BA788" i="22"/>
  <c r="AB788" i="22"/>
  <c r="AC788" i="22"/>
  <c r="AP788" i="22"/>
  <c r="AV788" i="22"/>
  <c r="BG788" i="22"/>
  <c r="BK788" i="22"/>
  <c r="BM788" i="22"/>
  <c r="CB788" i="22"/>
  <c r="CC788" i="22"/>
  <c r="K789" i="22"/>
  <c r="B789" i="22"/>
  <c r="A789" i="22"/>
  <c r="C789" i="22"/>
  <c r="D789" i="22"/>
  <c r="E789" i="22"/>
  <c r="H789" i="22"/>
  <c r="N789" i="22"/>
  <c r="X789" i="22"/>
  <c r="BA789" i="22"/>
  <c r="AB789" i="22"/>
  <c r="AC789" i="22"/>
  <c r="AP789" i="22"/>
  <c r="AV789" i="22"/>
  <c r="BG789" i="22"/>
  <c r="BK789" i="22"/>
  <c r="BM789" i="22"/>
  <c r="CB789" i="22"/>
  <c r="CC789" i="22"/>
  <c r="K790" i="22"/>
  <c r="B790" i="22"/>
  <c r="A790" i="22"/>
  <c r="C790" i="22"/>
  <c r="D790" i="22"/>
  <c r="E790" i="22"/>
  <c r="H790" i="22"/>
  <c r="N790" i="22"/>
  <c r="X790" i="22"/>
  <c r="BA790" i="22"/>
  <c r="AB790" i="22"/>
  <c r="AC790" i="22"/>
  <c r="AP790" i="22"/>
  <c r="AV790" i="22"/>
  <c r="BG790" i="22"/>
  <c r="BK790" i="22"/>
  <c r="BM790" i="22"/>
  <c r="CB790" i="22"/>
  <c r="CC790" i="22"/>
  <c r="K791" i="22"/>
  <c r="B791" i="22"/>
  <c r="A791" i="22"/>
  <c r="C791" i="22"/>
  <c r="D791" i="22"/>
  <c r="E791" i="22"/>
  <c r="H791" i="22"/>
  <c r="N791" i="22"/>
  <c r="X791" i="22"/>
  <c r="BA791" i="22"/>
  <c r="AB791" i="22"/>
  <c r="AC791" i="22"/>
  <c r="AP791" i="22"/>
  <c r="AV791" i="22"/>
  <c r="BG791" i="22"/>
  <c r="BK791" i="22"/>
  <c r="BM791" i="22"/>
  <c r="CB791" i="22"/>
  <c r="CC791" i="22"/>
  <c r="K792" i="22"/>
  <c r="B792" i="22"/>
  <c r="A792" i="22"/>
  <c r="C792" i="22"/>
  <c r="D792" i="22"/>
  <c r="E792" i="22"/>
  <c r="H792" i="22"/>
  <c r="N792" i="22"/>
  <c r="X792" i="22"/>
  <c r="BA792" i="22"/>
  <c r="AB792" i="22"/>
  <c r="AC792" i="22"/>
  <c r="AP792" i="22"/>
  <c r="AV792" i="22"/>
  <c r="BG792" i="22"/>
  <c r="BK792" i="22"/>
  <c r="BM792" i="22"/>
  <c r="CB792" i="22"/>
  <c r="CC792" i="22"/>
  <c r="K793" i="22"/>
  <c r="B793" i="22"/>
  <c r="A793" i="22"/>
  <c r="C793" i="22"/>
  <c r="D793" i="22"/>
  <c r="E793" i="22"/>
  <c r="H793" i="22"/>
  <c r="N793" i="22"/>
  <c r="X793" i="22"/>
  <c r="BA793" i="22"/>
  <c r="AB793" i="22"/>
  <c r="AC793" i="22"/>
  <c r="AP793" i="22"/>
  <c r="AV793" i="22"/>
  <c r="BG793" i="22"/>
  <c r="BK793" i="22"/>
  <c r="BM793" i="22"/>
  <c r="CB793" i="22"/>
  <c r="CC793" i="22"/>
  <c r="K794" i="22"/>
  <c r="B794" i="22"/>
  <c r="A794" i="22"/>
  <c r="C794" i="22"/>
  <c r="D794" i="22"/>
  <c r="E794" i="22"/>
  <c r="H794" i="22"/>
  <c r="N794" i="22"/>
  <c r="X794" i="22"/>
  <c r="BA794" i="22"/>
  <c r="AB794" i="22"/>
  <c r="AC794" i="22"/>
  <c r="AP794" i="22"/>
  <c r="AV794" i="22"/>
  <c r="BG794" i="22"/>
  <c r="BK794" i="22"/>
  <c r="BM794" i="22"/>
  <c r="CB794" i="22"/>
  <c r="CC794" i="22"/>
  <c r="K795" i="22"/>
  <c r="B795" i="22"/>
  <c r="A795" i="22"/>
  <c r="C795" i="22"/>
  <c r="D795" i="22"/>
  <c r="E795" i="22"/>
  <c r="H795" i="22"/>
  <c r="N795" i="22"/>
  <c r="X795" i="22"/>
  <c r="BA795" i="22"/>
  <c r="AB795" i="22"/>
  <c r="AC795" i="22"/>
  <c r="AP795" i="22"/>
  <c r="AV795" i="22"/>
  <c r="BG795" i="22"/>
  <c r="BK795" i="22"/>
  <c r="BM795" i="22"/>
  <c r="CB795" i="22"/>
  <c r="CC795" i="22"/>
  <c r="K796" i="22"/>
  <c r="B796" i="22"/>
  <c r="A796" i="22"/>
  <c r="C796" i="22"/>
  <c r="D796" i="22"/>
  <c r="E796" i="22"/>
  <c r="H796" i="22"/>
  <c r="N796" i="22"/>
  <c r="X796" i="22"/>
  <c r="BA796" i="22"/>
  <c r="AB796" i="22"/>
  <c r="AC796" i="22"/>
  <c r="AP796" i="22"/>
  <c r="AV796" i="22"/>
  <c r="BG796" i="22"/>
  <c r="BK796" i="22"/>
  <c r="BM796" i="22"/>
  <c r="CB796" i="22"/>
  <c r="CC796" i="22"/>
  <c r="K797" i="22"/>
  <c r="B797" i="22"/>
  <c r="A797" i="22"/>
  <c r="C797" i="22"/>
  <c r="D797" i="22"/>
  <c r="E797" i="22"/>
  <c r="H797" i="22"/>
  <c r="N797" i="22"/>
  <c r="X797" i="22"/>
  <c r="BA797" i="22"/>
  <c r="AB797" i="22"/>
  <c r="AC797" i="22"/>
  <c r="AP797" i="22"/>
  <c r="AV797" i="22"/>
  <c r="BG797" i="22"/>
  <c r="BK797" i="22"/>
  <c r="BM797" i="22"/>
  <c r="CB797" i="22"/>
  <c r="CC797" i="22"/>
  <c r="K798" i="22"/>
  <c r="B798" i="22"/>
  <c r="A798" i="22"/>
  <c r="C798" i="22"/>
  <c r="D798" i="22"/>
  <c r="E798" i="22"/>
  <c r="H798" i="22"/>
  <c r="N798" i="22"/>
  <c r="X798" i="22"/>
  <c r="BA798" i="22"/>
  <c r="AB798" i="22"/>
  <c r="AC798" i="22"/>
  <c r="AP798" i="22"/>
  <c r="AV798" i="22"/>
  <c r="BG798" i="22"/>
  <c r="BK798" i="22"/>
  <c r="BM798" i="22"/>
  <c r="CB798" i="22"/>
  <c r="CC798" i="22"/>
  <c r="K799" i="22"/>
  <c r="B799" i="22"/>
  <c r="A799" i="22"/>
  <c r="C799" i="22"/>
  <c r="D799" i="22"/>
  <c r="E799" i="22"/>
  <c r="H799" i="22"/>
  <c r="N799" i="22"/>
  <c r="X799" i="22"/>
  <c r="BA799" i="22"/>
  <c r="AB799" i="22"/>
  <c r="AC799" i="22"/>
  <c r="AP799" i="22"/>
  <c r="AV799" i="22"/>
  <c r="BG799" i="22"/>
  <c r="BK799" i="22"/>
  <c r="BM799" i="22"/>
  <c r="CB799" i="22"/>
  <c r="CC799" i="22"/>
  <c r="K800" i="22"/>
  <c r="B800" i="22"/>
  <c r="A800" i="22"/>
  <c r="C800" i="22"/>
  <c r="D800" i="22"/>
  <c r="E800" i="22"/>
  <c r="H800" i="22"/>
  <c r="N800" i="22"/>
  <c r="X800" i="22"/>
  <c r="BA800" i="22"/>
  <c r="AB800" i="22"/>
  <c r="AC800" i="22"/>
  <c r="AP800" i="22"/>
  <c r="AV800" i="22"/>
  <c r="BG800" i="22"/>
  <c r="BK800" i="22"/>
  <c r="BM800" i="22"/>
  <c r="CB800" i="22"/>
  <c r="CC800" i="22"/>
  <c r="K801" i="22"/>
  <c r="B801" i="22"/>
  <c r="A801" i="22"/>
  <c r="C801" i="22"/>
  <c r="D801" i="22"/>
  <c r="E801" i="22"/>
  <c r="H801" i="22"/>
  <c r="N801" i="22"/>
  <c r="X801" i="22"/>
  <c r="BA801" i="22"/>
  <c r="AB801" i="22"/>
  <c r="AC801" i="22"/>
  <c r="AP801" i="22"/>
  <c r="AV801" i="22"/>
  <c r="BG801" i="22"/>
  <c r="BK801" i="22"/>
  <c r="BM801" i="22"/>
  <c r="CB801" i="22"/>
  <c r="CC801" i="22"/>
  <c r="K802" i="22"/>
  <c r="B802" i="22"/>
  <c r="A802" i="22"/>
  <c r="C802" i="22"/>
  <c r="D802" i="22"/>
  <c r="E802" i="22"/>
  <c r="H802" i="22"/>
  <c r="N802" i="22"/>
  <c r="X802" i="22"/>
  <c r="BA802" i="22"/>
  <c r="AB802" i="22"/>
  <c r="AC802" i="22"/>
  <c r="AP802" i="22"/>
  <c r="AV802" i="22"/>
  <c r="BG802" i="22"/>
  <c r="BK802" i="22"/>
  <c r="BM802" i="22"/>
  <c r="CB802" i="22"/>
  <c r="CC802" i="22"/>
  <c r="K803" i="22"/>
  <c r="B803" i="22"/>
  <c r="A803" i="22"/>
  <c r="C803" i="22"/>
  <c r="D803" i="22"/>
  <c r="E803" i="22"/>
  <c r="H803" i="22"/>
  <c r="N803" i="22"/>
  <c r="X803" i="22"/>
  <c r="BA803" i="22"/>
  <c r="AB803" i="22"/>
  <c r="AC803" i="22"/>
  <c r="AP803" i="22"/>
  <c r="AV803" i="22"/>
  <c r="BG803" i="22"/>
  <c r="BK803" i="22"/>
  <c r="BM803" i="22"/>
  <c r="CB803" i="22"/>
  <c r="CC803" i="22"/>
  <c r="K804" i="22"/>
  <c r="B804" i="22"/>
  <c r="A804" i="22"/>
  <c r="C804" i="22"/>
  <c r="D804" i="22"/>
  <c r="E804" i="22"/>
  <c r="H804" i="22"/>
  <c r="N804" i="22"/>
  <c r="X804" i="22"/>
  <c r="BA804" i="22"/>
  <c r="AB804" i="22"/>
  <c r="AC804" i="22"/>
  <c r="AP804" i="22"/>
  <c r="AV804" i="22"/>
  <c r="BG804" i="22"/>
  <c r="BK804" i="22"/>
  <c r="BM804" i="22"/>
  <c r="CB804" i="22"/>
  <c r="CC804" i="22"/>
  <c r="K805" i="22"/>
  <c r="B805" i="22"/>
  <c r="A805" i="22"/>
  <c r="C805" i="22"/>
  <c r="D805" i="22"/>
  <c r="E805" i="22"/>
  <c r="H805" i="22"/>
  <c r="N805" i="22"/>
  <c r="X805" i="22"/>
  <c r="BA805" i="22"/>
  <c r="AB805" i="22"/>
  <c r="AC805" i="22"/>
  <c r="AP805" i="22"/>
  <c r="AV805" i="22"/>
  <c r="BG805" i="22"/>
  <c r="BK805" i="22"/>
  <c r="BM805" i="22"/>
  <c r="CB805" i="22"/>
  <c r="CC805" i="22"/>
  <c r="K806" i="22"/>
  <c r="B806" i="22"/>
  <c r="A806" i="22"/>
  <c r="C806" i="22"/>
  <c r="D806" i="22"/>
  <c r="E806" i="22"/>
  <c r="H806" i="22"/>
  <c r="N806" i="22"/>
  <c r="X806" i="22"/>
  <c r="BA806" i="22"/>
  <c r="AB806" i="22"/>
  <c r="AC806" i="22"/>
  <c r="AP806" i="22"/>
  <c r="AV806" i="22"/>
  <c r="BG806" i="22"/>
  <c r="BK806" i="22"/>
  <c r="BM806" i="22"/>
  <c r="CB806" i="22"/>
  <c r="CC806" i="22"/>
  <c r="K807" i="22"/>
  <c r="B807" i="22"/>
  <c r="A807" i="22"/>
  <c r="C807" i="22"/>
  <c r="D807" i="22"/>
  <c r="E807" i="22"/>
  <c r="H807" i="22"/>
  <c r="N807" i="22"/>
  <c r="X807" i="22"/>
  <c r="BA807" i="22"/>
  <c r="AB807" i="22"/>
  <c r="AC807" i="22"/>
  <c r="AP807" i="22"/>
  <c r="AV807" i="22"/>
  <c r="BG807" i="22"/>
  <c r="BK807" i="22"/>
  <c r="BM807" i="22"/>
  <c r="CB807" i="22"/>
  <c r="CC807" i="22"/>
  <c r="K808" i="22"/>
  <c r="B808" i="22"/>
  <c r="A808" i="22"/>
  <c r="C808" i="22"/>
  <c r="D808" i="22"/>
  <c r="E808" i="22"/>
  <c r="H808" i="22"/>
  <c r="N808" i="22"/>
  <c r="X808" i="22"/>
  <c r="BA808" i="22"/>
  <c r="AB808" i="22"/>
  <c r="AC808" i="22"/>
  <c r="AP808" i="22"/>
  <c r="AV808" i="22"/>
  <c r="BG808" i="22"/>
  <c r="BK808" i="22"/>
  <c r="BM808" i="22"/>
  <c r="CB808" i="22"/>
  <c r="CC808" i="22"/>
  <c r="K809" i="22"/>
  <c r="B809" i="22"/>
  <c r="A809" i="22"/>
  <c r="C809" i="22"/>
  <c r="D809" i="22"/>
  <c r="E809" i="22"/>
  <c r="H809" i="22"/>
  <c r="N809" i="22"/>
  <c r="X809" i="22"/>
  <c r="BA809" i="22"/>
  <c r="AB809" i="22"/>
  <c r="AC809" i="22"/>
  <c r="AP809" i="22"/>
  <c r="AV809" i="22"/>
  <c r="BG809" i="22"/>
  <c r="BK809" i="22"/>
  <c r="BM809" i="22"/>
  <c r="CB809" i="22"/>
  <c r="CC809" i="22"/>
  <c r="K810" i="22"/>
  <c r="B810" i="22"/>
  <c r="A810" i="22"/>
  <c r="C810" i="22"/>
  <c r="D810" i="22"/>
  <c r="E810" i="22"/>
  <c r="H810" i="22"/>
  <c r="N810" i="22"/>
  <c r="X810" i="22"/>
  <c r="BA810" i="22"/>
  <c r="AB810" i="22"/>
  <c r="AC810" i="22"/>
  <c r="AP810" i="22"/>
  <c r="AV810" i="22"/>
  <c r="BG810" i="22"/>
  <c r="BK810" i="22"/>
  <c r="BM810" i="22"/>
  <c r="CB810" i="22"/>
  <c r="CC810" i="22"/>
  <c r="K811" i="22"/>
  <c r="B811" i="22"/>
  <c r="A811" i="22"/>
  <c r="C811" i="22"/>
  <c r="D811" i="22"/>
  <c r="E811" i="22"/>
  <c r="H811" i="22"/>
  <c r="N811" i="22"/>
  <c r="X811" i="22"/>
  <c r="BA811" i="22"/>
  <c r="AB811" i="22"/>
  <c r="AC811" i="22"/>
  <c r="AP811" i="22"/>
  <c r="AV811" i="22"/>
  <c r="BG811" i="22"/>
  <c r="BK811" i="22"/>
  <c r="BM811" i="22"/>
  <c r="CB811" i="22"/>
  <c r="CC811" i="22"/>
  <c r="K812" i="22"/>
  <c r="B812" i="22"/>
  <c r="A812" i="22"/>
  <c r="C812" i="22"/>
  <c r="D812" i="22"/>
  <c r="E812" i="22"/>
  <c r="H812" i="22"/>
  <c r="N812" i="22"/>
  <c r="X812" i="22"/>
  <c r="BA812" i="22"/>
  <c r="AB812" i="22"/>
  <c r="AC812" i="22"/>
  <c r="AP812" i="22"/>
  <c r="AV812" i="22"/>
  <c r="BG812" i="22"/>
  <c r="BK812" i="22"/>
  <c r="BM812" i="22"/>
  <c r="CB812" i="22"/>
  <c r="CC812" i="22"/>
  <c r="K813" i="22"/>
  <c r="B813" i="22"/>
  <c r="A813" i="22"/>
  <c r="C813" i="22"/>
  <c r="D813" i="22"/>
  <c r="E813" i="22"/>
  <c r="H813" i="22"/>
  <c r="N813" i="22"/>
  <c r="X813" i="22"/>
  <c r="BA813" i="22"/>
  <c r="AB813" i="22"/>
  <c r="AC813" i="22"/>
  <c r="AP813" i="22"/>
  <c r="AV813" i="22"/>
  <c r="BG813" i="22"/>
  <c r="BK813" i="22"/>
  <c r="BM813" i="22"/>
  <c r="CB813" i="22"/>
  <c r="CC813" i="22"/>
  <c r="K814" i="22"/>
  <c r="B814" i="22"/>
  <c r="A814" i="22"/>
  <c r="C814" i="22"/>
  <c r="D814" i="22"/>
  <c r="E814" i="22"/>
  <c r="H814" i="22"/>
  <c r="N814" i="22"/>
  <c r="X814" i="22"/>
  <c r="BA814" i="22"/>
  <c r="AB814" i="22"/>
  <c r="AC814" i="22"/>
  <c r="AP814" i="22"/>
  <c r="AV814" i="22"/>
  <c r="BG814" i="22"/>
  <c r="BK814" i="22"/>
  <c r="BM814" i="22"/>
  <c r="CB814" i="22"/>
  <c r="CC814" i="22"/>
  <c r="K815" i="22"/>
  <c r="B815" i="22"/>
  <c r="A815" i="22"/>
  <c r="C815" i="22"/>
  <c r="D815" i="22"/>
  <c r="E815" i="22"/>
  <c r="H815" i="22"/>
  <c r="N815" i="22"/>
  <c r="X815" i="22"/>
  <c r="BA815" i="22"/>
  <c r="AB815" i="22"/>
  <c r="AC815" i="22"/>
  <c r="AP815" i="22"/>
  <c r="AV815" i="22"/>
  <c r="BG815" i="22"/>
  <c r="BK815" i="22"/>
  <c r="BM815" i="22"/>
  <c r="CB815" i="22"/>
  <c r="CC815" i="22"/>
  <c r="K816" i="22"/>
  <c r="B816" i="22"/>
  <c r="A816" i="22"/>
  <c r="C816" i="22"/>
  <c r="D816" i="22"/>
  <c r="E816" i="22"/>
  <c r="H816" i="22"/>
  <c r="N816" i="22"/>
  <c r="X816" i="22"/>
  <c r="BA816" i="22"/>
  <c r="AB816" i="22"/>
  <c r="AC816" i="22"/>
  <c r="AP816" i="22"/>
  <c r="AV816" i="22"/>
  <c r="BG816" i="22"/>
  <c r="BK816" i="22"/>
  <c r="BM816" i="22"/>
  <c r="CB816" i="22"/>
  <c r="CC816" i="22"/>
  <c r="K817" i="22"/>
  <c r="B817" i="22"/>
  <c r="A817" i="22"/>
  <c r="C817" i="22"/>
  <c r="D817" i="22"/>
  <c r="E817" i="22"/>
  <c r="H817" i="22"/>
  <c r="N817" i="22"/>
  <c r="X817" i="22"/>
  <c r="BA817" i="22"/>
  <c r="AB817" i="22"/>
  <c r="AC817" i="22"/>
  <c r="AP817" i="22"/>
  <c r="AV817" i="22"/>
  <c r="BG817" i="22"/>
  <c r="BK817" i="22"/>
  <c r="BM817" i="22"/>
  <c r="CB817" i="22"/>
  <c r="CC817" i="22"/>
  <c r="K818" i="22"/>
  <c r="B818" i="22"/>
  <c r="A818" i="22"/>
  <c r="C818" i="22"/>
  <c r="D818" i="22"/>
  <c r="E818" i="22"/>
  <c r="H818" i="22"/>
  <c r="N818" i="22"/>
  <c r="X818" i="22"/>
  <c r="BA818" i="22"/>
  <c r="AB818" i="22"/>
  <c r="AC818" i="22"/>
  <c r="AP818" i="22"/>
  <c r="AV818" i="22"/>
  <c r="BG818" i="22"/>
  <c r="BK818" i="22"/>
  <c r="BM818" i="22"/>
  <c r="CB818" i="22"/>
  <c r="CC818" i="22"/>
  <c r="K819" i="22"/>
  <c r="B819" i="22"/>
  <c r="A819" i="22"/>
  <c r="C819" i="22"/>
  <c r="D819" i="22"/>
  <c r="E819" i="22"/>
  <c r="H819" i="22"/>
  <c r="N819" i="22"/>
  <c r="X819" i="22"/>
  <c r="BA819" i="22"/>
  <c r="AB819" i="22"/>
  <c r="AC819" i="22"/>
  <c r="AP819" i="22"/>
  <c r="AV819" i="22"/>
  <c r="BG819" i="22"/>
  <c r="BK819" i="22"/>
  <c r="BM819" i="22"/>
  <c r="CB819" i="22"/>
  <c r="CC819" i="22"/>
  <c r="K820" i="22"/>
  <c r="B820" i="22"/>
  <c r="A820" i="22"/>
  <c r="C820" i="22"/>
  <c r="D820" i="22"/>
  <c r="E820" i="22"/>
  <c r="H820" i="22"/>
  <c r="N820" i="22"/>
  <c r="X820" i="22"/>
  <c r="BA820" i="22"/>
  <c r="AB820" i="22"/>
  <c r="AC820" i="22"/>
  <c r="AP820" i="22"/>
  <c r="AV820" i="22"/>
  <c r="BG820" i="22"/>
  <c r="BK820" i="22"/>
  <c r="BM820" i="22"/>
  <c r="CB820" i="22"/>
  <c r="CC820" i="22"/>
  <c r="K821" i="22"/>
  <c r="B821" i="22"/>
  <c r="A821" i="22"/>
  <c r="C821" i="22"/>
  <c r="D821" i="22"/>
  <c r="E821" i="22"/>
  <c r="H821" i="22"/>
  <c r="N821" i="22"/>
  <c r="X821" i="22"/>
  <c r="BA821" i="22"/>
  <c r="AB821" i="22"/>
  <c r="AC821" i="22"/>
  <c r="AP821" i="22"/>
  <c r="AV821" i="22"/>
  <c r="BG821" i="22"/>
  <c r="BK821" i="22"/>
  <c r="BM821" i="22"/>
  <c r="CB821" i="22"/>
  <c r="CC821" i="22"/>
  <c r="K822" i="22"/>
  <c r="B822" i="22"/>
  <c r="A822" i="22"/>
  <c r="C822" i="22"/>
  <c r="D822" i="22"/>
  <c r="E822" i="22"/>
  <c r="H822" i="22"/>
  <c r="N822" i="22"/>
  <c r="X822" i="22"/>
  <c r="BA822" i="22"/>
  <c r="AB822" i="22"/>
  <c r="AC822" i="22"/>
  <c r="AP822" i="22"/>
  <c r="AV822" i="22"/>
  <c r="BG822" i="22"/>
  <c r="BK822" i="22"/>
  <c r="BM822" i="22"/>
  <c r="CB822" i="22"/>
  <c r="CC822" i="22"/>
  <c r="K823" i="22"/>
  <c r="B823" i="22"/>
  <c r="A823" i="22"/>
  <c r="C823" i="22"/>
  <c r="D823" i="22"/>
  <c r="E823" i="22"/>
  <c r="H823" i="22"/>
  <c r="N823" i="22"/>
  <c r="X823" i="22"/>
  <c r="BA823" i="22"/>
  <c r="AB823" i="22"/>
  <c r="AC823" i="22"/>
  <c r="AP823" i="22"/>
  <c r="AV823" i="22"/>
  <c r="BG823" i="22"/>
  <c r="BK823" i="22"/>
  <c r="BM823" i="22"/>
  <c r="CB823" i="22"/>
  <c r="CC823" i="22"/>
  <c r="K824" i="22"/>
  <c r="B824" i="22"/>
  <c r="A824" i="22"/>
  <c r="C824" i="22"/>
  <c r="D824" i="22"/>
  <c r="E824" i="22"/>
  <c r="H824" i="22"/>
  <c r="N824" i="22"/>
  <c r="X824" i="22"/>
  <c r="BA824" i="22"/>
  <c r="AB824" i="22"/>
  <c r="AC824" i="22"/>
  <c r="AP824" i="22"/>
  <c r="AV824" i="22"/>
  <c r="BG824" i="22"/>
  <c r="BK824" i="22"/>
  <c r="BM824" i="22"/>
  <c r="CB824" i="22"/>
  <c r="CC824" i="22"/>
  <c r="K825" i="22"/>
  <c r="B825" i="22"/>
  <c r="A825" i="22"/>
  <c r="C825" i="22"/>
  <c r="D825" i="22"/>
  <c r="E825" i="22"/>
  <c r="H825" i="22"/>
  <c r="N825" i="22"/>
  <c r="X825" i="22"/>
  <c r="BA825" i="22"/>
  <c r="AB825" i="22"/>
  <c r="AC825" i="22"/>
  <c r="AP825" i="22"/>
  <c r="AV825" i="22"/>
  <c r="BG825" i="22"/>
  <c r="BK825" i="22"/>
  <c r="BM825" i="22"/>
  <c r="CB825" i="22"/>
  <c r="CC825" i="22"/>
  <c r="K826" i="22"/>
  <c r="B826" i="22"/>
  <c r="A826" i="22"/>
  <c r="C826" i="22"/>
  <c r="D826" i="22"/>
  <c r="E826" i="22"/>
  <c r="H826" i="22"/>
  <c r="N826" i="22"/>
  <c r="X826" i="22"/>
  <c r="BA826" i="22"/>
  <c r="AB826" i="22"/>
  <c r="AC826" i="22"/>
  <c r="AP826" i="22"/>
  <c r="AV826" i="22"/>
  <c r="BG826" i="22"/>
  <c r="BK826" i="22"/>
  <c r="BM826" i="22"/>
  <c r="CB826" i="22"/>
  <c r="CC826" i="22"/>
  <c r="K827" i="22"/>
  <c r="B827" i="22"/>
  <c r="A827" i="22"/>
  <c r="C827" i="22"/>
  <c r="D827" i="22"/>
  <c r="E827" i="22"/>
  <c r="H827" i="22"/>
  <c r="N827" i="22"/>
  <c r="X827" i="22"/>
  <c r="BA827" i="22"/>
  <c r="AB827" i="22"/>
  <c r="AC827" i="22"/>
  <c r="AP827" i="22"/>
  <c r="AV827" i="22"/>
  <c r="BG827" i="22"/>
  <c r="BK827" i="22"/>
  <c r="BM827" i="22"/>
  <c r="CB827" i="22"/>
  <c r="CC827" i="22"/>
  <c r="K828" i="22"/>
  <c r="B828" i="22"/>
  <c r="A828" i="22"/>
  <c r="C828" i="22"/>
  <c r="D828" i="22"/>
  <c r="E828" i="22"/>
  <c r="H828" i="22"/>
  <c r="N828" i="22"/>
  <c r="X828" i="22"/>
  <c r="BA828" i="22"/>
  <c r="AB828" i="22"/>
  <c r="AC828" i="22"/>
  <c r="AP828" i="22"/>
  <c r="AV828" i="22"/>
  <c r="BG828" i="22"/>
  <c r="BK828" i="22"/>
  <c r="BM828" i="22"/>
  <c r="CB828" i="22"/>
  <c r="CC828" i="22"/>
  <c r="K829" i="22"/>
  <c r="B829" i="22"/>
  <c r="A829" i="22"/>
  <c r="C829" i="22"/>
  <c r="D829" i="22"/>
  <c r="E829" i="22"/>
  <c r="H829" i="22"/>
  <c r="N829" i="22"/>
  <c r="X829" i="22"/>
  <c r="BA829" i="22"/>
  <c r="AB829" i="22"/>
  <c r="AC829" i="22"/>
  <c r="AP829" i="22"/>
  <c r="AV829" i="22"/>
  <c r="BG829" i="22"/>
  <c r="BK829" i="22"/>
  <c r="BM829" i="22"/>
  <c r="CB829" i="22"/>
  <c r="CC829" i="22"/>
  <c r="K830" i="22"/>
  <c r="B830" i="22"/>
  <c r="A830" i="22"/>
  <c r="C830" i="22"/>
  <c r="D830" i="22"/>
  <c r="E830" i="22"/>
  <c r="H830" i="22"/>
  <c r="N830" i="22"/>
  <c r="X830" i="22"/>
  <c r="BA830" i="22"/>
  <c r="AB830" i="22"/>
  <c r="AC830" i="22"/>
  <c r="AP830" i="22"/>
  <c r="AV830" i="22"/>
  <c r="BG830" i="22"/>
  <c r="BK830" i="22"/>
  <c r="BM830" i="22"/>
  <c r="CB830" i="22"/>
  <c r="CC830" i="22"/>
  <c r="K831" i="22"/>
  <c r="B831" i="22"/>
  <c r="A831" i="22"/>
  <c r="C831" i="22"/>
  <c r="D831" i="22"/>
  <c r="E831" i="22"/>
  <c r="H831" i="22"/>
  <c r="N831" i="22"/>
  <c r="X831" i="22"/>
  <c r="BA831" i="22"/>
  <c r="AB831" i="22"/>
  <c r="AC831" i="22"/>
  <c r="AP831" i="22"/>
  <c r="AV831" i="22"/>
  <c r="BG831" i="22"/>
  <c r="BK831" i="22"/>
  <c r="BM831" i="22"/>
  <c r="CB831" i="22"/>
  <c r="CC831" i="22"/>
  <c r="K832" i="22"/>
  <c r="B832" i="22"/>
  <c r="A832" i="22"/>
  <c r="C832" i="22"/>
  <c r="D832" i="22"/>
  <c r="E832" i="22"/>
  <c r="H832" i="22"/>
  <c r="N832" i="22"/>
  <c r="X832" i="22"/>
  <c r="BA832" i="22"/>
  <c r="AB832" i="22"/>
  <c r="AC832" i="22"/>
  <c r="AP832" i="22"/>
  <c r="AV832" i="22"/>
  <c r="BG832" i="22"/>
  <c r="BK832" i="22"/>
  <c r="BM832" i="22"/>
  <c r="CB832" i="22"/>
  <c r="CC832" i="22"/>
  <c r="K833" i="22"/>
  <c r="B833" i="22"/>
  <c r="A833" i="22"/>
  <c r="C833" i="22"/>
  <c r="D833" i="22"/>
  <c r="E833" i="22"/>
  <c r="H833" i="22"/>
  <c r="N833" i="22"/>
  <c r="X833" i="22"/>
  <c r="BA833" i="22"/>
  <c r="AB833" i="22"/>
  <c r="AC833" i="22"/>
  <c r="AP833" i="22"/>
  <c r="AV833" i="22"/>
  <c r="BG833" i="22"/>
  <c r="BK833" i="22"/>
  <c r="BM833" i="22"/>
  <c r="CB833" i="22"/>
  <c r="CC833" i="22"/>
  <c r="K834" i="22"/>
  <c r="B834" i="22"/>
  <c r="A834" i="22"/>
  <c r="C834" i="22"/>
  <c r="D834" i="22"/>
  <c r="E834" i="22"/>
  <c r="H834" i="22"/>
  <c r="N834" i="22"/>
  <c r="X834" i="22"/>
  <c r="BA834" i="22"/>
  <c r="AB834" i="22"/>
  <c r="AC834" i="22"/>
  <c r="AP834" i="22"/>
  <c r="AV834" i="22"/>
  <c r="BG834" i="22"/>
  <c r="BK834" i="22"/>
  <c r="BM834" i="22"/>
  <c r="CB834" i="22"/>
  <c r="CC834" i="22"/>
  <c r="K835" i="22"/>
  <c r="B835" i="22"/>
  <c r="A835" i="22"/>
  <c r="C835" i="22"/>
  <c r="D835" i="22"/>
  <c r="E835" i="22"/>
  <c r="H835" i="22"/>
  <c r="N835" i="22"/>
  <c r="X835" i="22"/>
  <c r="BA835" i="22"/>
  <c r="AB835" i="22"/>
  <c r="AC835" i="22"/>
  <c r="AP835" i="22"/>
  <c r="AV835" i="22"/>
  <c r="BG835" i="22"/>
  <c r="BK835" i="22"/>
  <c r="BM835" i="22"/>
  <c r="CB835" i="22"/>
  <c r="CC835" i="22"/>
  <c r="K836" i="22"/>
  <c r="B836" i="22"/>
  <c r="A836" i="22"/>
  <c r="C836" i="22"/>
  <c r="D836" i="22"/>
  <c r="E836" i="22"/>
  <c r="H836" i="22"/>
  <c r="N836" i="22"/>
  <c r="X836" i="22"/>
  <c r="BA836" i="22"/>
  <c r="AB836" i="22"/>
  <c r="AC836" i="22"/>
  <c r="AP836" i="22"/>
  <c r="AV836" i="22"/>
  <c r="BG836" i="22"/>
  <c r="BK836" i="22"/>
  <c r="BM836" i="22"/>
  <c r="CB836" i="22"/>
  <c r="CC836" i="22"/>
  <c r="K837" i="22"/>
  <c r="B837" i="22"/>
  <c r="A837" i="22"/>
  <c r="C837" i="22"/>
  <c r="D837" i="22"/>
  <c r="E837" i="22"/>
  <c r="H837" i="22"/>
  <c r="N837" i="22"/>
  <c r="X837" i="22"/>
  <c r="BA837" i="22"/>
  <c r="AB837" i="22"/>
  <c r="AC837" i="22"/>
  <c r="AP837" i="22"/>
  <c r="AV837" i="22"/>
  <c r="BG837" i="22"/>
  <c r="BK837" i="22"/>
  <c r="BM837" i="22"/>
  <c r="CB837" i="22"/>
  <c r="CC837" i="22"/>
  <c r="K838" i="22"/>
  <c r="B838" i="22"/>
  <c r="A838" i="22"/>
  <c r="C838" i="22"/>
  <c r="D838" i="22"/>
  <c r="E838" i="22"/>
  <c r="H838" i="22"/>
  <c r="N838" i="22"/>
  <c r="X838" i="22"/>
  <c r="BA838" i="22"/>
  <c r="AB838" i="22"/>
  <c r="AC838" i="22"/>
  <c r="AP838" i="22"/>
  <c r="AV838" i="22"/>
  <c r="BG838" i="22"/>
  <c r="BK838" i="22"/>
  <c r="BM838" i="22"/>
  <c r="CB838" i="22"/>
  <c r="CC838" i="22"/>
  <c r="K839" i="22"/>
  <c r="B839" i="22"/>
  <c r="A839" i="22"/>
  <c r="C839" i="22"/>
  <c r="D839" i="22"/>
  <c r="E839" i="22"/>
  <c r="H839" i="22"/>
  <c r="N839" i="22"/>
  <c r="X839" i="22"/>
  <c r="BA839" i="22"/>
  <c r="AB839" i="22"/>
  <c r="AC839" i="22"/>
  <c r="AP839" i="22"/>
  <c r="AV839" i="22"/>
  <c r="BG839" i="22"/>
  <c r="BK839" i="22"/>
  <c r="BM839" i="22"/>
  <c r="CB839" i="22"/>
  <c r="CC839" i="22"/>
  <c r="K840" i="22"/>
  <c r="B840" i="22"/>
  <c r="A840" i="22"/>
  <c r="C840" i="22"/>
  <c r="D840" i="22"/>
  <c r="E840" i="22"/>
  <c r="H840" i="22"/>
  <c r="N840" i="22"/>
  <c r="X840" i="22"/>
  <c r="BA840" i="22"/>
  <c r="AB840" i="22"/>
  <c r="AC840" i="22"/>
  <c r="AP840" i="22"/>
  <c r="AV840" i="22"/>
  <c r="BG840" i="22"/>
  <c r="BK840" i="22"/>
  <c r="BM840" i="22"/>
  <c r="CB840" i="22"/>
  <c r="CC840" i="22"/>
  <c r="K841" i="22"/>
  <c r="B841" i="22"/>
  <c r="A841" i="22"/>
  <c r="C841" i="22"/>
  <c r="D841" i="22"/>
  <c r="E841" i="22"/>
  <c r="H841" i="22"/>
  <c r="N841" i="22"/>
  <c r="X841" i="22"/>
  <c r="BA841" i="22"/>
  <c r="AB841" i="22"/>
  <c r="AC841" i="22"/>
  <c r="AP841" i="22"/>
  <c r="AV841" i="22"/>
  <c r="BG841" i="22"/>
  <c r="BK841" i="22"/>
  <c r="BM841" i="22"/>
  <c r="CB841" i="22"/>
  <c r="CC841" i="22"/>
  <c r="K842" i="22"/>
  <c r="B842" i="22"/>
  <c r="A842" i="22"/>
  <c r="C842" i="22"/>
  <c r="D842" i="22"/>
  <c r="E842" i="22"/>
  <c r="H842" i="22"/>
  <c r="N842" i="22"/>
  <c r="X842" i="22"/>
  <c r="BA842" i="22"/>
  <c r="AB842" i="22"/>
  <c r="AC842" i="22"/>
  <c r="AP842" i="22"/>
  <c r="AV842" i="22"/>
  <c r="BG842" i="22"/>
  <c r="BK842" i="22"/>
  <c r="BM842" i="22"/>
  <c r="CB842" i="22"/>
  <c r="CC842" i="22"/>
  <c r="K843" i="22"/>
  <c r="B843" i="22"/>
  <c r="A843" i="22"/>
  <c r="C843" i="22"/>
  <c r="D843" i="22"/>
  <c r="E843" i="22"/>
  <c r="H843" i="22"/>
  <c r="N843" i="22"/>
  <c r="X843" i="22"/>
  <c r="BA843" i="22"/>
  <c r="AB843" i="22"/>
  <c r="AC843" i="22"/>
  <c r="AP843" i="22"/>
  <c r="AV843" i="22"/>
  <c r="BG843" i="22"/>
  <c r="BK843" i="22"/>
  <c r="BM843" i="22"/>
  <c r="CB843" i="22"/>
  <c r="CC843" i="22"/>
  <c r="K844" i="22"/>
  <c r="B844" i="22"/>
  <c r="A844" i="22"/>
  <c r="C844" i="22"/>
  <c r="D844" i="22"/>
  <c r="E844" i="22"/>
  <c r="H844" i="22"/>
  <c r="N844" i="22"/>
  <c r="X844" i="22"/>
  <c r="BA844" i="22"/>
  <c r="AB844" i="22"/>
  <c r="AC844" i="22"/>
  <c r="AP844" i="22"/>
  <c r="AV844" i="22"/>
  <c r="BG844" i="22"/>
  <c r="BK844" i="22"/>
  <c r="BM844" i="22"/>
  <c r="CB844" i="22"/>
  <c r="CC844" i="22"/>
  <c r="K845" i="22"/>
  <c r="B845" i="22"/>
  <c r="A845" i="22"/>
  <c r="C845" i="22"/>
  <c r="D845" i="22"/>
  <c r="E845" i="22"/>
  <c r="H845" i="22"/>
  <c r="N845" i="22"/>
  <c r="X845" i="22"/>
  <c r="BA845" i="22"/>
  <c r="AB845" i="22"/>
  <c r="AC845" i="22"/>
  <c r="AP845" i="22"/>
  <c r="AV845" i="22"/>
  <c r="BG845" i="22"/>
  <c r="BK845" i="22"/>
  <c r="BM845" i="22"/>
  <c r="CB845" i="22"/>
  <c r="CC845" i="22"/>
  <c r="K846" i="22"/>
  <c r="B846" i="22"/>
  <c r="A846" i="22"/>
  <c r="C846" i="22"/>
  <c r="D846" i="22"/>
  <c r="E846" i="22"/>
  <c r="H846" i="22"/>
  <c r="N846" i="22"/>
  <c r="X846" i="22"/>
  <c r="BA846" i="22"/>
  <c r="AB846" i="22"/>
  <c r="AC846" i="22"/>
  <c r="AP846" i="22"/>
  <c r="AV846" i="22"/>
  <c r="BG846" i="22"/>
  <c r="BK846" i="22"/>
  <c r="BM846" i="22"/>
  <c r="CB846" i="22"/>
  <c r="CC846" i="22"/>
  <c r="K847" i="22"/>
  <c r="B847" i="22"/>
  <c r="A847" i="22"/>
  <c r="C847" i="22"/>
  <c r="D847" i="22"/>
  <c r="E847" i="22"/>
  <c r="H847" i="22"/>
  <c r="N847" i="22"/>
  <c r="X847" i="22"/>
  <c r="BA847" i="22"/>
  <c r="AB847" i="22"/>
  <c r="AC847" i="22"/>
  <c r="AP847" i="22"/>
  <c r="AV847" i="22"/>
  <c r="BG847" i="22"/>
  <c r="BK847" i="22"/>
  <c r="BM847" i="22"/>
  <c r="CB847" i="22"/>
  <c r="CC847" i="22"/>
  <c r="K848" i="22"/>
  <c r="B848" i="22"/>
  <c r="A848" i="22"/>
  <c r="C848" i="22"/>
  <c r="D848" i="22"/>
  <c r="E848" i="22"/>
  <c r="H848" i="22"/>
  <c r="N848" i="22"/>
  <c r="X848" i="22"/>
  <c r="BA848" i="22"/>
  <c r="AB848" i="22"/>
  <c r="AC848" i="22"/>
  <c r="AP848" i="22"/>
  <c r="AV848" i="22"/>
  <c r="BG848" i="22"/>
  <c r="BK848" i="22"/>
  <c r="BM848" i="22"/>
  <c r="CB848" i="22"/>
  <c r="CC848" i="22"/>
  <c r="K849" i="22"/>
  <c r="B849" i="22"/>
  <c r="A849" i="22"/>
  <c r="C849" i="22"/>
  <c r="D849" i="22"/>
  <c r="E849" i="22"/>
  <c r="H849" i="22"/>
  <c r="N849" i="22"/>
  <c r="X849" i="22"/>
  <c r="BA849" i="22"/>
  <c r="AB849" i="22"/>
  <c r="AC849" i="22"/>
  <c r="AP849" i="22"/>
  <c r="AV849" i="22"/>
  <c r="BG849" i="22"/>
  <c r="BK849" i="22"/>
  <c r="BM849" i="22"/>
  <c r="CB849" i="22"/>
  <c r="CC849" i="22"/>
  <c r="K850" i="22"/>
  <c r="B850" i="22"/>
  <c r="A850" i="22"/>
  <c r="C850" i="22"/>
  <c r="D850" i="22"/>
  <c r="E850" i="22"/>
  <c r="H850" i="22"/>
  <c r="N850" i="22"/>
  <c r="X850" i="22"/>
  <c r="BA850" i="22"/>
  <c r="AB850" i="22"/>
  <c r="AC850" i="22"/>
  <c r="AP850" i="22"/>
  <c r="AV850" i="22"/>
  <c r="BG850" i="22"/>
  <c r="BK850" i="22"/>
  <c r="BM850" i="22"/>
  <c r="CB850" i="22"/>
  <c r="CC850" i="22"/>
  <c r="K851" i="22"/>
  <c r="B851" i="22"/>
  <c r="A851" i="22"/>
  <c r="C851" i="22"/>
  <c r="D851" i="22"/>
  <c r="E851" i="22"/>
  <c r="H851" i="22"/>
  <c r="N851" i="22"/>
  <c r="X851" i="22"/>
  <c r="BA851" i="22"/>
  <c r="AB851" i="22"/>
  <c r="AC851" i="22"/>
  <c r="AP851" i="22"/>
  <c r="AV851" i="22"/>
  <c r="BG851" i="22"/>
  <c r="BK851" i="22"/>
  <c r="BM851" i="22"/>
  <c r="CB851" i="22"/>
  <c r="CC851" i="22"/>
  <c r="K852" i="22"/>
  <c r="B852" i="22"/>
  <c r="A852" i="22"/>
  <c r="C852" i="22"/>
  <c r="D852" i="22"/>
  <c r="E852" i="22"/>
  <c r="H852" i="22"/>
  <c r="N852" i="22"/>
  <c r="X852" i="22"/>
  <c r="BA852" i="22"/>
  <c r="AB852" i="22"/>
  <c r="AC852" i="22"/>
  <c r="AP852" i="22"/>
  <c r="AV852" i="22"/>
  <c r="BG852" i="22"/>
  <c r="BK852" i="22"/>
  <c r="BM852" i="22"/>
  <c r="CB852" i="22"/>
  <c r="CC852" i="22"/>
  <c r="K853" i="22"/>
  <c r="B853" i="22"/>
  <c r="A853" i="22"/>
  <c r="C853" i="22"/>
  <c r="D853" i="22"/>
  <c r="E853" i="22"/>
  <c r="H853" i="22"/>
  <c r="N853" i="22"/>
  <c r="X853" i="22"/>
  <c r="BA853" i="22"/>
  <c r="AB853" i="22"/>
  <c r="AC853" i="22"/>
  <c r="AP853" i="22"/>
  <c r="AV853" i="22"/>
  <c r="BG853" i="22"/>
  <c r="BK853" i="22"/>
  <c r="BM853" i="22"/>
  <c r="CB853" i="22"/>
  <c r="CC853" i="22"/>
  <c r="K854" i="22"/>
  <c r="B854" i="22"/>
  <c r="A854" i="22"/>
  <c r="C854" i="22"/>
  <c r="D854" i="22"/>
  <c r="E854" i="22"/>
  <c r="H854" i="22"/>
  <c r="N854" i="22"/>
  <c r="X854" i="22"/>
  <c r="BA854" i="22"/>
  <c r="AB854" i="22"/>
  <c r="AC854" i="22"/>
  <c r="AP854" i="22"/>
  <c r="AV854" i="22"/>
  <c r="BG854" i="22"/>
  <c r="BK854" i="22"/>
  <c r="BM854" i="22"/>
  <c r="CB854" i="22"/>
  <c r="CC854" i="22"/>
  <c r="K855" i="22"/>
  <c r="B855" i="22"/>
  <c r="A855" i="22"/>
  <c r="C855" i="22"/>
  <c r="D855" i="22"/>
  <c r="E855" i="22"/>
  <c r="H855" i="22"/>
  <c r="N855" i="22"/>
  <c r="X855" i="22"/>
  <c r="BA855" i="22"/>
  <c r="AB855" i="22"/>
  <c r="AC855" i="22"/>
  <c r="AP855" i="22"/>
  <c r="AV855" i="22"/>
  <c r="BG855" i="22"/>
  <c r="BK855" i="22"/>
  <c r="BM855" i="22"/>
  <c r="CB855" i="22"/>
  <c r="CC855" i="22"/>
  <c r="K856" i="22"/>
  <c r="B856" i="22"/>
  <c r="A856" i="22"/>
  <c r="C856" i="22"/>
  <c r="D856" i="22"/>
  <c r="E856" i="22"/>
  <c r="H856" i="22"/>
  <c r="N856" i="22"/>
  <c r="X856" i="22"/>
  <c r="BA856" i="22"/>
  <c r="AB856" i="22"/>
  <c r="AC856" i="22"/>
  <c r="AP856" i="22"/>
  <c r="AV856" i="22"/>
  <c r="BG856" i="22"/>
  <c r="BK856" i="22"/>
  <c r="BM856" i="22"/>
  <c r="CB856" i="22"/>
  <c r="CC856" i="22"/>
  <c r="K857" i="22"/>
  <c r="B857" i="22"/>
  <c r="A857" i="22"/>
  <c r="C857" i="22"/>
  <c r="D857" i="22"/>
  <c r="E857" i="22"/>
  <c r="H857" i="22"/>
  <c r="N857" i="22"/>
  <c r="X857" i="22"/>
  <c r="BA857" i="22"/>
  <c r="AB857" i="22"/>
  <c r="AC857" i="22"/>
  <c r="AP857" i="22"/>
  <c r="AV857" i="22"/>
  <c r="BG857" i="22"/>
  <c r="BK857" i="22"/>
  <c r="BM857" i="22"/>
  <c r="CB857" i="22"/>
  <c r="CC857" i="22"/>
  <c r="K858" i="22"/>
  <c r="B858" i="22"/>
  <c r="A858" i="22"/>
  <c r="C858" i="22"/>
  <c r="D858" i="22"/>
  <c r="E858" i="22"/>
  <c r="H858" i="22"/>
  <c r="N858" i="22"/>
  <c r="X858" i="22"/>
  <c r="BA858" i="22"/>
  <c r="AB858" i="22"/>
  <c r="AC858" i="22"/>
  <c r="AP858" i="22"/>
  <c r="AV858" i="22"/>
  <c r="BG858" i="22"/>
  <c r="BK858" i="22"/>
  <c r="BM858" i="22"/>
  <c r="CB858" i="22"/>
  <c r="CC858" i="22"/>
  <c r="K859" i="22"/>
  <c r="B859" i="22"/>
  <c r="A859" i="22"/>
  <c r="C859" i="22"/>
  <c r="D859" i="22"/>
  <c r="E859" i="22"/>
  <c r="H859" i="22"/>
  <c r="N859" i="22"/>
  <c r="X859" i="22"/>
  <c r="BA859" i="22"/>
  <c r="AB859" i="22"/>
  <c r="AC859" i="22"/>
  <c r="AP859" i="22"/>
  <c r="AV859" i="22"/>
  <c r="BG859" i="22"/>
  <c r="BK859" i="22"/>
  <c r="BM859" i="22"/>
  <c r="CB859" i="22"/>
  <c r="CC859" i="22"/>
  <c r="K860" i="22"/>
  <c r="B860" i="22"/>
  <c r="A860" i="22"/>
  <c r="C860" i="22"/>
  <c r="D860" i="22"/>
  <c r="E860" i="22"/>
  <c r="H860" i="22"/>
  <c r="N860" i="22"/>
  <c r="X860" i="22"/>
  <c r="BA860" i="22"/>
  <c r="AB860" i="22"/>
  <c r="AC860" i="22"/>
  <c r="AP860" i="22"/>
  <c r="AV860" i="22"/>
  <c r="BG860" i="22"/>
  <c r="BK860" i="22"/>
  <c r="BM860" i="22"/>
  <c r="CB860" i="22"/>
  <c r="CC860" i="22"/>
  <c r="K861" i="22"/>
  <c r="B861" i="22"/>
  <c r="A861" i="22"/>
  <c r="C861" i="22"/>
  <c r="D861" i="22"/>
  <c r="E861" i="22"/>
  <c r="H861" i="22"/>
  <c r="N861" i="22"/>
  <c r="X861" i="22"/>
  <c r="BA861" i="22"/>
  <c r="AB861" i="22"/>
  <c r="AC861" i="22"/>
  <c r="AP861" i="22"/>
  <c r="AV861" i="22"/>
  <c r="BG861" i="22"/>
  <c r="BK861" i="22"/>
  <c r="BM861" i="22"/>
  <c r="CB861" i="22"/>
  <c r="CC861" i="22"/>
  <c r="K862" i="22"/>
  <c r="B862" i="22"/>
  <c r="A862" i="22"/>
  <c r="C862" i="22"/>
  <c r="D862" i="22"/>
  <c r="E862" i="22"/>
  <c r="H862" i="22"/>
  <c r="N862" i="22"/>
  <c r="X862" i="22"/>
  <c r="BA862" i="22"/>
  <c r="AB862" i="22"/>
  <c r="AC862" i="22"/>
  <c r="AP862" i="22"/>
  <c r="AV862" i="22"/>
  <c r="BG862" i="22"/>
  <c r="BK862" i="22"/>
  <c r="BM862" i="22"/>
  <c r="CB862" i="22"/>
  <c r="CC862" i="22"/>
  <c r="K863" i="22"/>
  <c r="B863" i="22"/>
  <c r="A863" i="22"/>
  <c r="C863" i="22"/>
  <c r="D863" i="22"/>
  <c r="E863" i="22"/>
  <c r="H863" i="22"/>
  <c r="N863" i="22"/>
  <c r="X863" i="22"/>
  <c r="BA863" i="22"/>
  <c r="AB863" i="22"/>
  <c r="AC863" i="22"/>
  <c r="AP863" i="22"/>
  <c r="AV863" i="22"/>
  <c r="BG863" i="22"/>
  <c r="BK863" i="22"/>
  <c r="BM863" i="22"/>
  <c r="CB863" i="22"/>
  <c r="CC863" i="22"/>
  <c r="K864" i="22"/>
  <c r="B864" i="22"/>
  <c r="A864" i="22"/>
  <c r="C864" i="22"/>
  <c r="D864" i="22"/>
  <c r="E864" i="22"/>
  <c r="H864" i="22"/>
  <c r="N864" i="22"/>
  <c r="X864" i="22"/>
  <c r="BA864" i="22"/>
  <c r="AB864" i="22"/>
  <c r="AC864" i="22"/>
  <c r="AP864" i="22"/>
  <c r="AV864" i="22"/>
  <c r="BG864" i="22"/>
  <c r="BK864" i="22"/>
  <c r="BM864" i="22"/>
  <c r="CB864" i="22"/>
  <c r="CC864" i="22"/>
  <c r="K865" i="22"/>
  <c r="B865" i="22"/>
  <c r="A865" i="22"/>
  <c r="C865" i="22"/>
  <c r="D865" i="22"/>
  <c r="E865" i="22"/>
  <c r="H865" i="22"/>
  <c r="N865" i="22"/>
  <c r="X865" i="22"/>
  <c r="BA865" i="22"/>
  <c r="AB865" i="22"/>
  <c r="AC865" i="22"/>
  <c r="AP865" i="22"/>
  <c r="AV865" i="22"/>
  <c r="BG865" i="22"/>
  <c r="BK865" i="22"/>
  <c r="BM865" i="22"/>
  <c r="CB865" i="22"/>
  <c r="CC865" i="22"/>
  <c r="K866" i="22"/>
  <c r="B866" i="22"/>
  <c r="A866" i="22"/>
  <c r="C866" i="22"/>
  <c r="D866" i="22"/>
  <c r="E866" i="22"/>
  <c r="H866" i="22"/>
  <c r="N866" i="22"/>
  <c r="X866" i="22"/>
  <c r="BA866" i="22"/>
  <c r="AB866" i="22"/>
  <c r="AC866" i="22"/>
  <c r="AP866" i="22"/>
  <c r="AV866" i="22"/>
  <c r="BG866" i="22"/>
  <c r="BK866" i="22"/>
  <c r="BM866" i="22"/>
  <c r="CB866" i="22"/>
  <c r="CC866" i="22"/>
  <c r="K867" i="22"/>
  <c r="B867" i="22"/>
  <c r="A867" i="22"/>
  <c r="C867" i="22"/>
  <c r="D867" i="22"/>
  <c r="E867" i="22"/>
  <c r="H867" i="22"/>
  <c r="N867" i="22"/>
  <c r="X867" i="22"/>
  <c r="BA867" i="22"/>
  <c r="AB867" i="22"/>
  <c r="AC867" i="22"/>
  <c r="AP867" i="22"/>
  <c r="AV867" i="22"/>
  <c r="BG867" i="22"/>
  <c r="BK867" i="22"/>
  <c r="BM867" i="22"/>
  <c r="CB867" i="22"/>
  <c r="CC867" i="22"/>
  <c r="K868" i="22"/>
  <c r="B868" i="22"/>
  <c r="A868" i="22"/>
  <c r="C868" i="22"/>
  <c r="D868" i="22"/>
  <c r="E868" i="22"/>
  <c r="H868" i="22"/>
  <c r="N868" i="22"/>
  <c r="X868" i="22"/>
  <c r="BA868" i="22"/>
  <c r="AB868" i="22"/>
  <c r="AC868" i="22"/>
  <c r="AP868" i="22"/>
  <c r="AV868" i="22"/>
  <c r="BG868" i="22"/>
  <c r="BK868" i="22"/>
  <c r="BM868" i="22"/>
  <c r="CB868" i="22"/>
  <c r="CC868" i="22"/>
  <c r="K869" i="22"/>
  <c r="B869" i="22"/>
  <c r="A869" i="22"/>
  <c r="C869" i="22"/>
  <c r="D869" i="22"/>
  <c r="E869" i="22"/>
  <c r="H869" i="22"/>
  <c r="N869" i="22"/>
  <c r="X869" i="22"/>
  <c r="BA869" i="22"/>
  <c r="AB869" i="22"/>
  <c r="AC869" i="22"/>
  <c r="AP869" i="22"/>
  <c r="AV869" i="22"/>
  <c r="BG869" i="22"/>
  <c r="BK869" i="22"/>
  <c r="BM869" i="22"/>
  <c r="CB869" i="22"/>
  <c r="CC869" i="22"/>
  <c r="K870" i="22"/>
  <c r="B870" i="22"/>
  <c r="A870" i="22"/>
  <c r="C870" i="22"/>
  <c r="D870" i="22"/>
  <c r="E870" i="22"/>
  <c r="H870" i="22"/>
  <c r="N870" i="22"/>
  <c r="X870" i="22"/>
  <c r="BA870" i="22"/>
  <c r="AB870" i="22"/>
  <c r="AC870" i="22"/>
  <c r="AP870" i="22"/>
  <c r="AV870" i="22"/>
  <c r="BG870" i="22"/>
  <c r="BK870" i="22"/>
  <c r="BM870" i="22"/>
  <c r="CB870" i="22"/>
  <c r="CC870" i="22"/>
  <c r="K871" i="22"/>
  <c r="B871" i="22"/>
  <c r="A871" i="22"/>
  <c r="C871" i="22"/>
  <c r="D871" i="22"/>
  <c r="E871" i="22"/>
  <c r="H871" i="22"/>
  <c r="N871" i="22"/>
  <c r="X871" i="22"/>
  <c r="BA871" i="22"/>
  <c r="AB871" i="22"/>
  <c r="AC871" i="22"/>
  <c r="AP871" i="22"/>
  <c r="AV871" i="22"/>
  <c r="BG871" i="22"/>
  <c r="BK871" i="22"/>
  <c r="BM871" i="22"/>
  <c r="CB871" i="22"/>
  <c r="CC871" i="22"/>
  <c r="K872" i="22"/>
  <c r="B872" i="22"/>
  <c r="A872" i="22"/>
  <c r="C872" i="22"/>
  <c r="D872" i="22"/>
  <c r="E872" i="22"/>
  <c r="H872" i="22"/>
  <c r="N872" i="22"/>
  <c r="X872" i="22"/>
  <c r="BA872" i="22"/>
  <c r="AB872" i="22"/>
  <c r="AC872" i="22"/>
  <c r="AP872" i="22"/>
  <c r="AV872" i="22"/>
  <c r="BG872" i="22"/>
  <c r="BK872" i="22"/>
  <c r="BM872" i="22"/>
  <c r="CB872" i="22"/>
  <c r="CC872" i="22"/>
  <c r="K873" i="22"/>
  <c r="B873" i="22"/>
  <c r="A873" i="22"/>
  <c r="C873" i="22"/>
  <c r="D873" i="22"/>
  <c r="E873" i="22"/>
  <c r="H873" i="22"/>
  <c r="N873" i="22"/>
  <c r="X873" i="22"/>
  <c r="BA873" i="22"/>
  <c r="AB873" i="22"/>
  <c r="AC873" i="22"/>
  <c r="AP873" i="22"/>
  <c r="AV873" i="22"/>
  <c r="BG873" i="22"/>
  <c r="BK873" i="22"/>
  <c r="BM873" i="22"/>
  <c r="CB873" i="22"/>
  <c r="CC873" i="22"/>
  <c r="K874" i="22"/>
  <c r="B874" i="22"/>
  <c r="A874" i="22"/>
  <c r="C874" i="22"/>
  <c r="D874" i="22"/>
  <c r="E874" i="22"/>
  <c r="H874" i="22"/>
  <c r="N874" i="22"/>
  <c r="X874" i="22"/>
  <c r="BA874" i="22"/>
  <c r="AB874" i="22"/>
  <c r="AC874" i="22"/>
  <c r="AP874" i="22"/>
  <c r="AV874" i="22"/>
  <c r="BG874" i="22"/>
  <c r="BK874" i="22"/>
  <c r="BM874" i="22"/>
  <c r="CB874" i="22"/>
  <c r="CC874" i="22"/>
  <c r="K875" i="22"/>
  <c r="B875" i="22"/>
  <c r="A875" i="22"/>
  <c r="C875" i="22"/>
  <c r="D875" i="22"/>
  <c r="E875" i="22"/>
  <c r="H875" i="22"/>
  <c r="N875" i="22"/>
  <c r="X875" i="22"/>
  <c r="BA875" i="22"/>
  <c r="AB875" i="22"/>
  <c r="AC875" i="22"/>
  <c r="AP875" i="22"/>
  <c r="AV875" i="22"/>
  <c r="BG875" i="22"/>
  <c r="BK875" i="22"/>
  <c r="BM875" i="22"/>
  <c r="CB875" i="22"/>
  <c r="CC875" i="22"/>
  <c r="K876" i="22"/>
  <c r="B876" i="22"/>
  <c r="A876" i="22"/>
  <c r="C876" i="22"/>
  <c r="D876" i="22"/>
  <c r="E876" i="22"/>
  <c r="H876" i="22"/>
  <c r="N876" i="22"/>
  <c r="X876" i="22"/>
  <c r="BA876" i="22"/>
  <c r="AB876" i="22"/>
  <c r="AC876" i="22"/>
  <c r="AP876" i="22"/>
  <c r="AV876" i="22"/>
  <c r="BG876" i="22"/>
  <c r="BK876" i="22"/>
  <c r="BM876" i="22"/>
  <c r="CB876" i="22"/>
  <c r="CC876" i="22"/>
  <c r="K877" i="22"/>
  <c r="B877" i="22"/>
  <c r="A877" i="22"/>
  <c r="C877" i="22"/>
  <c r="D877" i="22"/>
  <c r="E877" i="22"/>
  <c r="H877" i="22"/>
  <c r="N877" i="22"/>
  <c r="X877" i="22"/>
  <c r="BA877" i="22"/>
  <c r="AB877" i="22"/>
  <c r="AC877" i="22"/>
  <c r="AP877" i="22"/>
  <c r="AV877" i="22"/>
  <c r="BG877" i="22"/>
  <c r="BK877" i="22"/>
  <c r="BM877" i="22"/>
  <c r="CB877" i="22"/>
  <c r="CC877" i="22"/>
  <c r="K878" i="22"/>
  <c r="B878" i="22"/>
  <c r="A878" i="22"/>
  <c r="C878" i="22"/>
  <c r="D878" i="22"/>
  <c r="E878" i="22"/>
  <c r="H878" i="22"/>
  <c r="N878" i="22"/>
  <c r="X878" i="22"/>
  <c r="BA878" i="22"/>
  <c r="AB878" i="22"/>
  <c r="AC878" i="22"/>
  <c r="AP878" i="22"/>
  <c r="AV878" i="22"/>
  <c r="BG878" i="22"/>
  <c r="BK878" i="22"/>
  <c r="BM878" i="22"/>
  <c r="CB878" i="22"/>
  <c r="CC878" i="22"/>
  <c r="K879" i="22"/>
  <c r="B879" i="22"/>
  <c r="A879" i="22"/>
  <c r="C879" i="22"/>
  <c r="D879" i="22"/>
  <c r="E879" i="22"/>
  <c r="H879" i="22"/>
  <c r="N879" i="22"/>
  <c r="X879" i="22"/>
  <c r="BA879" i="22"/>
  <c r="AB879" i="22"/>
  <c r="AC879" i="22"/>
  <c r="AP879" i="22"/>
  <c r="AV879" i="22"/>
  <c r="BG879" i="22"/>
  <c r="BK879" i="22"/>
  <c r="BM879" i="22"/>
  <c r="CB879" i="22"/>
  <c r="CC879" i="22"/>
  <c r="K880" i="22"/>
  <c r="B880" i="22"/>
  <c r="A880" i="22"/>
  <c r="C880" i="22"/>
  <c r="D880" i="22"/>
  <c r="E880" i="22"/>
  <c r="H880" i="22"/>
  <c r="N880" i="22"/>
  <c r="X880" i="22"/>
  <c r="BA880" i="22"/>
  <c r="AB880" i="22"/>
  <c r="AC880" i="22"/>
  <c r="AP880" i="22"/>
  <c r="AV880" i="22"/>
  <c r="BG880" i="22"/>
  <c r="BK880" i="22"/>
  <c r="BM880" i="22"/>
  <c r="CB880" i="22"/>
  <c r="CC880" i="22"/>
  <c r="K881" i="22"/>
  <c r="B881" i="22"/>
  <c r="A881" i="22"/>
  <c r="C881" i="22"/>
  <c r="D881" i="22"/>
  <c r="E881" i="22"/>
  <c r="H881" i="22"/>
  <c r="N881" i="22"/>
  <c r="X881" i="22"/>
  <c r="BA881" i="22"/>
  <c r="AB881" i="22"/>
  <c r="AC881" i="22"/>
  <c r="AP881" i="22"/>
  <c r="AV881" i="22"/>
  <c r="BG881" i="22"/>
  <c r="BK881" i="22"/>
  <c r="BM881" i="22"/>
  <c r="CB881" i="22"/>
  <c r="CC881" i="22"/>
  <c r="K882" i="22"/>
  <c r="B882" i="22"/>
  <c r="A882" i="22"/>
  <c r="C882" i="22"/>
  <c r="D882" i="22"/>
  <c r="E882" i="22"/>
  <c r="H882" i="22"/>
  <c r="N882" i="22"/>
  <c r="X882" i="22"/>
  <c r="BA882" i="22"/>
  <c r="AB882" i="22"/>
  <c r="AC882" i="22"/>
  <c r="AP882" i="22"/>
  <c r="AV882" i="22"/>
  <c r="BG882" i="22"/>
  <c r="BK882" i="22"/>
  <c r="BM882" i="22"/>
  <c r="CB882" i="22"/>
  <c r="CC882" i="22"/>
  <c r="K883" i="22"/>
  <c r="B883" i="22"/>
  <c r="A883" i="22"/>
  <c r="C883" i="22"/>
  <c r="D883" i="22"/>
  <c r="E883" i="22"/>
  <c r="H883" i="22"/>
  <c r="N883" i="22"/>
  <c r="X883" i="22"/>
  <c r="BA883" i="22"/>
  <c r="AB883" i="22"/>
  <c r="AC883" i="22"/>
  <c r="AP883" i="22"/>
  <c r="AV883" i="22"/>
  <c r="BG883" i="22"/>
  <c r="BK883" i="22"/>
  <c r="BM883" i="22"/>
  <c r="CB883" i="22"/>
  <c r="CC883" i="22"/>
  <c r="K884" i="22"/>
  <c r="B884" i="22"/>
  <c r="A884" i="22"/>
  <c r="C884" i="22"/>
  <c r="D884" i="22"/>
  <c r="E884" i="22"/>
  <c r="H884" i="22"/>
  <c r="N884" i="22"/>
  <c r="X884" i="22"/>
  <c r="BA884" i="22"/>
  <c r="AB884" i="22"/>
  <c r="AC884" i="22"/>
  <c r="AP884" i="22"/>
  <c r="AV884" i="22"/>
  <c r="BG884" i="22"/>
  <c r="BK884" i="22"/>
  <c r="BM884" i="22"/>
  <c r="CB884" i="22"/>
  <c r="CC884" i="22"/>
  <c r="K885" i="22"/>
  <c r="B885" i="22"/>
  <c r="A885" i="22"/>
  <c r="C885" i="22"/>
  <c r="D885" i="22"/>
  <c r="E885" i="22"/>
  <c r="H885" i="22"/>
  <c r="N885" i="22"/>
  <c r="X885" i="22"/>
  <c r="BA885" i="22"/>
  <c r="AB885" i="22"/>
  <c r="AC885" i="22"/>
  <c r="AP885" i="22"/>
  <c r="AV885" i="22"/>
  <c r="BG885" i="22"/>
  <c r="BK885" i="22"/>
  <c r="BM885" i="22"/>
  <c r="CB885" i="22"/>
  <c r="CC885" i="22"/>
  <c r="K886" i="22"/>
  <c r="B886" i="22"/>
  <c r="A886" i="22"/>
  <c r="C886" i="22"/>
  <c r="D886" i="22"/>
  <c r="E886" i="22"/>
  <c r="H886" i="22"/>
  <c r="N886" i="22"/>
  <c r="X886" i="22"/>
  <c r="BA886" i="22"/>
  <c r="AB886" i="22"/>
  <c r="AC886" i="22"/>
  <c r="AP886" i="22"/>
  <c r="AV886" i="22"/>
  <c r="BG886" i="22"/>
  <c r="BK886" i="22"/>
  <c r="BM886" i="22"/>
  <c r="CB886" i="22"/>
  <c r="CC886" i="22"/>
  <c r="K887" i="22"/>
  <c r="B887" i="22"/>
  <c r="A887" i="22"/>
  <c r="C887" i="22"/>
  <c r="D887" i="22"/>
  <c r="E887" i="22"/>
  <c r="H887" i="22"/>
  <c r="N887" i="22"/>
  <c r="X887" i="22"/>
  <c r="BA887" i="22"/>
  <c r="AB887" i="22"/>
  <c r="AC887" i="22"/>
  <c r="AP887" i="22"/>
  <c r="AV887" i="22"/>
  <c r="BG887" i="22"/>
  <c r="BK887" i="22"/>
  <c r="BM887" i="22"/>
  <c r="CB887" i="22"/>
  <c r="CC887" i="22"/>
  <c r="K888" i="22"/>
  <c r="B888" i="22"/>
  <c r="A888" i="22"/>
  <c r="C888" i="22"/>
  <c r="D888" i="22"/>
  <c r="E888" i="22"/>
  <c r="H888" i="22"/>
  <c r="N888" i="22"/>
  <c r="X888" i="22"/>
  <c r="BA888" i="22"/>
  <c r="AB888" i="22"/>
  <c r="AC888" i="22"/>
  <c r="AP888" i="22"/>
  <c r="AV888" i="22"/>
  <c r="BG888" i="22"/>
  <c r="BK888" i="22"/>
  <c r="BM888" i="22"/>
  <c r="CB888" i="22"/>
  <c r="CC888" i="22"/>
  <c r="K889" i="22"/>
  <c r="B889" i="22"/>
  <c r="A889" i="22"/>
  <c r="C889" i="22"/>
  <c r="D889" i="22"/>
  <c r="E889" i="22"/>
  <c r="H889" i="22"/>
  <c r="N889" i="22"/>
  <c r="X889" i="22"/>
  <c r="BA889" i="22"/>
  <c r="AB889" i="22"/>
  <c r="AC889" i="22"/>
  <c r="AP889" i="22"/>
  <c r="AV889" i="22"/>
  <c r="BG889" i="22"/>
  <c r="BK889" i="22"/>
  <c r="BM889" i="22"/>
  <c r="CB889" i="22"/>
  <c r="CC889" i="22"/>
  <c r="K890" i="22"/>
  <c r="B890" i="22"/>
  <c r="A890" i="22"/>
  <c r="C890" i="22"/>
  <c r="D890" i="22"/>
  <c r="E890" i="22"/>
  <c r="H890" i="22"/>
  <c r="N890" i="22"/>
  <c r="X890" i="22"/>
  <c r="BA890" i="22"/>
  <c r="AB890" i="22"/>
  <c r="AC890" i="22"/>
  <c r="AP890" i="22"/>
  <c r="AV890" i="22"/>
  <c r="BG890" i="22"/>
  <c r="BK890" i="22"/>
  <c r="BM890" i="22"/>
  <c r="CB890" i="22"/>
  <c r="CC890" i="22"/>
  <c r="K891" i="22"/>
  <c r="B891" i="22"/>
  <c r="A891" i="22"/>
  <c r="C891" i="22"/>
  <c r="D891" i="22"/>
  <c r="E891" i="22"/>
  <c r="H891" i="22"/>
  <c r="N891" i="22"/>
  <c r="X891" i="22"/>
  <c r="BA891" i="22"/>
  <c r="AB891" i="22"/>
  <c r="AC891" i="22"/>
  <c r="AP891" i="22"/>
  <c r="AV891" i="22"/>
  <c r="BG891" i="22"/>
  <c r="BK891" i="22"/>
  <c r="BM891" i="22"/>
  <c r="CB891" i="22"/>
  <c r="CC891" i="22"/>
  <c r="K892" i="22"/>
  <c r="B892" i="22"/>
  <c r="A892" i="22"/>
  <c r="C892" i="22"/>
  <c r="D892" i="22"/>
  <c r="E892" i="22"/>
  <c r="H892" i="22"/>
  <c r="N892" i="22"/>
  <c r="X892" i="22"/>
  <c r="BA892" i="22"/>
  <c r="AB892" i="22"/>
  <c r="AC892" i="22"/>
  <c r="AP892" i="22"/>
  <c r="AV892" i="22"/>
  <c r="BG892" i="22"/>
  <c r="BK892" i="22"/>
  <c r="BM892" i="22"/>
  <c r="CB892" i="22"/>
  <c r="CC892" i="22"/>
  <c r="K893" i="22"/>
  <c r="B893" i="22"/>
  <c r="A893" i="22"/>
  <c r="C893" i="22"/>
  <c r="D893" i="22"/>
  <c r="E893" i="22"/>
  <c r="H893" i="22"/>
  <c r="N893" i="22"/>
  <c r="X893" i="22"/>
  <c r="BA893" i="22"/>
  <c r="AB893" i="22"/>
  <c r="AC893" i="22"/>
  <c r="AP893" i="22"/>
  <c r="AV893" i="22"/>
  <c r="BG893" i="22"/>
  <c r="BK893" i="22"/>
  <c r="BM893" i="22"/>
  <c r="CB893" i="22"/>
  <c r="CC893" i="22"/>
  <c r="K894" i="22"/>
  <c r="B894" i="22"/>
  <c r="A894" i="22"/>
  <c r="C894" i="22"/>
  <c r="D894" i="22"/>
  <c r="E894" i="22"/>
  <c r="H894" i="22"/>
  <c r="N894" i="22"/>
  <c r="X894" i="22"/>
  <c r="BA894" i="22"/>
  <c r="AB894" i="22"/>
  <c r="AC894" i="22"/>
  <c r="AP894" i="22"/>
  <c r="AV894" i="22"/>
  <c r="BG894" i="22"/>
  <c r="BK894" i="22"/>
  <c r="BM894" i="22"/>
  <c r="CB894" i="22"/>
  <c r="CC894" i="22"/>
  <c r="K895" i="22"/>
  <c r="B895" i="22"/>
  <c r="A895" i="22"/>
  <c r="C895" i="22"/>
  <c r="D895" i="22"/>
  <c r="E895" i="22"/>
  <c r="H895" i="22"/>
  <c r="N895" i="22"/>
  <c r="X895" i="22"/>
  <c r="BA895" i="22"/>
  <c r="AB895" i="22"/>
  <c r="AC895" i="22"/>
  <c r="AP895" i="22"/>
  <c r="AV895" i="22"/>
  <c r="BG895" i="22"/>
  <c r="BK895" i="22"/>
  <c r="BM895" i="22"/>
  <c r="CB895" i="22"/>
  <c r="CC895" i="22"/>
  <c r="K896" i="22"/>
  <c r="B896" i="22"/>
  <c r="A896" i="22"/>
  <c r="C896" i="22"/>
  <c r="D896" i="22"/>
  <c r="E896" i="22"/>
  <c r="H896" i="22"/>
  <c r="N896" i="22"/>
  <c r="X896" i="22"/>
  <c r="BA896" i="22"/>
  <c r="AB896" i="22"/>
  <c r="AC896" i="22"/>
  <c r="AP896" i="22"/>
  <c r="AV896" i="22"/>
  <c r="BG896" i="22"/>
  <c r="BK896" i="22"/>
  <c r="BM896" i="22"/>
  <c r="CB896" i="22"/>
  <c r="CC896" i="22"/>
  <c r="K897" i="22"/>
  <c r="B897" i="22"/>
  <c r="A897" i="22"/>
  <c r="C897" i="22"/>
  <c r="D897" i="22"/>
  <c r="E897" i="22"/>
  <c r="H897" i="22"/>
  <c r="N897" i="22"/>
  <c r="X897" i="22"/>
  <c r="BA897" i="22"/>
  <c r="AB897" i="22"/>
  <c r="AC897" i="22"/>
  <c r="AP897" i="22"/>
  <c r="AV897" i="22"/>
  <c r="BG897" i="22"/>
  <c r="BK897" i="22"/>
  <c r="BM897" i="22"/>
  <c r="CB897" i="22"/>
  <c r="CC897" i="22"/>
  <c r="K898" i="22"/>
  <c r="B898" i="22"/>
  <c r="A898" i="22"/>
  <c r="C898" i="22"/>
  <c r="D898" i="22"/>
  <c r="E898" i="22"/>
  <c r="H898" i="22"/>
  <c r="N898" i="22"/>
  <c r="X898" i="22"/>
  <c r="BA898" i="22"/>
  <c r="AB898" i="22"/>
  <c r="AC898" i="22"/>
  <c r="AP898" i="22"/>
  <c r="AV898" i="22"/>
  <c r="BG898" i="22"/>
  <c r="BK898" i="22"/>
  <c r="BM898" i="22"/>
  <c r="CB898" i="22"/>
  <c r="CC898" i="22"/>
  <c r="K899" i="22"/>
  <c r="B899" i="22"/>
  <c r="A899" i="22"/>
  <c r="C899" i="22"/>
  <c r="D899" i="22"/>
  <c r="E899" i="22"/>
  <c r="H899" i="22"/>
  <c r="N899" i="22"/>
  <c r="X899" i="22"/>
  <c r="BA899" i="22"/>
  <c r="AB899" i="22"/>
  <c r="AC899" i="22"/>
  <c r="AP899" i="22"/>
  <c r="AV899" i="22"/>
  <c r="BG899" i="22"/>
  <c r="BK899" i="22"/>
  <c r="BM899" i="22"/>
  <c r="CB899" i="22"/>
  <c r="CC899" i="22"/>
  <c r="K900" i="22"/>
  <c r="B900" i="22"/>
  <c r="A900" i="22"/>
  <c r="C900" i="22"/>
  <c r="D900" i="22"/>
  <c r="E900" i="22"/>
  <c r="H900" i="22"/>
  <c r="N900" i="22"/>
  <c r="X900" i="22"/>
  <c r="BA900" i="22"/>
  <c r="AB900" i="22"/>
  <c r="AC900" i="22"/>
  <c r="AP900" i="22"/>
  <c r="AV900" i="22"/>
  <c r="BG900" i="22"/>
  <c r="BK900" i="22"/>
  <c r="BM900" i="22"/>
  <c r="CB900" i="22"/>
  <c r="CC900" i="22"/>
  <c r="K901" i="22"/>
  <c r="B901" i="22"/>
  <c r="A901" i="22"/>
  <c r="C901" i="22"/>
  <c r="D901" i="22"/>
  <c r="E901" i="22"/>
  <c r="H901" i="22"/>
  <c r="N901" i="22"/>
  <c r="X901" i="22"/>
  <c r="BA901" i="22"/>
  <c r="AB901" i="22"/>
  <c r="AC901" i="22"/>
  <c r="AP901" i="22"/>
  <c r="AV901" i="22"/>
  <c r="BG901" i="22"/>
  <c r="BK901" i="22"/>
  <c r="BM901" i="22"/>
  <c r="CB901" i="22"/>
  <c r="CC901" i="22"/>
  <c r="K902" i="22"/>
  <c r="B902" i="22"/>
  <c r="A902" i="22"/>
  <c r="C902" i="22"/>
  <c r="D902" i="22"/>
  <c r="E902" i="22"/>
  <c r="H902" i="22"/>
  <c r="N902" i="22"/>
  <c r="X902" i="22"/>
  <c r="BA902" i="22"/>
  <c r="AB902" i="22"/>
  <c r="AC902" i="22"/>
  <c r="AP902" i="22"/>
  <c r="AV902" i="22"/>
  <c r="BG902" i="22"/>
  <c r="BK902" i="22"/>
  <c r="BM902" i="22"/>
  <c r="CB902" i="22"/>
  <c r="CC902" i="22"/>
  <c r="K903" i="22"/>
  <c r="B903" i="22"/>
  <c r="A903" i="22"/>
  <c r="C903" i="22"/>
  <c r="D903" i="22"/>
  <c r="E903" i="22"/>
  <c r="H903" i="22"/>
  <c r="N903" i="22"/>
  <c r="X903" i="22"/>
  <c r="BA903" i="22"/>
  <c r="AB903" i="22"/>
  <c r="AC903" i="22"/>
  <c r="AP903" i="22"/>
  <c r="AV903" i="22"/>
  <c r="BG903" i="22"/>
  <c r="BK903" i="22"/>
  <c r="BM903" i="22"/>
  <c r="CB903" i="22"/>
  <c r="CC903" i="22"/>
  <c r="K904" i="22"/>
  <c r="B904" i="22"/>
  <c r="A904" i="22"/>
  <c r="C904" i="22"/>
  <c r="D904" i="22"/>
  <c r="E904" i="22"/>
  <c r="H904" i="22"/>
  <c r="N904" i="22"/>
  <c r="X904" i="22"/>
  <c r="BA904" i="22"/>
  <c r="AB904" i="22"/>
  <c r="AC904" i="22"/>
  <c r="AP904" i="22"/>
  <c r="AV904" i="22"/>
  <c r="BG904" i="22"/>
  <c r="BK904" i="22"/>
  <c r="BM904" i="22"/>
  <c r="CB904" i="22"/>
  <c r="CC904" i="22"/>
  <c r="K905" i="22"/>
  <c r="B905" i="22"/>
  <c r="A905" i="22"/>
  <c r="C905" i="22"/>
  <c r="D905" i="22"/>
  <c r="E905" i="22"/>
  <c r="H905" i="22"/>
  <c r="N905" i="22"/>
  <c r="X905" i="22"/>
  <c r="BA905" i="22"/>
  <c r="AB905" i="22"/>
  <c r="AC905" i="22"/>
  <c r="AP905" i="22"/>
  <c r="AV905" i="22"/>
  <c r="BG905" i="22"/>
  <c r="BK905" i="22"/>
  <c r="BM905" i="22"/>
  <c r="CB905" i="22"/>
  <c r="CC905" i="22"/>
  <c r="K906" i="22"/>
  <c r="B906" i="22"/>
  <c r="A906" i="22"/>
  <c r="C906" i="22"/>
  <c r="D906" i="22"/>
  <c r="E906" i="22"/>
  <c r="H906" i="22"/>
  <c r="N906" i="22"/>
  <c r="X906" i="22"/>
  <c r="BA906" i="22"/>
  <c r="AB906" i="22"/>
  <c r="AC906" i="22"/>
  <c r="AP906" i="22"/>
  <c r="AV906" i="22"/>
  <c r="BG906" i="22"/>
  <c r="BK906" i="22"/>
  <c r="BM906" i="22"/>
  <c r="CB906" i="22"/>
  <c r="CC906" i="22"/>
  <c r="K907" i="22"/>
  <c r="B907" i="22"/>
  <c r="A907" i="22"/>
  <c r="C907" i="22"/>
  <c r="D907" i="22"/>
  <c r="E907" i="22"/>
  <c r="H907" i="22"/>
  <c r="N907" i="22"/>
  <c r="X907" i="22"/>
  <c r="BA907" i="22"/>
  <c r="AB907" i="22"/>
  <c r="AC907" i="22"/>
  <c r="AP907" i="22"/>
  <c r="AV907" i="22"/>
  <c r="BG907" i="22"/>
  <c r="BK907" i="22"/>
  <c r="BM907" i="22"/>
  <c r="CB907" i="22"/>
  <c r="CC907" i="22"/>
  <c r="K908" i="22"/>
  <c r="B908" i="22"/>
  <c r="A908" i="22"/>
  <c r="C908" i="22"/>
  <c r="D908" i="22"/>
  <c r="E908" i="22"/>
  <c r="H908" i="22"/>
  <c r="N908" i="22"/>
  <c r="X908" i="22"/>
  <c r="BA908" i="22"/>
  <c r="AB908" i="22"/>
  <c r="AC908" i="22"/>
  <c r="AP908" i="22"/>
  <c r="AV908" i="22"/>
  <c r="BG908" i="22"/>
  <c r="BK908" i="22"/>
  <c r="BM908" i="22"/>
  <c r="CB908" i="22"/>
  <c r="CC908" i="22"/>
  <c r="K909" i="22"/>
  <c r="B909" i="22"/>
  <c r="A909" i="22"/>
  <c r="C909" i="22"/>
  <c r="D909" i="22"/>
  <c r="E909" i="22"/>
  <c r="H909" i="22"/>
  <c r="N909" i="22"/>
  <c r="X909" i="22"/>
  <c r="BA909" i="22"/>
  <c r="AB909" i="22"/>
  <c r="AC909" i="22"/>
  <c r="AP909" i="22"/>
  <c r="AV909" i="22"/>
  <c r="BG909" i="22"/>
  <c r="BK909" i="22"/>
  <c r="BM909" i="22"/>
  <c r="CB909" i="22"/>
  <c r="CC909" i="22"/>
  <c r="K910" i="22"/>
  <c r="B910" i="22"/>
  <c r="A910" i="22"/>
  <c r="C910" i="22"/>
  <c r="D910" i="22"/>
  <c r="E910" i="22"/>
  <c r="H910" i="22"/>
  <c r="N910" i="22"/>
  <c r="X910" i="22"/>
  <c r="BA910" i="22"/>
  <c r="AB910" i="22"/>
  <c r="AC910" i="22"/>
  <c r="AP910" i="22"/>
  <c r="AV910" i="22"/>
  <c r="BG910" i="22"/>
  <c r="BK910" i="22"/>
  <c r="BM910" i="22"/>
  <c r="CB910" i="22"/>
  <c r="CC910" i="22"/>
  <c r="K911" i="22"/>
  <c r="B911" i="22"/>
  <c r="A911" i="22"/>
  <c r="C911" i="22"/>
  <c r="D911" i="22"/>
  <c r="E911" i="22"/>
  <c r="H911" i="22"/>
  <c r="N911" i="22"/>
  <c r="X911" i="22"/>
  <c r="BA911" i="22"/>
  <c r="AB911" i="22"/>
  <c r="AC911" i="22"/>
  <c r="AP911" i="22"/>
  <c r="AV911" i="22"/>
  <c r="BG911" i="22"/>
  <c r="BK911" i="22"/>
  <c r="BM911" i="22"/>
  <c r="CB911" i="22"/>
  <c r="CC911" i="22"/>
  <c r="K912" i="22"/>
  <c r="B912" i="22"/>
  <c r="A912" i="22"/>
  <c r="C912" i="22"/>
  <c r="D912" i="22"/>
  <c r="E912" i="22"/>
  <c r="H912" i="22"/>
  <c r="N912" i="22"/>
  <c r="X912" i="22"/>
  <c r="BA912" i="22"/>
  <c r="AB912" i="22"/>
  <c r="AC912" i="22"/>
  <c r="AP912" i="22"/>
  <c r="AV912" i="22"/>
  <c r="BG912" i="22"/>
  <c r="BK912" i="22"/>
  <c r="BM912" i="22"/>
  <c r="CB912" i="22"/>
  <c r="CC912" i="22"/>
  <c r="K913" i="22"/>
  <c r="B913" i="22"/>
  <c r="A913" i="22"/>
  <c r="C913" i="22"/>
  <c r="D913" i="22"/>
  <c r="E913" i="22"/>
  <c r="H913" i="22"/>
  <c r="N913" i="22"/>
  <c r="X913" i="22"/>
  <c r="BA913" i="22"/>
  <c r="AB913" i="22"/>
  <c r="AC913" i="22"/>
  <c r="AP913" i="22"/>
  <c r="AV913" i="22"/>
  <c r="BG913" i="22"/>
  <c r="BK913" i="22"/>
  <c r="BM913" i="22"/>
  <c r="CB913" i="22"/>
  <c r="CC913" i="22"/>
  <c r="K914" i="22"/>
  <c r="B914" i="22"/>
  <c r="A914" i="22"/>
  <c r="C914" i="22"/>
  <c r="D914" i="22"/>
  <c r="E914" i="22"/>
  <c r="H914" i="22"/>
  <c r="N914" i="22"/>
  <c r="X914" i="22"/>
  <c r="BA914" i="22"/>
  <c r="AB914" i="22"/>
  <c r="AC914" i="22"/>
  <c r="AP914" i="22"/>
  <c r="AV914" i="22"/>
  <c r="BG914" i="22"/>
  <c r="BK914" i="22"/>
  <c r="BM914" i="22"/>
  <c r="CB914" i="22"/>
  <c r="CC914" i="22"/>
  <c r="K915" i="22"/>
  <c r="B915" i="22"/>
  <c r="A915" i="22"/>
  <c r="C915" i="22"/>
  <c r="D915" i="22"/>
  <c r="E915" i="22"/>
  <c r="H915" i="22"/>
  <c r="N915" i="22"/>
  <c r="X915" i="22"/>
  <c r="BA915" i="22"/>
  <c r="AB915" i="22"/>
  <c r="AC915" i="22"/>
  <c r="AP915" i="22"/>
  <c r="AV915" i="22"/>
  <c r="BG915" i="22"/>
  <c r="BK915" i="22"/>
  <c r="BM915" i="22"/>
  <c r="CB915" i="22"/>
  <c r="CC915" i="22"/>
  <c r="K916" i="22"/>
  <c r="B916" i="22"/>
  <c r="A916" i="22"/>
  <c r="C916" i="22"/>
  <c r="D916" i="22"/>
  <c r="E916" i="22"/>
  <c r="H916" i="22"/>
  <c r="N916" i="22"/>
  <c r="X916" i="22"/>
  <c r="BA916" i="22"/>
  <c r="AB916" i="22"/>
  <c r="AC916" i="22"/>
  <c r="AP916" i="22"/>
  <c r="AV916" i="22"/>
  <c r="BG916" i="22"/>
  <c r="BK916" i="22"/>
  <c r="BM916" i="22"/>
  <c r="CB916" i="22"/>
  <c r="CC916" i="22"/>
  <c r="K917" i="22"/>
  <c r="B917" i="22"/>
  <c r="A917" i="22"/>
  <c r="C917" i="22"/>
  <c r="D917" i="22"/>
  <c r="E917" i="22"/>
  <c r="H917" i="22"/>
  <c r="N917" i="22"/>
  <c r="X917" i="22"/>
  <c r="BA917" i="22"/>
  <c r="AB917" i="22"/>
  <c r="AC917" i="22"/>
  <c r="AP917" i="22"/>
  <c r="AV917" i="22"/>
  <c r="BG917" i="22"/>
  <c r="BK917" i="22"/>
  <c r="BM917" i="22"/>
  <c r="CB917" i="22"/>
  <c r="CC917" i="22"/>
  <c r="K918" i="22"/>
  <c r="B918" i="22"/>
  <c r="A918" i="22"/>
  <c r="C918" i="22"/>
  <c r="D918" i="22"/>
  <c r="E918" i="22"/>
  <c r="H918" i="22"/>
  <c r="N918" i="22"/>
  <c r="X918" i="22"/>
  <c r="BA918" i="22"/>
  <c r="AB918" i="22"/>
  <c r="AC918" i="22"/>
  <c r="AP918" i="22"/>
  <c r="AV918" i="22"/>
  <c r="BG918" i="22"/>
  <c r="BK918" i="22"/>
  <c r="BM918" i="22"/>
  <c r="CB918" i="22"/>
  <c r="CC918" i="22"/>
  <c r="K919" i="22"/>
  <c r="B919" i="22"/>
  <c r="A919" i="22"/>
  <c r="C919" i="22"/>
  <c r="D919" i="22"/>
  <c r="E919" i="22"/>
  <c r="H919" i="22"/>
  <c r="N919" i="22"/>
  <c r="X919" i="22"/>
  <c r="BA919" i="22"/>
  <c r="AB919" i="22"/>
  <c r="AC919" i="22"/>
  <c r="AP919" i="22"/>
  <c r="AV919" i="22"/>
  <c r="BG919" i="22"/>
  <c r="BK919" i="22"/>
  <c r="BM919" i="22"/>
  <c r="CB919" i="22"/>
  <c r="CC919" i="22"/>
  <c r="K920" i="22"/>
  <c r="B920" i="22"/>
  <c r="A920" i="22"/>
  <c r="C920" i="22"/>
  <c r="D920" i="22"/>
  <c r="E920" i="22"/>
  <c r="H920" i="22"/>
  <c r="N920" i="22"/>
  <c r="X920" i="22"/>
  <c r="BA920" i="22"/>
  <c r="AB920" i="22"/>
  <c r="AC920" i="22"/>
  <c r="AP920" i="22"/>
  <c r="AV920" i="22"/>
  <c r="BG920" i="22"/>
  <c r="BK920" i="22"/>
  <c r="BM920" i="22"/>
  <c r="CB920" i="22"/>
  <c r="CC920" i="22"/>
  <c r="K921" i="22"/>
  <c r="B921" i="22"/>
  <c r="A921" i="22"/>
  <c r="C921" i="22"/>
  <c r="D921" i="22"/>
  <c r="E921" i="22"/>
  <c r="H921" i="22"/>
  <c r="N921" i="22"/>
  <c r="X921" i="22"/>
  <c r="BA921" i="22"/>
  <c r="AB921" i="22"/>
  <c r="AC921" i="22"/>
  <c r="AP921" i="22"/>
  <c r="AV921" i="22"/>
  <c r="BG921" i="22"/>
  <c r="BK921" i="22"/>
  <c r="BM921" i="22"/>
  <c r="CB921" i="22"/>
  <c r="CC921" i="22"/>
  <c r="K922" i="22"/>
  <c r="B922" i="22"/>
  <c r="A922" i="22"/>
  <c r="C922" i="22"/>
  <c r="D922" i="22"/>
  <c r="E922" i="22"/>
  <c r="H922" i="22"/>
  <c r="N922" i="22"/>
  <c r="X922" i="22"/>
  <c r="BA922" i="22"/>
  <c r="AB922" i="22"/>
  <c r="AC922" i="22"/>
  <c r="AP922" i="22"/>
  <c r="AV922" i="22"/>
  <c r="BG922" i="22"/>
  <c r="BK922" i="22"/>
  <c r="BM922" i="22"/>
  <c r="CB922" i="22"/>
  <c r="CC922" i="22"/>
  <c r="K923" i="22"/>
  <c r="B923" i="22"/>
  <c r="A923" i="22"/>
  <c r="C923" i="22"/>
  <c r="D923" i="22"/>
  <c r="E923" i="22"/>
  <c r="H923" i="22"/>
  <c r="N923" i="22"/>
  <c r="X923" i="22"/>
  <c r="BA923" i="22"/>
  <c r="AB923" i="22"/>
  <c r="AC923" i="22"/>
  <c r="AP923" i="22"/>
  <c r="AV923" i="22"/>
  <c r="BG923" i="22"/>
  <c r="BK923" i="22"/>
  <c r="BM923" i="22"/>
  <c r="CB923" i="22"/>
  <c r="CC923" i="22"/>
  <c r="K924" i="22"/>
  <c r="B924" i="22"/>
  <c r="A924" i="22"/>
  <c r="C924" i="22"/>
  <c r="D924" i="22"/>
  <c r="E924" i="22"/>
  <c r="H924" i="22"/>
  <c r="N924" i="22"/>
  <c r="X924" i="22"/>
  <c r="BA924" i="22"/>
  <c r="AB924" i="22"/>
  <c r="AC924" i="22"/>
  <c r="AP924" i="22"/>
  <c r="AV924" i="22"/>
  <c r="BG924" i="22"/>
  <c r="BK924" i="22"/>
  <c r="BM924" i="22"/>
  <c r="CB924" i="22"/>
  <c r="CC924" i="22"/>
  <c r="K925" i="22"/>
  <c r="B925" i="22"/>
  <c r="A925" i="22"/>
  <c r="C925" i="22"/>
  <c r="D925" i="22"/>
  <c r="E925" i="22"/>
  <c r="H925" i="22"/>
  <c r="N925" i="22"/>
  <c r="X925" i="22"/>
  <c r="BA925" i="22"/>
  <c r="AB925" i="22"/>
  <c r="AC925" i="22"/>
  <c r="AP925" i="22"/>
  <c r="AV925" i="22"/>
  <c r="BG925" i="22"/>
  <c r="BK925" i="22"/>
  <c r="BM925" i="22"/>
  <c r="CB925" i="22"/>
  <c r="CC925" i="22"/>
  <c r="K926" i="22"/>
  <c r="B926" i="22"/>
  <c r="A926" i="22"/>
  <c r="C926" i="22"/>
  <c r="D926" i="22"/>
  <c r="E926" i="22"/>
  <c r="H926" i="22"/>
  <c r="N926" i="22"/>
  <c r="X926" i="22"/>
  <c r="BA926" i="22"/>
  <c r="AB926" i="22"/>
  <c r="AC926" i="22"/>
  <c r="AP926" i="22"/>
  <c r="AV926" i="22"/>
  <c r="BG926" i="22"/>
  <c r="BK926" i="22"/>
  <c r="BM926" i="22"/>
  <c r="CB926" i="22"/>
  <c r="CC926" i="22"/>
  <c r="K927" i="22"/>
  <c r="B927" i="22"/>
  <c r="A927" i="22"/>
  <c r="C927" i="22"/>
  <c r="D927" i="22"/>
  <c r="E927" i="22"/>
  <c r="H927" i="22"/>
  <c r="N927" i="22"/>
  <c r="X927" i="22"/>
  <c r="BA927" i="22"/>
  <c r="AB927" i="22"/>
  <c r="AC927" i="22"/>
  <c r="AP927" i="22"/>
  <c r="AV927" i="22"/>
  <c r="BG927" i="22"/>
  <c r="BK927" i="22"/>
  <c r="BM927" i="22"/>
  <c r="CB927" i="22"/>
  <c r="CC927" i="22"/>
  <c r="K928" i="22"/>
  <c r="B928" i="22"/>
  <c r="A928" i="22"/>
  <c r="C928" i="22"/>
  <c r="D928" i="22"/>
  <c r="E928" i="22"/>
  <c r="H928" i="22"/>
  <c r="N928" i="22"/>
  <c r="X928" i="22"/>
  <c r="BA928" i="22"/>
  <c r="AB928" i="22"/>
  <c r="AC928" i="22"/>
  <c r="AP928" i="22"/>
  <c r="AV928" i="22"/>
  <c r="BG928" i="22"/>
  <c r="BK928" i="22"/>
  <c r="BM928" i="22"/>
  <c r="CB928" i="22"/>
  <c r="CC928" i="22"/>
  <c r="K929" i="22"/>
  <c r="B929" i="22"/>
  <c r="A929" i="22"/>
  <c r="C929" i="22"/>
  <c r="D929" i="22"/>
  <c r="E929" i="22"/>
  <c r="H929" i="22"/>
  <c r="N929" i="22"/>
  <c r="X929" i="22"/>
  <c r="BA929" i="22"/>
  <c r="AB929" i="22"/>
  <c r="AC929" i="22"/>
  <c r="AP929" i="22"/>
  <c r="AV929" i="22"/>
  <c r="BG929" i="22"/>
  <c r="BK929" i="22"/>
  <c r="BM929" i="22"/>
  <c r="CB929" i="22"/>
  <c r="CC929" i="22"/>
  <c r="K930" i="22"/>
  <c r="B930" i="22"/>
  <c r="A930" i="22"/>
  <c r="C930" i="22"/>
  <c r="D930" i="22"/>
  <c r="E930" i="22"/>
  <c r="H930" i="22"/>
  <c r="N930" i="22"/>
  <c r="X930" i="22"/>
  <c r="BA930" i="22"/>
  <c r="AB930" i="22"/>
  <c r="AC930" i="22"/>
  <c r="AP930" i="22"/>
  <c r="AV930" i="22"/>
  <c r="BG930" i="22"/>
  <c r="BK930" i="22"/>
  <c r="BM930" i="22"/>
  <c r="CB930" i="22"/>
  <c r="CC930" i="22"/>
  <c r="K931" i="22"/>
  <c r="B931" i="22"/>
  <c r="A931" i="22"/>
  <c r="C931" i="22"/>
  <c r="D931" i="22"/>
  <c r="E931" i="22"/>
  <c r="H931" i="22"/>
  <c r="N931" i="22"/>
  <c r="X931" i="22"/>
  <c r="BA931" i="22"/>
  <c r="AB931" i="22"/>
  <c r="AC931" i="22"/>
  <c r="AP931" i="22"/>
  <c r="AV931" i="22"/>
  <c r="BG931" i="22"/>
  <c r="BK931" i="22"/>
  <c r="BM931" i="22"/>
  <c r="CB931" i="22"/>
  <c r="CC931" i="22"/>
  <c r="K932" i="22"/>
  <c r="B932" i="22"/>
  <c r="A932" i="22"/>
  <c r="C932" i="22"/>
  <c r="D932" i="22"/>
  <c r="E932" i="22"/>
  <c r="H932" i="22"/>
  <c r="N932" i="22"/>
  <c r="X932" i="22"/>
  <c r="BA932" i="22"/>
  <c r="AB932" i="22"/>
  <c r="AC932" i="22"/>
  <c r="AP932" i="22"/>
  <c r="AV932" i="22"/>
  <c r="BG932" i="22"/>
  <c r="BK932" i="22"/>
  <c r="BM932" i="22"/>
  <c r="CB932" i="22"/>
  <c r="CC932" i="22"/>
  <c r="K933" i="22"/>
  <c r="B933" i="22"/>
  <c r="A933" i="22"/>
  <c r="C933" i="22"/>
  <c r="D933" i="22"/>
  <c r="E933" i="22"/>
  <c r="H933" i="22"/>
  <c r="N933" i="22"/>
  <c r="X933" i="22"/>
  <c r="BA933" i="22"/>
  <c r="AB933" i="22"/>
  <c r="AC933" i="22"/>
  <c r="AP933" i="22"/>
  <c r="AV933" i="22"/>
  <c r="BG933" i="22"/>
  <c r="BK933" i="22"/>
  <c r="BM933" i="22"/>
  <c r="CB933" i="22"/>
  <c r="CC933" i="22"/>
  <c r="K934" i="22"/>
  <c r="B934" i="22"/>
  <c r="A934" i="22"/>
  <c r="C934" i="22"/>
  <c r="D934" i="22"/>
  <c r="E934" i="22"/>
  <c r="H934" i="22"/>
  <c r="N934" i="22"/>
  <c r="X934" i="22"/>
  <c r="BA934" i="22"/>
  <c r="AB934" i="22"/>
  <c r="AC934" i="22"/>
  <c r="AP934" i="22"/>
  <c r="AV934" i="22"/>
  <c r="BG934" i="22"/>
  <c r="BK934" i="22"/>
  <c r="BM934" i="22"/>
  <c r="CB934" i="22"/>
  <c r="CC934" i="22"/>
  <c r="K935" i="22"/>
  <c r="B935" i="22"/>
  <c r="A935" i="22"/>
  <c r="C935" i="22"/>
  <c r="D935" i="22"/>
  <c r="E935" i="22"/>
  <c r="H935" i="22"/>
  <c r="N935" i="22"/>
  <c r="X935" i="22"/>
  <c r="BA935" i="22"/>
  <c r="AB935" i="22"/>
  <c r="AC935" i="22"/>
  <c r="AP935" i="22"/>
  <c r="AV935" i="22"/>
  <c r="BG935" i="22"/>
  <c r="BK935" i="22"/>
  <c r="BM935" i="22"/>
  <c r="CB935" i="22"/>
  <c r="CC935" i="22"/>
  <c r="K936" i="22"/>
  <c r="B936" i="22"/>
  <c r="A936" i="22"/>
  <c r="C936" i="22"/>
  <c r="D936" i="22"/>
  <c r="E936" i="22"/>
  <c r="H936" i="22"/>
  <c r="N936" i="22"/>
  <c r="X936" i="22"/>
  <c r="BA936" i="22"/>
  <c r="AB936" i="22"/>
  <c r="AC936" i="22"/>
  <c r="AP936" i="22"/>
  <c r="AV936" i="22"/>
  <c r="BG936" i="22"/>
  <c r="BK936" i="22"/>
  <c r="BM936" i="22"/>
  <c r="CB936" i="22"/>
  <c r="CC936" i="22"/>
  <c r="K937" i="22"/>
  <c r="B937" i="22"/>
  <c r="A937" i="22"/>
  <c r="C937" i="22"/>
  <c r="D937" i="22"/>
  <c r="E937" i="22"/>
  <c r="H937" i="22"/>
  <c r="N937" i="22"/>
  <c r="X937" i="22"/>
  <c r="BA937" i="22"/>
  <c r="AB937" i="22"/>
  <c r="AC937" i="22"/>
  <c r="AP937" i="22"/>
  <c r="AV937" i="22"/>
  <c r="BG937" i="22"/>
  <c r="BK937" i="22"/>
  <c r="BM937" i="22"/>
  <c r="CB937" i="22"/>
  <c r="CC937" i="22"/>
  <c r="K938" i="22"/>
  <c r="B938" i="22"/>
  <c r="A938" i="22"/>
  <c r="C938" i="22"/>
  <c r="D938" i="22"/>
  <c r="E938" i="22"/>
  <c r="H938" i="22"/>
  <c r="N938" i="22"/>
  <c r="X938" i="22"/>
  <c r="BA938" i="22"/>
  <c r="AB938" i="22"/>
  <c r="AC938" i="22"/>
  <c r="AP938" i="22"/>
  <c r="AV938" i="22"/>
  <c r="BG938" i="22"/>
  <c r="BK938" i="22"/>
  <c r="BM938" i="22"/>
  <c r="CB938" i="22"/>
  <c r="CC938" i="22"/>
  <c r="K939" i="22"/>
  <c r="B939" i="22"/>
  <c r="A939" i="22"/>
  <c r="C939" i="22"/>
  <c r="D939" i="22"/>
  <c r="E939" i="22"/>
  <c r="H939" i="22"/>
  <c r="N939" i="22"/>
  <c r="X939" i="22"/>
  <c r="BA939" i="22"/>
  <c r="AB939" i="22"/>
  <c r="AC939" i="22"/>
  <c r="AP939" i="22"/>
  <c r="AV939" i="22"/>
  <c r="BG939" i="22"/>
  <c r="BK939" i="22"/>
  <c r="BM939" i="22"/>
  <c r="CB939" i="22"/>
  <c r="CC939" i="22"/>
  <c r="K940" i="22"/>
  <c r="B940" i="22"/>
  <c r="A940" i="22"/>
  <c r="C940" i="22"/>
  <c r="D940" i="22"/>
  <c r="E940" i="22"/>
  <c r="H940" i="22"/>
  <c r="N940" i="22"/>
  <c r="X940" i="22"/>
  <c r="BA940" i="22"/>
  <c r="AB940" i="22"/>
  <c r="AC940" i="22"/>
  <c r="AP940" i="22"/>
  <c r="AV940" i="22"/>
  <c r="BG940" i="22"/>
  <c r="BK940" i="22"/>
  <c r="BM940" i="22"/>
  <c r="CB940" i="22"/>
  <c r="CC940" i="22"/>
  <c r="K941" i="22"/>
  <c r="B941" i="22"/>
  <c r="A941" i="22"/>
  <c r="C941" i="22"/>
  <c r="D941" i="22"/>
  <c r="E941" i="22"/>
  <c r="H941" i="22"/>
  <c r="N941" i="22"/>
  <c r="X941" i="22"/>
  <c r="BA941" i="22"/>
  <c r="AB941" i="22"/>
  <c r="AC941" i="22"/>
  <c r="AP941" i="22"/>
  <c r="AV941" i="22"/>
  <c r="BG941" i="22"/>
  <c r="BK941" i="22"/>
  <c r="BM941" i="22"/>
  <c r="CB941" i="22"/>
  <c r="CC941" i="22"/>
  <c r="K942" i="22"/>
  <c r="B942" i="22"/>
  <c r="A942" i="22"/>
  <c r="C942" i="22"/>
  <c r="D942" i="22"/>
  <c r="E942" i="22"/>
  <c r="H942" i="22"/>
  <c r="N942" i="22"/>
  <c r="X942" i="22"/>
  <c r="BA942" i="22"/>
  <c r="AB942" i="22"/>
  <c r="AC942" i="22"/>
  <c r="AP942" i="22"/>
  <c r="AV942" i="22"/>
  <c r="BG942" i="22"/>
  <c r="BK942" i="22"/>
  <c r="BM942" i="22"/>
  <c r="CB942" i="22"/>
  <c r="CC942" i="22"/>
  <c r="K943" i="22"/>
  <c r="B943" i="22"/>
  <c r="A943" i="22"/>
  <c r="C943" i="22"/>
  <c r="D943" i="22"/>
  <c r="E943" i="22"/>
  <c r="H943" i="22"/>
  <c r="N943" i="22"/>
  <c r="X943" i="22"/>
  <c r="BA943" i="22"/>
  <c r="AB943" i="22"/>
  <c r="AC943" i="22"/>
  <c r="AP943" i="22"/>
  <c r="AV943" i="22"/>
  <c r="BG943" i="22"/>
  <c r="BK943" i="22"/>
  <c r="BM943" i="22"/>
  <c r="CB943" i="22"/>
  <c r="CC943" i="22"/>
  <c r="K944" i="22"/>
  <c r="B944" i="22"/>
  <c r="A944" i="22"/>
  <c r="C944" i="22"/>
  <c r="D944" i="22"/>
  <c r="E944" i="22"/>
  <c r="H944" i="22"/>
  <c r="N944" i="22"/>
  <c r="X944" i="22"/>
  <c r="BA944" i="22"/>
  <c r="AB944" i="22"/>
  <c r="AC944" i="22"/>
  <c r="AP944" i="22"/>
  <c r="AV944" i="22"/>
  <c r="BG944" i="22"/>
  <c r="BK944" i="22"/>
  <c r="BM944" i="22"/>
  <c r="CB944" i="22"/>
  <c r="CC944" i="22"/>
  <c r="K945" i="22"/>
  <c r="B945" i="22"/>
  <c r="A945" i="22"/>
  <c r="C945" i="22"/>
  <c r="D945" i="22"/>
  <c r="E945" i="22"/>
  <c r="H945" i="22"/>
  <c r="N945" i="22"/>
  <c r="X945" i="22"/>
  <c r="BA945" i="22"/>
  <c r="AB945" i="22"/>
  <c r="AC945" i="22"/>
  <c r="AP945" i="22"/>
  <c r="AV945" i="22"/>
  <c r="BG945" i="22"/>
  <c r="BK945" i="22"/>
  <c r="BM945" i="22"/>
  <c r="CB945" i="22"/>
  <c r="CC945" i="22"/>
  <c r="K946" i="22"/>
  <c r="B946" i="22"/>
  <c r="A946" i="22"/>
  <c r="C946" i="22"/>
  <c r="D946" i="22"/>
  <c r="E946" i="22"/>
  <c r="H946" i="22"/>
  <c r="N946" i="22"/>
  <c r="X946" i="22"/>
  <c r="BA946" i="22"/>
  <c r="AB946" i="22"/>
  <c r="AC946" i="22"/>
  <c r="AP946" i="22"/>
  <c r="AV946" i="22"/>
  <c r="BG946" i="22"/>
  <c r="BK946" i="22"/>
  <c r="BM946" i="22"/>
  <c r="CB946" i="22"/>
  <c r="CC946" i="22"/>
  <c r="K947" i="22"/>
  <c r="B947" i="22"/>
  <c r="A947" i="22"/>
  <c r="C947" i="22"/>
  <c r="D947" i="22"/>
  <c r="E947" i="22"/>
  <c r="H947" i="22"/>
  <c r="N947" i="22"/>
  <c r="X947" i="22"/>
  <c r="BA947" i="22"/>
  <c r="AB947" i="22"/>
  <c r="AC947" i="22"/>
  <c r="AP947" i="22"/>
  <c r="AV947" i="22"/>
  <c r="BG947" i="22"/>
  <c r="BK947" i="22"/>
  <c r="BM947" i="22"/>
  <c r="CB947" i="22"/>
  <c r="CC947" i="22"/>
  <c r="K948" i="22"/>
  <c r="B948" i="22"/>
  <c r="A948" i="22"/>
  <c r="C948" i="22"/>
  <c r="D948" i="22"/>
  <c r="E948" i="22"/>
  <c r="H948" i="22"/>
  <c r="N948" i="22"/>
  <c r="X948" i="22"/>
  <c r="BA948" i="22"/>
  <c r="AB948" i="22"/>
  <c r="AC948" i="22"/>
  <c r="AP948" i="22"/>
  <c r="AV948" i="22"/>
  <c r="BG948" i="22"/>
  <c r="BK948" i="22"/>
  <c r="BM948" i="22"/>
  <c r="CB948" i="22"/>
  <c r="CC948" i="22"/>
  <c r="K949" i="22"/>
  <c r="B949" i="22"/>
  <c r="A949" i="22"/>
  <c r="C949" i="22"/>
  <c r="D949" i="22"/>
  <c r="E949" i="22"/>
  <c r="H949" i="22"/>
  <c r="N949" i="22"/>
  <c r="X949" i="22"/>
  <c r="BA949" i="22"/>
  <c r="AB949" i="22"/>
  <c r="AC949" i="22"/>
  <c r="AP949" i="22"/>
  <c r="AV949" i="22"/>
  <c r="BG949" i="22"/>
  <c r="BK949" i="22"/>
  <c r="BM949" i="22"/>
  <c r="CB949" i="22"/>
  <c r="CC949" i="22"/>
  <c r="K950" i="22"/>
  <c r="B950" i="22"/>
  <c r="A950" i="22"/>
  <c r="C950" i="22"/>
  <c r="D950" i="22"/>
  <c r="E950" i="22"/>
  <c r="H950" i="22"/>
  <c r="N950" i="22"/>
  <c r="X950" i="22"/>
  <c r="BA950" i="22"/>
  <c r="AB950" i="22"/>
  <c r="AC950" i="22"/>
  <c r="AP950" i="22"/>
  <c r="AV950" i="22"/>
  <c r="BG950" i="22"/>
  <c r="BK950" i="22"/>
  <c r="BM950" i="22"/>
  <c r="CB950" i="22"/>
  <c r="CC950" i="22"/>
  <c r="K951" i="22"/>
  <c r="B951" i="22"/>
  <c r="A951" i="22"/>
  <c r="C951" i="22"/>
  <c r="D951" i="22"/>
  <c r="E951" i="22"/>
  <c r="H951" i="22"/>
  <c r="N951" i="22"/>
  <c r="X951" i="22"/>
  <c r="BA951" i="22"/>
  <c r="AB951" i="22"/>
  <c r="AC951" i="22"/>
  <c r="AP951" i="22"/>
  <c r="AV951" i="22"/>
  <c r="BG951" i="22"/>
  <c r="BK951" i="22"/>
  <c r="BM951" i="22"/>
  <c r="CB951" i="22"/>
  <c r="CC951" i="22"/>
  <c r="K952" i="22"/>
  <c r="B952" i="22"/>
  <c r="A952" i="22"/>
  <c r="C952" i="22"/>
  <c r="D952" i="22"/>
  <c r="E952" i="22"/>
  <c r="H952" i="22"/>
  <c r="N952" i="22"/>
  <c r="X952" i="22"/>
  <c r="BA952" i="22"/>
  <c r="AB952" i="22"/>
  <c r="AC952" i="22"/>
  <c r="AP952" i="22"/>
  <c r="AV952" i="22"/>
  <c r="BG952" i="22"/>
  <c r="BK952" i="22"/>
  <c r="BM952" i="22"/>
  <c r="CB952" i="22"/>
  <c r="CC952" i="22"/>
  <c r="K953" i="22"/>
  <c r="B953" i="22"/>
  <c r="A953" i="22"/>
  <c r="C953" i="22"/>
  <c r="D953" i="22"/>
  <c r="E953" i="22"/>
  <c r="H953" i="22"/>
  <c r="N953" i="22"/>
  <c r="X953" i="22"/>
  <c r="BA953" i="22"/>
  <c r="AB953" i="22"/>
  <c r="AC953" i="22"/>
  <c r="AP953" i="22"/>
  <c r="AV953" i="22"/>
  <c r="BG953" i="22"/>
  <c r="BK953" i="22"/>
  <c r="BM953" i="22"/>
  <c r="CB953" i="22"/>
  <c r="CC953" i="22"/>
  <c r="K954" i="22"/>
  <c r="B954" i="22"/>
  <c r="A954" i="22"/>
  <c r="C954" i="22"/>
  <c r="D954" i="22"/>
  <c r="E954" i="22"/>
  <c r="H954" i="22"/>
  <c r="N954" i="22"/>
  <c r="X954" i="22"/>
  <c r="BA954" i="22"/>
  <c r="AB954" i="22"/>
  <c r="AC954" i="22"/>
  <c r="AP954" i="22"/>
  <c r="AV954" i="22"/>
  <c r="BG954" i="22"/>
  <c r="BK954" i="22"/>
  <c r="BM954" i="22"/>
  <c r="CB954" i="22"/>
  <c r="CC954" i="22"/>
  <c r="K955" i="22"/>
  <c r="B955" i="22"/>
  <c r="A955" i="22"/>
  <c r="C955" i="22"/>
  <c r="D955" i="22"/>
  <c r="E955" i="22"/>
  <c r="H955" i="22"/>
  <c r="N955" i="22"/>
  <c r="X955" i="22"/>
  <c r="BA955" i="22"/>
  <c r="AB955" i="22"/>
  <c r="AC955" i="22"/>
  <c r="AP955" i="22"/>
  <c r="AV955" i="22"/>
  <c r="BG955" i="22"/>
  <c r="BK955" i="22"/>
  <c r="BM955" i="22"/>
  <c r="CB955" i="22"/>
  <c r="CC955" i="22"/>
  <c r="K956" i="22"/>
  <c r="B956" i="22"/>
  <c r="A956" i="22"/>
  <c r="C956" i="22"/>
  <c r="D956" i="22"/>
  <c r="E956" i="22"/>
  <c r="H956" i="22"/>
  <c r="N956" i="22"/>
  <c r="X956" i="22"/>
  <c r="BA956" i="22"/>
  <c r="AB956" i="22"/>
  <c r="AC956" i="22"/>
  <c r="AP956" i="22"/>
  <c r="AV956" i="22"/>
  <c r="BG956" i="22"/>
  <c r="BK956" i="22"/>
  <c r="BM956" i="22"/>
  <c r="CB956" i="22"/>
  <c r="CC956" i="22"/>
  <c r="K957" i="22"/>
  <c r="B957" i="22"/>
  <c r="A957" i="22"/>
  <c r="C957" i="22"/>
  <c r="D957" i="22"/>
  <c r="E957" i="22"/>
  <c r="H957" i="22"/>
  <c r="N957" i="22"/>
  <c r="X957" i="22"/>
  <c r="BA957" i="22"/>
  <c r="AB957" i="22"/>
  <c r="AC957" i="22"/>
  <c r="AP957" i="22"/>
  <c r="AV957" i="22"/>
  <c r="BG957" i="22"/>
  <c r="BK957" i="22"/>
  <c r="BM957" i="22"/>
  <c r="CB957" i="22"/>
  <c r="CC957" i="22"/>
  <c r="K958" i="22"/>
  <c r="B958" i="22"/>
  <c r="A958" i="22"/>
  <c r="C958" i="22"/>
  <c r="D958" i="22"/>
  <c r="E958" i="22"/>
  <c r="H958" i="22"/>
  <c r="N958" i="22"/>
  <c r="X958" i="22"/>
  <c r="BA958" i="22"/>
  <c r="AB958" i="22"/>
  <c r="AC958" i="22"/>
  <c r="AP958" i="22"/>
  <c r="AV958" i="22"/>
  <c r="BG958" i="22"/>
  <c r="BK958" i="22"/>
  <c r="BM958" i="22"/>
  <c r="CB958" i="22"/>
  <c r="CC958" i="22"/>
  <c r="K959" i="22"/>
  <c r="B959" i="22"/>
  <c r="A959" i="22"/>
  <c r="C959" i="22"/>
  <c r="D959" i="22"/>
  <c r="E959" i="22"/>
  <c r="H959" i="22"/>
  <c r="N959" i="22"/>
  <c r="X959" i="22"/>
  <c r="BA959" i="22"/>
  <c r="AB959" i="22"/>
  <c r="AC959" i="22"/>
  <c r="AP959" i="22"/>
  <c r="AV959" i="22"/>
  <c r="BG959" i="22"/>
  <c r="BK959" i="22"/>
  <c r="BM959" i="22"/>
  <c r="CB959" i="22"/>
  <c r="CC959" i="22"/>
  <c r="K960" i="22"/>
  <c r="B960" i="22"/>
  <c r="A960" i="22"/>
  <c r="C960" i="22"/>
  <c r="D960" i="22"/>
  <c r="E960" i="22"/>
  <c r="H960" i="22"/>
  <c r="N960" i="22"/>
  <c r="X960" i="22"/>
  <c r="BA960" i="22"/>
  <c r="AB960" i="22"/>
  <c r="AC960" i="22"/>
  <c r="AP960" i="22"/>
  <c r="AV960" i="22"/>
  <c r="BG960" i="22"/>
  <c r="BK960" i="22"/>
  <c r="BM960" i="22"/>
  <c r="CB960" i="22"/>
  <c r="CC960" i="22"/>
  <c r="K961" i="22"/>
  <c r="B961" i="22"/>
  <c r="A961" i="22"/>
  <c r="C961" i="22"/>
  <c r="D961" i="22"/>
  <c r="E961" i="22"/>
  <c r="H961" i="22"/>
  <c r="N961" i="22"/>
  <c r="X961" i="22"/>
  <c r="BA961" i="22"/>
  <c r="AB961" i="22"/>
  <c r="AC961" i="22"/>
  <c r="AP961" i="22"/>
  <c r="AV961" i="22"/>
  <c r="BG961" i="22"/>
  <c r="BK961" i="22"/>
  <c r="BM961" i="22"/>
  <c r="CB961" i="22"/>
  <c r="CC961" i="22"/>
  <c r="K962" i="22"/>
  <c r="B962" i="22"/>
  <c r="A962" i="22"/>
  <c r="C962" i="22"/>
  <c r="D962" i="22"/>
  <c r="E962" i="22"/>
  <c r="H962" i="22"/>
  <c r="N962" i="22"/>
  <c r="X962" i="22"/>
  <c r="BA962" i="22"/>
  <c r="AB962" i="22"/>
  <c r="AC962" i="22"/>
  <c r="AP962" i="22"/>
  <c r="AV962" i="22"/>
  <c r="BG962" i="22"/>
  <c r="BK962" i="22"/>
  <c r="BM962" i="22"/>
  <c r="CB962" i="22"/>
  <c r="CC962" i="22"/>
  <c r="K963" i="22"/>
  <c r="B963" i="22"/>
  <c r="A963" i="22"/>
  <c r="C963" i="22"/>
  <c r="D963" i="22"/>
  <c r="E963" i="22"/>
  <c r="H963" i="22"/>
  <c r="N963" i="22"/>
  <c r="X963" i="22"/>
  <c r="BA963" i="22"/>
  <c r="AB963" i="22"/>
  <c r="AC963" i="22"/>
  <c r="AP963" i="22"/>
  <c r="AV963" i="22"/>
  <c r="BG963" i="22"/>
  <c r="BK963" i="22"/>
  <c r="BM963" i="22"/>
  <c r="CB963" i="22"/>
  <c r="CC963" i="22"/>
  <c r="K964" i="22"/>
  <c r="B964" i="22"/>
  <c r="A964" i="22"/>
  <c r="C964" i="22"/>
  <c r="D964" i="22"/>
  <c r="E964" i="22"/>
  <c r="H964" i="22"/>
  <c r="N964" i="22"/>
  <c r="X964" i="22"/>
  <c r="BA964" i="22"/>
  <c r="AB964" i="22"/>
  <c r="AC964" i="22"/>
  <c r="AP964" i="22"/>
  <c r="AV964" i="22"/>
  <c r="BG964" i="22"/>
  <c r="BK964" i="22"/>
  <c r="BM964" i="22"/>
  <c r="CB964" i="22"/>
  <c r="CC964" i="22"/>
  <c r="K965" i="22"/>
  <c r="B965" i="22"/>
  <c r="A965" i="22"/>
  <c r="C965" i="22"/>
  <c r="D965" i="22"/>
  <c r="E965" i="22"/>
  <c r="H965" i="22"/>
  <c r="N965" i="22"/>
  <c r="X965" i="22"/>
  <c r="BA965" i="22"/>
  <c r="AB965" i="22"/>
  <c r="AC965" i="22"/>
  <c r="AP965" i="22"/>
  <c r="AV965" i="22"/>
  <c r="BG965" i="22"/>
  <c r="BK965" i="22"/>
  <c r="BM965" i="22"/>
  <c r="CB965" i="22"/>
  <c r="CC965" i="22"/>
  <c r="K966" i="22"/>
  <c r="B966" i="22"/>
  <c r="A966" i="22"/>
  <c r="C966" i="22"/>
  <c r="D966" i="22"/>
  <c r="E966" i="22"/>
  <c r="H966" i="22"/>
  <c r="N966" i="22"/>
  <c r="X966" i="22"/>
  <c r="BA966" i="22"/>
  <c r="AB966" i="22"/>
  <c r="AC966" i="22"/>
  <c r="AP966" i="22"/>
  <c r="AV966" i="22"/>
  <c r="BG966" i="22"/>
  <c r="BK966" i="22"/>
  <c r="BM966" i="22"/>
  <c r="CB966" i="22"/>
  <c r="CC966" i="22"/>
  <c r="K967" i="22"/>
  <c r="B967" i="22"/>
  <c r="A967" i="22"/>
  <c r="C967" i="22"/>
  <c r="D967" i="22"/>
  <c r="E967" i="22"/>
  <c r="H967" i="22"/>
  <c r="N967" i="22"/>
  <c r="X967" i="22"/>
  <c r="BA967" i="22"/>
  <c r="AB967" i="22"/>
  <c r="AC967" i="22"/>
  <c r="AP967" i="22"/>
  <c r="AV967" i="22"/>
  <c r="BG967" i="22"/>
  <c r="BK967" i="22"/>
  <c r="BM967" i="22"/>
  <c r="CB967" i="22"/>
  <c r="CC967" i="22"/>
  <c r="N8" i="35"/>
  <c r="C10" i="35"/>
  <c r="E32" i="22"/>
  <c r="H32" i="22"/>
  <c r="CB32" i="22"/>
  <c r="CC32" i="22"/>
  <c r="BA32" i="22"/>
  <c r="B38" i="20"/>
  <c r="B35" i="20"/>
  <c r="B32" i="20"/>
  <c r="B26" i="20"/>
  <c r="B23" i="20"/>
  <c r="B20" i="20"/>
  <c r="AV32" i="22"/>
  <c r="AS32" i="22"/>
  <c r="AT32" i="22"/>
  <c r="BM32" i="22"/>
  <c r="BK32" i="22"/>
  <c r="AP32" i="22"/>
  <c r="X32" i="22"/>
  <c r="P32" i="22"/>
  <c r="N32" i="22"/>
  <c r="K32" i="22"/>
  <c r="C11" i="35"/>
  <c r="G11" i="35"/>
  <c r="G10" i="35"/>
  <c r="C19" i="35"/>
  <c r="G19" i="35"/>
  <c r="C28" i="4"/>
  <c r="B49" i="4"/>
  <c r="C5" i="35"/>
  <c r="G5" i="35"/>
  <c r="C6" i="35"/>
  <c r="G6" i="35"/>
  <c r="C7" i="35"/>
  <c r="G7" i="35"/>
  <c r="C8" i="35"/>
  <c r="G8" i="35"/>
  <c r="C9" i="35"/>
  <c r="G9" i="35"/>
  <c r="C12" i="35"/>
  <c r="G12" i="35"/>
  <c r="C13" i="35"/>
  <c r="G13" i="35"/>
  <c r="C14" i="35"/>
  <c r="G14" i="35"/>
  <c r="C15" i="35"/>
  <c r="G15" i="35"/>
  <c r="C16" i="35"/>
  <c r="G16" i="35"/>
  <c r="C17" i="35"/>
  <c r="G17" i="35"/>
  <c r="C18" i="35"/>
  <c r="G18" i="35"/>
  <c r="C20" i="35"/>
  <c r="G20" i="35"/>
  <c r="C21" i="35"/>
  <c r="G21" i="35"/>
  <c r="C22" i="35"/>
  <c r="G22" i="35"/>
  <c r="C23" i="35"/>
  <c r="G23" i="35"/>
  <c r="C24" i="35"/>
  <c r="G24" i="35"/>
  <c r="C25" i="35"/>
  <c r="G25" i="35"/>
  <c r="C26" i="35"/>
  <c r="G26" i="35"/>
  <c r="C4" i="35"/>
  <c r="G4" i="35"/>
  <c r="G51" i="43"/>
  <c r="G41" i="43"/>
  <c r="G12" i="43"/>
  <c r="G7" i="43"/>
  <c r="G31" i="43"/>
  <c r="G35" i="43"/>
  <c r="D5" i="43"/>
  <c r="E5" i="43"/>
  <c r="D6" i="43"/>
  <c r="E6" i="43"/>
  <c r="D9" i="43"/>
  <c r="E9" i="43"/>
  <c r="D10" i="43"/>
  <c r="E10" i="43"/>
  <c r="D11" i="43"/>
  <c r="E11" i="43"/>
  <c r="D14" i="43"/>
  <c r="E14" i="43"/>
  <c r="D15" i="43"/>
  <c r="E15" i="43"/>
  <c r="D16" i="43"/>
  <c r="E16" i="43"/>
  <c r="D17" i="43"/>
  <c r="E17" i="43"/>
  <c r="D18" i="43"/>
  <c r="E18" i="43"/>
  <c r="D19" i="43"/>
  <c r="E19" i="43"/>
  <c r="D20" i="43"/>
  <c r="E20" i="43"/>
  <c r="D21" i="43"/>
  <c r="E21" i="43"/>
  <c r="D22" i="43"/>
  <c r="E22" i="43"/>
  <c r="D23" i="43"/>
  <c r="E23" i="43"/>
  <c r="D24" i="43"/>
  <c r="E24" i="43"/>
  <c r="D25" i="43"/>
  <c r="E25" i="43"/>
  <c r="D26" i="43"/>
  <c r="E26" i="43"/>
  <c r="D27" i="43"/>
  <c r="E27" i="43"/>
  <c r="D28" i="43"/>
  <c r="E28" i="43"/>
  <c r="D29" i="43"/>
  <c r="E29" i="43"/>
  <c r="D30" i="43"/>
  <c r="E30" i="43"/>
  <c r="D31" i="43"/>
  <c r="E31" i="43"/>
  <c r="D32" i="43"/>
  <c r="E32" i="43"/>
  <c r="D33" i="43"/>
  <c r="E33" i="43"/>
  <c r="D34" i="43"/>
  <c r="E34" i="43"/>
  <c r="D37" i="43"/>
  <c r="E37" i="43"/>
  <c r="D38" i="43"/>
  <c r="E38" i="43"/>
  <c r="D39" i="43"/>
  <c r="E39" i="43"/>
  <c r="D40" i="43"/>
  <c r="E40" i="43"/>
  <c r="D43" i="43"/>
  <c r="E43" i="43"/>
  <c r="D44" i="43"/>
  <c r="E44" i="43"/>
  <c r="D45" i="43"/>
  <c r="E45" i="43"/>
  <c r="D46" i="43"/>
  <c r="E46" i="43"/>
  <c r="D47" i="43"/>
  <c r="E47" i="43"/>
  <c r="D48" i="43"/>
  <c r="E48" i="43"/>
  <c r="D49" i="43"/>
  <c r="E49" i="43"/>
  <c r="D50" i="43"/>
  <c r="E50" i="43"/>
  <c r="D4" i="43"/>
  <c r="E4" i="43"/>
  <c r="C84" i="20"/>
  <c r="C79" i="20"/>
  <c r="C76" i="20"/>
  <c r="C73" i="20"/>
  <c r="C69" i="20"/>
  <c r="C66" i="20"/>
  <c r="C63" i="20"/>
  <c r="C60" i="20"/>
  <c r="C57" i="20"/>
  <c r="C53" i="20"/>
  <c r="C50" i="20"/>
  <c r="C47" i="20"/>
  <c r="C44" i="20"/>
  <c r="C41" i="20"/>
  <c r="C38" i="20"/>
  <c r="C35" i="20"/>
  <c r="C32" i="20"/>
  <c r="C29" i="20"/>
  <c r="C70" i="20"/>
  <c r="C81" i="20"/>
  <c r="C80" i="20"/>
  <c r="B32" i="19"/>
  <c r="B31" i="25"/>
  <c r="B25" i="4"/>
  <c r="I27" i="35"/>
  <c r="B50" i="18"/>
  <c r="G112" i="20"/>
  <c r="C18" i="20"/>
  <c r="C21" i="20"/>
  <c r="C24" i="20"/>
  <c r="C27" i="20"/>
  <c r="C30" i="20"/>
  <c r="C33" i="20"/>
  <c r="C36" i="20"/>
  <c r="C39" i="20"/>
  <c r="C42" i="20"/>
  <c r="C45" i="20"/>
  <c r="C48" i="20"/>
  <c r="C51" i="20"/>
  <c r="C54" i="20"/>
  <c r="C58" i="20"/>
  <c r="C61" i="20"/>
  <c r="C64" i="20"/>
  <c r="C67" i="20"/>
  <c r="C71" i="20"/>
  <c r="C74" i="20"/>
  <c r="C77" i="20"/>
  <c r="C82" i="20"/>
  <c r="C85" i="20"/>
  <c r="C105" i="20"/>
  <c r="C19" i="19"/>
  <c r="C23" i="19"/>
  <c r="C27" i="19"/>
  <c r="B15" i="4"/>
  <c r="C20" i="4"/>
  <c r="C23" i="4"/>
  <c r="C31" i="4"/>
  <c r="C35" i="4"/>
  <c r="C40" i="4"/>
  <c r="C43" i="4"/>
  <c r="C47" i="4"/>
  <c r="C51" i="4"/>
  <c r="C55" i="4"/>
  <c r="C20" i="18"/>
  <c r="C23" i="18"/>
  <c r="C26" i="18"/>
  <c r="C31" i="18"/>
  <c r="C34" i="18"/>
  <c r="C39" i="18"/>
  <c r="B41" i="18"/>
  <c r="C42" i="18"/>
  <c r="C45" i="18"/>
  <c r="B58" i="4"/>
  <c r="B32" i="22"/>
  <c r="A32" i="22"/>
  <c r="C32" i="22"/>
  <c r="D32" i="22"/>
  <c r="K28" i="25"/>
  <c r="B27" i="25"/>
  <c r="J20" i="25"/>
  <c r="J24" i="25"/>
  <c r="I20" i="25"/>
  <c r="B20" i="25"/>
  <c r="B21" i="25"/>
  <c r="H28" i="25"/>
  <c r="K24" i="25"/>
  <c r="J28" i="25"/>
  <c r="BG32" i="22"/>
  <c r="AB32" i="22"/>
  <c r="B23" i="25"/>
  <c r="H24" i="25"/>
  <c r="I28" i="25"/>
  <c r="B28" i="25"/>
  <c r="B29" i="25"/>
  <c r="I24" i="25"/>
  <c r="H20" i="25"/>
  <c r="C54" i="4"/>
  <c r="C53" i="4"/>
  <c r="I27" i="19"/>
  <c r="J20" i="4"/>
  <c r="B20" i="4"/>
  <c r="J20" i="18"/>
  <c r="B20" i="18"/>
  <c r="I26" i="18"/>
  <c r="I18" i="20"/>
  <c r="K18" i="20"/>
  <c r="J27" i="19"/>
  <c r="B27" i="19"/>
  <c r="K51" i="4"/>
  <c r="B44" i="18"/>
  <c r="I35" i="4"/>
  <c r="J18" i="20"/>
  <c r="I61" i="20"/>
  <c r="B45" i="20"/>
  <c r="D98" i="20"/>
  <c r="J77" i="20"/>
  <c r="J61" i="20"/>
  <c r="J24" i="20"/>
  <c r="K35" i="4"/>
  <c r="B33" i="18"/>
  <c r="C30" i="4"/>
  <c r="B30" i="4"/>
  <c r="J85" i="20"/>
  <c r="B85" i="20"/>
  <c r="P19" i="22"/>
  <c r="Q19" i="22"/>
  <c r="P24" i="22"/>
  <c r="Q24" i="22"/>
  <c r="I28" i="4"/>
  <c r="K64" i="20"/>
  <c r="L27" i="20"/>
  <c r="J70" i="20"/>
  <c r="L42" i="18"/>
  <c r="J23" i="19"/>
  <c r="B23" i="19"/>
  <c r="B18" i="20"/>
  <c r="J19" i="19"/>
  <c r="B19" i="19"/>
  <c r="B48" i="20"/>
  <c r="J39" i="20"/>
  <c r="B19" i="25"/>
  <c r="B30" i="25"/>
  <c r="C18" i="19"/>
  <c r="B18" i="19"/>
  <c r="C22" i="4"/>
  <c r="B22" i="4"/>
  <c r="L45" i="18"/>
  <c r="K43" i="4"/>
  <c r="I85" i="20"/>
  <c r="J45" i="20"/>
  <c r="J34" i="18"/>
  <c r="B34" i="18"/>
  <c r="C22" i="19"/>
  <c r="B22" i="19"/>
  <c r="B42" i="20"/>
  <c r="D99" i="20"/>
  <c r="J40" i="4"/>
  <c r="B40" i="4"/>
  <c r="K71" i="20"/>
  <c r="I47" i="4"/>
  <c r="I45" i="20"/>
  <c r="C33" i="18"/>
  <c r="K67" i="20"/>
  <c r="K19" i="19"/>
  <c r="L23" i="19"/>
  <c r="K24" i="20"/>
  <c r="I51" i="4"/>
  <c r="I64" i="20"/>
  <c r="B21" i="20"/>
  <c r="K45" i="18"/>
  <c r="J43" i="4"/>
  <c r="B43" i="4"/>
  <c r="I67" i="20"/>
  <c r="I33" i="20"/>
  <c r="K20" i="4"/>
  <c r="L54" i="20"/>
  <c r="L48" i="20"/>
  <c r="K26" i="18"/>
  <c r="I82" i="20"/>
  <c r="L39" i="20"/>
  <c r="C44" i="18"/>
  <c r="L27" i="19"/>
  <c r="C27" i="4"/>
  <c r="B27" i="4"/>
  <c r="C38" i="18"/>
  <c r="B36" i="20"/>
  <c r="B81" i="20"/>
  <c r="J80" i="20"/>
  <c r="B22" i="18"/>
  <c r="J21" i="20"/>
  <c r="K54" i="20"/>
  <c r="I42" i="20"/>
  <c r="L67" i="20"/>
  <c r="K82" i="20"/>
  <c r="J26" i="18"/>
  <c r="B26" i="18"/>
  <c r="I34" i="18"/>
  <c r="C34" i="4"/>
  <c r="B34" i="4"/>
  <c r="J74" i="20"/>
  <c r="J48" i="20"/>
  <c r="L30" i="20"/>
  <c r="K39" i="18"/>
  <c r="J23" i="18"/>
  <c r="B23" i="18"/>
  <c r="K85" i="20"/>
  <c r="K31" i="18"/>
  <c r="K39" i="20"/>
  <c r="I71" i="20"/>
  <c r="I42" i="18"/>
  <c r="I77" i="20"/>
  <c r="K40" i="4"/>
  <c r="L21" i="20"/>
  <c r="J30" i="20"/>
  <c r="K33" i="20"/>
  <c r="B33" i="20"/>
  <c r="K23" i="4"/>
  <c r="I81" i="20"/>
  <c r="K42" i="20"/>
  <c r="J51" i="20"/>
  <c r="K61" i="20"/>
  <c r="K45" i="20"/>
  <c r="K74" i="20"/>
  <c r="B39" i="20"/>
  <c r="B40" i="20"/>
  <c r="C30" i="18"/>
  <c r="B38" i="18"/>
  <c r="I43" i="4"/>
  <c r="L82" i="20"/>
  <c r="I58" i="20"/>
  <c r="I20" i="18"/>
  <c r="I23" i="4"/>
  <c r="J36" i="20"/>
  <c r="K31" i="4"/>
  <c r="I55" i="4"/>
  <c r="I23" i="18"/>
  <c r="L35" i="4"/>
  <c r="I19" i="19"/>
  <c r="L18" i="20"/>
  <c r="K27" i="20"/>
  <c r="I23" i="19"/>
  <c r="K30" i="20"/>
  <c r="I21" i="20"/>
  <c r="J51" i="4"/>
  <c r="B51" i="4"/>
  <c r="B30" i="20"/>
  <c r="J28" i="4"/>
  <c r="B28" i="4"/>
  <c r="L45" i="20"/>
  <c r="L40" i="4"/>
  <c r="B54" i="20"/>
  <c r="D97" i="20"/>
  <c r="C26" i="19"/>
  <c r="B26" i="19"/>
  <c r="I36" i="20"/>
  <c r="K24" i="22"/>
  <c r="L24" i="22"/>
  <c r="K20" i="22"/>
  <c r="L20" i="22"/>
  <c r="L31" i="4"/>
  <c r="B61" i="20"/>
  <c r="I51" i="20"/>
  <c r="K80" i="20"/>
  <c r="L36" i="20"/>
  <c r="K23" i="19"/>
  <c r="J55" i="4"/>
  <c r="B55" i="4"/>
  <c r="J81" i="20"/>
  <c r="I80" i="20"/>
  <c r="C39" i="4"/>
  <c r="B39" i="4"/>
  <c r="K28" i="4"/>
  <c r="K70" i="20"/>
  <c r="K77" i="20"/>
  <c r="J54" i="20"/>
  <c r="J35" i="4"/>
  <c r="B35" i="4"/>
  <c r="K34" i="18"/>
  <c r="B64" i="20"/>
  <c r="K51" i="20"/>
  <c r="J33" i="20"/>
  <c r="L24" i="20"/>
  <c r="K81" i="20"/>
  <c r="L71" i="20"/>
  <c r="L64" i="20"/>
  <c r="C41" i="18"/>
  <c r="B82" i="20"/>
  <c r="D102" i="20"/>
  <c r="J64" i="20"/>
  <c r="I20" i="4"/>
  <c r="L43" i="4"/>
  <c r="J42" i="20"/>
  <c r="L23" i="18"/>
  <c r="I74" i="20"/>
  <c r="I27" i="20"/>
  <c r="K58" i="20"/>
  <c r="I31" i="18"/>
  <c r="J58" i="20"/>
  <c r="J42" i="18"/>
  <c r="B42" i="18"/>
  <c r="B43" i="18"/>
  <c r="I24" i="20"/>
  <c r="I54" i="20"/>
  <c r="J82" i="20"/>
  <c r="C42" i="4"/>
  <c r="B42" i="4"/>
  <c r="J45" i="18"/>
  <c r="B45" i="18"/>
  <c r="B46" i="18"/>
  <c r="L28" i="4"/>
  <c r="I30" i="20"/>
  <c r="L42" i="20"/>
  <c r="J31" i="18"/>
  <c r="B31" i="18"/>
  <c r="I31" i="4"/>
  <c r="L33" i="20"/>
  <c r="K36" i="20"/>
  <c r="C25" i="18"/>
  <c r="L58" i="20"/>
  <c r="B58" i="20"/>
  <c r="B74" i="20"/>
  <c r="C46" i="4"/>
  <c r="B46" i="4"/>
  <c r="L47" i="4"/>
  <c r="K55" i="4"/>
  <c r="K47" i="4"/>
  <c r="B71" i="20"/>
  <c r="I48" i="20"/>
  <c r="J23" i="4"/>
  <c r="B23" i="4"/>
  <c r="J39" i="18"/>
  <c r="B39" i="18"/>
  <c r="I39" i="20"/>
  <c r="J47" i="4"/>
  <c r="B47" i="4"/>
  <c r="L61" i="20"/>
  <c r="K27" i="19"/>
  <c r="K42" i="18"/>
  <c r="L81" i="20"/>
  <c r="J67" i="20"/>
  <c r="B24" i="20"/>
  <c r="B25" i="20"/>
  <c r="I70" i="20"/>
  <c r="K21" i="20"/>
  <c r="B25" i="18"/>
  <c r="B27" i="18"/>
  <c r="J31" i="4"/>
  <c r="B31" i="4"/>
  <c r="L26" i="18"/>
  <c r="I39" i="18"/>
  <c r="B77" i="20"/>
  <c r="B76" i="20"/>
  <c r="B88" i="20"/>
  <c r="B51" i="20"/>
  <c r="I40" i="4"/>
  <c r="K23" i="18"/>
  <c r="C22" i="18"/>
  <c r="I45" i="18"/>
  <c r="K48" i="20"/>
  <c r="J27" i="20"/>
  <c r="L51" i="20"/>
  <c r="K20" i="18"/>
  <c r="B67" i="20"/>
  <c r="J71" i="20"/>
  <c r="L23" i="4"/>
  <c r="B30" i="18"/>
  <c r="L10" i="43"/>
  <c r="J34" i="25"/>
  <c r="L77" i="20"/>
  <c r="L55" i="4"/>
  <c r="L39" i="18"/>
  <c r="L80" i="20"/>
  <c r="L31" i="18"/>
  <c r="K19" i="22"/>
  <c r="L19" i="22"/>
  <c r="S7" i="35"/>
  <c r="H26" i="35"/>
  <c r="L26" i="35"/>
  <c r="P20" i="22"/>
  <c r="Q20" i="22"/>
  <c r="Q10" i="35"/>
  <c r="C50" i="4"/>
  <c r="B50" i="4"/>
  <c r="L70" i="20"/>
  <c r="C19" i="4"/>
  <c r="B19" i="4"/>
  <c r="Q8" i="35"/>
  <c r="S10" i="35"/>
  <c r="S25" i="35"/>
  <c r="N49" i="43"/>
  <c r="L51" i="4"/>
  <c r="B27" i="20"/>
  <c r="K20" i="25"/>
  <c r="K34" i="25"/>
  <c r="L34" i="18"/>
  <c r="L85" i="20"/>
  <c r="H34" i="25"/>
  <c r="K22" i="22"/>
  <c r="P22" i="22"/>
  <c r="Q22" i="22"/>
  <c r="O12" i="35"/>
  <c r="H11" i="35"/>
  <c r="H16" i="35"/>
  <c r="O6" i="35"/>
  <c r="S18" i="35"/>
  <c r="H9" i="35"/>
  <c r="Q16" i="35"/>
  <c r="Q19" i="35"/>
  <c r="O14" i="35"/>
  <c r="S11" i="35"/>
  <c r="S20" i="35"/>
  <c r="Q18" i="35"/>
  <c r="O15" i="35"/>
  <c r="H15" i="35"/>
  <c r="Q14" i="35"/>
  <c r="S8" i="35"/>
  <c r="AC32" i="22"/>
  <c r="K18" i="22"/>
  <c r="P18" i="22"/>
  <c r="N24" i="43"/>
  <c r="J38" i="43"/>
  <c r="F43" i="43"/>
  <c r="N4" i="43"/>
  <c r="L47" i="43"/>
  <c r="L48" i="43"/>
  <c r="F37" i="43"/>
  <c r="L17" i="43"/>
  <c r="F20" i="43"/>
  <c r="J22" i="43"/>
  <c r="J6" i="43"/>
  <c r="N31" i="43"/>
  <c r="J37" i="43"/>
  <c r="J44" i="43"/>
  <c r="L20" i="18"/>
  <c r="L74" i="20"/>
  <c r="N34" i="43"/>
  <c r="B24" i="25"/>
  <c r="B25" i="25"/>
  <c r="B34" i="25"/>
  <c r="I34" i="25"/>
  <c r="B54" i="4"/>
  <c r="B38" i="4"/>
  <c r="L20" i="4"/>
  <c r="S21" i="35"/>
  <c r="C17" i="19"/>
  <c r="B17" i="4"/>
  <c r="B37" i="18"/>
  <c r="B43" i="20"/>
  <c r="B22" i="20"/>
  <c r="B41" i="4"/>
  <c r="B75" i="20"/>
  <c r="B52" i="20"/>
  <c r="B62" i="20"/>
  <c r="F49" i="43"/>
  <c r="N6" i="43"/>
  <c r="F19" i="43"/>
  <c r="J11" i="43"/>
  <c r="L6" i="43"/>
  <c r="F30" i="43"/>
  <c r="L29" i="43"/>
  <c r="F6" i="43"/>
  <c r="J25" i="43"/>
  <c r="L45" i="43"/>
  <c r="N5" i="43"/>
  <c r="L21" i="43"/>
  <c r="J48" i="43"/>
  <c r="J29" i="43"/>
  <c r="L50" i="43"/>
  <c r="J21" i="43"/>
  <c r="N43" i="43"/>
  <c r="S5" i="35"/>
  <c r="N39" i="43"/>
  <c r="N25" i="43"/>
  <c r="J24" i="43"/>
  <c r="L38" i="43"/>
  <c r="F34" i="43"/>
  <c r="F24" i="43"/>
  <c r="F47" i="43"/>
  <c r="F21" i="43"/>
  <c r="L37" i="43"/>
  <c r="N16" i="43"/>
  <c r="L26" i="43"/>
  <c r="F23" i="43"/>
  <c r="N15" i="43"/>
  <c r="J19" i="43"/>
  <c r="F9" i="43"/>
  <c r="J4" i="43"/>
  <c r="J14" i="43"/>
  <c r="J34" i="43"/>
  <c r="L33" i="43"/>
  <c r="L11" i="43"/>
  <c r="F17" i="43"/>
  <c r="F22" i="43"/>
  <c r="K22" i="43"/>
  <c r="F5" i="43"/>
  <c r="J27" i="43"/>
  <c r="L18" i="43"/>
  <c r="N30" i="43"/>
  <c r="L31" i="43"/>
  <c r="O31" i="43"/>
  <c r="F29" i="43"/>
  <c r="F10" i="43"/>
  <c r="H10" i="43"/>
  <c r="N18" i="43"/>
  <c r="F40" i="43"/>
  <c r="F4" i="43"/>
  <c r="L27" i="43"/>
  <c r="F11" i="43"/>
  <c r="L25" i="43"/>
  <c r="O25" i="43"/>
  <c r="J28" i="43"/>
  <c r="L19" i="43"/>
  <c r="Q19" i="43"/>
  <c r="R19" i="43"/>
  <c r="F26" i="43"/>
  <c r="N26" i="43"/>
  <c r="O26" i="43"/>
  <c r="J9" i="43"/>
  <c r="F16" i="43"/>
  <c r="F31" i="43"/>
  <c r="N48" i="43"/>
  <c r="N44" i="43"/>
  <c r="B24" i="19"/>
  <c r="B19" i="20"/>
  <c r="R16" i="35"/>
  <c r="K29" i="43"/>
  <c r="B24" i="18"/>
  <c r="T10" i="35"/>
  <c r="Q17" i="35"/>
  <c r="O18" i="35"/>
  <c r="S22" i="35"/>
  <c r="S27" i="35"/>
  <c r="H4" i="35"/>
  <c r="H25" i="35"/>
  <c r="L25" i="35"/>
  <c r="S17" i="35"/>
  <c r="T17" i="35"/>
  <c r="Q5" i="35"/>
  <c r="H23" i="35"/>
  <c r="L23" i="35"/>
  <c r="H27" i="35"/>
  <c r="Q12" i="35"/>
  <c r="Q6" i="35"/>
  <c r="O4" i="35"/>
  <c r="P4" i="35"/>
  <c r="S26" i="35"/>
  <c r="H20" i="35"/>
  <c r="Q21" i="35"/>
  <c r="O8" i="35"/>
  <c r="O22" i="35"/>
  <c r="H13" i="35"/>
  <c r="O9" i="35"/>
  <c r="P9" i="35"/>
  <c r="O25" i="35"/>
  <c r="O27" i="35"/>
  <c r="P27" i="35"/>
  <c r="H19" i="35"/>
  <c r="Q9" i="35"/>
  <c r="Q15" i="35"/>
  <c r="V15" i="35"/>
  <c r="W15" i="35"/>
  <c r="S19" i="35"/>
  <c r="T19" i="35"/>
  <c r="O11" i="35"/>
  <c r="H5" i="35"/>
  <c r="J5" i="35"/>
  <c r="S12" i="35"/>
  <c r="S4" i="35"/>
  <c r="S23" i="35"/>
  <c r="H22" i="35"/>
  <c r="Q27" i="35"/>
  <c r="O26" i="35"/>
  <c r="P26" i="35"/>
  <c r="O10" i="35"/>
  <c r="Q24" i="35"/>
  <c r="H18" i="35"/>
  <c r="J18" i="35"/>
  <c r="Q20" i="35"/>
  <c r="O7" i="35"/>
  <c r="Q26" i="35"/>
  <c r="V26" i="35"/>
  <c r="W26" i="35"/>
  <c r="Q13" i="35"/>
  <c r="R13" i="35"/>
  <c r="O17" i="35"/>
  <c r="O23" i="35"/>
  <c r="P23" i="35"/>
  <c r="S14" i="35"/>
  <c r="T14" i="35"/>
  <c r="S13" i="35"/>
  <c r="T13" i="35"/>
  <c r="S6" i="35"/>
  <c r="D101" i="20"/>
  <c r="C21" i="19"/>
  <c r="J26" i="35"/>
  <c r="C25" i="19"/>
  <c r="S16" i="35"/>
  <c r="T16" i="35"/>
  <c r="O5" i="35"/>
  <c r="H8" i="35"/>
  <c r="V8" i="35"/>
  <c r="W8" i="35"/>
  <c r="Q25" i="35"/>
  <c r="V25" i="35"/>
  <c r="W25" i="35"/>
  <c r="H10" i="35"/>
  <c r="R10" i="35"/>
  <c r="H12" i="35"/>
  <c r="J12" i="35"/>
  <c r="Q4" i="35"/>
  <c r="Q23" i="35"/>
  <c r="Q22" i="35"/>
  <c r="Q7" i="35"/>
  <c r="T7" i="35"/>
  <c r="O21" i="35"/>
  <c r="H17" i="35"/>
  <c r="S15" i="35"/>
  <c r="O13" i="35"/>
  <c r="H21" i="35"/>
  <c r="L21" i="35"/>
  <c r="O19" i="35"/>
  <c r="O24" i="35"/>
  <c r="S24" i="35"/>
  <c r="T24" i="35"/>
  <c r="S9" i="35"/>
  <c r="H14" i="35"/>
  <c r="R14" i="35"/>
  <c r="Q11" i="35"/>
  <c r="V11" i="35"/>
  <c r="W11" i="35"/>
  <c r="H24" i="35"/>
  <c r="O20" i="35"/>
  <c r="O16" i="35"/>
  <c r="P16" i="35"/>
  <c r="F33" i="43"/>
  <c r="B52" i="4"/>
  <c r="B78" i="20"/>
  <c r="B29" i="4"/>
  <c r="B29" i="18"/>
  <c r="B26" i="4"/>
  <c r="C45" i="4"/>
  <c r="B86" i="20"/>
  <c r="I61" i="4"/>
  <c r="D96" i="20"/>
  <c r="B35" i="18"/>
  <c r="C49" i="4"/>
  <c r="C33" i="4"/>
  <c r="B46" i="20"/>
  <c r="B56" i="20"/>
  <c r="B32" i="4"/>
  <c r="H7" i="35"/>
  <c r="M17" i="43"/>
  <c r="B65" i="20"/>
  <c r="K11" i="43"/>
  <c r="K6" i="43"/>
  <c r="M6" i="43"/>
  <c r="M11" i="43"/>
  <c r="M31" i="43"/>
  <c r="D100" i="20"/>
  <c r="J17" i="43"/>
  <c r="K17" i="43"/>
  <c r="N32" i="43"/>
  <c r="L30" i="43"/>
  <c r="Q30" i="43"/>
  <c r="R30" i="43"/>
  <c r="L4" i="43"/>
  <c r="O4" i="43"/>
  <c r="N27" i="43"/>
  <c r="O27" i="43"/>
  <c r="L49" i="43"/>
  <c r="Q49" i="43"/>
  <c r="R49" i="43"/>
  <c r="L20" i="43"/>
  <c r="Q20" i="43"/>
  <c r="R20" i="43"/>
  <c r="L5" i="43"/>
  <c r="F14" i="43"/>
  <c r="K14" i="43"/>
  <c r="L15" i="43"/>
  <c r="J45" i="43"/>
  <c r="J31" i="43"/>
  <c r="K31" i="43"/>
  <c r="J30" i="43"/>
  <c r="K30" i="43"/>
  <c r="F38" i="43"/>
  <c r="K38" i="43"/>
  <c r="L16" i="43"/>
  <c r="O16" i="43"/>
  <c r="J49" i="43"/>
  <c r="K49" i="43"/>
  <c r="J33" i="43"/>
  <c r="N46" i="43"/>
  <c r="J50" i="43"/>
  <c r="J20" i="43"/>
  <c r="K20" i="43"/>
  <c r="L44" i="43"/>
  <c r="O44" i="43"/>
  <c r="J40" i="43"/>
  <c r="K40" i="43"/>
  <c r="F39" i="43"/>
  <c r="H39" i="43"/>
  <c r="N9" i="43"/>
  <c r="N40" i="43"/>
  <c r="N17" i="43"/>
  <c r="O17" i="43"/>
  <c r="J43" i="43"/>
  <c r="K43" i="43"/>
  <c r="N21" i="43"/>
  <c r="O21" i="43"/>
  <c r="F44" i="43"/>
  <c r="H44" i="43"/>
  <c r="F46" i="43"/>
  <c r="H46" i="43"/>
  <c r="J47" i="43"/>
  <c r="K47" i="43"/>
  <c r="J16" i="43"/>
  <c r="K16" i="43"/>
  <c r="J18" i="43"/>
  <c r="J32" i="43"/>
  <c r="L39" i="43"/>
  <c r="O39" i="43"/>
  <c r="J15" i="43"/>
  <c r="F32" i="43"/>
  <c r="H32" i="43"/>
  <c r="J23" i="43"/>
  <c r="K23" i="43"/>
  <c r="F27" i="43"/>
  <c r="H27" i="43"/>
  <c r="L28" i="43"/>
  <c r="N29" i="43"/>
  <c r="O29" i="43"/>
  <c r="N14" i="43"/>
  <c r="L23" i="43"/>
  <c r="Q23" i="43"/>
  <c r="R23" i="43"/>
  <c r="J10" i="43"/>
  <c r="J12" i="43"/>
  <c r="L40" i="43"/>
  <c r="M40" i="43"/>
  <c r="L9" i="43"/>
  <c r="M9" i="43"/>
  <c r="F15" i="43"/>
  <c r="H15" i="43"/>
  <c r="F18" i="43"/>
  <c r="H18" i="43"/>
  <c r="F25" i="43"/>
  <c r="K25" i="43"/>
  <c r="L32" i="43"/>
  <c r="L43" i="43"/>
  <c r="M43" i="43"/>
  <c r="J26" i="43"/>
  <c r="K26" i="43"/>
  <c r="F28" i="43"/>
  <c r="K28" i="43"/>
  <c r="J5" i="43"/>
  <c r="J7" i="43"/>
  <c r="N11" i="43"/>
  <c r="O11" i="43"/>
  <c r="N22" i="43"/>
  <c r="F48" i="43"/>
  <c r="K48" i="43"/>
  <c r="J46" i="43"/>
  <c r="N37" i="43"/>
  <c r="O37" i="43"/>
  <c r="F45" i="43"/>
  <c r="M45" i="43"/>
  <c r="L14" i="43"/>
  <c r="Q14" i="43"/>
  <c r="R14" i="43"/>
  <c r="L34" i="43"/>
  <c r="O34" i="43"/>
  <c r="N20" i="43"/>
  <c r="O20" i="43"/>
  <c r="L24" i="43"/>
  <c r="N28" i="43"/>
  <c r="N23" i="43"/>
  <c r="N50" i="43"/>
  <c r="O50" i="43"/>
  <c r="L46" i="43"/>
  <c r="J39" i="43"/>
  <c r="L22" i="43"/>
  <c r="M22" i="43"/>
  <c r="N19" i="43"/>
  <c r="O19" i="43"/>
  <c r="D103" i="20"/>
  <c r="B40" i="18"/>
  <c r="L61" i="4"/>
  <c r="B37" i="20"/>
  <c r="B24" i="4"/>
  <c r="B49" i="20"/>
  <c r="H6" i="35"/>
  <c r="R6" i="35"/>
  <c r="N47" i="43"/>
  <c r="O47" i="43"/>
  <c r="P21" i="22"/>
  <c r="Q21" i="22"/>
  <c r="I54" i="18"/>
  <c r="I92" i="20"/>
  <c r="B55" i="20"/>
  <c r="B48" i="4"/>
  <c r="B31" i="20"/>
  <c r="B44" i="4"/>
  <c r="J54" i="18"/>
  <c r="J35" i="19"/>
  <c r="B20" i="19"/>
  <c r="B68" i="20"/>
  <c r="B59" i="20"/>
  <c r="J92" i="20"/>
  <c r="J61" i="4"/>
  <c r="B83" i="20"/>
  <c r="B36" i="4"/>
  <c r="B34" i="20"/>
  <c r="T26" i="35"/>
  <c r="K35" i="19"/>
  <c r="K61" i="4"/>
  <c r="K54" i="18"/>
  <c r="T12" i="35"/>
  <c r="K92" i="20"/>
  <c r="C19" i="18"/>
  <c r="C47" i="18"/>
  <c r="T11" i="35"/>
  <c r="B32" i="18"/>
  <c r="B72" i="20"/>
  <c r="I35" i="19"/>
  <c r="B21" i="4"/>
  <c r="R26" i="35"/>
  <c r="T8" i="35"/>
  <c r="N33" i="43"/>
  <c r="N38" i="43"/>
  <c r="O38" i="43"/>
  <c r="B28" i="20"/>
  <c r="F50" i="43"/>
  <c r="H50" i="43"/>
  <c r="N45" i="43"/>
  <c r="R8" i="35"/>
  <c r="B80" i="20"/>
  <c r="K23" i="22"/>
  <c r="L23" i="22"/>
  <c r="B19" i="18"/>
  <c r="K21" i="22"/>
  <c r="L21" i="22"/>
  <c r="T21" i="35"/>
  <c r="T6" i="35"/>
  <c r="L54" i="18"/>
  <c r="M10" i="43"/>
  <c r="R11" i="35"/>
  <c r="L19" i="19"/>
  <c r="L35" i="19"/>
  <c r="N10" i="43"/>
  <c r="O10" i="43"/>
  <c r="D95" i="20"/>
  <c r="L92" i="20"/>
  <c r="Q10" i="43"/>
  <c r="R10" i="43"/>
  <c r="B16" i="20"/>
  <c r="R19" i="35"/>
  <c r="P23" i="22"/>
  <c r="Q23" i="22"/>
  <c r="P11" i="35"/>
  <c r="B70" i="20"/>
  <c r="R18" i="35"/>
  <c r="H49" i="43"/>
  <c r="K37" i="43"/>
  <c r="H34" i="43"/>
  <c r="H19" i="43"/>
  <c r="H24" i="43"/>
  <c r="Q47" i="43"/>
  <c r="R47" i="43"/>
  <c r="H47" i="43"/>
  <c r="Q21" i="43"/>
  <c r="R21" i="43"/>
  <c r="H21" i="43"/>
  <c r="M37" i="43"/>
  <c r="H30" i="43"/>
  <c r="H23" i="43"/>
  <c r="H20" i="43"/>
  <c r="K19" i="43"/>
  <c r="H9" i="43"/>
  <c r="F12" i="43"/>
  <c r="Q6" i="43"/>
  <c r="R6" i="43"/>
  <c r="H6" i="43"/>
  <c r="K4" i="43"/>
  <c r="Q37" i="43"/>
  <c r="R37" i="43"/>
  <c r="H37" i="43"/>
  <c r="K34" i="43"/>
  <c r="M47" i="43"/>
  <c r="Q17" i="43"/>
  <c r="R17" i="43"/>
  <c r="H17" i="43"/>
  <c r="H22" i="43"/>
  <c r="N7" i="43"/>
  <c r="H5" i="43"/>
  <c r="M21" i="43"/>
  <c r="H43" i="43"/>
  <c r="H4" i="43"/>
  <c r="F7" i="43"/>
  <c r="Q11" i="43"/>
  <c r="R11" i="43"/>
  <c r="H11" i="43"/>
  <c r="Q29" i="43"/>
  <c r="R29" i="43"/>
  <c r="H29" i="43"/>
  <c r="M19" i="43"/>
  <c r="Q26" i="43"/>
  <c r="R26" i="43"/>
  <c r="H26" i="43"/>
  <c r="O18" i="43"/>
  <c r="K9" i="43"/>
  <c r="K21" i="43"/>
  <c r="H16" i="43"/>
  <c r="H40" i="43"/>
  <c r="H31" i="43"/>
  <c r="L18" i="22"/>
  <c r="L8" i="35"/>
  <c r="M8" i="35"/>
  <c r="L15" i="35"/>
  <c r="J15" i="35"/>
  <c r="P15" i="35"/>
  <c r="J22" i="35"/>
  <c r="L22" i="35"/>
  <c r="L5" i="35"/>
  <c r="L19" i="35"/>
  <c r="J19" i="35"/>
  <c r="V19" i="35"/>
  <c r="W19" i="35"/>
  <c r="J13" i="35"/>
  <c r="L13" i="35"/>
  <c r="L20" i="35"/>
  <c r="J20" i="35"/>
  <c r="L22" i="22"/>
  <c r="Q18" i="22"/>
  <c r="L18" i="35"/>
  <c r="M18" i="35"/>
  <c r="V18" i="35"/>
  <c r="W18" i="35"/>
  <c r="R22" i="35"/>
  <c r="V9" i="35"/>
  <c r="W9" i="35"/>
  <c r="L9" i="35"/>
  <c r="J9" i="35"/>
  <c r="L17" i="35"/>
  <c r="M17" i="35"/>
  <c r="T18" i="35"/>
  <c r="T15" i="35"/>
  <c r="L16" i="35"/>
  <c r="M16" i="35"/>
  <c r="V16" i="35"/>
  <c r="W16" i="35"/>
  <c r="J16" i="35"/>
  <c r="J21" i="35"/>
  <c r="L11" i="35"/>
  <c r="J11" i="35"/>
  <c r="O48" i="43"/>
  <c r="P18" i="35"/>
  <c r="B28" i="19"/>
  <c r="B29" i="19"/>
  <c r="B35" i="19"/>
  <c r="B57" i="4"/>
  <c r="B61" i="4"/>
  <c r="B56" i="4"/>
  <c r="T4" i="35"/>
  <c r="V5" i="35"/>
  <c r="W5" i="35"/>
  <c r="P12" i="35"/>
  <c r="L12" i="35"/>
  <c r="V12" i="35"/>
  <c r="W12" i="35"/>
  <c r="J10" i="35"/>
  <c r="V10" i="35"/>
  <c r="W10" i="35"/>
  <c r="M29" i="43"/>
  <c r="P19" i="35"/>
  <c r="P13" i="35"/>
  <c r="R23" i="35"/>
  <c r="R27" i="35"/>
  <c r="O49" i="43"/>
  <c r="K44" i="43"/>
  <c r="V13" i="35"/>
  <c r="W13" i="35"/>
  <c r="R15" i="35"/>
  <c r="Q31" i="43"/>
  <c r="R31" i="43"/>
  <c r="O33" i="43"/>
  <c r="O15" i="43"/>
  <c r="M26" i="43"/>
  <c r="J23" i="35"/>
  <c r="P20" i="35"/>
  <c r="T22" i="35"/>
  <c r="V4" i="35"/>
  <c r="W4" i="35"/>
  <c r="P17" i="35"/>
  <c r="L7" i="43"/>
  <c r="M7" i="43"/>
  <c r="V7" i="35"/>
  <c r="W7" i="35"/>
  <c r="J14" i="35"/>
  <c r="R4" i="35"/>
  <c r="P5" i="35"/>
  <c r="O6" i="43"/>
  <c r="K24" i="43"/>
  <c r="M20" i="43"/>
  <c r="O30" i="43"/>
  <c r="M30" i="43"/>
  <c r="M16" i="43"/>
  <c r="P7" i="35"/>
  <c r="P10" i="35"/>
  <c r="M49" i="43"/>
  <c r="P8" i="35"/>
  <c r="L10" i="35"/>
  <c r="J8" i="35"/>
  <c r="P24" i="35"/>
  <c r="Q16" i="43"/>
  <c r="R16" i="43"/>
  <c r="H14" i="43"/>
  <c r="R12" i="35"/>
  <c r="Q44" i="43"/>
  <c r="R44" i="43"/>
  <c r="Q43" i="43"/>
  <c r="R43" i="43"/>
  <c r="M48" i="43"/>
  <c r="M38" i="43"/>
  <c r="K33" i="43"/>
  <c r="H33" i="43"/>
  <c r="V14" i="35"/>
  <c r="W14" i="35"/>
  <c r="Q46" i="43"/>
  <c r="R46" i="43"/>
  <c r="Q38" i="43"/>
  <c r="R38" i="43"/>
  <c r="K10" i="43"/>
  <c r="L51" i="43"/>
  <c r="Q34" i="43"/>
  <c r="R34" i="43"/>
  <c r="M34" i="43"/>
  <c r="V22" i="35"/>
  <c r="W22" i="35"/>
  <c r="V27" i="35"/>
  <c r="W27" i="35"/>
  <c r="T27" i="35"/>
  <c r="J7" i="35"/>
  <c r="L7" i="35"/>
  <c r="M7" i="35"/>
  <c r="Q24" i="43"/>
  <c r="R24" i="43"/>
  <c r="O24" i="43"/>
  <c r="H45" i="43"/>
  <c r="Q45" i="43"/>
  <c r="R45" i="43"/>
  <c r="M18" i="43"/>
  <c r="Q18" i="43"/>
  <c r="R18" i="43"/>
  <c r="L12" i="43"/>
  <c r="M12" i="43"/>
  <c r="Q9" i="43"/>
  <c r="R9" i="43"/>
  <c r="F41" i="43"/>
  <c r="H38" i="43"/>
  <c r="H41" i="43"/>
  <c r="M5" i="43"/>
  <c r="O5" i="43"/>
  <c r="Q5" i="43"/>
  <c r="R5" i="43"/>
  <c r="Q4" i="43"/>
  <c r="R4" i="43"/>
  <c r="M4" i="43"/>
  <c r="Q33" i="43"/>
  <c r="R33" i="43"/>
  <c r="M33" i="43"/>
  <c r="L24" i="35"/>
  <c r="J24" i="35"/>
  <c r="V24" i="35"/>
  <c r="W24" i="35"/>
  <c r="L14" i="35"/>
  <c r="P14" i="35"/>
  <c r="V17" i="35"/>
  <c r="W17" i="35"/>
  <c r="R17" i="35"/>
  <c r="J17" i="35"/>
  <c r="R7" i="35"/>
  <c r="V23" i="35"/>
  <c r="W23" i="35"/>
  <c r="T23" i="35"/>
  <c r="T25" i="35"/>
  <c r="R25" i="35"/>
  <c r="R20" i="35"/>
  <c r="T20" i="35"/>
  <c r="V20" i="35"/>
  <c r="W20" i="35"/>
  <c r="R24" i="35"/>
  <c r="T9" i="35"/>
  <c r="R9" i="35"/>
  <c r="P22" i="35"/>
  <c r="R21" i="35"/>
  <c r="V21" i="35"/>
  <c r="W21" i="35"/>
  <c r="T5" i="35"/>
  <c r="R5" i="35"/>
  <c r="J25" i="35"/>
  <c r="P25" i="35"/>
  <c r="J41" i="43"/>
  <c r="K41" i="43"/>
  <c r="Q15" i="43"/>
  <c r="R15" i="43"/>
  <c r="P21" i="35"/>
  <c r="J4" i="35"/>
  <c r="L4" i="35"/>
  <c r="Q28" i="43"/>
  <c r="R28" i="43"/>
  <c r="M32" i="43"/>
  <c r="Q32" i="43"/>
  <c r="R32" i="43"/>
  <c r="Q39" i="43"/>
  <c r="R39" i="43"/>
  <c r="H48" i="43"/>
  <c r="H51" i="43"/>
  <c r="Q25" i="43"/>
  <c r="R25" i="43"/>
  <c r="M39" i="43"/>
  <c r="Q27" i="43"/>
  <c r="R27" i="43"/>
  <c r="M27" i="43"/>
  <c r="K27" i="43"/>
  <c r="F35" i="43"/>
  <c r="O43" i="43"/>
  <c r="H25" i="43"/>
  <c r="M23" i="43"/>
  <c r="Q40" i="43"/>
  <c r="R40" i="43"/>
  <c r="M25" i="43"/>
  <c r="L41" i="43"/>
  <c r="H28" i="43"/>
  <c r="O23" i="43"/>
  <c r="J51" i="43"/>
  <c r="K5" i="43"/>
  <c r="D104" i="20"/>
  <c r="M24" i="43"/>
  <c r="K46" i="43"/>
  <c r="J35" i="43"/>
  <c r="L35" i="43"/>
  <c r="M35" i="43"/>
  <c r="M46" i="43"/>
  <c r="Q22" i="43"/>
  <c r="R22" i="43"/>
  <c r="M50" i="43"/>
  <c r="O28" i="43"/>
  <c r="M28" i="43"/>
  <c r="K39" i="43"/>
  <c r="M14" i="43"/>
  <c r="Q48" i="43"/>
  <c r="R48" i="43"/>
  <c r="K12" i="43"/>
  <c r="K32" i="43"/>
  <c r="O22" i="43"/>
  <c r="O14" i="43"/>
  <c r="K15" i="43"/>
  <c r="O9" i="43"/>
  <c r="O46" i="43"/>
  <c r="M15" i="43"/>
  <c r="O32" i="43"/>
  <c r="K18" i="43"/>
  <c r="O40" i="43"/>
  <c r="M44" i="43"/>
  <c r="K45" i="43"/>
  <c r="N51" i="43"/>
  <c r="P6" i="35"/>
  <c r="L6" i="35"/>
  <c r="M6" i="35"/>
  <c r="V6" i="35"/>
  <c r="W6" i="35"/>
  <c r="J6" i="35"/>
  <c r="O45" i="43"/>
  <c r="N35" i="43"/>
  <c r="N41" i="43"/>
  <c r="F51" i="43"/>
  <c r="K50" i="43"/>
  <c r="Q50" i="43"/>
  <c r="R50" i="43"/>
  <c r="B87" i="20"/>
  <c r="B92" i="20"/>
  <c r="B47" i="18"/>
  <c r="B54" i="18"/>
  <c r="B21" i="18"/>
  <c r="B18" i="18"/>
  <c r="Q12" i="43"/>
  <c r="R12" i="43"/>
  <c r="D90" i="20"/>
  <c r="N12" i="43"/>
  <c r="O12" i="43"/>
  <c r="H7" i="43"/>
  <c r="K7" i="43"/>
  <c r="O7" i="43"/>
  <c r="H12" i="43"/>
  <c r="Q7" i="43"/>
  <c r="R7" i="43"/>
  <c r="O51" i="43"/>
  <c r="Q41" i="43"/>
  <c r="R41" i="43"/>
  <c r="O41" i="43"/>
  <c r="K51" i="43"/>
  <c r="M41" i="43"/>
  <c r="K35" i="43"/>
  <c r="H35" i="43"/>
  <c r="F52" i="43"/>
  <c r="F53" i="43"/>
  <c r="Q35" i="43"/>
  <c r="R35" i="43"/>
  <c r="J27" i="35"/>
  <c r="O35" i="43"/>
  <c r="M51" i="43"/>
  <c r="Q51" i="43"/>
  <c r="R51" i="43"/>
</calcChain>
</file>

<file path=xl/comments1.xml><?xml version="1.0" encoding="utf-8"?>
<comments xmlns="http://schemas.openxmlformats.org/spreadsheetml/2006/main">
  <authors>
    <author>JCTR</author>
  </authors>
  <commentList>
    <comment ref="B24" authorId="0">
      <text>
        <r>
          <rPr>
            <b/>
            <sz val="9"/>
            <color indexed="81"/>
            <rFont val="Tahoma"/>
            <family val="2"/>
          </rPr>
          <t>JCTR:</t>
        </r>
        <r>
          <rPr>
            <sz val="9"/>
            <color indexed="81"/>
            <rFont val="Tahoma"/>
            <family val="2"/>
          </rPr>
          <t xml:space="preserve">
Esto pasó a Monumentos</t>
        </r>
      </text>
    </comment>
    <comment ref="B29" authorId="0">
      <text>
        <r>
          <rPr>
            <b/>
            <sz val="9"/>
            <color indexed="81"/>
            <rFont val="Tahoma"/>
            <family val="2"/>
          </rPr>
          <t>JCTR:</t>
        </r>
        <r>
          <rPr>
            <sz val="9"/>
            <color indexed="81"/>
            <rFont val="Tahoma"/>
            <family val="2"/>
          </rPr>
          <t xml:space="preserve">
Esto pasó a monumentos</t>
        </r>
      </text>
    </comment>
    <comment ref="B30" authorId="0">
      <text>
        <r>
          <rPr>
            <b/>
            <sz val="9"/>
            <color indexed="81"/>
            <rFont val="Tahoma"/>
            <family val="2"/>
          </rPr>
          <t>JCTR:</t>
        </r>
        <r>
          <rPr>
            <sz val="9"/>
            <color indexed="81"/>
            <rFont val="Tahoma"/>
            <family val="2"/>
          </rPr>
          <t xml:space="preserve">
Esto pasó a monumentos</t>
        </r>
      </text>
    </comment>
  </commentList>
</comments>
</file>

<file path=xl/comments2.xml><?xml version="1.0" encoding="utf-8"?>
<comments xmlns="http://schemas.openxmlformats.org/spreadsheetml/2006/main">
  <authors>
    <author>JCTR</author>
    <author>Orlando Arias</author>
    <author>Nubia S Zubieta</author>
    <author>Johanna Lucia Bustos Criales</author>
  </authors>
  <commentList>
    <comment ref="V32" authorId="0">
      <text>
        <r>
          <rPr>
            <b/>
            <sz val="9"/>
            <color indexed="81"/>
            <rFont val="Tahoma"/>
            <family val="2"/>
          </rPr>
          <t>0 Día(s)
1 Mes (s)
2 Año(s)</t>
        </r>
      </text>
    </comment>
    <comment ref="Y32" authorId="0">
      <text>
        <r>
          <rPr>
            <sz val="9"/>
            <color indexed="81"/>
            <rFont val="Tahoma"/>
            <family val="2"/>
          </rPr>
          <t>0 Recursos propios 
1 Presupuesto de entidad nacional
2 Regalías
3 Recursos de crédito
4 SGP
5 No Aplica</t>
        </r>
      </text>
    </comment>
    <comment ref="AD32" authorId="0">
      <text>
        <r>
          <rPr>
            <b/>
            <sz val="9"/>
            <color indexed="81"/>
            <rFont val="Tahoma"/>
            <family val="2"/>
          </rPr>
          <t>0 No
1 Sí</t>
        </r>
      </text>
    </comment>
    <comment ref="AE32" authorId="0">
      <text>
        <r>
          <rPr>
            <sz val="9"/>
            <color indexed="81"/>
            <rFont val="Tahoma"/>
            <family val="2"/>
          </rPr>
          <t xml:space="preserve">
0 NA
1 No solicitadas
2 Solicitadas
3 Aprobadas</t>
        </r>
      </text>
    </comment>
    <comment ref="V33" authorId="0">
      <text>
        <r>
          <rPr>
            <b/>
            <sz val="9"/>
            <color indexed="81"/>
            <rFont val="Tahoma"/>
            <family val="2"/>
          </rPr>
          <t>0 Día(s)
1 Mes (s)
2 Año(s)</t>
        </r>
      </text>
    </comment>
    <comment ref="Y33" authorId="0">
      <text>
        <r>
          <rPr>
            <sz val="9"/>
            <color indexed="81"/>
            <rFont val="Tahoma"/>
            <family val="2"/>
          </rPr>
          <t>0 Recursos propios 
1 Presupuesto de entidad nacional
2 Regalías
3 Recursos de crédito
4 SGP
5 No Aplica</t>
        </r>
      </text>
    </comment>
    <comment ref="AD33" authorId="0">
      <text>
        <r>
          <rPr>
            <b/>
            <sz val="9"/>
            <color indexed="81"/>
            <rFont val="Tahoma"/>
            <family val="2"/>
          </rPr>
          <t>0 No
1 Sí</t>
        </r>
      </text>
    </comment>
    <comment ref="AE33" authorId="0">
      <text>
        <r>
          <rPr>
            <sz val="9"/>
            <color indexed="81"/>
            <rFont val="Tahoma"/>
            <family val="2"/>
          </rPr>
          <t xml:space="preserve">
0 NA
1 No solicitadas
2 Solicitadas
3 Aprobadas</t>
        </r>
      </text>
    </comment>
    <comment ref="V34" authorId="0">
      <text>
        <r>
          <rPr>
            <b/>
            <sz val="9"/>
            <color indexed="81"/>
            <rFont val="Tahoma"/>
            <family val="2"/>
          </rPr>
          <t>0 Día(s)
1 Mes (s)
2 Año(s)</t>
        </r>
      </text>
    </comment>
    <comment ref="Y34" authorId="0">
      <text>
        <r>
          <rPr>
            <sz val="9"/>
            <color indexed="81"/>
            <rFont val="Tahoma"/>
            <family val="2"/>
          </rPr>
          <t>0 Recursos propios 
1 Presupuesto de entidad nacional
2 Regalías
3 Recursos de crédito
4 SGP
5 No Aplica</t>
        </r>
      </text>
    </comment>
    <comment ref="AD34" authorId="0">
      <text>
        <r>
          <rPr>
            <b/>
            <sz val="9"/>
            <color indexed="81"/>
            <rFont val="Tahoma"/>
            <family val="2"/>
          </rPr>
          <t>0 No
1 Sí</t>
        </r>
      </text>
    </comment>
    <comment ref="AE34" authorId="0">
      <text>
        <r>
          <rPr>
            <sz val="9"/>
            <color indexed="81"/>
            <rFont val="Tahoma"/>
            <family val="2"/>
          </rPr>
          <t xml:space="preserve">
0 NA
1 No solicitadas
2 Solicitadas
3 Aprobadas</t>
        </r>
      </text>
    </comment>
    <comment ref="V35" authorId="0">
      <text>
        <r>
          <rPr>
            <b/>
            <sz val="9"/>
            <color indexed="81"/>
            <rFont val="Tahoma"/>
            <family val="2"/>
          </rPr>
          <t>0 Día(s)
1 Mes (s)
2 Año(s)</t>
        </r>
      </text>
    </comment>
    <comment ref="Y35" authorId="0">
      <text>
        <r>
          <rPr>
            <sz val="9"/>
            <color indexed="81"/>
            <rFont val="Tahoma"/>
            <family val="2"/>
          </rPr>
          <t>0 Recursos propios 
1 Presupuesto de entidad nacional
2 Regalías
3 Recursos de crédito
4 SGP
5 No Aplica</t>
        </r>
      </text>
    </comment>
    <comment ref="AD35" authorId="0">
      <text>
        <r>
          <rPr>
            <b/>
            <sz val="9"/>
            <color indexed="81"/>
            <rFont val="Tahoma"/>
            <family val="2"/>
          </rPr>
          <t>0 No
1 Sí</t>
        </r>
      </text>
    </comment>
    <comment ref="AE35" authorId="0">
      <text>
        <r>
          <rPr>
            <sz val="9"/>
            <color indexed="81"/>
            <rFont val="Tahoma"/>
            <family val="2"/>
          </rPr>
          <t xml:space="preserve">
0 NA
1 No solicitadas
2 Solicitadas
3 Aprobadas</t>
        </r>
      </text>
    </comment>
    <comment ref="V36" authorId="0">
      <text>
        <r>
          <rPr>
            <b/>
            <sz val="9"/>
            <color indexed="81"/>
            <rFont val="Tahoma"/>
            <family val="2"/>
          </rPr>
          <t>0 Día(s)
1 Mes (s)
2 Año(s)</t>
        </r>
      </text>
    </comment>
    <comment ref="Y36" authorId="0">
      <text>
        <r>
          <rPr>
            <sz val="9"/>
            <color indexed="81"/>
            <rFont val="Tahoma"/>
            <family val="2"/>
          </rPr>
          <t>0 Recursos propios 
1 Presupuesto de entidad nacional
2 Regalías
3 Recursos de crédito
4 SGP
5 No Aplica</t>
        </r>
      </text>
    </comment>
    <comment ref="AD36" authorId="0">
      <text>
        <r>
          <rPr>
            <b/>
            <sz val="9"/>
            <color indexed="81"/>
            <rFont val="Tahoma"/>
            <family val="2"/>
          </rPr>
          <t>0 No
1 Sí</t>
        </r>
      </text>
    </comment>
    <comment ref="AE36" authorId="0">
      <text>
        <r>
          <rPr>
            <sz val="9"/>
            <color indexed="81"/>
            <rFont val="Tahoma"/>
            <family val="2"/>
          </rPr>
          <t xml:space="preserve">
0 NA
1 No solicitadas
2 Solicitadas
3 Aprobadas</t>
        </r>
      </text>
    </comment>
    <comment ref="V37" authorId="0">
      <text>
        <r>
          <rPr>
            <b/>
            <sz val="9"/>
            <color indexed="81"/>
            <rFont val="Tahoma"/>
            <family val="2"/>
          </rPr>
          <t>0 Día(s)
1 Mes (s)
2 Año(s)</t>
        </r>
      </text>
    </comment>
    <comment ref="Y37" authorId="0">
      <text>
        <r>
          <rPr>
            <sz val="9"/>
            <color indexed="81"/>
            <rFont val="Tahoma"/>
            <family val="2"/>
          </rPr>
          <t>0 Recursos propios 
1 Presupuesto de entidad nacional
2 Regalías
3 Recursos de crédito
4 SGP
5 No Aplica</t>
        </r>
      </text>
    </comment>
    <comment ref="AD37" authorId="0">
      <text>
        <r>
          <rPr>
            <b/>
            <sz val="9"/>
            <color indexed="81"/>
            <rFont val="Tahoma"/>
            <family val="2"/>
          </rPr>
          <t>0 No
1 Sí</t>
        </r>
      </text>
    </comment>
    <comment ref="AE37" authorId="0">
      <text>
        <r>
          <rPr>
            <sz val="9"/>
            <color indexed="81"/>
            <rFont val="Tahoma"/>
            <family val="2"/>
          </rPr>
          <t xml:space="preserve">
0 NA
1 No solicitadas
2 Solicitadas
3 Aprobadas</t>
        </r>
      </text>
    </comment>
    <comment ref="V38" authorId="0">
      <text>
        <r>
          <rPr>
            <b/>
            <sz val="9"/>
            <color indexed="81"/>
            <rFont val="Tahoma"/>
            <family val="2"/>
          </rPr>
          <t>0 Día(s)
1 Mes (s)
2 Año(s)</t>
        </r>
      </text>
    </comment>
    <comment ref="Y38" authorId="0">
      <text>
        <r>
          <rPr>
            <sz val="9"/>
            <color indexed="81"/>
            <rFont val="Tahoma"/>
            <family val="2"/>
          </rPr>
          <t>0 Recursos propios 
1 Presupuesto de entidad nacional
2 Regalías
3 Recursos de crédito
4 SGP
5 No Aplica</t>
        </r>
      </text>
    </comment>
    <comment ref="AD38" authorId="0">
      <text>
        <r>
          <rPr>
            <b/>
            <sz val="9"/>
            <color indexed="81"/>
            <rFont val="Tahoma"/>
            <family val="2"/>
          </rPr>
          <t>0 No
1 Sí</t>
        </r>
      </text>
    </comment>
    <comment ref="AE38" authorId="0">
      <text>
        <r>
          <rPr>
            <sz val="9"/>
            <color indexed="81"/>
            <rFont val="Tahoma"/>
            <family val="2"/>
          </rPr>
          <t xml:space="preserve">
0 NA
1 No solicitadas
2 Solicitadas
3 Aprobadas</t>
        </r>
      </text>
    </comment>
    <comment ref="V39" authorId="0">
      <text>
        <r>
          <rPr>
            <b/>
            <sz val="9"/>
            <color indexed="81"/>
            <rFont val="Tahoma"/>
            <family val="2"/>
          </rPr>
          <t>0 Día(s)
1 Mes (s)
2 Año(s)</t>
        </r>
      </text>
    </comment>
    <comment ref="Y39" authorId="0">
      <text>
        <r>
          <rPr>
            <sz val="9"/>
            <color indexed="81"/>
            <rFont val="Tahoma"/>
            <family val="2"/>
          </rPr>
          <t>0 Recursos propios 
1 Presupuesto de entidad nacional
2 Regalías
3 Recursos de crédito
4 SGP
5 No Aplica</t>
        </r>
      </text>
    </comment>
    <comment ref="AD39" authorId="0">
      <text>
        <r>
          <rPr>
            <b/>
            <sz val="9"/>
            <color indexed="81"/>
            <rFont val="Tahoma"/>
            <family val="2"/>
          </rPr>
          <t>0 No
1 Sí</t>
        </r>
      </text>
    </comment>
    <comment ref="AE39" authorId="0">
      <text>
        <r>
          <rPr>
            <sz val="9"/>
            <color indexed="81"/>
            <rFont val="Tahoma"/>
            <family val="2"/>
          </rPr>
          <t xml:space="preserve">
0 NA
1 No solicitadas
2 Solicitadas
3 Aprobadas</t>
        </r>
      </text>
    </comment>
    <comment ref="V40" authorId="0">
      <text>
        <r>
          <rPr>
            <b/>
            <sz val="9"/>
            <color indexed="81"/>
            <rFont val="Tahoma"/>
            <family val="2"/>
          </rPr>
          <t>0 Día(s)
1 Mes (s)
2 Año(s)</t>
        </r>
      </text>
    </comment>
    <comment ref="Y40" authorId="0">
      <text>
        <r>
          <rPr>
            <sz val="9"/>
            <color indexed="81"/>
            <rFont val="Tahoma"/>
            <family val="2"/>
          </rPr>
          <t>0 Recursos propios 
1 Presupuesto de entidad nacional
2 Regalías
3 Recursos de crédito
4 SGP
5 No Aplica</t>
        </r>
      </text>
    </comment>
    <comment ref="AD40" authorId="0">
      <text>
        <r>
          <rPr>
            <b/>
            <sz val="9"/>
            <color indexed="81"/>
            <rFont val="Tahoma"/>
            <family val="2"/>
          </rPr>
          <t>0 No
1 Sí</t>
        </r>
      </text>
    </comment>
    <comment ref="AE40" authorId="0">
      <text>
        <r>
          <rPr>
            <sz val="9"/>
            <color indexed="81"/>
            <rFont val="Tahoma"/>
            <family val="2"/>
          </rPr>
          <t xml:space="preserve">
0 NA
1 No solicitadas
2 Solicitadas
3 Aprobadas</t>
        </r>
      </text>
    </comment>
    <comment ref="V41" authorId="0">
      <text>
        <r>
          <rPr>
            <b/>
            <sz val="9"/>
            <color indexed="81"/>
            <rFont val="Tahoma"/>
            <family val="2"/>
          </rPr>
          <t>0 Día(s)
1 Mes (s)
2 Año(s)</t>
        </r>
      </text>
    </comment>
    <comment ref="Y41" authorId="0">
      <text>
        <r>
          <rPr>
            <sz val="9"/>
            <color indexed="81"/>
            <rFont val="Tahoma"/>
            <family val="2"/>
          </rPr>
          <t>0 Recursos propios 
1 Presupuesto de entidad nacional
2 Regalías
3 Recursos de crédito
4 SGP
5 No Aplica</t>
        </r>
      </text>
    </comment>
    <comment ref="AD41" authorId="0">
      <text>
        <r>
          <rPr>
            <b/>
            <sz val="9"/>
            <color indexed="81"/>
            <rFont val="Tahoma"/>
            <family val="2"/>
          </rPr>
          <t>0 No
1 Sí</t>
        </r>
      </text>
    </comment>
    <comment ref="AE41" authorId="0">
      <text>
        <r>
          <rPr>
            <sz val="9"/>
            <color indexed="81"/>
            <rFont val="Tahoma"/>
            <family val="2"/>
          </rPr>
          <t xml:space="preserve">
0 NA
1 No solicitadas
2 Solicitadas
3 Aprobadas</t>
        </r>
      </text>
    </comment>
    <comment ref="V42" authorId="0">
      <text>
        <r>
          <rPr>
            <b/>
            <sz val="9"/>
            <color indexed="81"/>
            <rFont val="Tahoma"/>
            <family val="2"/>
          </rPr>
          <t>0 Día(s)
1 Mes (s)
2 Año(s)</t>
        </r>
      </text>
    </comment>
    <comment ref="Y42" authorId="0">
      <text>
        <r>
          <rPr>
            <sz val="9"/>
            <color indexed="81"/>
            <rFont val="Tahoma"/>
            <family val="2"/>
          </rPr>
          <t>0 Recursos propios 
1 Presupuesto de entidad nacional
2 Regalías
3 Recursos de crédito
4 SGP
5 No Aplica</t>
        </r>
      </text>
    </comment>
    <comment ref="AD42" authorId="0">
      <text>
        <r>
          <rPr>
            <b/>
            <sz val="9"/>
            <color indexed="81"/>
            <rFont val="Tahoma"/>
            <family val="2"/>
          </rPr>
          <t>0 No
1 Sí</t>
        </r>
      </text>
    </comment>
    <comment ref="AE42" authorId="0">
      <text>
        <r>
          <rPr>
            <sz val="9"/>
            <color indexed="81"/>
            <rFont val="Tahoma"/>
            <family val="2"/>
          </rPr>
          <t xml:space="preserve">
0 NA
1 No solicitadas
2 Solicitadas
3 Aprobadas</t>
        </r>
      </text>
    </comment>
    <comment ref="V43" authorId="0">
      <text>
        <r>
          <rPr>
            <b/>
            <sz val="9"/>
            <color indexed="81"/>
            <rFont val="Tahoma"/>
            <family val="2"/>
          </rPr>
          <t>0 Día(s)
1 Mes (s)
2 Año(s)</t>
        </r>
      </text>
    </comment>
    <comment ref="Y43" authorId="0">
      <text>
        <r>
          <rPr>
            <sz val="9"/>
            <color indexed="81"/>
            <rFont val="Tahoma"/>
            <family val="2"/>
          </rPr>
          <t>0 Recursos propios 
1 Presupuesto de entidad nacional
2 Regalías
3 Recursos de crédito
4 SGP
5 No Aplica</t>
        </r>
      </text>
    </comment>
    <comment ref="AD43" authorId="0">
      <text>
        <r>
          <rPr>
            <b/>
            <sz val="9"/>
            <color indexed="81"/>
            <rFont val="Tahoma"/>
            <family val="2"/>
          </rPr>
          <t>0 No
1 Sí</t>
        </r>
      </text>
    </comment>
    <comment ref="AE43" authorId="0">
      <text>
        <r>
          <rPr>
            <sz val="9"/>
            <color indexed="81"/>
            <rFont val="Tahoma"/>
            <family val="2"/>
          </rPr>
          <t xml:space="preserve">
0 NA
1 No solicitadas
2 Solicitadas
3 Aprobadas</t>
        </r>
      </text>
    </comment>
    <comment ref="V44" authorId="0">
      <text>
        <r>
          <rPr>
            <b/>
            <sz val="9"/>
            <color indexed="81"/>
            <rFont val="Tahoma"/>
            <family val="2"/>
          </rPr>
          <t>0 Día(s)
1 Mes (s)
2 Año(s)</t>
        </r>
      </text>
    </comment>
    <comment ref="Y44" authorId="0">
      <text>
        <r>
          <rPr>
            <sz val="9"/>
            <color indexed="81"/>
            <rFont val="Tahoma"/>
            <family val="2"/>
          </rPr>
          <t>0 Recursos propios 
1 Presupuesto de entidad nacional
2 Regalías
3 Recursos de crédito
4 SGP
5 No Aplica</t>
        </r>
      </text>
    </comment>
    <comment ref="AD44" authorId="0">
      <text>
        <r>
          <rPr>
            <b/>
            <sz val="9"/>
            <color indexed="81"/>
            <rFont val="Tahoma"/>
            <family val="2"/>
          </rPr>
          <t>0 No
1 Sí</t>
        </r>
      </text>
    </comment>
    <comment ref="AE44" authorId="0">
      <text>
        <r>
          <rPr>
            <sz val="9"/>
            <color indexed="81"/>
            <rFont val="Tahoma"/>
            <family val="2"/>
          </rPr>
          <t xml:space="preserve">
0 NA
1 No solicitadas
2 Solicitadas
3 Aprobadas</t>
        </r>
      </text>
    </comment>
    <comment ref="V45" authorId="0">
      <text>
        <r>
          <rPr>
            <b/>
            <sz val="9"/>
            <color indexed="81"/>
            <rFont val="Tahoma"/>
            <family val="2"/>
          </rPr>
          <t>0 Día(s)
1 Mes (s)
2 Año(s)</t>
        </r>
      </text>
    </comment>
    <comment ref="Y45" authorId="0">
      <text>
        <r>
          <rPr>
            <sz val="9"/>
            <color indexed="81"/>
            <rFont val="Tahoma"/>
            <family val="2"/>
          </rPr>
          <t>0 Recursos propios 
1 Presupuesto de entidad nacional
2 Regalías
3 Recursos de crédito
4 SGP
5 No Aplica</t>
        </r>
      </text>
    </comment>
    <comment ref="AD45" authorId="0">
      <text>
        <r>
          <rPr>
            <b/>
            <sz val="9"/>
            <color indexed="81"/>
            <rFont val="Tahoma"/>
            <family val="2"/>
          </rPr>
          <t>0 No
1 Sí</t>
        </r>
      </text>
    </comment>
    <comment ref="AE45" authorId="0">
      <text>
        <r>
          <rPr>
            <sz val="9"/>
            <color indexed="81"/>
            <rFont val="Tahoma"/>
            <family val="2"/>
          </rPr>
          <t xml:space="preserve">
0 NA
1 No solicitadas
2 Solicitadas
3 Aprobadas</t>
        </r>
      </text>
    </comment>
    <comment ref="V46" authorId="0">
      <text>
        <r>
          <rPr>
            <b/>
            <sz val="9"/>
            <color indexed="81"/>
            <rFont val="Tahoma"/>
            <family val="2"/>
          </rPr>
          <t>0 Día(s)
1 Mes (s)
2 Año(s)</t>
        </r>
      </text>
    </comment>
    <comment ref="Y46" authorId="0">
      <text>
        <r>
          <rPr>
            <sz val="9"/>
            <color indexed="81"/>
            <rFont val="Tahoma"/>
            <family val="2"/>
          </rPr>
          <t>0 Recursos propios 
1 Presupuesto de entidad nacional
2 Regalías
3 Recursos de crédito
4 SGP
5 No Aplica</t>
        </r>
      </text>
    </comment>
    <comment ref="AD46" authorId="0">
      <text>
        <r>
          <rPr>
            <b/>
            <sz val="9"/>
            <color indexed="81"/>
            <rFont val="Tahoma"/>
            <family val="2"/>
          </rPr>
          <t>0 No
1 Sí</t>
        </r>
      </text>
    </comment>
    <comment ref="AE46" authorId="0">
      <text>
        <r>
          <rPr>
            <sz val="9"/>
            <color indexed="81"/>
            <rFont val="Tahoma"/>
            <family val="2"/>
          </rPr>
          <t xml:space="preserve">
0 NA
1 No solicitadas
2 Solicitadas
3 Aprobadas</t>
        </r>
      </text>
    </comment>
    <comment ref="V47" authorId="0">
      <text>
        <r>
          <rPr>
            <b/>
            <sz val="9"/>
            <color indexed="81"/>
            <rFont val="Tahoma"/>
            <family val="2"/>
          </rPr>
          <t>0 Día(s)
1 Mes (s)
2 Año(s)</t>
        </r>
      </text>
    </comment>
    <comment ref="Y47" authorId="0">
      <text>
        <r>
          <rPr>
            <sz val="9"/>
            <color indexed="81"/>
            <rFont val="Tahoma"/>
            <family val="2"/>
          </rPr>
          <t>0 Recursos propios 
1 Presupuesto de entidad nacional
2 Regalías
3 Recursos de crédito
4 SGP
5 No Aplica</t>
        </r>
      </text>
    </comment>
    <comment ref="AD47" authorId="0">
      <text>
        <r>
          <rPr>
            <b/>
            <sz val="9"/>
            <color indexed="81"/>
            <rFont val="Tahoma"/>
            <family val="2"/>
          </rPr>
          <t>0 No
1 Sí</t>
        </r>
      </text>
    </comment>
    <comment ref="AE47" authorId="0">
      <text>
        <r>
          <rPr>
            <sz val="9"/>
            <color indexed="81"/>
            <rFont val="Tahoma"/>
            <family val="2"/>
          </rPr>
          <t xml:space="preserve">
0 NA
1 No solicitadas
2 Solicitadas
3 Aprobadas</t>
        </r>
      </text>
    </comment>
    <comment ref="V48" authorId="0">
      <text>
        <r>
          <rPr>
            <b/>
            <sz val="9"/>
            <color indexed="81"/>
            <rFont val="Tahoma"/>
            <family val="2"/>
          </rPr>
          <t>0 Día(s)
1 Mes (s)
2 Año(s)</t>
        </r>
      </text>
    </comment>
    <comment ref="Y48" authorId="0">
      <text>
        <r>
          <rPr>
            <sz val="9"/>
            <color indexed="81"/>
            <rFont val="Tahoma"/>
            <family val="2"/>
          </rPr>
          <t>0 Recursos propios 
1 Presupuesto de entidad nacional
2 Regalías
3 Recursos de crédito
4 SGP
5 No Aplica</t>
        </r>
      </text>
    </comment>
    <comment ref="AD48" authorId="0">
      <text>
        <r>
          <rPr>
            <b/>
            <sz val="9"/>
            <color indexed="81"/>
            <rFont val="Tahoma"/>
            <family val="2"/>
          </rPr>
          <t>0 No
1 Sí</t>
        </r>
      </text>
    </comment>
    <comment ref="AE48" authorId="0">
      <text>
        <r>
          <rPr>
            <sz val="9"/>
            <color indexed="81"/>
            <rFont val="Tahoma"/>
            <family val="2"/>
          </rPr>
          <t xml:space="preserve">
0 NA
1 No solicitadas
2 Solicitadas
3 Aprobadas</t>
        </r>
      </text>
    </comment>
    <comment ref="V49" authorId="0">
      <text>
        <r>
          <rPr>
            <b/>
            <sz val="9"/>
            <color indexed="81"/>
            <rFont val="Tahoma"/>
            <family val="2"/>
          </rPr>
          <t>0 Día(s)
1 Mes (s)
2 Año(s)</t>
        </r>
      </text>
    </comment>
    <comment ref="Y49" authorId="0">
      <text>
        <r>
          <rPr>
            <sz val="9"/>
            <color indexed="81"/>
            <rFont val="Tahoma"/>
            <family val="2"/>
          </rPr>
          <t>0 Recursos propios 
1 Presupuesto de entidad nacional
2 Regalías
3 Recursos de crédito
4 SGP
5 No Aplica</t>
        </r>
      </text>
    </comment>
    <comment ref="AD49" authorId="0">
      <text>
        <r>
          <rPr>
            <b/>
            <sz val="9"/>
            <color indexed="81"/>
            <rFont val="Tahoma"/>
            <family val="2"/>
          </rPr>
          <t>0 No
1 Sí</t>
        </r>
      </text>
    </comment>
    <comment ref="AE49" authorId="0">
      <text>
        <r>
          <rPr>
            <sz val="9"/>
            <color indexed="81"/>
            <rFont val="Tahoma"/>
            <family val="2"/>
          </rPr>
          <t xml:space="preserve">
0 NA
1 No solicitadas
2 Solicitadas
3 Aprobadas</t>
        </r>
      </text>
    </comment>
    <comment ref="V50" authorId="0">
      <text>
        <r>
          <rPr>
            <b/>
            <sz val="9"/>
            <color indexed="81"/>
            <rFont val="Tahoma"/>
            <family val="2"/>
          </rPr>
          <t>0 Día(s)
1 Mes (s)
2 Año(s)</t>
        </r>
      </text>
    </comment>
    <comment ref="Y50" authorId="0">
      <text>
        <r>
          <rPr>
            <sz val="9"/>
            <color indexed="81"/>
            <rFont val="Tahoma"/>
            <family val="2"/>
          </rPr>
          <t>0 Recursos propios 
1 Presupuesto de entidad nacional
2 Regalías
3 Recursos de crédito
4 SGP
5 No Aplica</t>
        </r>
      </text>
    </comment>
    <comment ref="AD50" authorId="0">
      <text>
        <r>
          <rPr>
            <b/>
            <sz val="9"/>
            <color indexed="81"/>
            <rFont val="Tahoma"/>
            <family val="2"/>
          </rPr>
          <t>0 No
1 Sí</t>
        </r>
      </text>
    </comment>
    <comment ref="AE50" authorId="0">
      <text>
        <r>
          <rPr>
            <sz val="9"/>
            <color indexed="81"/>
            <rFont val="Tahoma"/>
            <family val="2"/>
          </rPr>
          <t xml:space="preserve">
0 NA
1 No solicitadas
2 Solicitadas
3 Aprobadas</t>
        </r>
      </text>
    </comment>
    <comment ref="V51" authorId="0">
      <text>
        <r>
          <rPr>
            <b/>
            <sz val="9"/>
            <color indexed="81"/>
            <rFont val="Tahoma"/>
            <family val="2"/>
          </rPr>
          <t>0 Día(s)
1 Mes (s)
2 Año(s)</t>
        </r>
      </text>
    </comment>
    <comment ref="Y51" authorId="0">
      <text>
        <r>
          <rPr>
            <sz val="9"/>
            <color indexed="81"/>
            <rFont val="Tahoma"/>
            <family val="2"/>
          </rPr>
          <t>0 Recursos propios 
1 Presupuesto de entidad nacional
2 Regalías
3 Recursos de crédito
4 SGP
5 No Aplica</t>
        </r>
      </text>
    </comment>
    <comment ref="AD51" authorId="0">
      <text>
        <r>
          <rPr>
            <b/>
            <sz val="9"/>
            <color indexed="81"/>
            <rFont val="Tahoma"/>
            <family val="2"/>
          </rPr>
          <t>0 No
1 Sí</t>
        </r>
      </text>
    </comment>
    <comment ref="AE51" authorId="0">
      <text>
        <r>
          <rPr>
            <sz val="9"/>
            <color indexed="81"/>
            <rFont val="Tahoma"/>
            <family val="2"/>
          </rPr>
          <t xml:space="preserve">
0 NA
1 No solicitadas
2 Solicitadas
3 Aprobadas</t>
        </r>
      </text>
    </comment>
    <comment ref="V52" authorId="0">
      <text>
        <r>
          <rPr>
            <b/>
            <sz val="9"/>
            <color indexed="81"/>
            <rFont val="Tahoma"/>
            <family val="2"/>
          </rPr>
          <t>0 Día(s)
1 Mes (s)
2 Año(s)</t>
        </r>
      </text>
    </comment>
    <comment ref="Y52" authorId="0">
      <text>
        <r>
          <rPr>
            <sz val="9"/>
            <color indexed="81"/>
            <rFont val="Tahoma"/>
            <family val="2"/>
          </rPr>
          <t>0 Recursos propios 
1 Presupuesto de entidad nacional
2 Regalías
3 Recursos de crédito
4 SGP
5 No Aplica</t>
        </r>
      </text>
    </comment>
    <comment ref="AD52" authorId="0">
      <text>
        <r>
          <rPr>
            <b/>
            <sz val="9"/>
            <color indexed="81"/>
            <rFont val="Tahoma"/>
            <family val="2"/>
          </rPr>
          <t>0 No
1 Sí</t>
        </r>
      </text>
    </comment>
    <comment ref="AE52" authorId="0">
      <text>
        <r>
          <rPr>
            <sz val="9"/>
            <color indexed="81"/>
            <rFont val="Tahoma"/>
            <family val="2"/>
          </rPr>
          <t xml:space="preserve">
0 NA
1 No solicitadas
2 Solicitadas
3 Aprobadas</t>
        </r>
      </text>
    </comment>
    <comment ref="V53" authorId="0">
      <text>
        <r>
          <rPr>
            <b/>
            <sz val="9"/>
            <color indexed="81"/>
            <rFont val="Tahoma"/>
            <family val="2"/>
          </rPr>
          <t>0 Día(s)
1 Mes (s)
2 Año(s)</t>
        </r>
      </text>
    </comment>
    <comment ref="Y53" authorId="0">
      <text>
        <r>
          <rPr>
            <sz val="9"/>
            <color indexed="81"/>
            <rFont val="Tahoma"/>
            <family val="2"/>
          </rPr>
          <t>0 Recursos propios 
1 Presupuesto de entidad nacional
2 Regalías
3 Recursos de crédito
4 SGP
5 No Aplica</t>
        </r>
      </text>
    </comment>
    <comment ref="AD53" authorId="0">
      <text>
        <r>
          <rPr>
            <b/>
            <sz val="9"/>
            <color indexed="81"/>
            <rFont val="Tahoma"/>
            <family val="2"/>
          </rPr>
          <t>0 No
1 Sí</t>
        </r>
      </text>
    </comment>
    <comment ref="AE53" authorId="0">
      <text>
        <r>
          <rPr>
            <sz val="9"/>
            <color indexed="81"/>
            <rFont val="Tahoma"/>
            <family val="2"/>
          </rPr>
          <t xml:space="preserve">
0 NA
1 No solicitadas
2 Solicitadas
3 Aprobadas</t>
        </r>
      </text>
    </comment>
    <comment ref="V54" authorId="0">
      <text>
        <r>
          <rPr>
            <b/>
            <sz val="9"/>
            <color indexed="81"/>
            <rFont val="Tahoma"/>
            <family val="2"/>
          </rPr>
          <t>0 Día(s)
1 Mes (s)
2 Año(s)</t>
        </r>
      </text>
    </comment>
    <comment ref="Y54" authorId="0">
      <text>
        <r>
          <rPr>
            <sz val="9"/>
            <color indexed="81"/>
            <rFont val="Tahoma"/>
            <family val="2"/>
          </rPr>
          <t>0 Recursos propios 
1 Presupuesto de entidad nacional
2 Regalías
3 Recursos de crédito
4 SGP
5 No Aplica</t>
        </r>
      </text>
    </comment>
    <comment ref="AD54" authorId="0">
      <text>
        <r>
          <rPr>
            <b/>
            <sz val="9"/>
            <color indexed="81"/>
            <rFont val="Tahoma"/>
            <family val="2"/>
          </rPr>
          <t>0 No
1 Sí</t>
        </r>
      </text>
    </comment>
    <comment ref="AE54" authorId="0">
      <text>
        <r>
          <rPr>
            <sz val="9"/>
            <color indexed="81"/>
            <rFont val="Tahoma"/>
            <family val="2"/>
          </rPr>
          <t xml:space="preserve">
0 NA
1 No solicitadas
2 Solicitadas
3 Aprobadas</t>
        </r>
      </text>
    </comment>
    <comment ref="V55" authorId="0">
      <text>
        <r>
          <rPr>
            <b/>
            <sz val="9"/>
            <color indexed="81"/>
            <rFont val="Tahoma"/>
            <family val="2"/>
          </rPr>
          <t>0 Día(s)
1 Mes (s)
2 Año(s)</t>
        </r>
      </text>
    </comment>
    <comment ref="Y55" authorId="0">
      <text>
        <r>
          <rPr>
            <sz val="9"/>
            <color indexed="81"/>
            <rFont val="Tahoma"/>
            <family val="2"/>
          </rPr>
          <t>0 Recursos propios 
1 Presupuesto de entidad nacional
2 Regalías
3 Recursos de crédito
4 SGP
5 No Aplica</t>
        </r>
      </text>
    </comment>
    <comment ref="AD55" authorId="0">
      <text>
        <r>
          <rPr>
            <b/>
            <sz val="9"/>
            <color indexed="81"/>
            <rFont val="Tahoma"/>
            <family val="2"/>
          </rPr>
          <t>0 No
1 Sí</t>
        </r>
      </text>
    </comment>
    <comment ref="AE55" authorId="0">
      <text>
        <r>
          <rPr>
            <sz val="9"/>
            <color indexed="81"/>
            <rFont val="Tahoma"/>
            <family val="2"/>
          </rPr>
          <t xml:space="preserve">
0 NA
1 No solicitadas
2 Solicitadas
3 Aprobadas</t>
        </r>
      </text>
    </comment>
    <comment ref="V56" authorId="0">
      <text>
        <r>
          <rPr>
            <b/>
            <sz val="9"/>
            <color indexed="81"/>
            <rFont val="Tahoma"/>
            <family val="2"/>
          </rPr>
          <t>0 Día(s)
1 Mes (s)
2 Año(s)</t>
        </r>
      </text>
    </comment>
    <comment ref="Y56" authorId="0">
      <text>
        <r>
          <rPr>
            <sz val="9"/>
            <color indexed="81"/>
            <rFont val="Tahoma"/>
            <family val="2"/>
          </rPr>
          <t>0 Recursos propios 
1 Presupuesto de entidad nacional
2 Regalías
3 Recursos de crédito
4 SGP
5 No Aplica</t>
        </r>
      </text>
    </comment>
    <comment ref="AD56" authorId="0">
      <text>
        <r>
          <rPr>
            <b/>
            <sz val="9"/>
            <color indexed="81"/>
            <rFont val="Tahoma"/>
            <family val="2"/>
          </rPr>
          <t>0 No
1 Sí</t>
        </r>
      </text>
    </comment>
    <comment ref="AE56" authorId="0">
      <text>
        <r>
          <rPr>
            <sz val="9"/>
            <color indexed="81"/>
            <rFont val="Tahoma"/>
            <family val="2"/>
          </rPr>
          <t xml:space="preserve">
0 NA
1 No solicitadas
2 Solicitadas
3 Aprobadas</t>
        </r>
      </text>
    </comment>
    <comment ref="V57" authorId="0">
      <text>
        <r>
          <rPr>
            <b/>
            <sz val="9"/>
            <color indexed="81"/>
            <rFont val="Tahoma"/>
            <family val="2"/>
          </rPr>
          <t>0 Día(s)
1 Mes (s)
2 Año(s)</t>
        </r>
      </text>
    </comment>
    <comment ref="Y57" authorId="0">
      <text>
        <r>
          <rPr>
            <sz val="9"/>
            <color indexed="81"/>
            <rFont val="Tahoma"/>
            <family val="2"/>
          </rPr>
          <t>0 Recursos propios 
1 Presupuesto de entidad nacional
2 Regalías
3 Recursos de crédito
4 SGP
5 No Aplica</t>
        </r>
      </text>
    </comment>
    <comment ref="AD57" authorId="0">
      <text>
        <r>
          <rPr>
            <b/>
            <sz val="9"/>
            <color indexed="81"/>
            <rFont val="Tahoma"/>
            <family val="2"/>
          </rPr>
          <t>0 No
1 Sí</t>
        </r>
      </text>
    </comment>
    <comment ref="AE57" authorId="0">
      <text>
        <r>
          <rPr>
            <sz val="9"/>
            <color indexed="81"/>
            <rFont val="Tahoma"/>
            <family val="2"/>
          </rPr>
          <t xml:space="preserve">
0 NA
1 No solicitadas
2 Solicitadas
3 Aprobadas</t>
        </r>
      </text>
    </comment>
    <comment ref="V58" authorId="0">
      <text>
        <r>
          <rPr>
            <b/>
            <sz val="9"/>
            <color indexed="81"/>
            <rFont val="Tahoma"/>
            <family val="2"/>
          </rPr>
          <t>0 Día(s)
1 Mes (s)
2 Año(s)</t>
        </r>
      </text>
    </comment>
    <comment ref="Y58" authorId="0">
      <text>
        <r>
          <rPr>
            <sz val="9"/>
            <color indexed="81"/>
            <rFont val="Tahoma"/>
            <family val="2"/>
          </rPr>
          <t>0 Recursos propios 
1 Presupuesto de entidad nacional
2 Regalías
3 Recursos de crédito
4 SGP
5 No Aplica</t>
        </r>
      </text>
    </comment>
    <comment ref="AD58" authorId="0">
      <text>
        <r>
          <rPr>
            <b/>
            <sz val="9"/>
            <color indexed="81"/>
            <rFont val="Tahoma"/>
            <family val="2"/>
          </rPr>
          <t>0 No
1 Sí</t>
        </r>
      </text>
    </comment>
    <comment ref="AE58" authorId="0">
      <text>
        <r>
          <rPr>
            <sz val="9"/>
            <color indexed="81"/>
            <rFont val="Tahoma"/>
            <family val="2"/>
          </rPr>
          <t xml:space="preserve">
0 NA
1 No solicitadas
2 Solicitadas
3 Aprobadas</t>
        </r>
      </text>
    </comment>
    <comment ref="V59" authorId="0">
      <text>
        <r>
          <rPr>
            <b/>
            <sz val="9"/>
            <color indexed="81"/>
            <rFont val="Tahoma"/>
            <family val="2"/>
          </rPr>
          <t>0 Día(s)
1 Mes (s)
2 Año(s)</t>
        </r>
      </text>
    </comment>
    <comment ref="Y59" authorId="0">
      <text>
        <r>
          <rPr>
            <sz val="9"/>
            <color indexed="81"/>
            <rFont val="Tahoma"/>
            <family val="2"/>
          </rPr>
          <t>0 Recursos propios 
1 Presupuesto de entidad nacional
2 Regalías
3 Recursos de crédito
4 SGP
5 No Aplica</t>
        </r>
      </text>
    </comment>
    <comment ref="AD59" authorId="0">
      <text>
        <r>
          <rPr>
            <b/>
            <sz val="9"/>
            <color indexed="81"/>
            <rFont val="Tahoma"/>
            <family val="2"/>
          </rPr>
          <t>0 No
1 Sí</t>
        </r>
      </text>
    </comment>
    <comment ref="AE59" authorId="0">
      <text>
        <r>
          <rPr>
            <sz val="9"/>
            <color indexed="81"/>
            <rFont val="Tahoma"/>
            <family val="2"/>
          </rPr>
          <t xml:space="preserve">
0 NA
1 No solicitadas
2 Solicitadas
3 Aprobadas</t>
        </r>
      </text>
    </comment>
    <comment ref="V60" authorId="0">
      <text>
        <r>
          <rPr>
            <b/>
            <sz val="9"/>
            <color indexed="81"/>
            <rFont val="Tahoma"/>
            <family val="2"/>
          </rPr>
          <t>0 Día(s)
1 Mes (s)
2 Año(s)</t>
        </r>
      </text>
    </comment>
    <comment ref="Y60" authorId="0">
      <text>
        <r>
          <rPr>
            <sz val="9"/>
            <color indexed="81"/>
            <rFont val="Tahoma"/>
            <family val="2"/>
          </rPr>
          <t>0 Recursos propios 
1 Presupuesto de entidad nacional
2 Regalías
3 Recursos de crédito
4 SGP
5 No Aplica</t>
        </r>
      </text>
    </comment>
    <comment ref="AD60" authorId="0">
      <text>
        <r>
          <rPr>
            <b/>
            <sz val="9"/>
            <color indexed="81"/>
            <rFont val="Tahoma"/>
            <family val="2"/>
          </rPr>
          <t>0 No
1 Sí</t>
        </r>
      </text>
    </comment>
    <comment ref="AE60" authorId="0">
      <text>
        <r>
          <rPr>
            <sz val="9"/>
            <color indexed="81"/>
            <rFont val="Tahoma"/>
            <family val="2"/>
          </rPr>
          <t xml:space="preserve">
0 NA
1 No solicitadas
2 Solicitadas
3 Aprobadas</t>
        </r>
      </text>
    </comment>
    <comment ref="V61" authorId="0">
      <text>
        <r>
          <rPr>
            <b/>
            <sz val="9"/>
            <color indexed="81"/>
            <rFont val="Tahoma"/>
            <family val="2"/>
          </rPr>
          <t>0 Día(s)
1 Mes (s)
2 Año(s)</t>
        </r>
      </text>
    </comment>
    <comment ref="Y61" authorId="0">
      <text>
        <r>
          <rPr>
            <sz val="9"/>
            <color indexed="81"/>
            <rFont val="Tahoma"/>
            <family val="2"/>
          </rPr>
          <t>0 Recursos propios 
1 Presupuesto de entidad nacional
2 Regalías
3 Recursos de crédito
4 SGP
5 No Aplica</t>
        </r>
      </text>
    </comment>
    <comment ref="AD61" authorId="0">
      <text>
        <r>
          <rPr>
            <b/>
            <sz val="9"/>
            <color indexed="81"/>
            <rFont val="Tahoma"/>
            <family val="2"/>
          </rPr>
          <t>0 No
1 Sí</t>
        </r>
      </text>
    </comment>
    <comment ref="AE61" authorId="0">
      <text>
        <r>
          <rPr>
            <sz val="9"/>
            <color indexed="81"/>
            <rFont val="Tahoma"/>
            <family val="2"/>
          </rPr>
          <t xml:space="preserve">
0 NA
1 No solicitadas
2 Solicitadas
3 Aprobadas</t>
        </r>
      </text>
    </comment>
    <comment ref="V62" authorId="0">
      <text>
        <r>
          <rPr>
            <b/>
            <sz val="9"/>
            <color indexed="81"/>
            <rFont val="Tahoma"/>
            <family val="2"/>
          </rPr>
          <t>0 Día(s)
1 Mes (s)
2 Año(s)</t>
        </r>
      </text>
    </comment>
    <comment ref="Y62" authorId="0">
      <text>
        <r>
          <rPr>
            <sz val="9"/>
            <color indexed="81"/>
            <rFont val="Tahoma"/>
            <family val="2"/>
          </rPr>
          <t>0 Recursos propios 
1 Presupuesto de entidad nacional
2 Regalías
3 Recursos de crédito
4 SGP
5 No Aplica</t>
        </r>
      </text>
    </comment>
    <comment ref="AD62" authorId="0">
      <text>
        <r>
          <rPr>
            <b/>
            <sz val="9"/>
            <color indexed="81"/>
            <rFont val="Tahoma"/>
            <family val="2"/>
          </rPr>
          <t>0 No
1 Sí</t>
        </r>
      </text>
    </comment>
    <comment ref="AE62" authorId="0">
      <text>
        <r>
          <rPr>
            <sz val="9"/>
            <color indexed="81"/>
            <rFont val="Tahoma"/>
            <family val="2"/>
          </rPr>
          <t xml:space="preserve">
0 NA
1 No solicitadas
2 Solicitadas
3 Aprobadas</t>
        </r>
      </text>
    </comment>
    <comment ref="V63" authorId="0">
      <text>
        <r>
          <rPr>
            <b/>
            <sz val="9"/>
            <color indexed="81"/>
            <rFont val="Tahoma"/>
            <family val="2"/>
          </rPr>
          <t>0 Día(s)
1 Mes (s)
2 Año(s)</t>
        </r>
      </text>
    </comment>
    <comment ref="Y63" authorId="0">
      <text>
        <r>
          <rPr>
            <sz val="9"/>
            <color indexed="81"/>
            <rFont val="Tahoma"/>
            <family val="2"/>
          </rPr>
          <t>0 Recursos propios 
1 Presupuesto de entidad nacional
2 Regalías
3 Recursos de crédito
4 SGP
5 No Aplica</t>
        </r>
      </text>
    </comment>
    <comment ref="AD63" authorId="0">
      <text>
        <r>
          <rPr>
            <b/>
            <sz val="9"/>
            <color indexed="81"/>
            <rFont val="Tahoma"/>
            <family val="2"/>
          </rPr>
          <t>0 No
1 Sí</t>
        </r>
      </text>
    </comment>
    <comment ref="AE63" authorId="0">
      <text>
        <r>
          <rPr>
            <sz val="9"/>
            <color indexed="81"/>
            <rFont val="Tahoma"/>
            <family val="2"/>
          </rPr>
          <t xml:space="preserve">
0 NA
1 No solicitadas
2 Solicitadas
3 Aprobadas</t>
        </r>
      </text>
    </comment>
    <comment ref="V64" authorId="0">
      <text>
        <r>
          <rPr>
            <b/>
            <sz val="9"/>
            <color indexed="81"/>
            <rFont val="Tahoma"/>
            <family val="2"/>
          </rPr>
          <t>0 Día(s)
1 Mes (s)
2 Año(s)</t>
        </r>
      </text>
    </comment>
    <comment ref="Y64" authorId="0">
      <text>
        <r>
          <rPr>
            <sz val="9"/>
            <color indexed="81"/>
            <rFont val="Tahoma"/>
            <family val="2"/>
          </rPr>
          <t>0 Recursos propios 
1 Presupuesto de entidad nacional
2 Regalías
3 Recursos de crédito
4 SGP
5 No Aplica</t>
        </r>
      </text>
    </comment>
    <comment ref="AD64" authorId="0">
      <text>
        <r>
          <rPr>
            <b/>
            <sz val="9"/>
            <color indexed="81"/>
            <rFont val="Tahoma"/>
            <family val="2"/>
          </rPr>
          <t>0 No
1 Sí</t>
        </r>
      </text>
    </comment>
    <comment ref="AE64" authorId="0">
      <text>
        <r>
          <rPr>
            <sz val="9"/>
            <color indexed="81"/>
            <rFont val="Tahoma"/>
            <family val="2"/>
          </rPr>
          <t xml:space="preserve">
0 NA
1 No solicitadas
2 Solicitadas
3 Aprobadas</t>
        </r>
      </text>
    </comment>
    <comment ref="V65" authorId="0">
      <text>
        <r>
          <rPr>
            <b/>
            <sz val="9"/>
            <color indexed="81"/>
            <rFont val="Tahoma"/>
            <family val="2"/>
          </rPr>
          <t>0 Día(s)
1 Mes (s)
2 Año(s)</t>
        </r>
      </text>
    </comment>
    <comment ref="Y65" authorId="0">
      <text>
        <r>
          <rPr>
            <sz val="9"/>
            <color indexed="81"/>
            <rFont val="Tahoma"/>
            <family val="2"/>
          </rPr>
          <t>0 Recursos propios 
1 Presupuesto de entidad nacional
2 Regalías
3 Recursos de crédito
4 SGP
5 No Aplica</t>
        </r>
      </text>
    </comment>
    <comment ref="AD65" authorId="0">
      <text>
        <r>
          <rPr>
            <b/>
            <sz val="9"/>
            <color indexed="81"/>
            <rFont val="Tahoma"/>
            <family val="2"/>
          </rPr>
          <t>0 No
1 Sí</t>
        </r>
      </text>
    </comment>
    <comment ref="AE65" authorId="0">
      <text>
        <r>
          <rPr>
            <sz val="9"/>
            <color indexed="81"/>
            <rFont val="Tahoma"/>
            <family val="2"/>
          </rPr>
          <t xml:space="preserve">
0 NA
1 No solicitadas
2 Solicitadas
3 Aprobadas</t>
        </r>
      </text>
    </comment>
    <comment ref="V66" authorId="0">
      <text>
        <r>
          <rPr>
            <b/>
            <sz val="9"/>
            <color indexed="81"/>
            <rFont val="Tahoma"/>
            <family val="2"/>
          </rPr>
          <t>0 Día(s)
1 Mes (s)
2 Año(s)</t>
        </r>
      </text>
    </comment>
    <comment ref="Y66" authorId="0">
      <text>
        <r>
          <rPr>
            <sz val="9"/>
            <color indexed="81"/>
            <rFont val="Tahoma"/>
            <family val="2"/>
          </rPr>
          <t>0 Recursos propios 
1 Presupuesto de entidad nacional
2 Regalías
3 Recursos de crédito
4 SGP
5 No Aplica</t>
        </r>
      </text>
    </comment>
    <comment ref="AD66" authorId="0">
      <text>
        <r>
          <rPr>
            <b/>
            <sz val="9"/>
            <color indexed="81"/>
            <rFont val="Tahoma"/>
            <family val="2"/>
          </rPr>
          <t>0 No
1 Sí</t>
        </r>
      </text>
    </comment>
    <comment ref="AE66" authorId="0">
      <text>
        <r>
          <rPr>
            <sz val="9"/>
            <color indexed="81"/>
            <rFont val="Tahoma"/>
            <family val="2"/>
          </rPr>
          <t xml:space="preserve">
0 NA
1 No solicitadas
2 Solicitadas
3 Aprobadas</t>
        </r>
      </text>
    </comment>
    <comment ref="V67" authorId="0">
      <text>
        <r>
          <rPr>
            <b/>
            <sz val="9"/>
            <color indexed="81"/>
            <rFont val="Tahoma"/>
            <family val="2"/>
          </rPr>
          <t>0 Día(s)
1 Mes (s)
2 Año(s)</t>
        </r>
      </text>
    </comment>
    <comment ref="Y67" authorId="0">
      <text>
        <r>
          <rPr>
            <sz val="9"/>
            <color indexed="81"/>
            <rFont val="Tahoma"/>
            <family val="2"/>
          </rPr>
          <t>0 Recursos propios 
1 Presupuesto de entidad nacional
2 Regalías
3 Recursos de crédito
4 SGP
5 No Aplica</t>
        </r>
      </text>
    </comment>
    <comment ref="AD67" authorId="0">
      <text>
        <r>
          <rPr>
            <b/>
            <sz val="9"/>
            <color indexed="81"/>
            <rFont val="Tahoma"/>
            <family val="2"/>
          </rPr>
          <t>0 No
1 Sí</t>
        </r>
      </text>
    </comment>
    <comment ref="AE67" authorId="0">
      <text>
        <r>
          <rPr>
            <sz val="9"/>
            <color indexed="81"/>
            <rFont val="Tahoma"/>
            <family val="2"/>
          </rPr>
          <t xml:space="preserve">
0 NA
1 No solicitadas
2 Solicitadas
3 Aprobadas</t>
        </r>
      </text>
    </comment>
    <comment ref="V68" authorId="0">
      <text>
        <r>
          <rPr>
            <b/>
            <sz val="9"/>
            <color indexed="81"/>
            <rFont val="Tahoma"/>
            <family val="2"/>
          </rPr>
          <t>0 Día(s)
1 Mes (s)
2 Año(s)</t>
        </r>
      </text>
    </comment>
    <comment ref="Y68" authorId="0">
      <text>
        <r>
          <rPr>
            <sz val="9"/>
            <color indexed="81"/>
            <rFont val="Tahoma"/>
            <family val="2"/>
          </rPr>
          <t>0 Recursos propios 
1 Presupuesto de entidad nacional
2 Regalías
3 Recursos de crédito
4 SGP
5 No Aplica</t>
        </r>
      </text>
    </comment>
    <comment ref="AD68" authorId="0">
      <text>
        <r>
          <rPr>
            <b/>
            <sz val="9"/>
            <color indexed="81"/>
            <rFont val="Tahoma"/>
            <family val="2"/>
          </rPr>
          <t>0 No
1 Sí</t>
        </r>
      </text>
    </comment>
    <comment ref="AE68" authorId="0">
      <text>
        <r>
          <rPr>
            <sz val="9"/>
            <color indexed="81"/>
            <rFont val="Tahoma"/>
            <family val="2"/>
          </rPr>
          <t xml:space="preserve">
0 NA
1 No solicitadas
2 Solicitadas
3 Aprobadas</t>
        </r>
      </text>
    </comment>
    <comment ref="V69" authorId="0">
      <text>
        <r>
          <rPr>
            <b/>
            <sz val="9"/>
            <color indexed="81"/>
            <rFont val="Tahoma"/>
            <family val="2"/>
          </rPr>
          <t>0 Día(s)
1 Mes (s)
2 Año(s)</t>
        </r>
      </text>
    </comment>
    <comment ref="Y69" authorId="0">
      <text>
        <r>
          <rPr>
            <sz val="9"/>
            <color indexed="81"/>
            <rFont val="Tahoma"/>
            <family val="2"/>
          </rPr>
          <t>0 Recursos propios 
1 Presupuesto de entidad nacional
2 Regalías
3 Recursos de crédito
4 SGP
5 No Aplica</t>
        </r>
      </text>
    </comment>
    <comment ref="AD69" authorId="0">
      <text>
        <r>
          <rPr>
            <b/>
            <sz val="9"/>
            <color indexed="81"/>
            <rFont val="Tahoma"/>
            <family val="2"/>
          </rPr>
          <t>0 No
1 Sí</t>
        </r>
      </text>
    </comment>
    <comment ref="AE69" authorId="0">
      <text>
        <r>
          <rPr>
            <sz val="9"/>
            <color indexed="81"/>
            <rFont val="Tahoma"/>
            <family val="2"/>
          </rPr>
          <t xml:space="preserve">
0 NA
1 No solicitadas
2 Solicitadas
3 Aprobadas</t>
        </r>
      </text>
    </comment>
    <comment ref="BD69" authorId="1">
      <text>
        <r>
          <rPr>
            <b/>
            <sz val="9"/>
            <color indexed="81"/>
            <rFont val="Tahoma"/>
            <family val="2"/>
          </rPr>
          <t>Orlando Arias:</t>
        </r>
        <r>
          <rPr>
            <sz val="9"/>
            <color indexed="81"/>
            <rFont val="Tahoma"/>
            <family val="2"/>
          </rPr>
          <t xml:space="preserve">
12-06-2018: Cambio a menor valor debido al redondeo de cifras decimales. Inicial $39,260,191 por 39,259,811</t>
        </r>
      </text>
    </comment>
    <comment ref="V70" authorId="0">
      <text>
        <r>
          <rPr>
            <b/>
            <sz val="9"/>
            <color indexed="81"/>
            <rFont val="Tahoma"/>
            <family val="2"/>
          </rPr>
          <t>0 Día(s)
1 Mes (s)
2 Año(s)</t>
        </r>
      </text>
    </comment>
    <comment ref="Y70" authorId="0">
      <text>
        <r>
          <rPr>
            <sz val="9"/>
            <color indexed="81"/>
            <rFont val="Tahoma"/>
            <family val="2"/>
          </rPr>
          <t>0 Recursos propios 
1 Presupuesto de entidad nacional
2 Regalías
3 Recursos de crédito
4 SGP
5 No Aplica</t>
        </r>
      </text>
    </comment>
    <comment ref="AD70" authorId="0">
      <text>
        <r>
          <rPr>
            <b/>
            <sz val="9"/>
            <color indexed="81"/>
            <rFont val="Tahoma"/>
            <family val="2"/>
          </rPr>
          <t>0 No
1 Sí</t>
        </r>
      </text>
    </comment>
    <comment ref="AE70" authorId="0">
      <text>
        <r>
          <rPr>
            <sz val="9"/>
            <color indexed="81"/>
            <rFont val="Tahoma"/>
            <family val="2"/>
          </rPr>
          <t xml:space="preserve">
0 NA
1 No solicitadas
2 Solicitadas
3 Aprobadas</t>
        </r>
      </text>
    </comment>
    <comment ref="V71" authorId="0">
      <text>
        <r>
          <rPr>
            <b/>
            <sz val="9"/>
            <color indexed="81"/>
            <rFont val="Tahoma"/>
            <family val="2"/>
          </rPr>
          <t>0 Día(s)
1 Mes (s)
2 Año(s)</t>
        </r>
      </text>
    </comment>
    <comment ref="Y71" authorId="0">
      <text>
        <r>
          <rPr>
            <sz val="9"/>
            <color indexed="81"/>
            <rFont val="Tahoma"/>
            <family val="2"/>
          </rPr>
          <t>0 Recursos propios 
1 Presupuesto de entidad nacional
2 Regalías
3 Recursos de crédito
4 SGP
5 No Aplica</t>
        </r>
      </text>
    </comment>
    <comment ref="AD71" authorId="0">
      <text>
        <r>
          <rPr>
            <b/>
            <sz val="9"/>
            <color indexed="81"/>
            <rFont val="Tahoma"/>
            <family val="2"/>
          </rPr>
          <t>0 No
1 Sí</t>
        </r>
      </text>
    </comment>
    <comment ref="AE71" authorId="0">
      <text>
        <r>
          <rPr>
            <sz val="9"/>
            <color indexed="81"/>
            <rFont val="Tahoma"/>
            <family val="2"/>
          </rPr>
          <t xml:space="preserve">
0 NA
1 No solicitadas
2 Solicitadas
3 Aprobadas</t>
        </r>
      </text>
    </comment>
    <comment ref="V72" authorId="0">
      <text>
        <r>
          <rPr>
            <b/>
            <sz val="9"/>
            <color indexed="81"/>
            <rFont val="Tahoma"/>
            <family val="2"/>
          </rPr>
          <t>0 Día(s)
1 Mes (s)
2 Año(s)</t>
        </r>
      </text>
    </comment>
    <comment ref="Y72" authorId="0">
      <text>
        <r>
          <rPr>
            <sz val="9"/>
            <color indexed="81"/>
            <rFont val="Tahoma"/>
            <family val="2"/>
          </rPr>
          <t>0 Recursos propios 
1 Presupuesto de entidad nacional
2 Regalías
3 Recursos de crédito
4 SGP
5 No Aplica</t>
        </r>
      </text>
    </comment>
    <comment ref="AD72" authorId="0">
      <text>
        <r>
          <rPr>
            <b/>
            <sz val="9"/>
            <color indexed="81"/>
            <rFont val="Tahoma"/>
            <family val="2"/>
          </rPr>
          <t>0 No
1 Sí</t>
        </r>
      </text>
    </comment>
    <comment ref="AE72" authorId="0">
      <text>
        <r>
          <rPr>
            <sz val="9"/>
            <color indexed="81"/>
            <rFont val="Tahoma"/>
            <family val="2"/>
          </rPr>
          <t xml:space="preserve">
0 NA
1 No solicitadas
2 Solicitadas
3 Aprobadas</t>
        </r>
      </text>
    </comment>
    <comment ref="V73" authorId="0">
      <text>
        <r>
          <rPr>
            <b/>
            <sz val="9"/>
            <color indexed="81"/>
            <rFont val="Tahoma"/>
            <family val="2"/>
          </rPr>
          <t>0 Día(s)
1 Mes (s)
2 Año(s)</t>
        </r>
      </text>
    </comment>
    <comment ref="Y73" authorId="0">
      <text>
        <r>
          <rPr>
            <sz val="9"/>
            <color indexed="81"/>
            <rFont val="Tahoma"/>
            <family val="2"/>
          </rPr>
          <t>0 Recursos propios 
1 Presupuesto de entidad nacional
2 Regalías
3 Recursos de crédito
4 SGP
5 No Aplica</t>
        </r>
      </text>
    </comment>
    <comment ref="AD73" authorId="0">
      <text>
        <r>
          <rPr>
            <b/>
            <sz val="9"/>
            <color indexed="81"/>
            <rFont val="Tahoma"/>
            <family val="2"/>
          </rPr>
          <t>0 No
1 Sí</t>
        </r>
      </text>
    </comment>
    <comment ref="AE73" authorId="0">
      <text>
        <r>
          <rPr>
            <sz val="9"/>
            <color indexed="81"/>
            <rFont val="Tahoma"/>
            <family val="2"/>
          </rPr>
          <t xml:space="preserve">
0 NA
1 No solicitadas
2 Solicitadas
3 Aprobadas</t>
        </r>
      </text>
    </comment>
    <comment ref="V74" authorId="0">
      <text>
        <r>
          <rPr>
            <b/>
            <sz val="9"/>
            <color indexed="81"/>
            <rFont val="Tahoma"/>
            <family val="2"/>
          </rPr>
          <t>0 Día(s)
1 Mes (s)
2 Año(s)</t>
        </r>
      </text>
    </comment>
    <comment ref="Y74" authorId="0">
      <text>
        <r>
          <rPr>
            <sz val="9"/>
            <color indexed="81"/>
            <rFont val="Tahoma"/>
            <family val="2"/>
          </rPr>
          <t>0 Recursos propios 
1 Presupuesto de entidad nacional
2 Regalías
3 Recursos de crédito
4 SGP
5 No Aplica</t>
        </r>
      </text>
    </comment>
    <comment ref="AD74" authorId="0">
      <text>
        <r>
          <rPr>
            <b/>
            <sz val="9"/>
            <color indexed="81"/>
            <rFont val="Tahoma"/>
            <family val="2"/>
          </rPr>
          <t>0 No
1 Sí</t>
        </r>
      </text>
    </comment>
    <comment ref="AE74" authorId="0">
      <text>
        <r>
          <rPr>
            <sz val="9"/>
            <color indexed="81"/>
            <rFont val="Tahoma"/>
            <family val="2"/>
          </rPr>
          <t xml:space="preserve">
0 NA
1 No solicitadas
2 Solicitadas
3 Aprobadas</t>
        </r>
      </text>
    </comment>
    <comment ref="V75" authorId="0">
      <text>
        <r>
          <rPr>
            <b/>
            <sz val="9"/>
            <color indexed="81"/>
            <rFont val="Tahoma"/>
            <family val="2"/>
          </rPr>
          <t>0 Día(s)
1 Mes (s)
2 Año(s)</t>
        </r>
      </text>
    </comment>
    <comment ref="Y75" authorId="0">
      <text>
        <r>
          <rPr>
            <sz val="9"/>
            <color indexed="81"/>
            <rFont val="Tahoma"/>
            <family val="2"/>
          </rPr>
          <t>0 Recursos propios 
1 Presupuesto de entidad nacional
2 Regalías
3 Recursos de crédito
4 SGP
5 No Aplica</t>
        </r>
      </text>
    </comment>
    <comment ref="AD75" authorId="0">
      <text>
        <r>
          <rPr>
            <b/>
            <sz val="9"/>
            <color indexed="81"/>
            <rFont val="Tahoma"/>
            <family val="2"/>
          </rPr>
          <t>0 No
1 Sí</t>
        </r>
      </text>
    </comment>
    <comment ref="AE75" authorId="0">
      <text>
        <r>
          <rPr>
            <sz val="9"/>
            <color indexed="81"/>
            <rFont val="Tahoma"/>
            <family val="2"/>
          </rPr>
          <t xml:space="preserve">
0 NA
1 No solicitadas
2 Solicitadas
3 Aprobadas</t>
        </r>
      </text>
    </comment>
    <comment ref="V76" authorId="0">
      <text>
        <r>
          <rPr>
            <b/>
            <sz val="9"/>
            <color indexed="81"/>
            <rFont val="Tahoma"/>
            <family val="2"/>
          </rPr>
          <t>0 Día(s)
1 Mes (s)
2 Año(s)</t>
        </r>
      </text>
    </comment>
    <comment ref="Y76" authorId="0">
      <text>
        <r>
          <rPr>
            <sz val="9"/>
            <color indexed="81"/>
            <rFont val="Tahoma"/>
            <family val="2"/>
          </rPr>
          <t>0 Recursos propios 
1 Presupuesto de entidad nacional
2 Regalías
3 Recursos de crédito
4 SGP
5 No Aplica</t>
        </r>
      </text>
    </comment>
    <comment ref="AD76" authorId="0">
      <text>
        <r>
          <rPr>
            <b/>
            <sz val="9"/>
            <color indexed="81"/>
            <rFont val="Tahoma"/>
            <family val="2"/>
          </rPr>
          <t>0 No
1 Sí</t>
        </r>
      </text>
    </comment>
    <comment ref="AE76" authorId="0">
      <text>
        <r>
          <rPr>
            <sz val="9"/>
            <color indexed="81"/>
            <rFont val="Tahoma"/>
            <family val="2"/>
          </rPr>
          <t xml:space="preserve">
0 NA
1 No solicitadas
2 Solicitadas
3 Aprobadas</t>
        </r>
      </text>
    </comment>
    <comment ref="V77" authorId="0">
      <text>
        <r>
          <rPr>
            <b/>
            <sz val="9"/>
            <color indexed="81"/>
            <rFont val="Tahoma"/>
            <family val="2"/>
          </rPr>
          <t>0 Día(s)
1 Mes (s)
2 Año(s)</t>
        </r>
      </text>
    </comment>
    <comment ref="Y77" authorId="0">
      <text>
        <r>
          <rPr>
            <sz val="9"/>
            <color indexed="81"/>
            <rFont val="Tahoma"/>
            <family val="2"/>
          </rPr>
          <t>0 Recursos propios 
1 Presupuesto de entidad nacional
2 Regalías
3 Recursos de crédito
4 SGP
5 No Aplica</t>
        </r>
      </text>
    </comment>
    <comment ref="AD77" authorId="0">
      <text>
        <r>
          <rPr>
            <b/>
            <sz val="9"/>
            <color indexed="81"/>
            <rFont val="Tahoma"/>
            <family val="2"/>
          </rPr>
          <t>0 No
1 Sí</t>
        </r>
      </text>
    </comment>
    <comment ref="AE77" authorId="0">
      <text>
        <r>
          <rPr>
            <sz val="9"/>
            <color indexed="81"/>
            <rFont val="Tahoma"/>
            <family val="2"/>
          </rPr>
          <t xml:space="preserve">
0 NA
1 No solicitadas
2 Solicitadas
3 Aprobadas</t>
        </r>
      </text>
    </comment>
    <comment ref="V78" authorId="0">
      <text>
        <r>
          <rPr>
            <b/>
            <sz val="9"/>
            <color indexed="81"/>
            <rFont val="Tahoma"/>
            <family val="2"/>
          </rPr>
          <t>0 Día(s)
1 Mes (s)
2 Año(s)</t>
        </r>
      </text>
    </comment>
    <comment ref="Y78" authorId="0">
      <text>
        <r>
          <rPr>
            <sz val="9"/>
            <color indexed="81"/>
            <rFont val="Tahoma"/>
            <family val="2"/>
          </rPr>
          <t>0 Recursos propios 
1 Presupuesto de entidad nacional
2 Regalías
3 Recursos de crédito
4 SGP
5 No Aplica</t>
        </r>
      </text>
    </comment>
    <comment ref="AD78" authorId="0">
      <text>
        <r>
          <rPr>
            <b/>
            <sz val="9"/>
            <color indexed="81"/>
            <rFont val="Tahoma"/>
            <family val="2"/>
          </rPr>
          <t>0 No
1 Sí</t>
        </r>
      </text>
    </comment>
    <comment ref="AE78" authorId="0">
      <text>
        <r>
          <rPr>
            <sz val="9"/>
            <color indexed="81"/>
            <rFont val="Tahoma"/>
            <family val="2"/>
          </rPr>
          <t xml:space="preserve">
0 NA
1 No solicitadas
2 Solicitadas
3 Aprobadas</t>
        </r>
      </text>
    </comment>
    <comment ref="V79" authorId="0">
      <text>
        <r>
          <rPr>
            <b/>
            <sz val="9"/>
            <color indexed="81"/>
            <rFont val="Tahoma"/>
            <family val="2"/>
          </rPr>
          <t>0 Día(s)
1 Mes (s)
2 Año(s)</t>
        </r>
      </text>
    </comment>
    <comment ref="Y79" authorId="0">
      <text>
        <r>
          <rPr>
            <sz val="9"/>
            <color indexed="81"/>
            <rFont val="Tahoma"/>
            <family val="2"/>
          </rPr>
          <t>0 Recursos propios 
1 Presupuesto de entidad nacional
2 Regalías
3 Recursos de crédito
4 SGP
5 No Aplica</t>
        </r>
      </text>
    </comment>
    <comment ref="AD79" authorId="0">
      <text>
        <r>
          <rPr>
            <b/>
            <sz val="9"/>
            <color indexed="81"/>
            <rFont val="Tahoma"/>
            <family val="2"/>
          </rPr>
          <t>0 No
1 Sí</t>
        </r>
      </text>
    </comment>
    <comment ref="AE79" authorId="0">
      <text>
        <r>
          <rPr>
            <sz val="9"/>
            <color indexed="81"/>
            <rFont val="Tahoma"/>
            <family val="2"/>
          </rPr>
          <t xml:space="preserve">
0 NA
1 No solicitadas
2 Solicitadas
3 Aprobadas</t>
        </r>
      </text>
    </comment>
    <comment ref="V80" authorId="0">
      <text>
        <r>
          <rPr>
            <b/>
            <sz val="9"/>
            <color indexed="81"/>
            <rFont val="Tahoma"/>
            <family val="2"/>
          </rPr>
          <t>0 Día(s)
1 Mes (s)
2 Año(s)</t>
        </r>
      </text>
    </comment>
    <comment ref="Y80" authorId="0">
      <text>
        <r>
          <rPr>
            <sz val="9"/>
            <color indexed="81"/>
            <rFont val="Tahoma"/>
            <family val="2"/>
          </rPr>
          <t>0 Recursos propios 
1 Presupuesto de entidad nacional
2 Regalías
3 Recursos de crédito
4 SGP
5 No Aplica</t>
        </r>
      </text>
    </comment>
    <comment ref="AD80" authorId="0">
      <text>
        <r>
          <rPr>
            <b/>
            <sz val="9"/>
            <color indexed="81"/>
            <rFont val="Tahoma"/>
            <family val="2"/>
          </rPr>
          <t>0 No
1 Sí</t>
        </r>
      </text>
    </comment>
    <comment ref="AE80" authorId="0">
      <text>
        <r>
          <rPr>
            <sz val="9"/>
            <color indexed="81"/>
            <rFont val="Tahoma"/>
            <family val="2"/>
          </rPr>
          <t xml:space="preserve">
0 NA
1 No solicitadas
2 Solicitadas
3 Aprobadas</t>
        </r>
      </text>
    </comment>
    <comment ref="V81" authorId="0">
      <text>
        <r>
          <rPr>
            <b/>
            <sz val="9"/>
            <color indexed="81"/>
            <rFont val="Tahoma"/>
            <family val="2"/>
          </rPr>
          <t>0 Día(s)
1 Mes (s)
2 Año(s)</t>
        </r>
      </text>
    </comment>
    <comment ref="Y81" authorId="0">
      <text>
        <r>
          <rPr>
            <sz val="9"/>
            <color indexed="81"/>
            <rFont val="Tahoma"/>
            <family val="2"/>
          </rPr>
          <t>0 Recursos propios 
1 Presupuesto de entidad nacional
2 Regalías
3 Recursos de crédito
4 SGP
5 No Aplica</t>
        </r>
      </text>
    </comment>
    <comment ref="AD81" authorId="0">
      <text>
        <r>
          <rPr>
            <b/>
            <sz val="9"/>
            <color indexed="81"/>
            <rFont val="Tahoma"/>
            <family val="2"/>
          </rPr>
          <t>0 No
1 Sí</t>
        </r>
      </text>
    </comment>
    <comment ref="AE81" authorId="0">
      <text>
        <r>
          <rPr>
            <sz val="9"/>
            <color indexed="81"/>
            <rFont val="Tahoma"/>
            <family val="2"/>
          </rPr>
          <t xml:space="preserve">
0 NA
1 No solicitadas
2 Solicitadas
3 Aprobadas</t>
        </r>
      </text>
    </comment>
    <comment ref="V82" authorId="0">
      <text>
        <r>
          <rPr>
            <b/>
            <sz val="9"/>
            <color indexed="81"/>
            <rFont val="Tahoma"/>
            <family val="2"/>
          </rPr>
          <t>0 Día(s)
1 Mes (s)
2 Año(s)</t>
        </r>
      </text>
    </comment>
    <comment ref="Y82" authorId="0">
      <text>
        <r>
          <rPr>
            <sz val="9"/>
            <color indexed="81"/>
            <rFont val="Tahoma"/>
            <family val="2"/>
          </rPr>
          <t>0 Recursos propios 
1 Presupuesto de entidad nacional
2 Regalías
3 Recursos de crédito
4 SGP
5 No Aplica</t>
        </r>
      </text>
    </comment>
    <comment ref="AD82" authorId="0">
      <text>
        <r>
          <rPr>
            <b/>
            <sz val="9"/>
            <color indexed="81"/>
            <rFont val="Tahoma"/>
            <family val="2"/>
          </rPr>
          <t>0 No
1 Sí</t>
        </r>
      </text>
    </comment>
    <comment ref="AE82" authorId="0">
      <text>
        <r>
          <rPr>
            <sz val="9"/>
            <color indexed="81"/>
            <rFont val="Tahoma"/>
            <family val="2"/>
          </rPr>
          <t xml:space="preserve">
0 NA
1 No solicitadas
2 Solicitadas
3 Aprobadas</t>
        </r>
      </text>
    </comment>
    <comment ref="V83" authorId="0">
      <text>
        <r>
          <rPr>
            <b/>
            <sz val="9"/>
            <color indexed="81"/>
            <rFont val="Tahoma"/>
            <family val="2"/>
          </rPr>
          <t>0 Día(s)
1 Mes (s)
2 Año(s)</t>
        </r>
      </text>
    </comment>
    <comment ref="Y83" authorId="0">
      <text>
        <r>
          <rPr>
            <sz val="9"/>
            <color indexed="81"/>
            <rFont val="Tahoma"/>
            <family val="2"/>
          </rPr>
          <t>0 Recursos propios 
1 Presupuesto de entidad nacional
2 Regalías
3 Recursos de crédito
4 SGP
5 No Aplica</t>
        </r>
      </text>
    </comment>
    <comment ref="AD83" authorId="0">
      <text>
        <r>
          <rPr>
            <b/>
            <sz val="9"/>
            <color indexed="81"/>
            <rFont val="Tahoma"/>
            <family val="2"/>
          </rPr>
          <t>0 No
1 Sí</t>
        </r>
      </text>
    </comment>
    <comment ref="AE83" authorId="0">
      <text>
        <r>
          <rPr>
            <sz val="9"/>
            <color indexed="81"/>
            <rFont val="Tahoma"/>
            <family val="2"/>
          </rPr>
          <t xml:space="preserve">
0 NA
1 No solicitadas
2 Solicitadas
3 Aprobadas</t>
        </r>
      </text>
    </comment>
    <comment ref="V84" authorId="0">
      <text>
        <r>
          <rPr>
            <b/>
            <sz val="9"/>
            <color indexed="81"/>
            <rFont val="Tahoma"/>
            <family val="2"/>
          </rPr>
          <t>0 Día(s)
1 Mes (s)
2 Año(s)</t>
        </r>
      </text>
    </comment>
    <comment ref="Y84" authorId="0">
      <text>
        <r>
          <rPr>
            <sz val="9"/>
            <color indexed="81"/>
            <rFont val="Tahoma"/>
            <family val="2"/>
          </rPr>
          <t>0 Recursos propios 
1 Presupuesto de entidad nacional
2 Regalías
3 Recursos de crédito
4 SGP
5 No Aplica</t>
        </r>
      </text>
    </comment>
    <comment ref="AD84" authorId="0">
      <text>
        <r>
          <rPr>
            <b/>
            <sz val="9"/>
            <color indexed="81"/>
            <rFont val="Tahoma"/>
            <family val="2"/>
          </rPr>
          <t>0 No
1 Sí</t>
        </r>
      </text>
    </comment>
    <comment ref="AE84" authorId="0">
      <text>
        <r>
          <rPr>
            <sz val="9"/>
            <color indexed="81"/>
            <rFont val="Tahoma"/>
            <family val="2"/>
          </rPr>
          <t xml:space="preserve">
0 NA
1 No solicitadas
2 Solicitadas
3 Aprobadas</t>
        </r>
      </text>
    </comment>
    <comment ref="V85" authorId="0">
      <text>
        <r>
          <rPr>
            <b/>
            <sz val="9"/>
            <color indexed="81"/>
            <rFont val="Tahoma"/>
            <family val="2"/>
          </rPr>
          <t>0 Día(s)
1 Mes (s)
2 Año(s)</t>
        </r>
      </text>
    </comment>
    <comment ref="Y85" authorId="0">
      <text>
        <r>
          <rPr>
            <sz val="9"/>
            <color indexed="81"/>
            <rFont val="Tahoma"/>
            <family val="2"/>
          </rPr>
          <t>0 Recursos propios 
1 Presupuesto de entidad nacional
2 Regalías
3 Recursos de crédito
4 SGP
5 No Aplica</t>
        </r>
      </text>
    </comment>
    <comment ref="AD85" authorId="0">
      <text>
        <r>
          <rPr>
            <b/>
            <sz val="9"/>
            <color indexed="81"/>
            <rFont val="Tahoma"/>
            <family val="2"/>
          </rPr>
          <t>0 No
1 Sí</t>
        </r>
      </text>
    </comment>
    <comment ref="AE85" authorId="0">
      <text>
        <r>
          <rPr>
            <sz val="9"/>
            <color indexed="81"/>
            <rFont val="Tahoma"/>
            <family val="2"/>
          </rPr>
          <t xml:space="preserve">
0 NA
1 No solicitadas
2 Solicitadas
3 Aprobadas</t>
        </r>
      </text>
    </comment>
    <comment ref="V86" authorId="0">
      <text>
        <r>
          <rPr>
            <b/>
            <sz val="9"/>
            <color indexed="81"/>
            <rFont val="Tahoma"/>
            <family val="2"/>
          </rPr>
          <t>0 Día(s)
1 Mes (s)
2 Año(s)</t>
        </r>
      </text>
    </comment>
    <comment ref="Y86" authorId="0">
      <text>
        <r>
          <rPr>
            <sz val="9"/>
            <color indexed="81"/>
            <rFont val="Tahoma"/>
            <family val="2"/>
          </rPr>
          <t>0 Recursos propios 
1 Presupuesto de entidad nacional
2 Regalías
3 Recursos de crédito
4 SGP
5 No Aplica</t>
        </r>
      </text>
    </comment>
    <comment ref="AD86" authorId="0">
      <text>
        <r>
          <rPr>
            <b/>
            <sz val="9"/>
            <color indexed="81"/>
            <rFont val="Tahoma"/>
            <family val="2"/>
          </rPr>
          <t>0 No
1 Sí</t>
        </r>
      </text>
    </comment>
    <comment ref="AE86" authorId="0">
      <text>
        <r>
          <rPr>
            <sz val="9"/>
            <color indexed="81"/>
            <rFont val="Tahoma"/>
            <family val="2"/>
          </rPr>
          <t xml:space="preserve">
0 NA
1 No solicitadas
2 Solicitadas
3 Aprobadas</t>
        </r>
      </text>
    </comment>
    <comment ref="V87" authorId="0">
      <text>
        <r>
          <rPr>
            <b/>
            <sz val="9"/>
            <color indexed="81"/>
            <rFont val="Tahoma"/>
            <family val="2"/>
          </rPr>
          <t>0 Día(s)
1 Mes (s)
2 Año(s)</t>
        </r>
      </text>
    </comment>
    <comment ref="Y87" authorId="0">
      <text>
        <r>
          <rPr>
            <sz val="9"/>
            <color indexed="81"/>
            <rFont val="Tahoma"/>
            <family val="2"/>
          </rPr>
          <t>0 Recursos propios 
1 Presupuesto de entidad nacional
2 Regalías
3 Recursos de crédito
4 SGP
5 No Aplica</t>
        </r>
      </text>
    </comment>
    <comment ref="AD87" authorId="0">
      <text>
        <r>
          <rPr>
            <b/>
            <sz val="9"/>
            <color indexed="81"/>
            <rFont val="Tahoma"/>
            <family val="2"/>
          </rPr>
          <t>0 No
1 Sí</t>
        </r>
      </text>
    </comment>
    <comment ref="AE87" authorId="0">
      <text>
        <r>
          <rPr>
            <sz val="9"/>
            <color indexed="81"/>
            <rFont val="Tahoma"/>
            <family val="2"/>
          </rPr>
          <t xml:space="preserve">
0 NA
1 No solicitadas
2 Solicitadas
3 Aprobadas</t>
        </r>
      </text>
    </comment>
    <comment ref="V88" authorId="0">
      <text>
        <r>
          <rPr>
            <b/>
            <sz val="9"/>
            <color indexed="81"/>
            <rFont val="Tahoma"/>
            <family val="2"/>
          </rPr>
          <t>0 Día(s)
1 Mes (s)
2 Año(s)</t>
        </r>
      </text>
    </comment>
    <comment ref="Y88" authorId="0">
      <text>
        <r>
          <rPr>
            <sz val="9"/>
            <color indexed="81"/>
            <rFont val="Tahoma"/>
            <family val="2"/>
          </rPr>
          <t>0 Recursos propios 
1 Presupuesto de entidad nacional
2 Regalías
3 Recursos de crédito
4 SGP
5 No Aplica</t>
        </r>
      </text>
    </comment>
    <comment ref="AD88" authorId="0">
      <text>
        <r>
          <rPr>
            <b/>
            <sz val="9"/>
            <color indexed="81"/>
            <rFont val="Tahoma"/>
            <family val="2"/>
          </rPr>
          <t>0 No
1 Sí</t>
        </r>
      </text>
    </comment>
    <comment ref="AE88" authorId="0">
      <text>
        <r>
          <rPr>
            <sz val="9"/>
            <color indexed="81"/>
            <rFont val="Tahoma"/>
            <family val="2"/>
          </rPr>
          <t xml:space="preserve">
0 NA
1 No solicitadas
2 Solicitadas
3 Aprobadas</t>
        </r>
      </text>
    </comment>
    <comment ref="V89" authorId="0">
      <text>
        <r>
          <rPr>
            <b/>
            <sz val="9"/>
            <color indexed="81"/>
            <rFont val="Tahoma"/>
            <family val="2"/>
          </rPr>
          <t>0 Día(s)
1 Mes (s)
2 Año(s)</t>
        </r>
      </text>
    </comment>
    <comment ref="Y89" authorId="0">
      <text>
        <r>
          <rPr>
            <sz val="9"/>
            <color indexed="81"/>
            <rFont val="Tahoma"/>
            <family val="2"/>
          </rPr>
          <t>0 Recursos propios 
1 Presupuesto de entidad nacional
2 Regalías
3 Recursos de crédito
4 SGP
5 No Aplica</t>
        </r>
      </text>
    </comment>
    <comment ref="AD89" authorId="0">
      <text>
        <r>
          <rPr>
            <b/>
            <sz val="9"/>
            <color indexed="81"/>
            <rFont val="Tahoma"/>
            <family val="2"/>
          </rPr>
          <t>0 No
1 Sí</t>
        </r>
      </text>
    </comment>
    <comment ref="AE89" authorId="0">
      <text>
        <r>
          <rPr>
            <sz val="9"/>
            <color indexed="81"/>
            <rFont val="Tahoma"/>
            <family val="2"/>
          </rPr>
          <t xml:space="preserve">
0 NA
1 No solicitadas
2 Solicitadas
3 Aprobadas</t>
        </r>
      </text>
    </comment>
    <comment ref="V90" authorId="0">
      <text>
        <r>
          <rPr>
            <b/>
            <sz val="9"/>
            <color indexed="81"/>
            <rFont val="Tahoma"/>
            <family val="2"/>
          </rPr>
          <t>0 Día(s)
1 Mes (s)
2 Año(s)</t>
        </r>
      </text>
    </comment>
    <comment ref="Y90" authorId="0">
      <text>
        <r>
          <rPr>
            <sz val="9"/>
            <color indexed="81"/>
            <rFont val="Tahoma"/>
            <family val="2"/>
          </rPr>
          <t>0 Recursos propios 
1 Presupuesto de entidad nacional
2 Regalías
3 Recursos de crédito
4 SGP
5 No Aplica</t>
        </r>
      </text>
    </comment>
    <comment ref="AD90" authorId="0">
      <text>
        <r>
          <rPr>
            <b/>
            <sz val="9"/>
            <color indexed="81"/>
            <rFont val="Tahoma"/>
            <family val="2"/>
          </rPr>
          <t>0 No
1 Sí</t>
        </r>
      </text>
    </comment>
    <comment ref="AE90" authorId="0">
      <text>
        <r>
          <rPr>
            <sz val="9"/>
            <color indexed="81"/>
            <rFont val="Tahoma"/>
            <family val="2"/>
          </rPr>
          <t xml:space="preserve">
0 NA
1 No solicitadas
2 Solicitadas
3 Aprobadas</t>
        </r>
      </text>
    </comment>
    <comment ref="V91" authorId="0">
      <text>
        <r>
          <rPr>
            <b/>
            <sz val="9"/>
            <color indexed="81"/>
            <rFont val="Tahoma"/>
            <family val="2"/>
          </rPr>
          <t>0 Día(s)
1 Mes (s)
2 Año(s)</t>
        </r>
      </text>
    </comment>
    <comment ref="Y91" authorId="0">
      <text>
        <r>
          <rPr>
            <sz val="9"/>
            <color indexed="81"/>
            <rFont val="Tahoma"/>
            <family val="2"/>
          </rPr>
          <t>0 Recursos propios 
1 Presupuesto de entidad nacional
2 Regalías
3 Recursos de crédito
4 SGP
5 No Aplica</t>
        </r>
      </text>
    </comment>
    <comment ref="AD91" authorId="0">
      <text>
        <r>
          <rPr>
            <b/>
            <sz val="9"/>
            <color indexed="81"/>
            <rFont val="Tahoma"/>
            <family val="2"/>
          </rPr>
          <t>0 No
1 Sí</t>
        </r>
      </text>
    </comment>
    <comment ref="AE91" authorId="0">
      <text>
        <r>
          <rPr>
            <sz val="9"/>
            <color indexed="81"/>
            <rFont val="Tahoma"/>
            <family val="2"/>
          </rPr>
          <t xml:space="preserve">
0 NA
1 No solicitadas
2 Solicitadas
3 Aprobadas</t>
        </r>
      </text>
    </comment>
    <comment ref="V92" authorId="0">
      <text>
        <r>
          <rPr>
            <b/>
            <sz val="9"/>
            <color indexed="81"/>
            <rFont val="Tahoma"/>
            <family val="2"/>
          </rPr>
          <t>0 Día(s)
1 Mes (s)
2 Año(s)</t>
        </r>
      </text>
    </comment>
    <comment ref="Y92" authorId="0">
      <text>
        <r>
          <rPr>
            <sz val="9"/>
            <color indexed="81"/>
            <rFont val="Tahoma"/>
            <family val="2"/>
          </rPr>
          <t>0 Recursos propios 
1 Presupuesto de entidad nacional
2 Regalías
3 Recursos de crédito
4 SGP
5 No Aplica</t>
        </r>
      </text>
    </comment>
    <comment ref="AD92" authorId="0">
      <text>
        <r>
          <rPr>
            <b/>
            <sz val="9"/>
            <color indexed="81"/>
            <rFont val="Tahoma"/>
            <family val="2"/>
          </rPr>
          <t>0 No
1 Sí</t>
        </r>
      </text>
    </comment>
    <comment ref="AE92" authorId="0">
      <text>
        <r>
          <rPr>
            <sz val="9"/>
            <color indexed="81"/>
            <rFont val="Tahoma"/>
            <family val="2"/>
          </rPr>
          <t xml:space="preserve">
0 NA
1 No solicitadas
2 Solicitadas
3 Aprobadas</t>
        </r>
      </text>
    </comment>
    <comment ref="V93" authorId="0">
      <text>
        <r>
          <rPr>
            <b/>
            <sz val="9"/>
            <color indexed="81"/>
            <rFont val="Tahoma"/>
            <family val="2"/>
          </rPr>
          <t>0 Día(s)
1 Mes (s)
2 Año(s)</t>
        </r>
      </text>
    </comment>
    <comment ref="Y93" authorId="0">
      <text>
        <r>
          <rPr>
            <sz val="9"/>
            <color indexed="81"/>
            <rFont val="Tahoma"/>
            <family val="2"/>
          </rPr>
          <t>0 Recursos propios 
1 Presupuesto de entidad nacional
2 Regalías
3 Recursos de crédito
4 SGP
5 No Aplica</t>
        </r>
      </text>
    </comment>
    <comment ref="AD93" authorId="0">
      <text>
        <r>
          <rPr>
            <b/>
            <sz val="9"/>
            <color indexed="81"/>
            <rFont val="Tahoma"/>
            <family val="2"/>
          </rPr>
          <t>0 No
1 Sí</t>
        </r>
      </text>
    </comment>
    <comment ref="AE93" authorId="0">
      <text>
        <r>
          <rPr>
            <sz val="9"/>
            <color indexed="81"/>
            <rFont val="Tahoma"/>
            <family val="2"/>
          </rPr>
          <t xml:space="preserve">
0 NA
1 No solicitadas
2 Solicitadas
3 Aprobadas</t>
        </r>
      </text>
    </comment>
    <comment ref="V94" authorId="0">
      <text>
        <r>
          <rPr>
            <b/>
            <sz val="9"/>
            <color indexed="81"/>
            <rFont val="Tahoma"/>
            <family val="2"/>
          </rPr>
          <t>0 Día(s)
1 Mes (s)
2 Año(s)</t>
        </r>
      </text>
    </comment>
    <comment ref="Y94" authorId="0">
      <text>
        <r>
          <rPr>
            <sz val="9"/>
            <color indexed="81"/>
            <rFont val="Tahoma"/>
            <family val="2"/>
          </rPr>
          <t>0 Recursos propios 
1 Presupuesto de entidad nacional
2 Regalías
3 Recursos de crédito
4 SGP
5 No Aplica</t>
        </r>
      </text>
    </comment>
    <comment ref="AD94" authorId="0">
      <text>
        <r>
          <rPr>
            <b/>
            <sz val="9"/>
            <color indexed="81"/>
            <rFont val="Tahoma"/>
            <family val="2"/>
          </rPr>
          <t>0 No
1 Sí</t>
        </r>
      </text>
    </comment>
    <comment ref="AE94" authorId="0">
      <text>
        <r>
          <rPr>
            <sz val="9"/>
            <color indexed="81"/>
            <rFont val="Tahoma"/>
            <family val="2"/>
          </rPr>
          <t xml:space="preserve">
0 NA
1 No solicitadas
2 Solicitadas
3 Aprobadas</t>
        </r>
      </text>
    </comment>
    <comment ref="U95" authorId="2">
      <text>
        <r>
          <rPr>
            <b/>
            <sz val="9"/>
            <color indexed="81"/>
            <rFont val="Tahoma"/>
            <family val="2"/>
          </rPr>
          <t>Nubia S Zubieta:</t>
        </r>
        <r>
          <rPr>
            <sz val="9"/>
            <color indexed="81"/>
            <rFont val="Tahoma"/>
            <family val="2"/>
          </rPr>
          <t xml:space="preserve">
El plazo estimado del contrato en los estudios previos es de 13
 meses</t>
        </r>
      </text>
    </comment>
    <comment ref="V95" authorId="0">
      <text>
        <r>
          <rPr>
            <b/>
            <sz val="9"/>
            <color indexed="81"/>
            <rFont val="Tahoma"/>
            <family val="2"/>
          </rPr>
          <t>0 Día(s)
1 Mes (s)
2 Año(s)</t>
        </r>
      </text>
    </comment>
    <comment ref="Y95" authorId="0">
      <text>
        <r>
          <rPr>
            <sz val="9"/>
            <color indexed="81"/>
            <rFont val="Tahoma"/>
            <family val="2"/>
          </rPr>
          <t>0 Recursos propios 
1 Presupuesto de entidad nacional
2 Regalías
3 Recursos de crédito
4 SGP
5 No Aplica</t>
        </r>
      </text>
    </comment>
    <comment ref="AD95" authorId="0">
      <text>
        <r>
          <rPr>
            <b/>
            <sz val="9"/>
            <color indexed="81"/>
            <rFont val="Tahoma"/>
            <family val="2"/>
          </rPr>
          <t>0 No
1 Sí</t>
        </r>
      </text>
    </comment>
    <comment ref="AE95" authorId="0">
      <text>
        <r>
          <rPr>
            <sz val="9"/>
            <color indexed="81"/>
            <rFont val="Tahoma"/>
            <family val="2"/>
          </rPr>
          <t xml:space="preserve">
0 NA
1 No solicitadas
2 Solicitadas
3 Aprobadas</t>
        </r>
      </text>
    </comment>
    <comment ref="V96" authorId="0">
      <text>
        <r>
          <rPr>
            <b/>
            <sz val="9"/>
            <color indexed="81"/>
            <rFont val="Tahoma"/>
            <family val="2"/>
          </rPr>
          <t>0 Día(s)
1 Mes (s)
2 Año(s)</t>
        </r>
      </text>
    </comment>
    <comment ref="Y96" authorId="0">
      <text>
        <r>
          <rPr>
            <sz val="9"/>
            <color indexed="81"/>
            <rFont val="Tahoma"/>
            <family val="2"/>
          </rPr>
          <t>0 Recursos propios 
1 Presupuesto de entidad nacional
2 Regalías
3 Recursos de crédito
4 SGP
5 No Aplica</t>
        </r>
      </text>
    </comment>
    <comment ref="AD96" authorId="0">
      <text>
        <r>
          <rPr>
            <b/>
            <sz val="9"/>
            <color indexed="81"/>
            <rFont val="Tahoma"/>
            <family val="2"/>
          </rPr>
          <t>0 No
1 Sí</t>
        </r>
      </text>
    </comment>
    <comment ref="AE96" authorId="0">
      <text>
        <r>
          <rPr>
            <sz val="9"/>
            <color indexed="81"/>
            <rFont val="Tahoma"/>
            <family val="2"/>
          </rPr>
          <t xml:space="preserve">
0 NA
1 No solicitadas
2 Solicitadas
3 Aprobadas</t>
        </r>
      </text>
    </comment>
    <comment ref="V97" authorId="0">
      <text>
        <r>
          <rPr>
            <b/>
            <sz val="9"/>
            <color indexed="81"/>
            <rFont val="Tahoma"/>
            <family val="2"/>
          </rPr>
          <t>0 Día(s)
1 Mes (s)
2 Año(s)</t>
        </r>
      </text>
    </comment>
    <comment ref="Y97" authorId="0">
      <text>
        <r>
          <rPr>
            <sz val="9"/>
            <color indexed="81"/>
            <rFont val="Tahoma"/>
            <family val="2"/>
          </rPr>
          <t>0 Recursos propios 
1 Presupuesto de entidad nacional
2 Regalías
3 Recursos de crédito
4 SGP
5 No Aplica</t>
        </r>
      </text>
    </comment>
    <comment ref="AD97" authorId="0">
      <text>
        <r>
          <rPr>
            <b/>
            <sz val="9"/>
            <color indexed="81"/>
            <rFont val="Tahoma"/>
            <family val="2"/>
          </rPr>
          <t>0 No
1 Sí</t>
        </r>
      </text>
    </comment>
    <comment ref="AE97" authorId="0">
      <text>
        <r>
          <rPr>
            <sz val="9"/>
            <color indexed="81"/>
            <rFont val="Tahoma"/>
            <family val="2"/>
          </rPr>
          <t xml:space="preserve">
0 NA
1 No solicitadas
2 Solicitadas
3 Aprobadas</t>
        </r>
      </text>
    </comment>
    <comment ref="V98" authorId="0">
      <text>
        <r>
          <rPr>
            <b/>
            <sz val="9"/>
            <color indexed="81"/>
            <rFont val="Tahoma"/>
            <family val="2"/>
          </rPr>
          <t>0 Día(s)
1 Mes (s)
2 Año(s)</t>
        </r>
      </text>
    </comment>
    <comment ref="Y98" authorId="0">
      <text>
        <r>
          <rPr>
            <sz val="9"/>
            <color indexed="81"/>
            <rFont val="Tahoma"/>
            <family val="2"/>
          </rPr>
          <t>0 Recursos propios 
1 Presupuesto de entidad nacional
2 Regalías
3 Recursos de crédito
4 SGP
5 No Aplica</t>
        </r>
      </text>
    </comment>
    <comment ref="AD98" authorId="0">
      <text>
        <r>
          <rPr>
            <b/>
            <sz val="9"/>
            <color indexed="81"/>
            <rFont val="Tahoma"/>
            <family val="2"/>
          </rPr>
          <t>0 No
1 Sí</t>
        </r>
      </text>
    </comment>
    <comment ref="AE98" authorId="0">
      <text>
        <r>
          <rPr>
            <sz val="9"/>
            <color indexed="81"/>
            <rFont val="Tahoma"/>
            <family val="2"/>
          </rPr>
          <t xml:space="preserve">
0 NA
1 No solicitadas
2 Solicitadas
3 Aprobadas</t>
        </r>
      </text>
    </comment>
    <comment ref="V99" authorId="0">
      <text>
        <r>
          <rPr>
            <b/>
            <sz val="9"/>
            <color indexed="81"/>
            <rFont val="Tahoma"/>
            <family val="2"/>
          </rPr>
          <t>0 Día(s)
1 Mes (s)
2 Año(s)</t>
        </r>
      </text>
    </comment>
    <comment ref="Y99" authorId="0">
      <text>
        <r>
          <rPr>
            <sz val="9"/>
            <color indexed="81"/>
            <rFont val="Tahoma"/>
            <family val="2"/>
          </rPr>
          <t>0 Recursos propios 
1 Presupuesto de entidad nacional
2 Regalías
3 Recursos de crédito
4 SGP
5 No Aplica</t>
        </r>
      </text>
    </comment>
    <comment ref="AD99" authorId="0">
      <text>
        <r>
          <rPr>
            <b/>
            <sz val="9"/>
            <color indexed="81"/>
            <rFont val="Tahoma"/>
            <family val="2"/>
          </rPr>
          <t>0 No
1 Sí</t>
        </r>
      </text>
    </comment>
    <comment ref="AE99" authorId="0">
      <text>
        <r>
          <rPr>
            <sz val="9"/>
            <color indexed="81"/>
            <rFont val="Tahoma"/>
            <family val="2"/>
          </rPr>
          <t xml:space="preserve">
0 NA
1 No solicitadas
2 Solicitadas
3 Aprobadas</t>
        </r>
      </text>
    </comment>
    <comment ref="V100" authorId="0">
      <text>
        <r>
          <rPr>
            <b/>
            <sz val="9"/>
            <color indexed="81"/>
            <rFont val="Tahoma"/>
            <family val="2"/>
          </rPr>
          <t>0 Día(s)
1 Mes (s)
2 Año(s)</t>
        </r>
      </text>
    </comment>
    <comment ref="Y100" authorId="0">
      <text>
        <r>
          <rPr>
            <sz val="9"/>
            <color indexed="81"/>
            <rFont val="Tahoma"/>
            <family val="2"/>
          </rPr>
          <t>0 Recursos propios 
1 Presupuesto de entidad nacional
2 Regalías
3 Recursos de crédito
4 SGP
5 No Aplica</t>
        </r>
      </text>
    </comment>
    <comment ref="AD100" authorId="0">
      <text>
        <r>
          <rPr>
            <b/>
            <sz val="9"/>
            <color indexed="81"/>
            <rFont val="Tahoma"/>
            <family val="2"/>
          </rPr>
          <t>0 No
1 Sí</t>
        </r>
      </text>
    </comment>
    <comment ref="AE100" authorId="0">
      <text>
        <r>
          <rPr>
            <sz val="9"/>
            <color indexed="81"/>
            <rFont val="Tahoma"/>
            <family val="2"/>
          </rPr>
          <t xml:space="preserve">
0 NA
1 No solicitadas
2 Solicitadas
3 Aprobadas</t>
        </r>
      </text>
    </comment>
    <comment ref="V101" authorId="0">
      <text>
        <r>
          <rPr>
            <b/>
            <sz val="9"/>
            <color indexed="81"/>
            <rFont val="Tahoma"/>
            <family val="2"/>
          </rPr>
          <t>0 Día(s)
1 Mes (s)
2 Año(s)</t>
        </r>
      </text>
    </comment>
    <comment ref="Y101" authorId="0">
      <text>
        <r>
          <rPr>
            <sz val="9"/>
            <color indexed="81"/>
            <rFont val="Tahoma"/>
            <family val="2"/>
          </rPr>
          <t>0 Recursos propios 
1 Presupuesto de entidad nacional
2 Regalías
3 Recursos de crédito
4 SGP
5 No Aplica</t>
        </r>
      </text>
    </comment>
    <comment ref="AD101" authorId="0">
      <text>
        <r>
          <rPr>
            <b/>
            <sz val="9"/>
            <color indexed="81"/>
            <rFont val="Tahoma"/>
            <family val="2"/>
          </rPr>
          <t>0 No
1 Sí</t>
        </r>
      </text>
    </comment>
    <comment ref="AE101" authorId="0">
      <text>
        <r>
          <rPr>
            <sz val="9"/>
            <color indexed="81"/>
            <rFont val="Tahoma"/>
            <family val="2"/>
          </rPr>
          <t xml:space="preserve">
0 NA
1 No solicitadas
2 Solicitadas
3 Aprobadas</t>
        </r>
      </text>
    </comment>
    <comment ref="V102" authorId="0">
      <text>
        <r>
          <rPr>
            <b/>
            <sz val="9"/>
            <color indexed="81"/>
            <rFont val="Tahoma"/>
            <family val="2"/>
          </rPr>
          <t>0 Día(s)
1 Mes (s)
2 Año(s)</t>
        </r>
      </text>
    </comment>
    <comment ref="Y102" authorId="0">
      <text>
        <r>
          <rPr>
            <sz val="9"/>
            <color indexed="81"/>
            <rFont val="Tahoma"/>
            <family val="2"/>
          </rPr>
          <t>0 Recursos propios 
1 Presupuesto de entidad nacional
2 Regalías
3 Recursos de crédito
4 SGP
5 No Aplica</t>
        </r>
      </text>
    </comment>
    <comment ref="AD102" authorId="0">
      <text>
        <r>
          <rPr>
            <b/>
            <sz val="9"/>
            <color indexed="81"/>
            <rFont val="Tahoma"/>
            <family val="2"/>
          </rPr>
          <t>0 No
1 Sí</t>
        </r>
      </text>
    </comment>
    <comment ref="AE102" authorId="0">
      <text>
        <r>
          <rPr>
            <sz val="9"/>
            <color indexed="81"/>
            <rFont val="Tahoma"/>
            <family val="2"/>
          </rPr>
          <t xml:space="preserve">
0 NA
1 No solicitadas
2 Solicitadas
3 Aprobadas</t>
        </r>
      </text>
    </comment>
    <comment ref="V103" authorId="0">
      <text>
        <r>
          <rPr>
            <b/>
            <sz val="9"/>
            <color indexed="81"/>
            <rFont val="Tahoma"/>
            <family val="2"/>
          </rPr>
          <t>0 Día(s)
1 Mes (s)
2 Año(s)</t>
        </r>
      </text>
    </comment>
    <comment ref="Y103" authorId="0">
      <text>
        <r>
          <rPr>
            <sz val="9"/>
            <color indexed="81"/>
            <rFont val="Tahoma"/>
            <family val="2"/>
          </rPr>
          <t>0 Recursos propios 
1 Presupuesto de entidad nacional
2 Regalías
3 Recursos de crédito
4 SGP
5 No Aplica</t>
        </r>
      </text>
    </comment>
    <comment ref="AD103" authorId="0">
      <text>
        <r>
          <rPr>
            <b/>
            <sz val="9"/>
            <color indexed="81"/>
            <rFont val="Tahoma"/>
            <family val="2"/>
          </rPr>
          <t>0 No
1 Sí</t>
        </r>
      </text>
    </comment>
    <comment ref="AE103" authorId="0">
      <text>
        <r>
          <rPr>
            <sz val="9"/>
            <color indexed="81"/>
            <rFont val="Tahoma"/>
            <family val="2"/>
          </rPr>
          <t xml:space="preserve">
0 NA
1 No solicitadas
2 Solicitadas
3 Aprobadas</t>
        </r>
      </text>
    </comment>
    <comment ref="V104" authorId="0">
      <text>
        <r>
          <rPr>
            <b/>
            <sz val="9"/>
            <color indexed="81"/>
            <rFont val="Tahoma"/>
            <family val="2"/>
          </rPr>
          <t>0 Día(s)
1 Mes (s)
2 Año(s)</t>
        </r>
      </text>
    </comment>
    <comment ref="Y104" authorId="0">
      <text>
        <r>
          <rPr>
            <sz val="9"/>
            <color indexed="81"/>
            <rFont val="Tahoma"/>
            <family val="2"/>
          </rPr>
          <t>0 Recursos propios 
1 Presupuesto de entidad nacional
2 Regalías
3 Recursos de crédito
4 SGP
5 No Aplica</t>
        </r>
      </text>
    </comment>
    <comment ref="AD104" authorId="0">
      <text>
        <r>
          <rPr>
            <b/>
            <sz val="9"/>
            <color indexed="81"/>
            <rFont val="Tahoma"/>
            <family val="2"/>
          </rPr>
          <t>0 No
1 Sí</t>
        </r>
      </text>
    </comment>
    <comment ref="AE104" authorId="0">
      <text>
        <r>
          <rPr>
            <sz val="9"/>
            <color indexed="81"/>
            <rFont val="Tahoma"/>
            <family val="2"/>
          </rPr>
          <t xml:space="preserve">
0 NA
1 No solicitadas
2 Solicitadas
3 Aprobadas</t>
        </r>
      </text>
    </comment>
    <comment ref="V105" authorId="0">
      <text>
        <r>
          <rPr>
            <b/>
            <sz val="9"/>
            <color indexed="81"/>
            <rFont val="Tahoma"/>
            <family val="2"/>
          </rPr>
          <t>0 Día(s)
1 Mes (s)
2 Año(s)</t>
        </r>
      </text>
    </comment>
    <comment ref="Y105" authorId="0">
      <text>
        <r>
          <rPr>
            <sz val="9"/>
            <color indexed="81"/>
            <rFont val="Tahoma"/>
            <family val="2"/>
          </rPr>
          <t>0 Recursos propios 
1 Presupuesto de entidad nacional
2 Regalías
3 Recursos de crédito
4 SGP
5 No Aplica</t>
        </r>
      </text>
    </comment>
    <comment ref="AD105" authorId="0">
      <text>
        <r>
          <rPr>
            <b/>
            <sz val="9"/>
            <color indexed="81"/>
            <rFont val="Tahoma"/>
            <family val="2"/>
          </rPr>
          <t>0 No
1 Sí</t>
        </r>
      </text>
    </comment>
    <comment ref="AE105" authorId="0">
      <text>
        <r>
          <rPr>
            <sz val="9"/>
            <color indexed="81"/>
            <rFont val="Tahoma"/>
            <family val="2"/>
          </rPr>
          <t xml:space="preserve">
0 NA
1 No solicitadas
2 Solicitadas
3 Aprobadas</t>
        </r>
      </text>
    </comment>
    <comment ref="V106" authorId="0">
      <text>
        <r>
          <rPr>
            <b/>
            <sz val="9"/>
            <color indexed="81"/>
            <rFont val="Tahoma"/>
            <family val="2"/>
          </rPr>
          <t>0 Día(s)
1 Mes (s)
2 Año(s)</t>
        </r>
      </text>
    </comment>
    <comment ref="Y106" authorId="0">
      <text>
        <r>
          <rPr>
            <sz val="9"/>
            <color indexed="81"/>
            <rFont val="Tahoma"/>
            <family val="2"/>
          </rPr>
          <t>0 Recursos propios 
1 Presupuesto de entidad nacional
2 Regalías
3 Recursos de crédito
4 SGP
5 No Aplica</t>
        </r>
      </text>
    </comment>
    <comment ref="AD106" authorId="0">
      <text>
        <r>
          <rPr>
            <b/>
            <sz val="9"/>
            <color indexed="81"/>
            <rFont val="Tahoma"/>
            <family val="2"/>
          </rPr>
          <t>0 No
1 Sí</t>
        </r>
      </text>
    </comment>
    <comment ref="AE106" authorId="0">
      <text>
        <r>
          <rPr>
            <sz val="9"/>
            <color indexed="81"/>
            <rFont val="Tahoma"/>
            <family val="2"/>
          </rPr>
          <t xml:space="preserve">
0 NA
1 No solicitadas
2 Solicitadas
3 Aprobadas</t>
        </r>
      </text>
    </comment>
    <comment ref="V107" authorId="0">
      <text>
        <r>
          <rPr>
            <b/>
            <sz val="9"/>
            <color indexed="81"/>
            <rFont val="Tahoma"/>
            <family val="2"/>
          </rPr>
          <t>0 Día(s)
1 Mes (s)
2 Año(s)</t>
        </r>
      </text>
    </comment>
    <comment ref="Y107" authorId="0">
      <text>
        <r>
          <rPr>
            <sz val="9"/>
            <color indexed="81"/>
            <rFont val="Tahoma"/>
            <family val="2"/>
          </rPr>
          <t>0 Recursos propios 
1 Presupuesto de entidad nacional
2 Regalías
3 Recursos de crédito
4 SGP
5 No Aplica</t>
        </r>
      </text>
    </comment>
    <comment ref="AD107" authorId="0">
      <text>
        <r>
          <rPr>
            <b/>
            <sz val="9"/>
            <color indexed="81"/>
            <rFont val="Tahoma"/>
            <family val="2"/>
          </rPr>
          <t>0 No
1 Sí</t>
        </r>
      </text>
    </comment>
    <comment ref="AE107" authorId="0">
      <text>
        <r>
          <rPr>
            <sz val="9"/>
            <color indexed="81"/>
            <rFont val="Tahoma"/>
            <family val="2"/>
          </rPr>
          <t xml:space="preserve">
0 NA
1 No solicitadas
2 Solicitadas
3 Aprobadas</t>
        </r>
      </text>
    </comment>
    <comment ref="V108" authorId="0">
      <text>
        <r>
          <rPr>
            <b/>
            <sz val="9"/>
            <color indexed="81"/>
            <rFont val="Tahoma"/>
            <family val="2"/>
          </rPr>
          <t>0 Día(s)
1 Mes (s)
2 Año(s)</t>
        </r>
      </text>
    </comment>
    <comment ref="Y108" authorId="0">
      <text>
        <r>
          <rPr>
            <sz val="9"/>
            <color indexed="81"/>
            <rFont val="Tahoma"/>
            <family val="2"/>
          </rPr>
          <t>0 Recursos propios 
1 Presupuesto de entidad nacional
2 Regalías
3 Recursos de crédito
4 SGP
5 No Aplica</t>
        </r>
      </text>
    </comment>
    <comment ref="AD108" authorId="0">
      <text>
        <r>
          <rPr>
            <b/>
            <sz val="9"/>
            <color indexed="81"/>
            <rFont val="Tahoma"/>
            <family val="2"/>
          </rPr>
          <t>0 No
1 Sí</t>
        </r>
      </text>
    </comment>
    <comment ref="AE108" authorId="0">
      <text>
        <r>
          <rPr>
            <sz val="9"/>
            <color indexed="81"/>
            <rFont val="Tahoma"/>
            <family val="2"/>
          </rPr>
          <t xml:space="preserve">
0 NA
1 No solicitadas
2 Solicitadas
3 Aprobadas</t>
        </r>
      </text>
    </comment>
    <comment ref="V109" authorId="0">
      <text>
        <r>
          <rPr>
            <b/>
            <sz val="9"/>
            <color indexed="81"/>
            <rFont val="Tahoma"/>
            <family val="2"/>
          </rPr>
          <t>0 Día(s)
1 Mes (s)
2 Año(s)</t>
        </r>
      </text>
    </comment>
    <comment ref="Y109" authorId="0">
      <text>
        <r>
          <rPr>
            <sz val="9"/>
            <color indexed="81"/>
            <rFont val="Tahoma"/>
            <family val="2"/>
          </rPr>
          <t>0 Recursos propios 
1 Presupuesto de entidad nacional
2 Regalías
3 Recursos de crédito
4 SGP
5 No Aplica</t>
        </r>
      </text>
    </comment>
    <comment ref="AD109" authorId="0">
      <text>
        <r>
          <rPr>
            <b/>
            <sz val="9"/>
            <color indexed="81"/>
            <rFont val="Tahoma"/>
            <family val="2"/>
          </rPr>
          <t>0 No
1 Sí</t>
        </r>
      </text>
    </comment>
    <comment ref="AE109" authorId="0">
      <text>
        <r>
          <rPr>
            <sz val="9"/>
            <color indexed="81"/>
            <rFont val="Tahoma"/>
            <family val="2"/>
          </rPr>
          <t xml:space="preserve">
0 NA
1 No solicitadas
2 Solicitadas
3 Aprobadas</t>
        </r>
      </text>
    </comment>
    <comment ref="V110" authorId="0">
      <text>
        <r>
          <rPr>
            <b/>
            <sz val="9"/>
            <color indexed="81"/>
            <rFont val="Tahoma"/>
            <family val="2"/>
          </rPr>
          <t>0 Día(s)
1 Mes (s)
2 Año(s)</t>
        </r>
      </text>
    </comment>
    <comment ref="Y110" authorId="0">
      <text>
        <r>
          <rPr>
            <sz val="9"/>
            <color indexed="81"/>
            <rFont val="Tahoma"/>
            <family val="2"/>
          </rPr>
          <t>0 Recursos propios 
1 Presupuesto de entidad nacional
2 Regalías
3 Recursos de crédito
4 SGP
5 No Aplica</t>
        </r>
      </text>
    </comment>
    <comment ref="AD110" authorId="0">
      <text>
        <r>
          <rPr>
            <b/>
            <sz val="9"/>
            <color indexed="81"/>
            <rFont val="Tahoma"/>
            <family val="2"/>
          </rPr>
          <t>0 No
1 Sí</t>
        </r>
      </text>
    </comment>
    <comment ref="AE110" authorId="0">
      <text>
        <r>
          <rPr>
            <sz val="9"/>
            <color indexed="81"/>
            <rFont val="Tahoma"/>
            <family val="2"/>
          </rPr>
          <t xml:space="preserve">
0 NA
1 No solicitadas
2 Solicitadas
3 Aprobadas</t>
        </r>
      </text>
    </comment>
    <comment ref="V111" authorId="0">
      <text>
        <r>
          <rPr>
            <b/>
            <sz val="9"/>
            <color indexed="81"/>
            <rFont val="Tahoma"/>
            <family val="2"/>
          </rPr>
          <t>0 Día(s)
1 Mes (s)
2 Año(s)</t>
        </r>
      </text>
    </comment>
    <comment ref="Y111" authorId="0">
      <text>
        <r>
          <rPr>
            <sz val="9"/>
            <color indexed="81"/>
            <rFont val="Tahoma"/>
            <family val="2"/>
          </rPr>
          <t>0 Recursos propios 
1 Presupuesto de entidad nacional
2 Regalías
3 Recursos de crédito
4 SGP
5 No Aplica</t>
        </r>
      </text>
    </comment>
    <comment ref="AD111" authorId="0">
      <text>
        <r>
          <rPr>
            <b/>
            <sz val="9"/>
            <color indexed="81"/>
            <rFont val="Tahoma"/>
            <family val="2"/>
          </rPr>
          <t>0 No
1 Sí</t>
        </r>
      </text>
    </comment>
    <comment ref="AE111" authorId="0">
      <text>
        <r>
          <rPr>
            <sz val="9"/>
            <color indexed="81"/>
            <rFont val="Tahoma"/>
            <family val="2"/>
          </rPr>
          <t xml:space="preserve">
0 NA
1 No solicitadas
2 Solicitadas
3 Aprobadas</t>
        </r>
      </text>
    </comment>
    <comment ref="V112" authorId="0">
      <text>
        <r>
          <rPr>
            <b/>
            <sz val="9"/>
            <color indexed="81"/>
            <rFont val="Tahoma"/>
            <family val="2"/>
          </rPr>
          <t>0 Día(s)
1 Mes (s)
2 Año(s)</t>
        </r>
      </text>
    </comment>
    <comment ref="Y112" authorId="0">
      <text>
        <r>
          <rPr>
            <sz val="9"/>
            <color indexed="81"/>
            <rFont val="Tahoma"/>
            <family val="2"/>
          </rPr>
          <t>0 Recursos propios 
1 Presupuesto de entidad nacional
2 Regalías
3 Recursos de crédito
4 SGP
5 No Aplica</t>
        </r>
      </text>
    </comment>
    <comment ref="AD112" authorId="0">
      <text>
        <r>
          <rPr>
            <b/>
            <sz val="9"/>
            <color indexed="81"/>
            <rFont val="Tahoma"/>
            <family val="2"/>
          </rPr>
          <t>0 No
1 Sí</t>
        </r>
      </text>
    </comment>
    <comment ref="AE112" authorId="0">
      <text>
        <r>
          <rPr>
            <sz val="9"/>
            <color indexed="81"/>
            <rFont val="Tahoma"/>
            <family val="2"/>
          </rPr>
          <t xml:space="preserve">
0 NA
1 No solicitadas
2 Solicitadas
3 Aprobadas</t>
        </r>
      </text>
    </comment>
    <comment ref="V113" authorId="0">
      <text>
        <r>
          <rPr>
            <b/>
            <sz val="9"/>
            <color indexed="81"/>
            <rFont val="Tahoma"/>
            <family val="2"/>
          </rPr>
          <t>0 Día(s)
1 Mes (s)
2 Año(s)</t>
        </r>
      </text>
    </comment>
    <comment ref="Y113" authorId="0">
      <text>
        <r>
          <rPr>
            <sz val="9"/>
            <color indexed="81"/>
            <rFont val="Tahoma"/>
            <family val="2"/>
          </rPr>
          <t>0 Recursos propios 
1 Presupuesto de entidad nacional
2 Regalías
3 Recursos de crédito
4 SGP
5 No Aplica</t>
        </r>
      </text>
    </comment>
    <comment ref="AD113" authorId="0">
      <text>
        <r>
          <rPr>
            <b/>
            <sz val="9"/>
            <color indexed="81"/>
            <rFont val="Tahoma"/>
            <family val="2"/>
          </rPr>
          <t>0 No
1 Sí</t>
        </r>
      </text>
    </comment>
    <comment ref="AE113" authorId="0">
      <text>
        <r>
          <rPr>
            <sz val="9"/>
            <color indexed="81"/>
            <rFont val="Tahoma"/>
            <family val="2"/>
          </rPr>
          <t xml:space="preserve">
0 NA
1 No solicitadas
2 Solicitadas
3 Aprobadas</t>
        </r>
      </text>
    </comment>
    <comment ref="V114" authorId="0">
      <text>
        <r>
          <rPr>
            <b/>
            <sz val="9"/>
            <color indexed="81"/>
            <rFont val="Tahoma"/>
            <family val="2"/>
          </rPr>
          <t>0 Día(s)
1 Mes (s)
2 Año(s)</t>
        </r>
      </text>
    </comment>
    <comment ref="Y114" authorId="0">
      <text>
        <r>
          <rPr>
            <sz val="9"/>
            <color indexed="81"/>
            <rFont val="Tahoma"/>
            <family val="2"/>
          </rPr>
          <t>0 Recursos propios 
1 Presupuesto de entidad nacional
2 Regalías
3 Recursos de crédito
4 SGP
5 No Aplica</t>
        </r>
      </text>
    </comment>
    <comment ref="AD114" authorId="0">
      <text>
        <r>
          <rPr>
            <b/>
            <sz val="9"/>
            <color indexed="81"/>
            <rFont val="Tahoma"/>
            <family val="2"/>
          </rPr>
          <t>0 No
1 Sí</t>
        </r>
      </text>
    </comment>
    <comment ref="AE114" authorId="0">
      <text>
        <r>
          <rPr>
            <sz val="9"/>
            <color indexed="81"/>
            <rFont val="Tahoma"/>
            <family val="2"/>
          </rPr>
          <t xml:space="preserve">
0 NA
1 No solicitadas
2 Solicitadas
3 Aprobadas</t>
        </r>
      </text>
    </comment>
    <comment ref="V115" authorId="0">
      <text>
        <r>
          <rPr>
            <b/>
            <sz val="9"/>
            <color indexed="81"/>
            <rFont val="Tahoma"/>
            <family val="2"/>
          </rPr>
          <t>0 Día(s)
1 Mes (s)
2 Año(s)</t>
        </r>
      </text>
    </comment>
    <comment ref="Y115" authorId="0">
      <text>
        <r>
          <rPr>
            <sz val="9"/>
            <color indexed="81"/>
            <rFont val="Tahoma"/>
            <family val="2"/>
          </rPr>
          <t>0 Recursos propios 
1 Presupuesto de entidad nacional
2 Regalías
3 Recursos de crédito
4 SGP
5 No Aplica</t>
        </r>
      </text>
    </comment>
    <comment ref="AD115" authorId="0">
      <text>
        <r>
          <rPr>
            <b/>
            <sz val="9"/>
            <color indexed="81"/>
            <rFont val="Tahoma"/>
            <family val="2"/>
          </rPr>
          <t>0 No
1 Sí</t>
        </r>
      </text>
    </comment>
    <comment ref="AE115" authorId="0">
      <text>
        <r>
          <rPr>
            <sz val="9"/>
            <color indexed="81"/>
            <rFont val="Tahoma"/>
            <family val="2"/>
          </rPr>
          <t xml:space="preserve">
0 NA
1 No solicitadas
2 Solicitadas
3 Aprobadas</t>
        </r>
      </text>
    </comment>
    <comment ref="V116" authorId="0">
      <text>
        <r>
          <rPr>
            <b/>
            <sz val="9"/>
            <color indexed="81"/>
            <rFont val="Tahoma"/>
            <family val="2"/>
          </rPr>
          <t>0 Día(s)
1 Mes (s)
2 Año(s)</t>
        </r>
      </text>
    </comment>
    <comment ref="Y116" authorId="0">
      <text>
        <r>
          <rPr>
            <sz val="9"/>
            <color indexed="81"/>
            <rFont val="Tahoma"/>
            <family val="2"/>
          </rPr>
          <t>0 Recursos propios 
1 Presupuesto de entidad nacional
2 Regalías
3 Recursos de crédito
4 SGP
5 No Aplica</t>
        </r>
      </text>
    </comment>
    <comment ref="AD116" authorId="0">
      <text>
        <r>
          <rPr>
            <b/>
            <sz val="9"/>
            <color indexed="81"/>
            <rFont val="Tahoma"/>
            <family val="2"/>
          </rPr>
          <t>0 No
1 Sí</t>
        </r>
      </text>
    </comment>
    <comment ref="AE116" authorId="0">
      <text>
        <r>
          <rPr>
            <sz val="9"/>
            <color indexed="81"/>
            <rFont val="Tahoma"/>
            <family val="2"/>
          </rPr>
          <t xml:space="preserve">
0 NA
1 No solicitadas
2 Solicitadas
3 Aprobadas</t>
        </r>
      </text>
    </comment>
    <comment ref="V117" authorId="0">
      <text>
        <r>
          <rPr>
            <b/>
            <sz val="9"/>
            <color indexed="81"/>
            <rFont val="Tahoma"/>
            <family val="2"/>
          </rPr>
          <t>0 Día(s)
1 Mes (s)
2 Año(s)</t>
        </r>
      </text>
    </comment>
    <comment ref="Y117" authorId="0">
      <text>
        <r>
          <rPr>
            <sz val="9"/>
            <color indexed="81"/>
            <rFont val="Tahoma"/>
            <family val="2"/>
          </rPr>
          <t>0 Recursos propios 
1 Presupuesto de entidad nacional
2 Regalías
3 Recursos de crédito
4 SGP
5 No Aplica</t>
        </r>
      </text>
    </comment>
    <comment ref="AD117" authorId="0">
      <text>
        <r>
          <rPr>
            <b/>
            <sz val="9"/>
            <color indexed="81"/>
            <rFont val="Tahoma"/>
            <family val="2"/>
          </rPr>
          <t>0 No
1 Sí</t>
        </r>
      </text>
    </comment>
    <comment ref="AE117" authorId="0">
      <text>
        <r>
          <rPr>
            <sz val="9"/>
            <color indexed="81"/>
            <rFont val="Tahoma"/>
            <family val="2"/>
          </rPr>
          <t xml:space="preserve">
0 NA
1 No solicitadas
2 Solicitadas
3 Aprobadas</t>
        </r>
      </text>
    </comment>
    <comment ref="V118" authorId="0">
      <text>
        <r>
          <rPr>
            <b/>
            <sz val="9"/>
            <color indexed="81"/>
            <rFont val="Tahoma"/>
            <family val="2"/>
          </rPr>
          <t>0 Día(s)
1 Mes (s)
2 Año(s)</t>
        </r>
      </text>
    </comment>
    <comment ref="Y118" authorId="0">
      <text>
        <r>
          <rPr>
            <sz val="9"/>
            <color indexed="81"/>
            <rFont val="Tahoma"/>
            <family val="2"/>
          </rPr>
          <t>0 Recursos propios 
1 Presupuesto de entidad nacional
2 Regalías
3 Recursos de crédito
4 SGP
5 No Aplica</t>
        </r>
      </text>
    </comment>
    <comment ref="AD118" authorId="0">
      <text>
        <r>
          <rPr>
            <b/>
            <sz val="9"/>
            <color indexed="81"/>
            <rFont val="Tahoma"/>
            <family val="2"/>
          </rPr>
          <t>0 No
1 Sí</t>
        </r>
      </text>
    </comment>
    <comment ref="AE118" authorId="0">
      <text>
        <r>
          <rPr>
            <sz val="9"/>
            <color indexed="81"/>
            <rFont val="Tahoma"/>
            <family val="2"/>
          </rPr>
          <t xml:space="preserve">
0 NA
1 No solicitadas
2 Solicitadas
3 Aprobadas</t>
        </r>
      </text>
    </comment>
    <comment ref="V119" authorId="0">
      <text>
        <r>
          <rPr>
            <b/>
            <sz val="9"/>
            <color indexed="81"/>
            <rFont val="Tahoma"/>
            <family val="2"/>
          </rPr>
          <t>0 Día(s)
1 Mes (s)
2 Año(s)</t>
        </r>
      </text>
    </comment>
    <comment ref="Y119" authorId="0">
      <text>
        <r>
          <rPr>
            <sz val="9"/>
            <color indexed="81"/>
            <rFont val="Tahoma"/>
            <family val="2"/>
          </rPr>
          <t>0 Recursos propios 
1 Presupuesto de entidad nacional
2 Regalías
3 Recursos de crédito
4 SGP
5 No Aplica</t>
        </r>
      </text>
    </comment>
    <comment ref="AD119" authorId="0">
      <text>
        <r>
          <rPr>
            <b/>
            <sz val="9"/>
            <color indexed="81"/>
            <rFont val="Tahoma"/>
            <family val="2"/>
          </rPr>
          <t>0 No
1 Sí</t>
        </r>
      </text>
    </comment>
    <comment ref="AE119" authorId="0">
      <text>
        <r>
          <rPr>
            <sz val="9"/>
            <color indexed="81"/>
            <rFont val="Tahoma"/>
            <family val="2"/>
          </rPr>
          <t xml:space="preserve">
0 NA
1 No solicitadas
2 Solicitadas
3 Aprobadas</t>
        </r>
      </text>
    </comment>
    <comment ref="V120" authorId="0">
      <text>
        <r>
          <rPr>
            <b/>
            <sz val="9"/>
            <color indexed="81"/>
            <rFont val="Tahoma"/>
            <family val="2"/>
          </rPr>
          <t>0 Día(s)
1 Mes (s)
2 Año(s)</t>
        </r>
      </text>
    </comment>
    <comment ref="Y120" authorId="0">
      <text>
        <r>
          <rPr>
            <sz val="9"/>
            <color indexed="81"/>
            <rFont val="Tahoma"/>
            <family val="2"/>
          </rPr>
          <t>0 Recursos propios 
1 Presupuesto de entidad nacional
2 Regalías
3 Recursos de crédito
4 SGP
5 No Aplica</t>
        </r>
      </text>
    </comment>
    <comment ref="AD120" authorId="0">
      <text>
        <r>
          <rPr>
            <b/>
            <sz val="9"/>
            <color indexed="81"/>
            <rFont val="Tahoma"/>
            <family val="2"/>
          </rPr>
          <t>0 No
1 Sí</t>
        </r>
      </text>
    </comment>
    <comment ref="AE120" authorId="0">
      <text>
        <r>
          <rPr>
            <sz val="9"/>
            <color indexed="81"/>
            <rFont val="Tahoma"/>
            <family val="2"/>
          </rPr>
          <t xml:space="preserve">
0 NA
1 No solicitadas
2 Solicitadas
3 Aprobadas</t>
        </r>
      </text>
    </comment>
    <comment ref="V121" authorId="0">
      <text>
        <r>
          <rPr>
            <b/>
            <sz val="9"/>
            <color indexed="81"/>
            <rFont val="Tahoma"/>
            <family val="2"/>
          </rPr>
          <t>0 Día(s)
1 Mes (s)
2 Año(s)</t>
        </r>
      </text>
    </comment>
    <comment ref="Y121" authorId="0">
      <text>
        <r>
          <rPr>
            <sz val="9"/>
            <color indexed="81"/>
            <rFont val="Tahoma"/>
            <family val="2"/>
          </rPr>
          <t>0 Recursos propios 
1 Presupuesto de entidad nacional
2 Regalías
3 Recursos de crédito
4 SGP
5 No Aplica</t>
        </r>
      </text>
    </comment>
    <comment ref="AD121" authorId="0">
      <text>
        <r>
          <rPr>
            <b/>
            <sz val="9"/>
            <color indexed="81"/>
            <rFont val="Tahoma"/>
            <family val="2"/>
          </rPr>
          <t>0 No
1 Sí</t>
        </r>
      </text>
    </comment>
    <comment ref="AE121" authorId="0">
      <text>
        <r>
          <rPr>
            <sz val="9"/>
            <color indexed="81"/>
            <rFont val="Tahoma"/>
            <family val="2"/>
          </rPr>
          <t xml:space="preserve">
0 NA
1 No solicitadas
2 Solicitadas
3 Aprobadas</t>
        </r>
      </text>
    </comment>
    <comment ref="V122" authorId="0">
      <text>
        <r>
          <rPr>
            <b/>
            <sz val="9"/>
            <color indexed="81"/>
            <rFont val="Tahoma"/>
            <family val="2"/>
          </rPr>
          <t>0 Día(s)
1 Mes (s)
2 Año(s)</t>
        </r>
      </text>
    </comment>
    <comment ref="Y122" authorId="0">
      <text>
        <r>
          <rPr>
            <sz val="9"/>
            <color indexed="81"/>
            <rFont val="Tahoma"/>
            <family val="2"/>
          </rPr>
          <t>0 Recursos propios 
1 Presupuesto de entidad nacional
2 Regalías
3 Recursos de crédito
4 SGP
5 No Aplica</t>
        </r>
      </text>
    </comment>
    <comment ref="AD122" authorId="0">
      <text>
        <r>
          <rPr>
            <b/>
            <sz val="9"/>
            <color indexed="81"/>
            <rFont val="Tahoma"/>
            <family val="2"/>
          </rPr>
          <t>0 No
1 Sí</t>
        </r>
      </text>
    </comment>
    <comment ref="AE122" authorId="0">
      <text>
        <r>
          <rPr>
            <sz val="9"/>
            <color indexed="81"/>
            <rFont val="Tahoma"/>
            <family val="2"/>
          </rPr>
          <t xml:space="preserve">
0 NA
1 No solicitadas
2 Solicitadas
3 Aprobadas</t>
        </r>
      </text>
    </comment>
    <comment ref="V123" authorId="0">
      <text>
        <r>
          <rPr>
            <b/>
            <sz val="9"/>
            <color indexed="81"/>
            <rFont val="Tahoma"/>
            <family val="2"/>
          </rPr>
          <t>0 Día(s)
1 Mes (s)
2 Año(s)</t>
        </r>
      </text>
    </comment>
    <comment ref="Y123" authorId="0">
      <text>
        <r>
          <rPr>
            <sz val="9"/>
            <color indexed="81"/>
            <rFont val="Tahoma"/>
            <family val="2"/>
          </rPr>
          <t>0 Recursos propios 
1 Presupuesto de entidad nacional
2 Regalías
3 Recursos de crédito
4 SGP
5 No Aplica</t>
        </r>
      </text>
    </comment>
    <comment ref="AD123" authorId="0">
      <text>
        <r>
          <rPr>
            <b/>
            <sz val="9"/>
            <color indexed="81"/>
            <rFont val="Tahoma"/>
            <family val="2"/>
          </rPr>
          <t>0 No
1 Sí</t>
        </r>
      </text>
    </comment>
    <comment ref="AE123" authorId="0">
      <text>
        <r>
          <rPr>
            <sz val="9"/>
            <color indexed="81"/>
            <rFont val="Tahoma"/>
            <family val="2"/>
          </rPr>
          <t xml:space="preserve">
0 NA
1 No solicitadas
2 Solicitadas
3 Aprobadas</t>
        </r>
      </text>
    </comment>
    <comment ref="V124" authorId="0">
      <text>
        <r>
          <rPr>
            <b/>
            <sz val="9"/>
            <color indexed="81"/>
            <rFont val="Tahoma"/>
            <family val="2"/>
          </rPr>
          <t>0 Día(s)
1 Mes (s)
2 Año(s)</t>
        </r>
      </text>
    </comment>
    <comment ref="Y124" authorId="0">
      <text>
        <r>
          <rPr>
            <sz val="9"/>
            <color indexed="81"/>
            <rFont val="Tahoma"/>
            <family val="2"/>
          </rPr>
          <t>0 Recursos propios 
1 Presupuesto de entidad nacional
2 Regalías
3 Recursos de crédito
4 SGP
5 No Aplica</t>
        </r>
      </text>
    </comment>
    <comment ref="AD124" authorId="0">
      <text>
        <r>
          <rPr>
            <b/>
            <sz val="9"/>
            <color indexed="81"/>
            <rFont val="Tahoma"/>
            <family val="2"/>
          </rPr>
          <t>0 No
1 Sí</t>
        </r>
      </text>
    </comment>
    <comment ref="AE124" authorId="0">
      <text>
        <r>
          <rPr>
            <sz val="9"/>
            <color indexed="81"/>
            <rFont val="Tahoma"/>
            <family val="2"/>
          </rPr>
          <t xml:space="preserve">
0 NA
1 No solicitadas
2 Solicitadas
3 Aprobadas</t>
        </r>
      </text>
    </comment>
    <comment ref="V125" authorId="0">
      <text>
        <r>
          <rPr>
            <b/>
            <sz val="9"/>
            <color indexed="81"/>
            <rFont val="Tahoma"/>
            <family val="2"/>
          </rPr>
          <t>0 Día(s)
1 Mes (s)
2 Año(s)</t>
        </r>
      </text>
    </comment>
    <comment ref="Y125" authorId="0">
      <text>
        <r>
          <rPr>
            <sz val="9"/>
            <color indexed="81"/>
            <rFont val="Tahoma"/>
            <family val="2"/>
          </rPr>
          <t>0 Recursos propios 
1 Presupuesto de entidad nacional
2 Regalías
3 Recursos de crédito
4 SGP
5 No Aplica</t>
        </r>
      </text>
    </comment>
    <comment ref="AD125" authorId="0">
      <text>
        <r>
          <rPr>
            <b/>
            <sz val="9"/>
            <color indexed="81"/>
            <rFont val="Tahoma"/>
            <family val="2"/>
          </rPr>
          <t>0 No
1 Sí</t>
        </r>
      </text>
    </comment>
    <comment ref="AE125" authorId="0">
      <text>
        <r>
          <rPr>
            <sz val="9"/>
            <color indexed="81"/>
            <rFont val="Tahoma"/>
            <family val="2"/>
          </rPr>
          <t xml:space="preserve">
0 NA
1 No solicitadas
2 Solicitadas
3 Aprobadas</t>
        </r>
      </text>
    </comment>
    <comment ref="V126" authorId="0">
      <text>
        <r>
          <rPr>
            <b/>
            <sz val="9"/>
            <color indexed="81"/>
            <rFont val="Tahoma"/>
            <family val="2"/>
          </rPr>
          <t>0 Día(s)
1 Mes (s)
2 Año(s)</t>
        </r>
      </text>
    </comment>
    <comment ref="Y126" authorId="0">
      <text>
        <r>
          <rPr>
            <sz val="9"/>
            <color indexed="81"/>
            <rFont val="Tahoma"/>
            <family val="2"/>
          </rPr>
          <t>0 Recursos propios 
1 Presupuesto de entidad nacional
2 Regalías
3 Recursos de crédito
4 SGP
5 No Aplica</t>
        </r>
      </text>
    </comment>
    <comment ref="AD126" authorId="0">
      <text>
        <r>
          <rPr>
            <b/>
            <sz val="9"/>
            <color indexed="81"/>
            <rFont val="Tahoma"/>
            <family val="2"/>
          </rPr>
          <t>0 No
1 Sí</t>
        </r>
      </text>
    </comment>
    <comment ref="AE126" authorId="0">
      <text>
        <r>
          <rPr>
            <sz val="9"/>
            <color indexed="81"/>
            <rFont val="Tahoma"/>
            <family val="2"/>
          </rPr>
          <t xml:space="preserve">
0 NA
1 No solicitadas
2 Solicitadas
3 Aprobadas</t>
        </r>
      </text>
    </comment>
    <comment ref="V127" authorId="0">
      <text>
        <r>
          <rPr>
            <b/>
            <sz val="9"/>
            <color indexed="81"/>
            <rFont val="Tahoma"/>
            <family val="2"/>
          </rPr>
          <t>0 Día(s)
1 Mes (s)
2 Año(s)</t>
        </r>
      </text>
    </comment>
    <comment ref="Y127" authorId="0">
      <text>
        <r>
          <rPr>
            <sz val="9"/>
            <color indexed="81"/>
            <rFont val="Tahoma"/>
            <family val="2"/>
          </rPr>
          <t>0 Recursos propios 
1 Presupuesto de entidad nacional
2 Regalías
3 Recursos de crédito
4 SGP
5 No Aplica</t>
        </r>
      </text>
    </comment>
    <comment ref="AD127" authorId="0">
      <text>
        <r>
          <rPr>
            <b/>
            <sz val="9"/>
            <color indexed="81"/>
            <rFont val="Tahoma"/>
            <family val="2"/>
          </rPr>
          <t>0 No
1 Sí</t>
        </r>
      </text>
    </comment>
    <comment ref="AE127" authorId="0">
      <text>
        <r>
          <rPr>
            <sz val="9"/>
            <color indexed="81"/>
            <rFont val="Tahoma"/>
            <family val="2"/>
          </rPr>
          <t xml:space="preserve">
0 NA
1 No solicitadas
2 Solicitadas
3 Aprobadas</t>
        </r>
      </text>
    </comment>
    <comment ref="V128" authorId="0">
      <text>
        <r>
          <rPr>
            <b/>
            <sz val="9"/>
            <color indexed="81"/>
            <rFont val="Tahoma"/>
            <family val="2"/>
          </rPr>
          <t>0 Día(s)
1 Mes (s)
2 Año(s)</t>
        </r>
      </text>
    </comment>
    <comment ref="Y128" authorId="0">
      <text>
        <r>
          <rPr>
            <sz val="9"/>
            <color indexed="81"/>
            <rFont val="Tahoma"/>
            <family val="2"/>
          </rPr>
          <t>0 Recursos propios 
1 Presupuesto de entidad nacional
2 Regalías
3 Recursos de crédito
4 SGP
5 No Aplica</t>
        </r>
      </text>
    </comment>
    <comment ref="AD128" authorId="0">
      <text>
        <r>
          <rPr>
            <b/>
            <sz val="9"/>
            <color indexed="81"/>
            <rFont val="Tahoma"/>
            <family val="2"/>
          </rPr>
          <t>0 No
1 Sí</t>
        </r>
      </text>
    </comment>
    <comment ref="AE128" authorId="0">
      <text>
        <r>
          <rPr>
            <sz val="9"/>
            <color indexed="81"/>
            <rFont val="Tahoma"/>
            <family val="2"/>
          </rPr>
          <t xml:space="preserve">
0 NA
1 No solicitadas
2 Solicitadas
3 Aprobadas</t>
        </r>
      </text>
    </comment>
    <comment ref="V129" authorId="0">
      <text>
        <r>
          <rPr>
            <b/>
            <sz val="9"/>
            <color indexed="81"/>
            <rFont val="Tahoma"/>
            <family val="2"/>
          </rPr>
          <t>0 Día(s)
1 Mes (s)
2 Año(s)</t>
        </r>
      </text>
    </comment>
    <comment ref="Y129" authorId="0">
      <text>
        <r>
          <rPr>
            <sz val="9"/>
            <color indexed="81"/>
            <rFont val="Tahoma"/>
            <family val="2"/>
          </rPr>
          <t>0 Recursos propios 
1 Presupuesto de entidad nacional
2 Regalías
3 Recursos de crédito
4 SGP
5 No Aplica</t>
        </r>
      </text>
    </comment>
    <comment ref="AD129" authorId="0">
      <text>
        <r>
          <rPr>
            <b/>
            <sz val="9"/>
            <color indexed="81"/>
            <rFont val="Tahoma"/>
            <family val="2"/>
          </rPr>
          <t>0 No
1 Sí</t>
        </r>
      </text>
    </comment>
    <comment ref="AE129" authorId="0">
      <text>
        <r>
          <rPr>
            <sz val="9"/>
            <color indexed="81"/>
            <rFont val="Tahoma"/>
            <family val="2"/>
          </rPr>
          <t xml:space="preserve">
0 NA
1 No solicitadas
2 Solicitadas
3 Aprobadas</t>
        </r>
      </text>
    </comment>
    <comment ref="V130" authorId="0">
      <text>
        <r>
          <rPr>
            <b/>
            <sz val="9"/>
            <color indexed="81"/>
            <rFont val="Tahoma"/>
            <family val="2"/>
          </rPr>
          <t>0 Día(s)
1 Mes (s)
2 Año(s)</t>
        </r>
      </text>
    </comment>
    <comment ref="Y130" authorId="0">
      <text>
        <r>
          <rPr>
            <sz val="9"/>
            <color indexed="81"/>
            <rFont val="Tahoma"/>
            <family val="2"/>
          </rPr>
          <t>0 Recursos propios 
1 Presupuesto de entidad nacional
2 Regalías
3 Recursos de crédito
4 SGP
5 No Aplica</t>
        </r>
      </text>
    </comment>
    <comment ref="AD130" authorId="0">
      <text>
        <r>
          <rPr>
            <b/>
            <sz val="9"/>
            <color indexed="81"/>
            <rFont val="Tahoma"/>
            <family val="2"/>
          </rPr>
          <t>0 No
1 Sí</t>
        </r>
      </text>
    </comment>
    <comment ref="AE130" authorId="0">
      <text>
        <r>
          <rPr>
            <sz val="9"/>
            <color indexed="81"/>
            <rFont val="Tahoma"/>
            <family val="2"/>
          </rPr>
          <t xml:space="preserve">
0 NA
1 No solicitadas
2 Solicitadas
3 Aprobadas</t>
        </r>
      </text>
    </comment>
    <comment ref="V131" authorId="0">
      <text>
        <r>
          <rPr>
            <b/>
            <sz val="9"/>
            <color indexed="81"/>
            <rFont val="Tahoma"/>
            <family val="2"/>
          </rPr>
          <t>0 Día(s)
1 Mes (s)
2 Año(s)</t>
        </r>
      </text>
    </comment>
    <comment ref="Y131" authorId="0">
      <text>
        <r>
          <rPr>
            <sz val="9"/>
            <color indexed="81"/>
            <rFont val="Tahoma"/>
            <family val="2"/>
          </rPr>
          <t>0 Recursos propios 
1 Presupuesto de entidad nacional
2 Regalías
3 Recursos de crédito
4 SGP
5 No Aplica</t>
        </r>
      </text>
    </comment>
    <comment ref="AD131" authorId="0">
      <text>
        <r>
          <rPr>
            <b/>
            <sz val="9"/>
            <color indexed="81"/>
            <rFont val="Tahoma"/>
            <family val="2"/>
          </rPr>
          <t>0 No
1 Sí</t>
        </r>
      </text>
    </comment>
    <comment ref="AE131" authorId="0">
      <text>
        <r>
          <rPr>
            <sz val="9"/>
            <color indexed="81"/>
            <rFont val="Tahoma"/>
            <family val="2"/>
          </rPr>
          <t xml:space="preserve">
0 NA
1 No solicitadas
2 Solicitadas
3 Aprobadas</t>
        </r>
      </text>
    </comment>
    <comment ref="V132" authorId="0">
      <text>
        <r>
          <rPr>
            <b/>
            <sz val="9"/>
            <color indexed="81"/>
            <rFont val="Tahoma"/>
            <family val="2"/>
          </rPr>
          <t>0 Día(s)
1 Mes (s)
2 Año(s)</t>
        </r>
      </text>
    </comment>
    <comment ref="Y132" authorId="0">
      <text>
        <r>
          <rPr>
            <sz val="9"/>
            <color indexed="81"/>
            <rFont val="Tahoma"/>
            <family val="2"/>
          </rPr>
          <t>0 Recursos propios 
1 Presupuesto de entidad nacional
2 Regalías
3 Recursos de crédito
4 SGP
5 No Aplica</t>
        </r>
      </text>
    </comment>
    <comment ref="AD132" authorId="0">
      <text>
        <r>
          <rPr>
            <b/>
            <sz val="9"/>
            <color indexed="81"/>
            <rFont val="Tahoma"/>
            <family val="2"/>
          </rPr>
          <t>0 No
1 Sí</t>
        </r>
      </text>
    </comment>
    <comment ref="AE132" authorId="0">
      <text>
        <r>
          <rPr>
            <sz val="9"/>
            <color indexed="81"/>
            <rFont val="Tahoma"/>
            <family val="2"/>
          </rPr>
          <t xml:space="preserve">
0 NA
1 No solicitadas
2 Solicitadas
3 Aprobadas</t>
        </r>
      </text>
    </comment>
    <comment ref="V133" authorId="0">
      <text>
        <r>
          <rPr>
            <b/>
            <sz val="9"/>
            <color indexed="81"/>
            <rFont val="Tahoma"/>
            <family val="2"/>
          </rPr>
          <t>0 Día(s)
1 Mes (s)
2 Año(s)</t>
        </r>
      </text>
    </comment>
    <comment ref="Y133" authorId="0">
      <text>
        <r>
          <rPr>
            <sz val="9"/>
            <color indexed="81"/>
            <rFont val="Tahoma"/>
            <family val="2"/>
          </rPr>
          <t>0 Recursos propios 
1 Presupuesto de entidad nacional
2 Regalías
3 Recursos de crédito
4 SGP
5 No Aplica</t>
        </r>
      </text>
    </comment>
    <comment ref="AD133" authorId="0">
      <text>
        <r>
          <rPr>
            <b/>
            <sz val="9"/>
            <color indexed="81"/>
            <rFont val="Tahoma"/>
            <family val="2"/>
          </rPr>
          <t>0 No
1 Sí</t>
        </r>
      </text>
    </comment>
    <comment ref="AE133" authorId="0">
      <text>
        <r>
          <rPr>
            <sz val="9"/>
            <color indexed="81"/>
            <rFont val="Tahoma"/>
            <family val="2"/>
          </rPr>
          <t xml:space="preserve">
0 NA
1 No solicitadas
2 Solicitadas
3 Aprobadas</t>
        </r>
      </text>
    </comment>
    <comment ref="V134" authorId="0">
      <text>
        <r>
          <rPr>
            <b/>
            <sz val="9"/>
            <color indexed="81"/>
            <rFont val="Tahoma"/>
            <family val="2"/>
          </rPr>
          <t>0 Día(s)
1 Mes (s)
2 Año(s)</t>
        </r>
      </text>
    </comment>
    <comment ref="Y134" authorId="0">
      <text>
        <r>
          <rPr>
            <sz val="9"/>
            <color indexed="81"/>
            <rFont val="Tahoma"/>
            <family val="2"/>
          </rPr>
          <t>0 Recursos propios 
1 Presupuesto de entidad nacional
2 Regalías
3 Recursos de crédito
4 SGP
5 No Aplica</t>
        </r>
      </text>
    </comment>
    <comment ref="AD134" authorId="0">
      <text>
        <r>
          <rPr>
            <b/>
            <sz val="9"/>
            <color indexed="81"/>
            <rFont val="Tahoma"/>
            <family val="2"/>
          </rPr>
          <t>0 No
1 Sí</t>
        </r>
      </text>
    </comment>
    <comment ref="AE134" authorId="0">
      <text>
        <r>
          <rPr>
            <sz val="9"/>
            <color indexed="81"/>
            <rFont val="Tahoma"/>
            <family val="2"/>
          </rPr>
          <t xml:space="preserve">
0 NA
1 No solicitadas
2 Solicitadas
3 Aprobadas</t>
        </r>
      </text>
    </comment>
    <comment ref="V135" authorId="0">
      <text>
        <r>
          <rPr>
            <b/>
            <sz val="9"/>
            <color indexed="81"/>
            <rFont val="Tahoma"/>
            <family val="2"/>
          </rPr>
          <t>0 Día(s)
1 Mes (s)
2 Año(s)</t>
        </r>
      </text>
    </comment>
    <comment ref="Y135" authorId="0">
      <text>
        <r>
          <rPr>
            <sz val="9"/>
            <color indexed="81"/>
            <rFont val="Tahoma"/>
            <family val="2"/>
          </rPr>
          <t>0 Recursos propios 
1 Presupuesto de entidad nacional
2 Regalías
3 Recursos de crédito
4 SGP
5 No Aplica</t>
        </r>
      </text>
    </comment>
    <comment ref="AD135" authorId="0">
      <text>
        <r>
          <rPr>
            <b/>
            <sz val="9"/>
            <color indexed="81"/>
            <rFont val="Tahoma"/>
            <family val="2"/>
          </rPr>
          <t>0 No
1 Sí</t>
        </r>
      </text>
    </comment>
    <comment ref="AE135" authorId="0">
      <text>
        <r>
          <rPr>
            <sz val="9"/>
            <color indexed="81"/>
            <rFont val="Tahoma"/>
            <family val="2"/>
          </rPr>
          <t xml:space="preserve">
0 NA
1 No solicitadas
2 Solicitadas
3 Aprobadas</t>
        </r>
      </text>
    </comment>
    <comment ref="V136" authorId="0">
      <text>
        <r>
          <rPr>
            <b/>
            <sz val="9"/>
            <color indexed="81"/>
            <rFont val="Tahoma"/>
            <family val="2"/>
          </rPr>
          <t>0 Día(s)
1 Mes (s)
2 Año(s)</t>
        </r>
      </text>
    </comment>
    <comment ref="Y136" authorId="0">
      <text>
        <r>
          <rPr>
            <sz val="9"/>
            <color indexed="81"/>
            <rFont val="Tahoma"/>
            <family val="2"/>
          </rPr>
          <t>0 Recursos propios 
1 Presupuesto de entidad nacional
2 Regalías
3 Recursos de crédito
4 SGP
5 No Aplica</t>
        </r>
      </text>
    </comment>
    <comment ref="AD136" authorId="0">
      <text>
        <r>
          <rPr>
            <b/>
            <sz val="9"/>
            <color indexed="81"/>
            <rFont val="Tahoma"/>
            <family val="2"/>
          </rPr>
          <t>0 No
1 Sí</t>
        </r>
      </text>
    </comment>
    <comment ref="AE136" authorId="0">
      <text>
        <r>
          <rPr>
            <sz val="9"/>
            <color indexed="81"/>
            <rFont val="Tahoma"/>
            <family val="2"/>
          </rPr>
          <t xml:space="preserve">
0 NA
1 No solicitadas
2 Solicitadas
3 Aprobadas</t>
        </r>
      </text>
    </comment>
    <comment ref="V137" authorId="0">
      <text>
        <r>
          <rPr>
            <b/>
            <sz val="9"/>
            <color indexed="81"/>
            <rFont val="Tahoma"/>
            <family val="2"/>
          </rPr>
          <t>0 Día(s)
1 Mes (s)
2 Año(s)</t>
        </r>
      </text>
    </comment>
    <comment ref="Y137" authorId="0">
      <text>
        <r>
          <rPr>
            <sz val="9"/>
            <color indexed="81"/>
            <rFont val="Tahoma"/>
            <family val="2"/>
          </rPr>
          <t>0 Recursos propios 
1 Presupuesto de entidad nacional
2 Regalías
3 Recursos de crédito
4 SGP
5 No Aplica</t>
        </r>
      </text>
    </comment>
    <comment ref="AD137" authorId="0">
      <text>
        <r>
          <rPr>
            <b/>
            <sz val="9"/>
            <color indexed="81"/>
            <rFont val="Tahoma"/>
            <family val="2"/>
          </rPr>
          <t>0 No
1 Sí</t>
        </r>
      </text>
    </comment>
    <comment ref="AE137" authorId="0">
      <text>
        <r>
          <rPr>
            <sz val="9"/>
            <color indexed="81"/>
            <rFont val="Tahoma"/>
            <family val="2"/>
          </rPr>
          <t xml:space="preserve">
0 NA
1 No solicitadas
2 Solicitadas
3 Aprobadas</t>
        </r>
      </text>
    </comment>
    <comment ref="V138" authorId="0">
      <text>
        <r>
          <rPr>
            <b/>
            <sz val="9"/>
            <color indexed="81"/>
            <rFont val="Tahoma"/>
            <family val="2"/>
          </rPr>
          <t>0 Día(s)
1 Mes (s)
2 Año(s)</t>
        </r>
      </text>
    </comment>
    <comment ref="Y138" authorId="0">
      <text>
        <r>
          <rPr>
            <sz val="9"/>
            <color indexed="81"/>
            <rFont val="Tahoma"/>
            <family val="2"/>
          </rPr>
          <t>0 Recursos propios 
1 Presupuesto de entidad nacional
2 Regalías
3 Recursos de crédito
4 SGP
5 No Aplica</t>
        </r>
      </text>
    </comment>
    <comment ref="AD138" authorId="0">
      <text>
        <r>
          <rPr>
            <b/>
            <sz val="9"/>
            <color indexed="81"/>
            <rFont val="Tahoma"/>
            <family val="2"/>
          </rPr>
          <t>0 No
1 Sí</t>
        </r>
      </text>
    </comment>
    <comment ref="AE138" authorId="0">
      <text>
        <r>
          <rPr>
            <sz val="9"/>
            <color indexed="81"/>
            <rFont val="Tahoma"/>
            <family val="2"/>
          </rPr>
          <t xml:space="preserve">
0 NA
1 No solicitadas
2 Solicitadas
3 Aprobadas</t>
        </r>
      </text>
    </comment>
    <comment ref="V139" authorId="0">
      <text>
        <r>
          <rPr>
            <b/>
            <sz val="9"/>
            <color indexed="81"/>
            <rFont val="Tahoma"/>
            <family val="2"/>
          </rPr>
          <t>0 Día(s)
1 Mes (s)
2 Año(s)</t>
        </r>
      </text>
    </comment>
    <comment ref="Y139" authorId="0">
      <text>
        <r>
          <rPr>
            <sz val="9"/>
            <color indexed="81"/>
            <rFont val="Tahoma"/>
            <family val="2"/>
          </rPr>
          <t>0 Recursos propios 
1 Presupuesto de entidad nacional
2 Regalías
3 Recursos de crédito
4 SGP
5 No Aplica</t>
        </r>
      </text>
    </comment>
    <comment ref="AD139" authorId="0">
      <text>
        <r>
          <rPr>
            <b/>
            <sz val="9"/>
            <color indexed="81"/>
            <rFont val="Tahoma"/>
            <family val="2"/>
          </rPr>
          <t>0 No
1 Sí</t>
        </r>
      </text>
    </comment>
    <comment ref="AE139" authorId="0">
      <text>
        <r>
          <rPr>
            <sz val="9"/>
            <color indexed="81"/>
            <rFont val="Tahoma"/>
            <family val="2"/>
          </rPr>
          <t xml:space="preserve">
0 NA
1 No solicitadas
2 Solicitadas
3 Aprobadas</t>
        </r>
      </text>
    </comment>
    <comment ref="V140" authorId="0">
      <text>
        <r>
          <rPr>
            <b/>
            <sz val="9"/>
            <color indexed="81"/>
            <rFont val="Tahoma"/>
            <family val="2"/>
          </rPr>
          <t>0 Día(s)
1 Mes (s)
2 Año(s)</t>
        </r>
      </text>
    </comment>
    <comment ref="Y140" authorId="0">
      <text>
        <r>
          <rPr>
            <sz val="9"/>
            <color indexed="81"/>
            <rFont val="Tahoma"/>
            <family val="2"/>
          </rPr>
          <t>0 Recursos propios 
1 Presupuesto de entidad nacional
2 Regalías
3 Recursos de crédito
4 SGP
5 No Aplica</t>
        </r>
      </text>
    </comment>
    <comment ref="AD140" authorId="0">
      <text>
        <r>
          <rPr>
            <b/>
            <sz val="9"/>
            <color indexed="81"/>
            <rFont val="Tahoma"/>
            <family val="2"/>
          </rPr>
          <t>0 No
1 Sí</t>
        </r>
      </text>
    </comment>
    <comment ref="AE140" authorId="0">
      <text>
        <r>
          <rPr>
            <sz val="9"/>
            <color indexed="81"/>
            <rFont val="Tahoma"/>
            <family val="2"/>
          </rPr>
          <t xml:space="preserve">
0 NA
1 No solicitadas
2 Solicitadas
3 Aprobadas</t>
        </r>
      </text>
    </comment>
    <comment ref="V141" authorId="0">
      <text>
        <r>
          <rPr>
            <b/>
            <sz val="9"/>
            <color indexed="81"/>
            <rFont val="Tahoma"/>
            <family val="2"/>
          </rPr>
          <t>0 Día(s)
1 Mes (s)
2 Año(s)</t>
        </r>
      </text>
    </comment>
    <comment ref="Y141" authorId="0">
      <text>
        <r>
          <rPr>
            <sz val="9"/>
            <color indexed="81"/>
            <rFont val="Tahoma"/>
            <family val="2"/>
          </rPr>
          <t>0 Recursos propios 
1 Presupuesto de entidad nacional
2 Regalías
3 Recursos de crédito
4 SGP
5 No Aplica</t>
        </r>
      </text>
    </comment>
    <comment ref="AD141" authorId="0">
      <text>
        <r>
          <rPr>
            <b/>
            <sz val="9"/>
            <color indexed="81"/>
            <rFont val="Tahoma"/>
            <family val="2"/>
          </rPr>
          <t>0 No
1 Sí</t>
        </r>
      </text>
    </comment>
    <comment ref="AE141" authorId="0">
      <text>
        <r>
          <rPr>
            <sz val="9"/>
            <color indexed="81"/>
            <rFont val="Tahoma"/>
            <family val="2"/>
          </rPr>
          <t xml:space="preserve">
0 NA
1 No solicitadas
2 Solicitadas
3 Aprobadas</t>
        </r>
      </text>
    </comment>
    <comment ref="V142" authorId="0">
      <text>
        <r>
          <rPr>
            <b/>
            <sz val="9"/>
            <color indexed="81"/>
            <rFont val="Tahoma"/>
            <family val="2"/>
          </rPr>
          <t>0 Día(s)
1 Mes (s)
2 Año(s)</t>
        </r>
      </text>
    </comment>
    <comment ref="Y142" authorId="0">
      <text>
        <r>
          <rPr>
            <sz val="9"/>
            <color indexed="81"/>
            <rFont val="Tahoma"/>
            <family val="2"/>
          </rPr>
          <t>0 Recursos propios 
1 Presupuesto de entidad nacional
2 Regalías
3 Recursos de crédito
4 SGP
5 No Aplica</t>
        </r>
      </text>
    </comment>
    <comment ref="AD142" authorId="0">
      <text>
        <r>
          <rPr>
            <b/>
            <sz val="9"/>
            <color indexed="81"/>
            <rFont val="Tahoma"/>
            <family val="2"/>
          </rPr>
          <t>0 No
1 Sí</t>
        </r>
      </text>
    </comment>
    <comment ref="AE142" authorId="0">
      <text>
        <r>
          <rPr>
            <sz val="9"/>
            <color indexed="81"/>
            <rFont val="Tahoma"/>
            <family val="2"/>
          </rPr>
          <t xml:space="preserve">
0 NA
1 No solicitadas
2 Solicitadas
3 Aprobadas</t>
        </r>
      </text>
    </comment>
    <comment ref="V143" authorId="0">
      <text>
        <r>
          <rPr>
            <b/>
            <sz val="9"/>
            <color indexed="81"/>
            <rFont val="Tahoma"/>
            <family val="2"/>
          </rPr>
          <t>0 Día(s)
1 Mes (s)
2 Año(s)</t>
        </r>
      </text>
    </comment>
    <comment ref="Y143" authorId="0">
      <text>
        <r>
          <rPr>
            <sz val="9"/>
            <color indexed="81"/>
            <rFont val="Tahoma"/>
            <family val="2"/>
          </rPr>
          <t>0 Recursos propios 
1 Presupuesto de entidad nacional
2 Regalías
3 Recursos de crédito
4 SGP
5 No Aplica</t>
        </r>
      </text>
    </comment>
    <comment ref="AD143" authorId="0">
      <text>
        <r>
          <rPr>
            <b/>
            <sz val="9"/>
            <color indexed="81"/>
            <rFont val="Tahoma"/>
            <family val="2"/>
          </rPr>
          <t>0 No
1 Sí</t>
        </r>
      </text>
    </comment>
    <comment ref="AE143" authorId="0">
      <text>
        <r>
          <rPr>
            <sz val="9"/>
            <color indexed="81"/>
            <rFont val="Tahoma"/>
            <family val="2"/>
          </rPr>
          <t xml:space="preserve">
0 NA
1 No solicitadas
2 Solicitadas
3 Aprobadas</t>
        </r>
      </text>
    </comment>
    <comment ref="V144" authorId="0">
      <text>
        <r>
          <rPr>
            <b/>
            <sz val="9"/>
            <color indexed="81"/>
            <rFont val="Tahoma"/>
            <family val="2"/>
          </rPr>
          <t>0 Día(s)
1 Mes (s)
2 Año(s)</t>
        </r>
      </text>
    </comment>
    <comment ref="Y144" authorId="0">
      <text>
        <r>
          <rPr>
            <sz val="9"/>
            <color indexed="81"/>
            <rFont val="Tahoma"/>
            <family val="2"/>
          </rPr>
          <t>0 Recursos propios 
1 Presupuesto de entidad nacional
2 Regalías
3 Recursos de crédito
4 SGP
5 No Aplica</t>
        </r>
      </text>
    </comment>
    <comment ref="AD144" authorId="0">
      <text>
        <r>
          <rPr>
            <b/>
            <sz val="9"/>
            <color indexed="81"/>
            <rFont val="Tahoma"/>
            <family val="2"/>
          </rPr>
          <t>0 No
1 Sí</t>
        </r>
      </text>
    </comment>
    <comment ref="AE144" authorId="0">
      <text>
        <r>
          <rPr>
            <sz val="9"/>
            <color indexed="81"/>
            <rFont val="Tahoma"/>
            <family val="2"/>
          </rPr>
          <t xml:space="preserve">
0 NA
1 No solicitadas
2 Solicitadas
3 Aprobadas</t>
        </r>
      </text>
    </comment>
    <comment ref="V145" authorId="0">
      <text>
        <r>
          <rPr>
            <b/>
            <sz val="9"/>
            <color indexed="81"/>
            <rFont val="Tahoma"/>
            <family val="2"/>
          </rPr>
          <t>0 Día(s)
1 Mes (s)
2 Año(s)</t>
        </r>
      </text>
    </comment>
    <comment ref="Y145" authorId="0">
      <text>
        <r>
          <rPr>
            <sz val="9"/>
            <color indexed="81"/>
            <rFont val="Tahoma"/>
            <family val="2"/>
          </rPr>
          <t>0 Recursos propios 
1 Presupuesto de entidad nacional
2 Regalías
3 Recursos de crédito
4 SGP
5 No Aplica</t>
        </r>
      </text>
    </comment>
    <comment ref="AD145" authorId="0">
      <text>
        <r>
          <rPr>
            <b/>
            <sz val="9"/>
            <color indexed="81"/>
            <rFont val="Tahoma"/>
            <family val="2"/>
          </rPr>
          <t>0 No
1 Sí</t>
        </r>
      </text>
    </comment>
    <comment ref="AE145" authorId="0">
      <text>
        <r>
          <rPr>
            <sz val="9"/>
            <color indexed="81"/>
            <rFont val="Tahoma"/>
            <family val="2"/>
          </rPr>
          <t xml:space="preserve">
0 NA
1 No solicitadas
2 Solicitadas
3 Aprobadas</t>
        </r>
      </text>
    </comment>
    <comment ref="V146" authorId="0">
      <text>
        <r>
          <rPr>
            <b/>
            <sz val="9"/>
            <color indexed="81"/>
            <rFont val="Tahoma"/>
            <family val="2"/>
          </rPr>
          <t>0 Día(s)
1 Mes (s)
2 Año(s)</t>
        </r>
      </text>
    </comment>
    <comment ref="Y146" authorId="0">
      <text>
        <r>
          <rPr>
            <sz val="9"/>
            <color indexed="81"/>
            <rFont val="Tahoma"/>
            <family val="2"/>
          </rPr>
          <t>0 Recursos propios 
1 Presupuesto de entidad nacional
2 Regalías
3 Recursos de crédito
4 SGP
5 No Aplica</t>
        </r>
      </text>
    </comment>
    <comment ref="AD146" authorId="0">
      <text>
        <r>
          <rPr>
            <b/>
            <sz val="9"/>
            <color indexed="81"/>
            <rFont val="Tahoma"/>
            <family val="2"/>
          </rPr>
          <t>0 No
1 Sí</t>
        </r>
      </text>
    </comment>
    <comment ref="AE146" authorId="0">
      <text>
        <r>
          <rPr>
            <sz val="9"/>
            <color indexed="81"/>
            <rFont val="Tahoma"/>
            <family val="2"/>
          </rPr>
          <t xml:space="preserve">
0 NA
1 No solicitadas
2 Solicitadas
3 Aprobadas</t>
        </r>
      </text>
    </comment>
    <comment ref="BC146" authorId="3">
      <text>
        <r>
          <rPr>
            <b/>
            <sz val="9"/>
            <color indexed="81"/>
            <rFont val="Tahoma"/>
            <family val="2"/>
          </rPr>
          <t>Johanna Lucia Bustos Criales:</t>
        </r>
        <r>
          <rPr>
            <sz val="9"/>
            <color indexed="81"/>
            <rFont val="Tahoma"/>
            <family val="2"/>
          </rPr>
          <t xml:space="preserve">
Viabilidad No 157, se anula por cambio en objeto, valor y plazo.</t>
        </r>
      </text>
    </comment>
    <comment ref="V147" authorId="0">
      <text>
        <r>
          <rPr>
            <b/>
            <sz val="9"/>
            <color indexed="81"/>
            <rFont val="Tahoma"/>
            <family val="2"/>
          </rPr>
          <t>0 Día(s)
1 Mes (s)
2 Año(s)</t>
        </r>
      </text>
    </comment>
    <comment ref="Y147" authorId="0">
      <text>
        <r>
          <rPr>
            <sz val="9"/>
            <color indexed="81"/>
            <rFont val="Tahoma"/>
            <family val="2"/>
          </rPr>
          <t>0 Recursos propios 
1 Presupuesto de entidad nacional
2 Regalías
3 Recursos de crédito
4 SGP
5 No Aplica</t>
        </r>
      </text>
    </comment>
    <comment ref="AD147" authorId="0">
      <text>
        <r>
          <rPr>
            <b/>
            <sz val="9"/>
            <color indexed="81"/>
            <rFont val="Tahoma"/>
            <family val="2"/>
          </rPr>
          <t>0 No
1 Sí</t>
        </r>
      </text>
    </comment>
    <comment ref="AE147" authorId="0">
      <text>
        <r>
          <rPr>
            <sz val="9"/>
            <color indexed="81"/>
            <rFont val="Tahoma"/>
            <family val="2"/>
          </rPr>
          <t xml:space="preserve">
0 NA
1 No solicitadas
2 Solicitadas
3 Aprobadas</t>
        </r>
      </text>
    </comment>
    <comment ref="V148" authorId="0">
      <text>
        <r>
          <rPr>
            <b/>
            <sz val="9"/>
            <color indexed="81"/>
            <rFont val="Tahoma"/>
            <family val="2"/>
          </rPr>
          <t>0 Día(s)
1 Mes (s)
2 Año(s)</t>
        </r>
      </text>
    </comment>
    <comment ref="Y148" authorId="0">
      <text>
        <r>
          <rPr>
            <sz val="9"/>
            <color indexed="81"/>
            <rFont val="Tahoma"/>
            <family val="2"/>
          </rPr>
          <t>0 Recursos propios 
1 Presupuesto de entidad nacional
2 Regalías
3 Recursos de crédito
4 SGP
5 No Aplica</t>
        </r>
      </text>
    </comment>
    <comment ref="AD148" authorId="0">
      <text>
        <r>
          <rPr>
            <b/>
            <sz val="9"/>
            <color indexed="81"/>
            <rFont val="Tahoma"/>
            <family val="2"/>
          </rPr>
          <t>0 No
1 Sí</t>
        </r>
      </text>
    </comment>
    <comment ref="AE148" authorId="0">
      <text>
        <r>
          <rPr>
            <sz val="9"/>
            <color indexed="81"/>
            <rFont val="Tahoma"/>
            <family val="2"/>
          </rPr>
          <t xml:space="preserve">
0 NA
1 No solicitadas
2 Solicitadas
3 Aprobadas</t>
        </r>
      </text>
    </comment>
    <comment ref="V149" authorId="0">
      <text>
        <r>
          <rPr>
            <b/>
            <sz val="9"/>
            <color indexed="81"/>
            <rFont val="Tahoma"/>
            <family val="2"/>
          </rPr>
          <t>0 Día(s)
1 Mes (s)
2 Año(s)</t>
        </r>
      </text>
    </comment>
    <comment ref="Y149" authorId="0">
      <text>
        <r>
          <rPr>
            <sz val="9"/>
            <color indexed="81"/>
            <rFont val="Tahoma"/>
            <family val="2"/>
          </rPr>
          <t>0 Recursos propios 
1 Presupuesto de entidad nacional
2 Regalías
3 Recursos de crédito
4 SGP
5 No Aplica</t>
        </r>
      </text>
    </comment>
    <comment ref="AD149" authorId="0">
      <text>
        <r>
          <rPr>
            <b/>
            <sz val="9"/>
            <color indexed="81"/>
            <rFont val="Tahoma"/>
            <family val="2"/>
          </rPr>
          <t>0 No
1 Sí</t>
        </r>
      </text>
    </comment>
    <comment ref="AE149" authorId="0">
      <text>
        <r>
          <rPr>
            <sz val="9"/>
            <color indexed="81"/>
            <rFont val="Tahoma"/>
            <family val="2"/>
          </rPr>
          <t xml:space="preserve">
0 NA
1 No solicitadas
2 Solicitadas
3 Aprobadas</t>
        </r>
      </text>
    </comment>
    <comment ref="V150" authorId="0">
      <text>
        <r>
          <rPr>
            <b/>
            <sz val="9"/>
            <color indexed="81"/>
            <rFont val="Tahoma"/>
            <family val="2"/>
          </rPr>
          <t>0 Día(s)
1 Mes (s)
2 Año(s)</t>
        </r>
      </text>
    </comment>
    <comment ref="Y150" authorId="0">
      <text>
        <r>
          <rPr>
            <sz val="9"/>
            <color indexed="81"/>
            <rFont val="Tahoma"/>
            <family val="2"/>
          </rPr>
          <t>0 Recursos propios 
1 Presupuesto de entidad nacional
2 Regalías
3 Recursos de crédito
4 SGP
5 No Aplica</t>
        </r>
      </text>
    </comment>
    <comment ref="AD150" authorId="0">
      <text>
        <r>
          <rPr>
            <b/>
            <sz val="9"/>
            <color indexed="81"/>
            <rFont val="Tahoma"/>
            <family val="2"/>
          </rPr>
          <t>0 No
1 Sí</t>
        </r>
      </text>
    </comment>
    <comment ref="AE150" authorId="0">
      <text>
        <r>
          <rPr>
            <sz val="9"/>
            <color indexed="81"/>
            <rFont val="Tahoma"/>
            <family val="2"/>
          </rPr>
          <t xml:space="preserve">
0 NA
1 No solicitadas
2 Solicitadas
3 Aprobadas</t>
        </r>
      </text>
    </comment>
    <comment ref="V151" authorId="0">
      <text>
        <r>
          <rPr>
            <b/>
            <sz val="9"/>
            <color indexed="81"/>
            <rFont val="Tahoma"/>
            <family val="2"/>
          </rPr>
          <t>0 Día(s)
1 Mes (s)
2 Año(s)</t>
        </r>
      </text>
    </comment>
    <comment ref="Y151" authorId="0">
      <text>
        <r>
          <rPr>
            <sz val="9"/>
            <color indexed="81"/>
            <rFont val="Tahoma"/>
            <family val="2"/>
          </rPr>
          <t>0 Recursos propios 
1 Presupuesto de entidad nacional
2 Regalías
3 Recursos de crédito
4 SGP
5 No Aplica</t>
        </r>
      </text>
    </comment>
    <comment ref="AD151" authorId="0">
      <text>
        <r>
          <rPr>
            <b/>
            <sz val="9"/>
            <color indexed="81"/>
            <rFont val="Tahoma"/>
            <family val="2"/>
          </rPr>
          <t>0 No
1 Sí</t>
        </r>
      </text>
    </comment>
    <comment ref="AE151" authorId="0">
      <text>
        <r>
          <rPr>
            <sz val="9"/>
            <color indexed="81"/>
            <rFont val="Tahoma"/>
            <family val="2"/>
          </rPr>
          <t xml:space="preserve">
0 NA
1 No solicitadas
2 Solicitadas
3 Aprobadas</t>
        </r>
      </text>
    </comment>
    <comment ref="V152" authorId="0">
      <text>
        <r>
          <rPr>
            <b/>
            <sz val="9"/>
            <color indexed="81"/>
            <rFont val="Tahoma"/>
            <family val="2"/>
          </rPr>
          <t>0 Día(s)
1 Mes (s)
2 Año(s)</t>
        </r>
      </text>
    </comment>
    <comment ref="Y152" authorId="0">
      <text>
        <r>
          <rPr>
            <sz val="9"/>
            <color indexed="81"/>
            <rFont val="Tahoma"/>
            <family val="2"/>
          </rPr>
          <t>0 Recursos propios 
1 Presupuesto de entidad nacional
2 Regalías
3 Recursos de crédito
4 SGP
5 No Aplica</t>
        </r>
      </text>
    </comment>
    <comment ref="AD152" authorId="0">
      <text>
        <r>
          <rPr>
            <b/>
            <sz val="9"/>
            <color indexed="81"/>
            <rFont val="Tahoma"/>
            <family val="2"/>
          </rPr>
          <t>0 No
1 Sí</t>
        </r>
      </text>
    </comment>
    <comment ref="AE152" authorId="0">
      <text>
        <r>
          <rPr>
            <sz val="9"/>
            <color indexed="81"/>
            <rFont val="Tahoma"/>
            <family val="2"/>
          </rPr>
          <t xml:space="preserve">
0 NA
1 No solicitadas
2 Solicitadas
3 Aprobadas</t>
        </r>
      </text>
    </comment>
    <comment ref="V153" authorId="0">
      <text>
        <r>
          <rPr>
            <b/>
            <sz val="9"/>
            <color indexed="81"/>
            <rFont val="Tahoma"/>
            <family val="2"/>
          </rPr>
          <t>0 Día(s)
1 Mes (s)
2 Año(s)</t>
        </r>
      </text>
    </comment>
    <comment ref="Y153" authorId="0">
      <text>
        <r>
          <rPr>
            <sz val="9"/>
            <color indexed="81"/>
            <rFont val="Tahoma"/>
            <family val="2"/>
          </rPr>
          <t>0 Recursos propios 
1 Presupuesto de entidad nacional
2 Regalías
3 Recursos de crédito
4 SGP
5 No Aplica</t>
        </r>
      </text>
    </comment>
    <comment ref="AD153" authorId="0">
      <text>
        <r>
          <rPr>
            <b/>
            <sz val="9"/>
            <color indexed="81"/>
            <rFont val="Tahoma"/>
            <family val="2"/>
          </rPr>
          <t>0 No
1 Sí</t>
        </r>
      </text>
    </comment>
    <comment ref="AE153" authorId="0">
      <text>
        <r>
          <rPr>
            <sz val="9"/>
            <color indexed="81"/>
            <rFont val="Tahoma"/>
            <family val="2"/>
          </rPr>
          <t xml:space="preserve">
0 NA
1 No solicitadas
2 Solicitadas
3 Aprobadas</t>
        </r>
      </text>
    </comment>
    <comment ref="V154" authorId="0">
      <text>
        <r>
          <rPr>
            <b/>
            <sz val="9"/>
            <color indexed="81"/>
            <rFont val="Tahoma"/>
            <family val="2"/>
          </rPr>
          <t>0 Día(s)
1 Mes (s)
2 Año(s)</t>
        </r>
      </text>
    </comment>
    <comment ref="Y154" authorId="0">
      <text>
        <r>
          <rPr>
            <sz val="9"/>
            <color indexed="81"/>
            <rFont val="Tahoma"/>
            <family val="2"/>
          </rPr>
          <t>0 Recursos propios 
1 Presupuesto de entidad nacional
2 Regalías
3 Recursos de crédito
4 SGP
5 No Aplica</t>
        </r>
      </text>
    </comment>
    <comment ref="AD154" authorId="0">
      <text>
        <r>
          <rPr>
            <b/>
            <sz val="9"/>
            <color indexed="81"/>
            <rFont val="Tahoma"/>
            <family val="2"/>
          </rPr>
          <t>0 No
1 Sí</t>
        </r>
      </text>
    </comment>
    <comment ref="AE154" authorId="0">
      <text>
        <r>
          <rPr>
            <sz val="9"/>
            <color indexed="81"/>
            <rFont val="Tahoma"/>
            <family val="2"/>
          </rPr>
          <t xml:space="preserve">
0 NA
1 No solicitadas
2 Solicitadas
3 Aprobadas</t>
        </r>
      </text>
    </comment>
    <comment ref="V155" authorId="0">
      <text>
        <r>
          <rPr>
            <b/>
            <sz val="9"/>
            <color indexed="81"/>
            <rFont val="Tahoma"/>
            <family val="2"/>
          </rPr>
          <t>0 Día(s)
1 Mes (s)
2 Año(s)</t>
        </r>
      </text>
    </comment>
    <comment ref="Y155" authorId="0">
      <text>
        <r>
          <rPr>
            <sz val="9"/>
            <color indexed="81"/>
            <rFont val="Tahoma"/>
            <family val="2"/>
          </rPr>
          <t>0 Recursos propios 
1 Presupuesto de entidad nacional
2 Regalías
3 Recursos de crédito
4 SGP
5 No Aplica</t>
        </r>
      </text>
    </comment>
    <comment ref="AD155" authorId="0">
      <text>
        <r>
          <rPr>
            <b/>
            <sz val="9"/>
            <color indexed="81"/>
            <rFont val="Tahoma"/>
            <family val="2"/>
          </rPr>
          <t>0 No
1 Sí</t>
        </r>
      </text>
    </comment>
    <comment ref="AE155" authorId="0">
      <text>
        <r>
          <rPr>
            <sz val="9"/>
            <color indexed="81"/>
            <rFont val="Tahoma"/>
            <family val="2"/>
          </rPr>
          <t xml:space="preserve">
0 NA
1 No solicitadas
2 Solicitadas
3 Aprobadas</t>
        </r>
      </text>
    </comment>
    <comment ref="V156" authorId="0">
      <text>
        <r>
          <rPr>
            <b/>
            <sz val="9"/>
            <color indexed="81"/>
            <rFont val="Tahoma"/>
            <family val="2"/>
          </rPr>
          <t>0 Día(s)
1 Mes (s)
2 Año(s)</t>
        </r>
      </text>
    </comment>
    <comment ref="Y156" authorId="0">
      <text>
        <r>
          <rPr>
            <sz val="9"/>
            <color indexed="81"/>
            <rFont val="Tahoma"/>
            <family val="2"/>
          </rPr>
          <t>0 Recursos propios 
1 Presupuesto de entidad nacional
2 Regalías
3 Recursos de crédito
4 SGP
5 No Aplica</t>
        </r>
      </text>
    </comment>
    <comment ref="AD156" authorId="0">
      <text>
        <r>
          <rPr>
            <b/>
            <sz val="9"/>
            <color indexed="81"/>
            <rFont val="Tahoma"/>
            <family val="2"/>
          </rPr>
          <t>0 No
1 Sí</t>
        </r>
      </text>
    </comment>
    <comment ref="AE156" authorId="0">
      <text>
        <r>
          <rPr>
            <sz val="9"/>
            <color indexed="81"/>
            <rFont val="Tahoma"/>
            <family val="2"/>
          </rPr>
          <t xml:space="preserve">
0 NA
1 No solicitadas
2 Solicitadas
3 Aprobadas</t>
        </r>
      </text>
    </comment>
    <comment ref="V157" authorId="0">
      <text>
        <r>
          <rPr>
            <b/>
            <sz val="9"/>
            <color indexed="81"/>
            <rFont val="Tahoma"/>
            <family val="2"/>
          </rPr>
          <t>0 Día(s)
1 Mes (s)
2 Año(s)</t>
        </r>
      </text>
    </comment>
    <comment ref="Y157" authorId="0">
      <text>
        <r>
          <rPr>
            <sz val="9"/>
            <color indexed="81"/>
            <rFont val="Tahoma"/>
            <family val="2"/>
          </rPr>
          <t>0 Recursos propios 
1 Presupuesto de entidad nacional
2 Regalías
3 Recursos de crédito
4 SGP
5 No Aplica</t>
        </r>
      </text>
    </comment>
    <comment ref="AD157" authorId="0">
      <text>
        <r>
          <rPr>
            <b/>
            <sz val="9"/>
            <color indexed="81"/>
            <rFont val="Tahoma"/>
            <family val="2"/>
          </rPr>
          <t>0 No
1 Sí</t>
        </r>
      </text>
    </comment>
    <comment ref="AE157" authorId="0">
      <text>
        <r>
          <rPr>
            <sz val="9"/>
            <color indexed="81"/>
            <rFont val="Tahoma"/>
            <family val="2"/>
          </rPr>
          <t xml:space="preserve">
0 NA
1 No solicitadas
2 Solicitadas
3 Aprobadas</t>
        </r>
      </text>
    </comment>
    <comment ref="V158" authorId="0">
      <text>
        <r>
          <rPr>
            <b/>
            <sz val="9"/>
            <color indexed="81"/>
            <rFont val="Tahoma"/>
            <family val="2"/>
          </rPr>
          <t>0 Día(s)
1 Mes (s)
2 Año(s)</t>
        </r>
      </text>
    </comment>
    <comment ref="Y158" authorId="0">
      <text>
        <r>
          <rPr>
            <sz val="9"/>
            <color indexed="81"/>
            <rFont val="Tahoma"/>
            <family val="2"/>
          </rPr>
          <t>0 Recursos propios 
1 Presupuesto de entidad nacional
2 Regalías
3 Recursos de crédito
4 SGP
5 No Aplica</t>
        </r>
      </text>
    </comment>
    <comment ref="AD158" authorId="0">
      <text>
        <r>
          <rPr>
            <b/>
            <sz val="9"/>
            <color indexed="81"/>
            <rFont val="Tahoma"/>
            <family val="2"/>
          </rPr>
          <t>0 No
1 Sí</t>
        </r>
      </text>
    </comment>
    <comment ref="AE158" authorId="0">
      <text>
        <r>
          <rPr>
            <sz val="9"/>
            <color indexed="81"/>
            <rFont val="Tahoma"/>
            <family val="2"/>
          </rPr>
          <t xml:space="preserve">
0 NA
1 No solicitadas
2 Solicitadas
3 Aprobadas</t>
        </r>
      </text>
    </comment>
    <comment ref="V159" authorId="0">
      <text>
        <r>
          <rPr>
            <b/>
            <sz val="9"/>
            <color indexed="81"/>
            <rFont val="Tahoma"/>
            <family val="2"/>
          </rPr>
          <t>0 Día(s)
1 Mes (s)
2 Año(s)</t>
        </r>
      </text>
    </comment>
    <comment ref="Y159" authorId="0">
      <text>
        <r>
          <rPr>
            <sz val="9"/>
            <color indexed="81"/>
            <rFont val="Tahoma"/>
            <family val="2"/>
          </rPr>
          <t>0 Recursos propios 
1 Presupuesto de entidad nacional
2 Regalías
3 Recursos de crédito
4 SGP
5 No Aplica</t>
        </r>
      </text>
    </comment>
    <comment ref="AD159" authorId="0">
      <text>
        <r>
          <rPr>
            <b/>
            <sz val="9"/>
            <color indexed="81"/>
            <rFont val="Tahoma"/>
            <family val="2"/>
          </rPr>
          <t>0 No
1 Sí</t>
        </r>
      </text>
    </comment>
    <comment ref="AE159" authorId="0">
      <text>
        <r>
          <rPr>
            <sz val="9"/>
            <color indexed="81"/>
            <rFont val="Tahoma"/>
            <family val="2"/>
          </rPr>
          <t xml:space="preserve">
0 NA
1 No solicitadas
2 Solicitadas
3 Aprobadas</t>
        </r>
      </text>
    </comment>
    <comment ref="V160" authorId="0">
      <text>
        <r>
          <rPr>
            <b/>
            <sz val="9"/>
            <color indexed="81"/>
            <rFont val="Tahoma"/>
            <family val="2"/>
          </rPr>
          <t>0 Día(s)
1 Mes (s)
2 Año(s)</t>
        </r>
      </text>
    </comment>
    <comment ref="Y160" authorId="0">
      <text>
        <r>
          <rPr>
            <sz val="9"/>
            <color indexed="81"/>
            <rFont val="Tahoma"/>
            <family val="2"/>
          </rPr>
          <t>0 Recursos propios 
1 Presupuesto de entidad nacional
2 Regalías
3 Recursos de crédito
4 SGP
5 No Aplica</t>
        </r>
      </text>
    </comment>
    <comment ref="AD160" authorId="0">
      <text>
        <r>
          <rPr>
            <b/>
            <sz val="9"/>
            <color indexed="81"/>
            <rFont val="Tahoma"/>
            <family val="2"/>
          </rPr>
          <t>0 No
1 Sí</t>
        </r>
      </text>
    </comment>
    <comment ref="AE160" authorId="0">
      <text>
        <r>
          <rPr>
            <sz val="9"/>
            <color indexed="81"/>
            <rFont val="Tahoma"/>
            <family val="2"/>
          </rPr>
          <t xml:space="preserve">
0 NA
1 No solicitadas
2 Solicitadas
3 Aprobadas</t>
        </r>
      </text>
    </comment>
    <comment ref="V161" authorId="0">
      <text>
        <r>
          <rPr>
            <b/>
            <sz val="9"/>
            <color indexed="81"/>
            <rFont val="Tahoma"/>
            <family val="2"/>
          </rPr>
          <t>0 Día(s)
1 Mes (s)
2 Año(s)</t>
        </r>
      </text>
    </comment>
    <comment ref="Y161" authorId="0">
      <text>
        <r>
          <rPr>
            <sz val="9"/>
            <color indexed="81"/>
            <rFont val="Tahoma"/>
            <family val="2"/>
          </rPr>
          <t>0 Recursos propios 
1 Presupuesto de entidad nacional
2 Regalías
3 Recursos de crédito
4 SGP
5 No Aplica</t>
        </r>
      </text>
    </comment>
    <comment ref="AD161" authorId="0">
      <text>
        <r>
          <rPr>
            <b/>
            <sz val="9"/>
            <color indexed="81"/>
            <rFont val="Tahoma"/>
            <family val="2"/>
          </rPr>
          <t>0 No
1 Sí</t>
        </r>
      </text>
    </comment>
    <comment ref="AE161" authorId="0">
      <text>
        <r>
          <rPr>
            <sz val="9"/>
            <color indexed="81"/>
            <rFont val="Tahoma"/>
            <family val="2"/>
          </rPr>
          <t xml:space="preserve">
0 NA
1 No solicitadas
2 Solicitadas
3 Aprobadas</t>
        </r>
      </text>
    </comment>
    <comment ref="V162" authorId="0">
      <text>
        <r>
          <rPr>
            <b/>
            <sz val="9"/>
            <color indexed="81"/>
            <rFont val="Tahoma"/>
            <family val="2"/>
          </rPr>
          <t>0 Día(s)
1 Mes (s)
2 Año(s)</t>
        </r>
      </text>
    </comment>
    <comment ref="Y162" authorId="0">
      <text>
        <r>
          <rPr>
            <sz val="9"/>
            <color indexed="81"/>
            <rFont val="Tahoma"/>
            <family val="2"/>
          </rPr>
          <t>0 Recursos propios 
1 Presupuesto de entidad nacional
2 Regalías
3 Recursos de crédito
4 SGP
5 No Aplica</t>
        </r>
      </text>
    </comment>
    <comment ref="AD162" authorId="0">
      <text>
        <r>
          <rPr>
            <b/>
            <sz val="9"/>
            <color indexed="81"/>
            <rFont val="Tahoma"/>
            <family val="2"/>
          </rPr>
          <t>0 No
1 Sí</t>
        </r>
      </text>
    </comment>
    <comment ref="AE162" authorId="0">
      <text>
        <r>
          <rPr>
            <sz val="9"/>
            <color indexed="81"/>
            <rFont val="Tahoma"/>
            <family val="2"/>
          </rPr>
          <t xml:space="preserve">
0 NA
1 No solicitadas
2 Solicitadas
3 Aprobadas</t>
        </r>
      </text>
    </comment>
    <comment ref="V163" authorId="0">
      <text>
        <r>
          <rPr>
            <b/>
            <sz val="9"/>
            <color indexed="81"/>
            <rFont val="Tahoma"/>
            <family val="2"/>
          </rPr>
          <t>0 Día(s)
1 Mes (s)
2 Año(s)</t>
        </r>
      </text>
    </comment>
    <comment ref="Y163" authorId="0">
      <text>
        <r>
          <rPr>
            <sz val="9"/>
            <color indexed="81"/>
            <rFont val="Tahoma"/>
            <family val="2"/>
          </rPr>
          <t>0 Recursos propios 
1 Presupuesto de entidad nacional
2 Regalías
3 Recursos de crédito
4 SGP
5 No Aplica</t>
        </r>
      </text>
    </comment>
    <comment ref="AD163" authorId="0">
      <text>
        <r>
          <rPr>
            <b/>
            <sz val="9"/>
            <color indexed="81"/>
            <rFont val="Tahoma"/>
            <family val="2"/>
          </rPr>
          <t>0 No
1 Sí</t>
        </r>
      </text>
    </comment>
    <comment ref="AE163" authorId="0">
      <text>
        <r>
          <rPr>
            <sz val="9"/>
            <color indexed="81"/>
            <rFont val="Tahoma"/>
            <family val="2"/>
          </rPr>
          <t xml:space="preserve">
0 NA
1 No solicitadas
2 Solicitadas
3 Aprobadas</t>
        </r>
      </text>
    </comment>
    <comment ref="V164" authorId="0">
      <text>
        <r>
          <rPr>
            <b/>
            <sz val="9"/>
            <color indexed="81"/>
            <rFont val="Tahoma"/>
            <family val="2"/>
          </rPr>
          <t>0 Día(s)
1 Mes (s)
2 Año(s)</t>
        </r>
      </text>
    </comment>
    <comment ref="Y164" authorId="0">
      <text>
        <r>
          <rPr>
            <sz val="9"/>
            <color indexed="81"/>
            <rFont val="Tahoma"/>
            <family val="2"/>
          </rPr>
          <t>0 Recursos propios 
1 Presupuesto de entidad nacional
2 Regalías
3 Recursos de crédito
4 SGP
5 No Aplica</t>
        </r>
      </text>
    </comment>
    <comment ref="AD164" authorId="0">
      <text>
        <r>
          <rPr>
            <b/>
            <sz val="9"/>
            <color indexed="81"/>
            <rFont val="Tahoma"/>
            <family val="2"/>
          </rPr>
          <t>0 No
1 Sí</t>
        </r>
      </text>
    </comment>
    <comment ref="AE164" authorId="0">
      <text>
        <r>
          <rPr>
            <sz val="9"/>
            <color indexed="81"/>
            <rFont val="Tahoma"/>
            <family val="2"/>
          </rPr>
          <t xml:space="preserve">
0 NA
1 No solicitadas
2 Solicitadas
3 Aprobadas</t>
        </r>
      </text>
    </comment>
    <comment ref="V165" authorId="0">
      <text>
        <r>
          <rPr>
            <b/>
            <sz val="9"/>
            <color indexed="81"/>
            <rFont val="Tahoma"/>
            <family val="2"/>
          </rPr>
          <t>0 Día(s)
1 Mes (s)
2 Año(s)</t>
        </r>
      </text>
    </comment>
    <comment ref="Y165" authorId="0">
      <text>
        <r>
          <rPr>
            <sz val="9"/>
            <color indexed="81"/>
            <rFont val="Tahoma"/>
            <family val="2"/>
          </rPr>
          <t>0 Recursos propios 
1 Presupuesto de entidad nacional
2 Regalías
3 Recursos de crédito
4 SGP
5 No Aplica</t>
        </r>
      </text>
    </comment>
    <comment ref="AD165" authorId="0">
      <text>
        <r>
          <rPr>
            <b/>
            <sz val="9"/>
            <color indexed="81"/>
            <rFont val="Tahoma"/>
            <family val="2"/>
          </rPr>
          <t>0 No
1 Sí</t>
        </r>
      </text>
    </comment>
    <comment ref="AE165" authorId="0">
      <text>
        <r>
          <rPr>
            <sz val="9"/>
            <color indexed="81"/>
            <rFont val="Tahoma"/>
            <family val="2"/>
          </rPr>
          <t xml:space="preserve">
0 NA
1 No solicitadas
2 Solicitadas
3 Aprobadas</t>
        </r>
      </text>
    </comment>
    <comment ref="V166" authorId="0">
      <text>
        <r>
          <rPr>
            <b/>
            <sz val="9"/>
            <color indexed="81"/>
            <rFont val="Tahoma"/>
            <family val="2"/>
          </rPr>
          <t>0 Día(s)
1 Mes (s)
2 Año(s)</t>
        </r>
      </text>
    </comment>
    <comment ref="Y166" authorId="0">
      <text>
        <r>
          <rPr>
            <sz val="9"/>
            <color indexed="81"/>
            <rFont val="Tahoma"/>
            <family val="2"/>
          </rPr>
          <t>0 Recursos propios 
1 Presupuesto de entidad nacional
2 Regalías
3 Recursos de crédito
4 SGP
5 No Aplica</t>
        </r>
      </text>
    </comment>
    <comment ref="AD166" authorId="0">
      <text>
        <r>
          <rPr>
            <b/>
            <sz val="9"/>
            <color indexed="81"/>
            <rFont val="Tahoma"/>
            <family val="2"/>
          </rPr>
          <t>0 No
1 Sí</t>
        </r>
      </text>
    </comment>
    <comment ref="AE166" authorId="0">
      <text>
        <r>
          <rPr>
            <sz val="9"/>
            <color indexed="81"/>
            <rFont val="Tahoma"/>
            <family val="2"/>
          </rPr>
          <t xml:space="preserve">
0 NA
1 No solicitadas
2 Solicitadas
3 Aprobadas</t>
        </r>
      </text>
    </comment>
    <comment ref="V167" authorId="0">
      <text>
        <r>
          <rPr>
            <b/>
            <sz val="9"/>
            <color indexed="81"/>
            <rFont val="Tahoma"/>
            <family val="2"/>
          </rPr>
          <t>0 Día(s)
1 Mes (s)
2 Año(s)</t>
        </r>
      </text>
    </comment>
    <comment ref="Y167" authorId="0">
      <text>
        <r>
          <rPr>
            <sz val="9"/>
            <color indexed="81"/>
            <rFont val="Tahoma"/>
            <family val="2"/>
          </rPr>
          <t>0 Recursos propios 
1 Presupuesto de entidad nacional
2 Regalías
3 Recursos de crédito
4 SGP
5 No Aplica</t>
        </r>
      </text>
    </comment>
    <comment ref="AD167" authorId="0">
      <text>
        <r>
          <rPr>
            <b/>
            <sz val="9"/>
            <color indexed="81"/>
            <rFont val="Tahoma"/>
            <family val="2"/>
          </rPr>
          <t>0 No
1 Sí</t>
        </r>
      </text>
    </comment>
    <comment ref="AE167" authorId="0">
      <text>
        <r>
          <rPr>
            <sz val="9"/>
            <color indexed="81"/>
            <rFont val="Tahoma"/>
            <family val="2"/>
          </rPr>
          <t xml:space="preserve">
0 NA
1 No solicitadas
2 Solicitadas
3 Aprobadas</t>
        </r>
      </text>
    </comment>
    <comment ref="V168" authorId="0">
      <text>
        <r>
          <rPr>
            <b/>
            <sz val="9"/>
            <color indexed="81"/>
            <rFont val="Tahoma"/>
            <family val="2"/>
          </rPr>
          <t>0 Día(s)
1 Mes (s)
2 Año(s)</t>
        </r>
      </text>
    </comment>
    <comment ref="Y168" authorId="0">
      <text>
        <r>
          <rPr>
            <sz val="9"/>
            <color indexed="81"/>
            <rFont val="Tahoma"/>
            <family val="2"/>
          </rPr>
          <t>0 Recursos propios 
1 Presupuesto de entidad nacional
2 Regalías
3 Recursos de crédito
4 SGP
5 No Aplica</t>
        </r>
      </text>
    </comment>
    <comment ref="AD168" authorId="0">
      <text>
        <r>
          <rPr>
            <b/>
            <sz val="9"/>
            <color indexed="81"/>
            <rFont val="Tahoma"/>
            <family val="2"/>
          </rPr>
          <t>0 No
1 Sí</t>
        </r>
      </text>
    </comment>
    <comment ref="AE168" authorId="0">
      <text>
        <r>
          <rPr>
            <sz val="9"/>
            <color indexed="81"/>
            <rFont val="Tahoma"/>
            <family val="2"/>
          </rPr>
          <t xml:space="preserve">
0 NA
1 No solicitadas
2 Solicitadas
3 Aprobadas</t>
        </r>
      </text>
    </comment>
    <comment ref="V169" authorId="0">
      <text>
        <r>
          <rPr>
            <b/>
            <sz val="9"/>
            <color indexed="81"/>
            <rFont val="Tahoma"/>
            <family val="2"/>
          </rPr>
          <t>0 Día(s)
1 Mes (s)
2 Año(s)</t>
        </r>
      </text>
    </comment>
    <comment ref="Y169" authorId="0">
      <text>
        <r>
          <rPr>
            <sz val="9"/>
            <color indexed="81"/>
            <rFont val="Tahoma"/>
            <family val="2"/>
          </rPr>
          <t>0 Recursos propios 
1 Presupuesto de entidad nacional
2 Regalías
3 Recursos de crédito
4 SGP
5 No Aplica</t>
        </r>
      </text>
    </comment>
    <comment ref="AD169" authorId="0">
      <text>
        <r>
          <rPr>
            <b/>
            <sz val="9"/>
            <color indexed="81"/>
            <rFont val="Tahoma"/>
            <family val="2"/>
          </rPr>
          <t>0 No
1 Sí</t>
        </r>
      </text>
    </comment>
    <comment ref="AE169" authorId="0">
      <text>
        <r>
          <rPr>
            <sz val="9"/>
            <color indexed="81"/>
            <rFont val="Tahoma"/>
            <family val="2"/>
          </rPr>
          <t xml:space="preserve">
0 NA
1 No solicitadas
2 Solicitadas
3 Aprobadas</t>
        </r>
      </text>
    </comment>
    <comment ref="V170" authorId="0">
      <text>
        <r>
          <rPr>
            <b/>
            <sz val="9"/>
            <color indexed="81"/>
            <rFont val="Tahoma"/>
            <family val="2"/>
          </rPr>
          <t>0 Día(s)
1 Mes (s)
2 Año(s)</t>
        </r>
      </text>
    </comment>
    <comment ref="Y170" authorId="0">
      <text>
        <r>
          <rPr>
            <sz val="9"/>
            <color indexed="81"/>
            <rFont val="Tahoma"/>
            <family val="2"/>
          </rPr>
          <t>0 Recursos propios 
1 Presupuesto de entidad nacional
2 Regalías
3 Recursos de crédito
4 SGP
5 No Aplica</t>
        </r>
      </text>
    </comment>
    <comment ref="AD170" authorId="0">
      <text>
        <r>
          <rPr>
            <b/>
            <sz val="9"/>
            <color indexed="81"/>
            <rFont val="Tahoma"/>
            <family val="2"/>
          </rPr>
          <t>0 No
1 Sí</t>
        </r>
      </text>
    </comment>
    <comment ref="AE170" authorId="0">
      <text>
        <r>
          <rPr>
            <sz val="9"/>
            <color indexed="81"/>
            <rFont val="Tahoma"/>
            <family val="2"/>
          </rPr>
          <t xml:space="preserve">
0 NA
1 No solicitadas
2 Solicitadas
3 Aprobadas</t>
        </r>
      </text>
    </comment>
    <comment ref="V171" authorId="0">
      <text>
        <r>
          <rPr>
            <b/>
            <sz val="9"/>
            <color indexed="81"/>
            <rFont val="Tahoma"/>
            <family val="2"/>
          </rPr>
          <t>0 Día(s)
1 Mes (s)
2 Año(s)</t>
        </r>
      </text>
    </comment>
    <comment ref="Y171" authorId="0">
      <text>
        <r>
          <rPr>
            <sz val="9"/>
            <color indexed="81"/>
            <rFont val="Tahoma"/>
            <family val="2"/>
          </rPr>
          <t>0 Recursos propios 
1 Presupuesto de entidad nacional
2 Regalías
3 Recursos de crédito
4 SGP
5 No Aplica</t>
        </r>
      </text>
    </comment>
    <comment ref="AD171" authorId="0">
      <text>
        <r>
          <rPr>
            <b/>
            <sz val="9"/>
            <color indexed="81"/>
            <rFont val="Tahoma"/>
            <family val="2"/>
          </rPr>
          <t>0 No
1 Sí</t>
        </r>
      </text>
    </comment>
    <comment ref="AE171" authorId="0">
      <text>
        <r>
          <rPr>
            <sz val="9"/>
            <color indexed="81"/>
            <rFont val="Tahoma"/>
            <family val="2"/>
          </rPr>
          <t xml:space="preserve">
0 NA
1 No solicitadas
2 Solicitadas
3 Aprobadas</t>
        </r>
      </text>
    </comment>
    <comment ref="V172" authorId="0">
      <text>
        <r>
          <rPr>
            <b/>
            <sz val="9"/>
            <color indexed="81"/>
            <rFont val="Tahoma"/>
            <family val="2"/>
          </rPr>
          <t>0 Día(s)
1 Mes (s)
2 Año(s)</t>
        </r>
      </text>
    </comment>
    <comment ref="Y172" authorId="0">
      <text>
        <r>
          <rPr>
            <sz val="9"/>
            <color indexed="81"/>
            <rFont val="Tahoma"/>
            <family val="2"/>
          </rPr>
          <t>0 Recursos propios 
1 Presupuesto de entidad nacional
2 Regalías
3 Recursos de crédito
4 SGP
5 No Aplica</t>
        </r>
      </text>
    </comment>
    <comment ref="AD172" authorId="0">
      <text>
        <r>
          <rPr>
            <b/>
            <sz val="9"/>
            <color indexed="81"/>
            <rFont val="Tahoma"/>
            <family val="2"/>
          </rPr>
          <t>0 No
1 Sí</t>
        </r>
      </text>
    </comment>
    <comment ref="AE172" authorId="0">
      <text>
        <r>
          <rPr>
            <sz val="9"/>
            <color indexed="81"/>
            <rFont val="Tahoma"/>
            <family val="2"/>
          </rPr>
          <t xml:space="preserve">
0 NA
1 No solicitadas
2 Solicitadas
3 Aprobadas</t>
        </r>
      </text>
    </comment>
    <comment ref="V173" authorId="0">
      <text>
        <r>
          <rPr>
            <b/>
            <sz val="9"/>
            <color indexed="81"/>
            <rFont val="Tahoma"/>
            <family val="2"/>
          </rPr>
          <t>0 Día(s)
1 Mes (s)
2 Año(s)</t>
        </r>
      </text>
    </comment>
    <comment ref="Y173" authorId="0">
      <text>
        <r>
          <rPr>
            <sz val="9"/>
            <color indexed="81"/>
            <rFont val="Tahoma"/>
            <family val="2"/>
          </rPr>
          <t>0 Recursos propios 
1 Presupuesto de entidad nacional
2 Regalías
3 Recursos de crédito
4 SGP
5 No Aplica</t>
        </r>
      </text>
    </comment>
    <comment ref="AD173" authorId="0">
      <text>
        <r>
          <rPr>
            <b/>
            <sz val="9"/>
            <color indexed="81"/>
            <rFont val="Tahoma"/>
            <family val="2"/>
          </rPr>
          <t>0 No
1 Sí</t>
        </r>
      </text>
    </comment>
    <comment ref="AE173" authorId="0">
      <text>
        <r>
          <rPr>
            <sz val="9"/>
            <color indexed="81"/>
            <rFont val="Tahoma"/>
            <family val="2"/>
          </rPr>
          <t xml:space="preserve">
0 NA
1 No solicitadas
2 Solicitadas
3 Aprobadas</t>
        </r>
      </text>
    </comment>
    <comment ref="V174" authorId="0">
      <text>
        <r>
          <rPr>
            <b/>
            <sz val="9"/>
            <color indexed="81"/>
            <rFont val="Tahoma"/>
            <family val="2"/>
          </rPr>
          <t>0 Día(s)
1 Mes (s)
2 Año(s)</t>
        </r>
      </text>
    </comment>
    <comment ref="Y174" authorId="0">
      <text>
        <r>
          <rPr>
            <sz val="9"/>
            <color indexed="81"/>
            <rFont val="Tahoma"/>
            <family val="2"/>
          </rPr>
          <t>0 Recursos propios 
1 Presupuesto de entidad nacional
2 Regalías
3 Recursos de crédito
4 SGP
5 No Aplica</t>
        </r>
      </text>
    </comment>
    <comment ref="AD174" authorId="0">
      <text>
        <r>
          <rPr>
            <b/>
            <sz val="9"/>
            <color indexed="81"/>
            <rFont val="Tahoma"/>
            <family val="2"/>
          </rPr>
          <t>0 No
1 Sí</t>
        </r>
      </text>
    </comment>
    <comment ref="AE174" authorId="0">
      <text>
        <r>
          <rPr>
            <sz val="9"/>
            <color indexed="81"/>
            <rFont val="Tahoma"/>
            <family val="2"/>
          </rPr>
          <t xml:space="preserve">
0 NA
1 No solicitadas
2 Solicitadas
3 Aprobadas</t>
        </r>
      </text>
    </comment>
    <comment ref="V175" authorId="0">
      <text>
        <r>
          <rPr>
            <b/>
            <sz val="9"/>
            <color indexed="81"/>
            <rFont val="Tahoma"/>
            <family val="2"/>
          </rPr>
          <t>0 Día(s)
1 Mes (s)
2 Año(s)</t>
        </r>
      </text>
    </comment>
    <comment ref="Y175" authorId="0">
      <text>
        <r>
          <rPr>
            <sz val="9"/>
            <color indexed="81"/>
            <rFont val="Tahoma"/>
            <family val="2"/>
          </rPr>
          <t>0 Recursos propios 
1 Presupuesto de entidad nacional
2 Regalías
3 Recursos de crédito
4 SGP
5 No Aplica</t>
        </r>
      </text>
    </comment>
    <comment ref="AD175" authorId="0">
      <text>
        <r>
          <rPr>
            <b/>
            <sz val="9"/>
            <color indexed="81"/>
            <rFont val="Tahoma"/>
            <family val="2"/>
          </rPr>
          <t>0 No
1 Sí</t>
        </r>
      </text>
    </comment>
    <comment ref="AE175" authorId="0">
      <text>
        <r>
          <rPr>
            <sz val="9"/>
            <color indexed="81"/>
            <rFont val="Tahoma"/>
            <family val="2"/>
          </rPr>
          <t xml:space="preserve">
0 NA
1 No solicitadas
2 Solicitadas
3 Aprobadas</t>
        </r>
      </text>
    </comment>
    <comment ref="V176" authorId="0">
      <text>
        <r>
          <rPr>
            <b/>
            <sz val="9"/>
            <color indexed="81"/>
            <rFont val="Tahoma"/>
            <family val="2"/>
          </rPr>
          <t>0 Día(s)
1 Mes (s)
2 Año(s)</t>
        </r>
      </text>
    </comment>
    <comment ref="Y176" authorId="0">
      <text>
        <r>
          <rPr>
            <sz val="9"/>
            <color indexed="81"/>
            <rFont val="Tahoma"/>
            <family val="2"/>
          </rPr>
          <t>0 Recursos propios 
1 Presupuesto de entidad nacional
2 Regalías
3 Recursos de crédito
4 SGP
5 No Aplica</t>
        </r>
      </text>
    </comment>
    <comment ref="AD176" authorId="0">
      <text>
        <r>
          <rPr>
            <b/>
            <sz val="9"/>
            <color indexed="81"/>
            <rFont val="Tahoma"/>
            <family val="2"/>
          </rPr>
          <t>0 No
1 Sí</t>
        </r>
      </text>
    </comment>
    <comment ref="AE176" authorId="0">
      <text>
        <r>
          <rPr>
            <sz val="9"/>
            <color indexed="81"/>
            <rFont val="Tahoma"/>
            <family val="2"/>
          </rPr>
          <t xml:space="preserve">
0 NA
1 No solicitadas
2 Solicitadas
3 Aprobadas</t>
        </r>
      </text>
    </comment>
    <comment ref="V177" authorId="0">
      <text>
        <r>
          <rPr>
            <b/>
            <sz val="9"/>
            <color indexed="81"/>
            <rFont val="Tahoma"/>
            <family val="2"/>
          </rPr>
          <t>0 Día(s)
1 Mes (s)
2 Año(s)</t>
        </r>
      </text>
    </comment>
    <comment ref="Y177" authorId="0">
      <text>
        <r>
          <rPr>
            <sz val="9"/>
            <color indexed="81"/>
            <rFont val="Tahoma"/>
            <family val="2"/>
          </rPr>
          <t>0 Recursos propios 
1 Presupuesto de entidad nacional
2 Regalías
3 Recursos de crédito
4 SGP
5 No Aplica</t>
        </r>
      </text>
    </comment>
    <comment ref="AD177" authorId="0">
      <text>
        <r>
          <rPr>
            <b/>
            <sz val="9"/>
            <color indexed="81"/>
            <rFont val="Tahoma"/>
            <family val="2"/>
          </rPr>
          <t>0 No
1 Sí</t>
        </r>
      </text>
    </comment>
    <comment ref="AE177" authorId="0">
      <text>
        <r>
          <rPr>
            <sz val="9"/>
            <color indexed="81"/>
            <rFont val="Tahoma"/>
            <family val="2"/>
          </rPr>
          <t xml:space="preserve">
0 NA
1 No solicitadas
2 Solicitadas
3 Aprobadas</t>
        </r>
      </text>
    </comment>
    <comment ref="V178" authorId="0">
      <text>
        <r>
          <rPr>
            <b/>
            <sz val="9"/>
            <color indexed="81"/>
            <rFont val="Tahoma"/>
            <family val="2"/>
          </rPr>
          <t>0 Día(s)
1 Mes (s)
2 Año(s)</t>
        </r>
      </text>
    </comment>
    <comment ref="Y178" authorId="0">
      <text>
        <r>
          <rPr>
            <sz val="9"/>
            <color indexed="81"/>
            <rFont val="Tahoma"/>
            <family val="2"/>
          </rPr>
          <t>0 Recursos propios 
1 Presupuesto de entidad nacional
2 Regalías
3 Recursos de crédito
4 SGP
5 No Aplica</t>
        </r>
      </text>
    </comment>
    <comment ref="AD178" authorId="0">
      <text>
        <r>
          <rPr>
            <b/>
            <sz val="9"/>
            <color indexed="81"/>
            <rFont val="Tahoma"/>
            <family val="2"/>
          </rPr>
          <t>0 No
1 Sí</t>
        </r>
      </text>
    </comment>
    <comment ref="AE178" authorId="0">
      <text>
        <r>
          <rPr>
            <sz val="9"/>
            <color indexed="81"/>
            <rFont val="Tahoma"/>
            <family val="2"/>
          </rPr>
          <t xml:space="preserve">
0 NA
1 No solicitadas
2 Solicitadas
3 Aprobadas</t>
        </r>
      </text>
    </comment>
    <comment ref="V179" authorId="0">
      <text>
        <r>
          <rPr>
            <b/>
            <sz val="9"/>
            <color indexed="81"/>
            <rFont val="Tahoma"/>
            <family val="2"/>
          </rPr>
          <t>0 Día(s)
1 Mes (s)
2 Año(s)</t>
        </r>
      </text>
    </comment>
    <comment ref="Y179" authorId="0">
      <text>
        <r>
          <rPr>
            <sz val="9"/>
            <color indexed="81"/>
            <rFont val="Tahoma"/>
            <family val="2"/>
          </rPr>
          <t>0 Recursos propios 
1 Presupuesto de entidad nacional
2 Regalías
3 Recursos de crédito
4 SGP
5 No Aplica</t>
        </r>
      </text>
    </comment>
    <comment ref="AD179" authorId="0">
      <text>
        <r>
          <rPr>
            <b/>
            <sz val="9"/>
            <color indexed="81"/>
            <rFont val="Tahoma"/>
            <family val="2"/>
          </rPr>
          <t>0 No
1 Sí</t>
        </r>
      </text>
    </comment>
    <comment ref="AE179" authorId="0">
      <text>
        <r>
          <rPr>
            <sz val="9"/>
            <color indexed="81"/>
            <rFont val="Tahoma"/>
            <family val="2"/>
          </rPr>
          <t xml:space="preserve">
0 NA
1 No solicitadas
2 Solicitadas
3 Aprobadas</t>
        </r>
      </text>
    </comment>
    <comment ref="V180" authorId="0">
      <text>
        <r>
          <rPr>
            <b/>
            <sz val="9"/>
            <color indexed="81"/>
            <rFont val="Tahoma"/>
            <family val="2"/>
          </rPr>
          <t>0 Día(s)
1 Mes (s)
2 Año(s)</t>
        </r>
      </text>
    </comment>
    <comment ref="Y180" authorId="0">
      <text>
        <r>
          <rPr>
            <sz val="9"/>
            <color indexed="81"/>
            <rFont val="Tahoma"/>
            <family val="2"/>
          </rPr>
          <t>0 Recursos propios 
1 Presupuesto de entidad nacional
2 Regalías
3 Recursos de crédito
4 SGP
5 No Aplica</t>
        </r>
      </text>
    </comment>
    <comment ref="AD180" authorId="0">
      <text>
        <r>
          <rPr>
            <b/>
            <sz val="9"/>
            <color indexed="81"/>
            <rFont val="Tahoma"/>
            <family val="2"/>
          </rPr>
          <t>0 No
1 Sí</t>
        </r>
      </text>
    </comment>
    <comment ref="AE180" authorId="0">
      <text>
        <r>
          <rPr>
            <sz val="9"/>
            <color indexed="81"/>
            <rFont val="Tahoma"/>
            <family val="2"/>
          </rPr>
          <t xml:space="preserve">
0 NA
1 No solicitadas
2 Solicitadas
3 Aprobadas</t>
        </r>
      </text>
    </comment>
    <comment ref="V181" authorId="0">
      <text>
        <r>
          <rPr>
            <b/>
            <sz val="9"/>
            <color indexed="81"/>
            <rFont val="Tahoma"/>
            <family val="2"/>
          </rPr>
          <t>0 Día(s)
1 Mes (s)
2 Año(s)</t>
        </r>
      </text>
    </comment>
    <comment ref="Y181" authorId="0">
      <text>
        <r>
          <rPr>
            <sz val="9"/>
            <color indexed="81"/>
            <rFont val="Tahoma"/>
            <family val="2"/>
          </rPr>
          <t>0 Recursos propios 
1 Presupuesto de entidad nacional
2 Regalías
3 Recursos de crédito
4 SGP
5 No Aplica</t>
        </r>
      </text>
    </comment>
    <comment ref="AD181" authorId="0">
      <text>
        <r>
          <rPr>
            <b/>
            <sz val="9"/>
            <color indexed="81"/>
            <rFont val="Tahoma"/>
            <family val="2"/>
          </rPr>
          <t>0 No
1 Sí</t>
        </r>
      </text>
    </comment>
    <comment ref="AE181" authorId="0">
      <text>
        <r>
          <rPr>
            <sz val="9"/>
            <color indexed="81"/>
            <rFont val="Tahoma"/>
            <family val="2"/>
          </rPr>
          <t xml:space="preserve">
0 NA
1 No solicitadas
2 Solicitadas
3 Aprobadas</t>
        </r>
      </text>
    </comment>
    <comment ref="V182" authorId="0">
      <text>
        <r>
          <rPr>
            <b/>
            <sz val="9"/>
            <color indexed="81"/>
            <rFont val="Tahoma"/>
            <family val="2"/>
          </rPr>
          <t>0 Día(s)
1 Mes (s)
2 Año(s)</t>
        </r>
      </text>
    </comment>
    <comment ref="Y182" authorId="0">
      <text>
        <r>
          <rPr>
            <sz val="9"/>
            <color indexed="81"/>
            <rFont val="Tahoma"/>
            <family val="2"/>
          </rPr>
          <t>0 Recursos propios 
1 Presupuesto de entidad nacional
2 Regalías
3 Recursos de crédito
4 SGP
5 No Aplica</t>
        </r>
      </text>
    </comment>
    <comment ref="AD182" authorId="0">
      <text>
        <r>
          <rPr>
            <b/>
            <sz val="9"/>
            <color indexed="81"/>
            <rFont val="Tahoma"/>
            <family val="2"/>
          </rPr>
          <t>0 No
1 Sí</t>
        </r>
      </text>
    </comment>
    <comment ref="AE182" authorId="0">
      <text>
        <r>
          <rPr>
            <sz val="9"/>
            <color indexed="81"/>
            <rFont val="Tahoma"/>
            <family val="2"/>
          </rPr>
          <t xml:space="preserve">
0 NA
1 No solicitadas
2 Solicitadas
3 Aprobadas</t>
        </r>
      </text>
    </comment>
    <comment ref="V183" authorId="0">
      <text>
        <r>
          <rPr>
            <b/>
            <sz val="9"/>
            <color indexed="81"/>
            <rFont val="Tahoma"/>
            <family val="2"/>
          </rPr>
          <t>0 Día(s)
1 Mes (s)
2 Año(s)</t>
        </r>
      </text>
    </comment>
    <comment ref="Y183" authorId="0">
      <text>
        <r>
          <rPr>
            <sz val="9"/>
            <color indexed="81"/>
            <rFont val="Tahoma"/>
            <family val="2"/>
          </rPr>
          <t>0 Recursos propios 
1 Presupuesto de entidad nacional
2 Regalías
3 Recursos de crédito
4 SGP
5 No Aplica</t>
        </r>
      </text>
    </comment>
    <comment ref="AD183" authorId="0">
      <text>
        <r>
          <rPr>
            <b/>
            <sz val="9"/>
            <color indexed="81"/>
            <rFont val="Tahoma"/>
            <family val="2"/>
          </rPr>
          <t>0 No
1 Sí</t>
        </r>
      </text>
    </comment>
    <comment ref="AE183" authorId="0">
      <text>
        <r>
          <rPr>
            <sz val="9"/>
            <color indexed="81"/>
            <rFont val="Tahoma"/>
            <family val="2"/>
          </rPr>
          <t xml:space="preserve">
0 NA
1 No solicitadas
2 Solicitadas
3 Aprobadas</t>
        </r>
      </text>
    </comment>
    <comment ref="V184" authorId="0">
      <text>
        <r>
          <rPr>
            <b/>
            <sz val="9"/>
            <color indexed="81"/>
            <rFont val="Tahoma"/>
            <family val="2"/>
          </rPr>
          <t>0 Día(s)
1 Mes (s)
2 Año(s)</t>
        </r>
      </text>
    </comment>
    <comment ref="Y184" authorId="0">
      <text>
        <r>
          <rPr>
            <sz val="9"/>
            <color indexed="81"/>
            <rFont val="Tahoma"/>
            <family val="2"/>
          </rPr>
          <t>0 Recursos propios 
1 Presupuesto de entidad nacional
2 Regalías
3 Recursos de crédito
4 SGP
5 No Aplica</t>
        </r>
      </text>
    </comment>
    <comment ref="AD184" authorId="0">
      <text>
        <r>
          <rPr>
            <b/>
            <sz val="9"/>
            <color indexed="81"/>
            <rFont val="Tahoma"/>
            <family val="2"/>
          </rPr>
          <t>0 No
1 Sí</t>
        </r>
      </text>
    </comment>
    <comment ref="AE184" authorId="0">
      <text>
        <r>
          <rPr>
            <sz val="9"/>
            <color indexed="81"/>
            <rFont val="Tahoma"/>
            <family val="2"/>
          </rPr>
          <t xml:space="preserve">
0 NA
1 No solicitadas
2 Solicitadas
3 Aprobadas</t>
        </r>
      </text>
    </comment>
    <comment ref="V185" authorId="0">
      <text>
        <r>
          <rPr>
            <b/>
            <sz val="9"/>
            <color indexed="81"/>
            <rFont val="Tahoma"/>
            <family val="2"/>
          </rPr>
          <t>0 Día(s)
1 Mes (s)
2 Año(s)</t>
        </r>
      </text>
    </comment>
    <comment ref="Y185" authorId="0">
      <text>
        <r>
          <rPr>
            <sz val="9"/>
            <color indexed="81"/>
            <rFont val="Tahoma"/>
            <family val="2"/>
          </rPr>
          <t>0 Recursos propios 
1 Presupuesto de entidad nacional
2 Regalías
3 Recursos de crédito
4 SGP
5 No Aplica</t>
        </r>
      </text>
    </comment>
    <comment ref="AD185" authorId="0">
      <text>
        <r>
          <rPr>
            <b/>
            <sz val="9"/>
            <color indexed="81"/>
            <rFont val="Tahoma"/>
            <family val="2"/>
          </rPr>
          <t>0 No
1 Sí</t>
        </r>
      </text>
    </comment>
    <comment ref="AE185" authorId="0">
      <text>
        <r>
          <rPr>
            <sz val="9"/>
            <color indexed="81"/>
            <rFont val="Tahoma"/>
            <family val="2"/>
          </rPr>
          <t xml:space="preserve">
0 NA
1 No solicitadas
2 Solicitadas
3 Aprobadas</t>
        </r>
      </text>
    </comment>
    <comment ref="V186" authorId="0">
      <text>
        <r>
          <rPr>
            <b/>
            <sz val="9"/>
            <color indexed="81"/>
            <rFont val="Tahoma"/>
            <family val="2"/>
          </rPr>
          <t>0 Día(s)
1 Mes (s)
2 Año(s)</t>
        </r>
      </text>
    </comment>
    <comment ref="Y186" authorId="0">
      <text>
        <r>
          <rPr>
            <sz val="9"/>
            <color indexed="81"/>
            <rFont val="Tahoma"/>
            <family val="2"/>
          </rPr>
          <t>0 Recursos propios 
1 Presupuesto de entidad nacional
2 Regalías
3 Recursos de crédito
4 SGP
5 No Aplica</t>
        </r>
      </text>
    </comment>
    <comment ref="AD186" authorId="0">
      <text>
        <r>
          <rPr>
            <b/>
            <sz val="9"/>
            <color indexed="81"/>
            <rFont val="Tahoma"/>
            <family val="2"/>
          </rPr>
          <t>0 No
1 Sí</t>
        </r>
      </text>
    </comment>
    <comment ref="AE186" authorId="0">
      <text>
        <r>
          <rPr>
            <sz val="9"/>
            <color indexed="81"/>
            <rFont val="Tahoma"/>
            <family val="2"/>
          </rPr>
          <t xml:space="preserve">
0 NA
1 No solicitadas
2 Solicitadas
3 Aprobadas</t>
        </r>
      </text>
    </comment>
    <comment ref="V187" authorId="0">
      <text>
        <r>
          <rPr>
            <b/>
            <sz val="9"/>
            <color indexed="81"/>
            <rFont val="Tahoma"/>
            <family val="2"/>
          </rPr>
          <t>0 Día(s)
1 Mes (s)
2 Año(s)</t>
        </r>
      </text>
    </comment>
    <comment ref="Y187" authorId="0">
      <text>
        <r>
          <rPr>
            <sz val="9"/>
            <color indexed="81"/>
            <rFont val="Tahoma"/>
            <family val="2"/>
          </rPr>
          <t>0 Recursos propios 
1 Presupuesto de entidad nacional
2 Regalías
3 Recursos de crédito
4 SGP
5 No Aplica</t>
        </r>
      </text>
    </comment>
    <comment ref="AD187" authorId="0">
      <text>
        <r>
          <rPr>
            <b/>
            <sz val="9"/>
            <color indexed="81"/>
            <rFont val="Tahoma"/>
            <family val="2"/>
          </rPr>
          <t>0 No
1 Sí</t>
        </r>
      </text>
    </comment>
    <comment ref="AE187" authorId="0">
      <text>
        <r>
          <rPr>
            <sz val="9"/>
            <color indexed="81"/>
            <rFont val="Tahoma"/>
            <family val="2"/>
          </rPr>
          <t xml:space="preserve">
0 NA
1 No solicitadas
2 Solicitadas
3 Aprobadas</t>
        </r>
      </text>
    </comment>
    <comment ref="V188" authorId="0">
      <text>
        <r>
          <rPr>
            <b/>
            <sz val="9"/>
            <color indexed="81"/>
            <rFont val="Tahoma"/>
            <family val="2"/>
          </rPr>
          <t>0 Día(s)
1 Mes (s)
2 Año(s)</t>
        </r>
      </text>
    </comment>
    <comment ref="Y188" authorId="0">
      <text>
        <r>
          <rPr>
            <sz val="9"/>
            <color indexed="81"/>
            <rFont val="Tahoma"/>
            <family val="2"/>
          </rPr>
          <t>0 Recursos propios 
1 Presupuesto de entidad nacional
2 Regalías
3 Recursos de crédito
4 SGP
5 No Aplica</t>
        </r>
      </text>
    </comment>
    <comment ref="AD188" authorId="0">
      <text>
        <r>
          <rPr>
            <b/>
            <sz val="9"/>
            <color indexed="81"/>
            <rFont val="Tahoma"/>
            <family val="2"/>
          </rPr>
          <t>0 No
1 Sí</t>
        </r>
      </text>
    </comment>
    <comment ref="AE188" authorId="0">
      <text>
        <r>
          <rPr>
            <sz val="9"/>
            <color indexed="81"/>
            <rFont val="Tahoma"/>
            <family val="2"/>
          </rPr>
          <t xml:space="preserve">
0 NA
1 No solicitadas
2 Solicitadas
3 Aprobadas</t>
        </r>
      </text>
    </comment>
    <comment ref="V189" authorId="0">
      <text>
        <r>
          <rPr>
            <b/>
            <sz val="9"/>
            <color indexed="81"/>
            <rFont val="Tahoma"/>
            <family val="2"/>
          </rPr>
          <t>0 Día(s)
1 Mes (s)
2 Año(s)</t>
        </r>
      </text>
    </comment>
    <comment ref="Y189" authorId="0">
      <text>
        <r>
          <rPr>
            <sz val="9"/>
            <color indexed="81"/>
            <rFont val="Tahoma"/>
            <family val="2"/>
          </rPr>
          <t>0 Recursos propios 
1 Presupuesto de entidad nacional
2 Regalías
3 Recursos de crédito
4 SGP
5 No Aplica</t>
        </r>
      </text>
    </comment>
    <comment ref="AD189" authorId="0">
      <text>
        <r>
          <rPr>
            <b/>
            <sz val="9"/>
            <color indexed="81"/>
            <rFont val="Tahoma"/>
            <family val="2"/>
          </rPr>
          <t>0 No
1 Sí</t>
        </r>
      </text>
    </comment>
    <comment ref="AE189" authorId="0">
      <text>
        <r>
          <rPr>
            <sz val="9"/>
            <color indexed="81"/>
            <rFont val="Tahoma"/>
            <family val="2"/>
          </rPr>
          <t xml:space="preserve">
0 NA
1 No solicitadas
2 Solicitadas
3 Aprobadas</t>
        </r>
      </text>
    </comment>
    <comment ref="V190" authorId="0">
      <text>
        <r>
          <rPr>
            <b/>
            <sz val="9"/>
            <color indexed="81"/>
            <rFont val="Tahoma"/>
            <family val="2"/>
          </rPr>
          <t>0 Día(s)
1 Mes (s)
2 Año(s)</t>
        </r>
      </text>
    </comment>
    <comment ref="Y190" authorId="0">
      <text>
        <r>
          <rPr>
            <sz val="9"/>
            <color indexed="81"/>
            <rFont val="Tahoma"/>
            <family val="2"/>
          </rPr>
          <t>0 Recursos propios 
1 Presupuesto de entidad nacional
2 Regalías
3 Recursos de crédito
4 SGP
5 No Aplica</t>
        </r>
      </text>
    </comment>
    <comment ref="AD190" authorId="0">
      <text>
        <r>
          <rPr>
            <b/>
            <sz val="9"/>
            <color indexed="81"/>
            <rFont val="Tahoma"/>
            <family val="2"/>
          </rPr>
          <t>0 No
1 Sí</t>
        </r>
      </text>
    </comment>
    <comment ref="AE190" authorId="0">
      <text>
        <r>
          <rPr>
            <sz val="9"/>
            <color indexed="81"/>
            <rFont val="Tahoma"/>
            <family val="2"/>
          </rPr>
          <t xml:space="preserve">
0 NA
1 No solicitadas
2 Solicitadas
3 Aprobadas</t>
        </r>
      </text>
    </comment>
    <comment ref="V191" authorId="0">
      <text>
        <r>
          <rPr>
            <b/>
            <sz val="9"/>
            <color indexed="81"/>
            <rFont val="Tahoma"/>
            <family val="2"/>
          </rPr>
          <t>0 Día(s)
1 Mes (s)
2 Año(s)</t>
        </r>
      </text>
    </comment>
    <comment ref="Y191" authorId="0">
      <text>
        <r>
          <rPr>
            <sz val="9"/>
            <color indexed="81"/>
            <rFont val="Tahoma"/>
            <family val="2"/>
          </rPr>
          <t>0 Recursos propios 
1 Presupuesto de entidad nacional
2 Regalías
3 Recursos de crédito
4 SGP
5 No Aplica</t>
        </r>
      </text>
    </comment>
    <comment ref="AD191" authorId="0">
      <text>
        <r>
          <rPr>
            <b/>
            <sz val="9"/>
            <color indexed="81"/>
            <rFont val="Tahoma"/>
            <family val="2"/>
          </rPr>
          <t>0 No
1 Sí</t>
        </r>
      </text>
    </comment>
    <comment ref="AE191" authorId="0">
      <text>
        <r>
          <rPr>
            <sz val="9"/>
            <color indexed="81"/>
            <rFont val="Tahoma"/>
            <family val="2"/>
          </rPr>
          <t xml:space="preserve">
0 NA
1 No solicitadas
2 Solicitadas
3 Aprobadas</t>
        </r>
      </text>
    </comment>
    <comment ref="V192" authorId="0">
      <text>
        <r>
          <rPr>
            <b/>
            <sz val="9"/>
            <color indexed="81"/>
            <rFont val="Tahoma"/>
            <family val="2"/>
          </rPr>
          <t>0 Día(s)
1 Mes (s)
2 Año(s)</t>
        </r>
      </text>
    </comment>
    <comment ref="Y192" authorId="0">
      <text>
        <r>
          <rPr>
            <sz val="9"/>
            <color indexed="81"/>
            <rFont val="Tahoma"/>
            <family val="2"/>
          </rPr>
          <t>0 Recursos propios 
1 Presupuesto de entidad nacional
2 Regalías
3 Recursos de crédito
4 SGP
5 No Aplica</t>
        </r>
      </text>
    </comment>
    <comment ref="AD192" authorId="0">
      <text>
        <r>
          <rPr>
            <b/>
            <sz val="9"/>
            <color indexed="81"/>
            <rFont val="Tahoma"/>
            <family val="2"/>
          </rPr>
          <t>0 No
1 Sí</t>
        </r>
      </text>
    </comment>
    <comment ref="AE192" authorId="0">
      <text>
        <r>
          <rPr>
            <sz val="9"/>
            <color indexed="81"/>
            <rFont val="Tahoma"/>
            <family val="2"/>
          </rPr>
          <t xml:space="preserve">
0 NA
1 No solicitadas
2 Solicitadas
3 Aprobadas</t>
        </r>
      </text>
    </comment>
    <comment ref="V193" authorId="0">
      <text>
        <r>
          <rPr>
            <b/>
            <sz val="9"/>
            <color indexed="81"/>
            <rFont val="Tahoma"/>
            <family val="2"/>
          </rPr>
          <t>0 Día(s)
1 Mes (s)
2 Año(s)</t>
        </r>
      </text>
    </comment>
    <comment ref="Y193" authorId="0">
      <text>
        <r>
          <rPr>
            <sz val="9"/>
            <color indexed="81"/>
            <rFont val="Tahoma"/>
            <family val="2"/>
          </rPr>
          <t>0 Recursos propios 
1 Presupuesto de entidad nacional
2 Regalías
3 Recursos de crédito
4 SGP
5 No Aplica</t>
        </r>
      </text>
    </comment>
    <comment ref="AD193" authorId="0">
      <text>
        <r>
          <rPr>
            <b/>
            <sz val="9"/>
            <color indexed="81"/>
            <rFont val="Tahoma"/>
            <family val="2"/>
          </rPr>
          <t>0 No
1 Sí</t>
        </r>
      </text>
    </comment>
    <comment ref="AE193" authorId="0">
      <text>
        <r>
          <rPr>
            <sz val="9"/>
            <color indexed="81"/>
            <rFont val="Tahoma"/>
            <family val="2"/>
          </rPr>
          <t xml:space="preserve">
0 NA
1 No solicitadas
2 Solicitadas
3 Aprobadas</t>
        </r>
      </text>
    </comment>
    <comment ref="V194" authorId="0">
      <text>
        <r>
          <rPr>
            <b/>
            <sz val="9"/>
            <color indexed="81"/>
            <rFont val="Tahoma"/>
            <family val="2"/>
          </rPr>
          <t>0 Día(s)
1 Mes (s)
2 Año(s)</t>
        </r>
      </text>
    </comment>
    <comment ref="Y194" authorId="0">
      <text>
        <r>
          <rPr>
            <sz val="9"/>
            <color indexed="81"/>
            <rFont val="Tahoma"/>
            <family val="2"/>
          </rPr>
          <t>0 Recursos propios 
1 Presupuesto de entidad nacional
2 Regalías
3 Recursos de crédito
4 SGP
5 No Aplica</t>
        </r>
      </text>
    </comment>
    <comment ref="AD194" authorId="0">
      <text>
        <r>
          <rPr>
            <b/>
            <sz val="9"/>
            <color indexed="81"/>
            <rFont val="Tahoma"/>
            <family val="2"/>
          </rPr>
          <t>0 No
1 Sí</t>
        </r>
      </text>
    </comment>
    <comment ref="AE194" authorId="0">
      <text>
        <r>
          <rPr>
            <sz val="9"/>
            <color indexed="81"/>
            <rFont val="Tahoma"/>
            <family val="2"/>
          </rPr>
          <t xml:space="preserve">
0 NA
1 No solicitadas
2 Solicitadas
3 Aprobadas</t>
        </r>
      </text>
    </comment>
    <comment ref="BA194" authorId="1">
      <text>
        <r>
          <rPr>
            <b/>
            <sz val="9"/>
            <color indexed="81"/>
            <rFont val="Tahoma"/>
            <family val="2"/>
          </rPr>
          <t>Orlando Arias:</t>
        </r>
        <r>
          <rPr>
            <sz val="9"/>
            <color indexed="81"/>
            <rFont val="Tahoma"/>
            <family val="2"/>
          </rPr>
          <t xml:space="preserve">
1</t>
        </r>
      </text>
    </comment>
    <comment ref="V195" authorId="0">
      <text>
        <r>
          <rPr>
            <b/>
            <sz val="9"/>
            <color indexed="81"/>
            <rFont val="Tahoma"/>
            <family val="2"/>
          </rPr>
          <t>0 Día(s)
1 Mes (s)
2 Año(s)</t>
        </r>
      </text>
    </comment>
    <comment ref="Y195" authorId="0">
      <text>
        <r>
          <rPr>
            <sz val="9"/>
            <color indexed="81"/>
            <rFont val="Tahoma"/>
            <family val="2"/>
          </rPr>
          <t>0 Recursos propios 
1 Presupuesto de entidad nacional
2 Regalías
3 Recursos de crédito
4 SGP
5 No Aplica</t>
        </r>
      </text>
    </comment>
    <comment ref="AC195" authorId="2">
      <text>
        <r>
          <rPr>
            <b/>
            <sz val="9"/>
            <color indexed="81"/>
            <rFont val="Tahoma"/>
            <family val="2"/>
          </rPr>
          <t>Nubia S Zubieta:</t>
        </r>
        <r>
          <rPr>
            <sz val="9"/>
            <color indexed="81"/>
            <rFont val="Tahoma"/>
            <family val="2"/>
          </rPr>
          <t xml:space="preserve">
El valor real de los recursos INC son $1,137,737,276
</t>
        </r>
      </text>
    </comment>
    <comment ref="AD195" authorId="0">
      <text>
        <r>
          <rPr>
            <b/>
            <sz val="9"/>
            <color indexed="81"/>
            <rFont val="Tahoma"/>
            <family val="2"/>
          </rPr>
          <t>0 No
1 Sí</t>
        </r>
      </text>
    </comment>
    <comment ref="AE195" authorId="0">
      <text>
        <r>
          <rPr>
            <sz val="9"/>
            <color indexed="81"/>
            <rFont val="Tahoma"/>
            <family val="2"/>
          </rPr>
          <t xml:space="preserve">
0 NA
1 No solicitadas
2 Solicitadas
3 Aprobadas</t>
        </r>
      </text>
    </comment>
    <comment ref="BA195" authorId="1">
      <text>
        <r>
          <rPr>
            <b/>
            <sz val="9"/>
            <color indexed="81"/>
            <rFont val="Tahoma"/>
            <family val="2"/>
          </rPr>
          <t>Orlando Arias:</t>
        </r>
        <r>
          <rPr>
            <sz val="9"/>
            <color indexed="81"/>
            <rFont val="Tahoma"/>
            <family val="2"/>
          </rPr>
          <t xml:space="preserve">
1.137.737.276 No recaudo de recursos</t>
        </r>
      </text>
    </comment>
    <comment ref="V196" authorId="0">
      <text>
        <r>
          <rPr>
            <b/>
            <sz val="9"/>
            <color indexed="81"/>
            <rFont val="Tahoma"/>
            <family val="2"/>
          </rPr>
          <t>0 Día(s)
1 Mes (s)
2 Año(s)</t>
        </r>
      </text>
    </comment>
    <comment ref="Y196" authorId="0">
      <text>
        <r>
          <rPr>
            <sz val="9"/>
            <color indexed="81"/>
            <rFont val="Tahoma"/>
            <family val="2"/>
          </rPr>
          <t>0 Recursos propios 
1 Presupuesto de entidad nacional
2 Regalías
3 Recursos de crédito
4 SGP
5 No Aplica</t>
        </r>
      </text>
    </comment>
    <comment ref="AD196" authorId="0">
      <text>
        <r>
          <rPr>
            <b/>
            <sz val="9"/>
            <color indexed="81"/>
            <rFont val="Tahoma"/>
            <family val="2"/>
          </rPr>
          <t>0 No
1 Sí</t>
        </r>
      </text>
    </comment>
    <comment ref="AE196" authorId="0">
      <text>
        <r>
          <rPr>
            <sz val="9"/>
            <color indexed="81"/>
            <rFont val="Tahoma"/>
            <family val="2"/>
          </rPr>
          <t xml:space="preserve">
0 NA
1 No solicitadas
2 Solicitadas
3 Aprobadas</t>
        </r>
      </text>
    </comment>
    <comment ref="V197" authorId="0">
      <text>
        <r>
          <rPr>
            <b/>
            <sz val="9"/>
            <color indexed="81"/>
            <rFont val="Tahoma"/>
            <family val="2"/>
          </rPr>
          <t>0 Día(s)
1 Mes (s)
2 Año(s)</t>
        </r>
      </text>
    </comment>
    <comment ref="Y197" authorId="0">
      <text>
        <r>
          <rPr>
            <sz val="9"/>
            <color indexed="81"/>
            <rFont val="Tahoma"/>
            <family val="2"/>
          </rPr>
          <t>0 Recursos propios 
1 Presupuesto de entidad nacional
2 Regalías
3 Recursos de crédito
4 SGP
5 No Aplica</t>
        </r>
      </text>
    </comment>
    <comment ref="AD197" authorId="0">
      <text>
        <r>
          <rPr>
            <b/>
            <sz val="9"/>
            <color indexed="81"/>
            <rFont val="Tahoma"/>
            <family val="2"/>
          </rPr>
          <t>0 No
1 Sí</t>
        </r>
      </text>
    </comment>
    <comment ref="AE197" authorId="0">
      <text>
        <r>
          <rPr>
            <sz val="9"/>
            <color indexed="81"/>
            <rFont val="Tahoma"/>
            <family val="2"/>
          </rPr>
          <t xml:space="preserve">
0 NA
1 No solicitadas
2 Solicitadas
3 Aprobadas</t>
        </r>
      </text>
    </comment>
    <comment ref="V198" authorId="0">
      <text>
        <r>
          <rPr>
            <b/>
            <sz val="9"/>
            <color indexed="81"/>
            <rFont val="Tahoma"/>
            <family val="2"/>
          </rPr>
          <t>0 Día(s)
1 Mes (s)
2 Año(s)</t>
        </r>
      </text>
    </comment>
    <comment ref="Y198" authorId="0">
      <text>
        <r>
          <rPr>
            <sz val="9"/>
            <color indexed="81"/>
            <rFont val="Tahoma"/>
            <family val="2"/>
          </rPr>
          <t>0 Recursos propios 
1 Presupuesto de entidad nacional
2 Regalías
3 Recursos de crédito
4 SGP
5 No Aplica</t>
        </r>
      </text>
    </comment>
    <comment ref="AD198" authorId="0">
      <text>
        <r>
          <rPr>
            <b/>
            <sz val="9"/>
            <color indexed="81"/>
            <rFont val="Tahoma"/>
            <family val="2"/>
          </rPr>
          <t>0 No
1 Sí</t>
        </r>
      </text>
    </comment>
    <comment ref="AE198" authorId="0">
      <text>
        <r>
          <rPr>
            <sz val="9"/>
            <color indexed="81"/>
            <rFont val="Tahoma"/>
            <family val="2"/>
          </rPr>
          <t xml:space="preserve">
0 NA
1 No solicitadas
2 Solicitadas
3 Aprobadas</t>
        </r>
      </text>
    </comment>
    <comment ref="V199" authorId="0">
      <text>
        <r>
          <rPr>
            <b/>
            <sz val="9"/>
            <color indexed="81"/>
            <rFont val="Tahoma"/>
            <family val="2"/>
          </rPr>
          <t>0 Día(s)
1 Mes (s)
2 Año(s)</t>
        </r>
      </text>
    </comment>
    <comment ref="Y199" authorId="0">
      <text>
        <r>
          <rPr>
            <sz val="9"/>
            <color indexed="81"/>
            <rFont val="Tahoma"/>
            <family val="2"/>
          </rPr>
          <t>0 Recursos propios 
1 Presupuesto de entidad nacional
2 Regalías
3 Recursos de crédito
4 SGP
5 No Aplica</t>
        </r>
      </text>
    </comment>
    <comment ref="AD199" authorId="0">
      <text>
        <r>
          <rPr>
            <b/>
            <sz val="9"/>
            <color indexed="81"/>
            <rFont val="Tahoma"/>
            <family val="2"/>
          </rPr>
          <t>0 No
1 Sí</t>
        </r>
      </text>
    </comment>
    <comment ref="AE199" authorId="0">
      <text>
        <r>
          <rPr>
            <sz val="9"/>
            <color indexed="81"/>
            <rFont val="Tahoma"/>
            <family val="2"/>
          </rPr>
          <t xml:space="preserve">
0 NA
1 No solicitadas
2 Solicitadas
3 Aprobadas</t>
        </r>
      </text>
    </comment>
    <comment ref="V200" authorId="0">
      <text>
        <r>
          <rPr>
            <b/>
            <sz val="9"/>
            <color indexed="81"/>
            <rFont val="Tahoma"/>
            <family val="2"/>
          </rPr>
          <t>0 Día(s)
1 Mes (s)
2 Año(s)</t>
        </r>
      </text>
    </comment>
    <comment ref="Y200" authorId="0">
      <text>
        <r>
          <rPr>
            <sz val="9"/>
            <color indexed="81"/>
            <rFont val="Tahoma"/>
            <family val="2"/>
          </rPr>
          <t>0 Recursos propios 
1 Presupuesto de entidad nacional
2 Regalías
3 Recursos de crédito
4 SGP
5 No Aplica</t>
        </r>
      </text>
    </comment>
    <comment ref="AD200" authorId="0">
      <text>
        <r>
          <rPr>
            <b/>
            <sz val="9"/>
            <color indexed="81"/>
            <rFont val="Tahoma"/>
            <family val="2"/>
          </rPr>
          <t>0 No
1 Sí</t>
        </r>
      </text>
    </comment>
    <comment ref="AE200" authorId="0">
      <text>
        <r>
          <rPr>
            <sz val="9"/>
            <color indexed="81"/>
            <rFont val="Tahoma"/>
            <family val="2"/>
          </rPr>
          <t xml:space="preserve">
0 NA
1 No solicitadas
2 Solicitadas
3 Aprobadas</t>
        </r>
      </text>
    </comment>
    <comment ref="U201" authorId="2">
      <text>
        <r>
          <rPr>
            <b/>
            <sz val="9"/>
            <color indexed="81"/>
            <rFont val="Tahoma"/>
            <family val="2"/>
          </rPr>
          <t>Nubia S Zubieta:</t>
        </r>
        <r>
          <rPr>
            <sz val="9"/>
            <color indexed="81"/>
            <rFont val="Tahoma"/>
            <family val="2"/>
          </rPr>
          <t xml:space="preserve">
el contrato de obra tiene una duración estimada de 13 meses
</t>
        </r>
      </text>
    </comment>
    <comment ref="V201" authorId="0">
      <text>
        <r>
          <rPr>
            <b/>
            <sz val="9"/>
            <color indexed="81"/>
            <rFont val="Tahoma"/>
            <family val="2"/>
          </rPr>
          <t>0 Día(s)
1 Mes (s)
2 Año(s)</t>
        </r>
      </text>
    </comment>
    <comment ref="Y201" authorId="0">
      <text>
        <r>
          <rPr>
            <sz val="9"/>
            <color indexed="81"/>
            <rFont val="Tahoma"/>
            <family val="2"/>
          </rPr>
          <t>0 Recursos propios 
1 Presupuesto de entidad nacional
2 Regalías
3 Recursos de crédito
4 SGP
5 No Aplica</t>
        </r>
      </text>
    </comment>
    <comment ref="AD201" authorId="0">
      <text>
        <r>
          <rPr>
            <b/>
            <sz val="9"/>
            <color indexed="81"/>
            <rFont val="Tahoma"/>
            <family val="2"/>
          </rPr>
          <t>0 No
1 Sí</t>
        </r>
      </text>
    </comment>
    <comment ref="AE201" authorId="0">
      <text>
        <r>
          <rPr>
            <sz val="9"/>
            <color indexed="81"/>
            <rFont val="Tahoma"/>
            <family val="2"/>
          </rPr>
          <t xml:space="preserve">
0 NA
1 No solicitadas
2 Solicitadas
3 Aprobadas</t>
        </r>
      </text>
    </comment>
    <comment ref="V202" authorId="0">
      <text>
        <r>
          <rPr>
            <b/>
            <sz val="9"/>
            <color indexed="81"/>
            <rFont val="Tahoma"/>
            <family val="2"/>
          </rPr>
          <t>0 Día(s)
1 Mes (s)
2 Año(s)</t>
        </r>
      </text>
    </comment>
    <comment ref="Y202" authorId="0">
      <text>
        <r>
          <rPr>
            <sz val="9"/>
            <color indexed="81"/>
            <rFont val="Tahoma"/>
            <family val="2"/>
          </rPr>
          <t>0 Recursos propios 
1 Presupuesto de entidad nacional
2 Regalías
3 Recursos de crédito
4 SGP
5 No Aplica</t>
        </r>
      </text>
    </comment>
    <comment ref="AD202" authorId="0">
      <text>
        <r>
          <rPr>
            <b/>
            <sz val="9"/>
            <color indexed="81"/>
            <rFont val="Tahoma"/>
            <family val="2"/>
          </rPr>
          <t>0 No
1 Sí</t>
        </r>
      </text>
    </comment>
    <comment ref="AE202" authorId="0">
      <text>
        <r>
          <rPr>
            <sz val="9"/>
            <color indexed="81"/>
            <rFont val="Tahoma"/>
            <family val="2"/>
          </rPr>
          <t xml:space="preserve">
0 NA
1 No solicitadas
2 Solicitadas
3 Aprobadas</t>
        </r>
      </text>
    </comment>
    <comment ref="V203" authorId="0">
      <text>
        <r>
          <rPr>
            <b/>
            <sz val="9"/>
            <color indexed="81"/>
            <rFont val="Tahoma"/>
            <family val="2"/>
          </rPr>
          <t>0 Día(s)
1 Mes (s)
2 Año(s)</t>
        </r>
      </text>
    </comment>
    <comment ref="Y203" authorId="0">
      <text>
        <r>
          <rPr>
            <sz val="9"/>
            <color indexed="81"/>
            <rFont val="Tahoma"/>
            <family val="2"/>
          </rPr>
          <t>0 Recursos propios 
1 Presupuesto de entidad nacional
2 Regalías
3 Recursos de crédito
4 SGP
5 No Aplica</t>
        </r>
      </text>
    </comment>
    <comment ref="AD203" authorId="0">
      <text>
        <r>
          <rPr>
            <b/>
            <sz val="9"/>
            <color indexed="81"/>
            <rFont val="Tahoma"/>
            <family val="2"/>
          </rPr>
          <t>0 No
1 Sí</t>
        </r>
      </text>
    </comment>
    <comment ref="AE203" authorId="0">
      <text>
        <r>
          <rPr>
            <sz val="9"/>
            <color indexed="81"/>
            <rFont val="Tahoma"/>
            <family val="2"/>
          </rPr>
          <t xml:space="preserve">
0 NA
1 No solicitadas
2 Solicitadas
3 Aprobadas</t>
        </r>
      </text>
    </comment>
    <comment ref="V204" authorId="0">
      <text>
        <r>
          <rPr>
            <b/>
            <sz val="9"/>
            <color indexed="81"/>
            <rFont val="Tahoma"/>
            <family val="2"/>
          </rPr>
          <t>0 Día(s)
1 Mes (s)
2 Año(s)</t>
        </r>
      </text>
    </comment>
    <comment ref="Y204" authorId="0">
      <text>
        <r>
          <rPr>
            <sz val="9"/>
            <color indexed="81"/>
            <rFont val="Tahoma"/>
            <family val="2"/>
          </rPr>
          <t>0 Recursos propios 
1 Presupuesto de entidad nacional
2 Regalías
3 Recursos de crédito
4 SGP
5 No Aplica</t>
        </r>
      </text>
    </comment>
    <comment ref="AD204" authorId="0">
      <text>
        <r>
          <rPr>
            <b/>
            <sz val="9"/>
            <color indexed="81"/>
            <rFont val="Tahoma"/>
            <family val="2"/>
          </rPr>
          <t>0 No
1 Sí</t>
        </r>
      </text>
    </comment>
    <comment ref="AE204" authorId="0">
      <text>
        <r>
          <rPr>
            <sz val="9"/>
            <color indexed="81"/>
            <rFont val="Tahoma"/>
            <family val="2"/>
          </rPr>
          <t xml:space="preserve">
0 NA
1 No solicitadas
2 Solicitadas
3 Aprobadas</t>
        </r>
      </text>
    </comment>
    <comment ref="V205" authorId="0">
      <text>
        <r>
          <rPr>
            <b/>
            <sz val="9"/>
            <color indexed="81"/>
            <rFont val="Tahoma"/>
            <family val="2"/>
          </rPr>
          <t>0 Día(s)
1 Mes (s)
2 Año(s)</t>
        </r>
      </text>
    </comment>
    <comment ref="Y205" authorId="0">
      <text>
        <r>
          <rPr>
            <sz val="9"/>
            <color indexed="81"/>
            <rFont val="Tahoma"/>
            <family val="2"/>
          </rPr>
          <t>0 Recursos propios 
1 Presupuesto de entidad nacional
2 Regalías
3 Recursos de crédito
4 SGP
5 No Aplica</t>
        </r>
      </text>
    </comment>
    <comment ref="AD205" authorId="0">
      <text>
        <r>
          <rPr>
            <b/>
            <sz val="9"/>
            <color indexed="81"/>
            <rFont val="Tahoma"/>
            <family val="2"/>
          </rPr>
          <t>0 No
1 Sí</t>
        </r>
      </text>
    </comment>
    <comment ref="AE205" authorId="0">
      <text>
        <r>
          <rPr>
            <sz val="9"/>
            <color indexed="81"/>
            <rFont val="Tahoma"/>
            <family val="2"/>
          </rPr>
          <t xml:space="preserve">
0 NA
1 No solicitadas
2 Solicitadas
3 Aprobadas</t>
        </r>
      </text>
    </comment>
    <comment ref="V206" authorId="0">
      <text>
        <r>
          <rPr>
            <b/>
            <sz val="9"/>
            <color indexed="81"/>
            <rFont val="Tahoma"/>
            <family val="2"/>
          </rPr>
          <t>0 Día(s)
1 Mes (s)
2 Año(s)</t>
        </r>
      </text>
    </comment>
    <comment ref="Y206" authorId="0">
      <text>
        <r>
          <rPr>
            <sz val="9"/>
            <color indexed="81"/>
            <rFont val="Tahoma"/>
            <family val="2"/>
          </rPr>
          <t>0 Recursos propios 
1 Presupuesto de entidad nacional
2 Regalías
3 Recursos de crédito
4 SGP
5 No Aplica</t>
        </r>
      </text>
    </comment>
    <comment ref="AD206" authorId="0">
      <text>
        <r>
          <rPr>
            <b/>
            <sz val="9"/>
            <color indexed="81"/>
            <rFont val="Tahoma"/>
            <family val="2"/>
          </rPr>
          <t>0 No
1 Sí</t>
        </r>
      </text>
    </comment>
    <comment ref="AE206" authorId="0">
      <text>
        <r>
          <rPr>
            <sz val="9"/>
            <color indexed="81"/>
            <rFont val="Tahoma"/>
            <family val="2"/>
          </rPr>
          <t xml:space="preserve">
0 NA
1 No solicitadas
2 Solicitadas
3 Aprobadas</t>
        </r>
      </text>
    </comment>
    <comment ref="V207" authorId="0">
      <text>
        <r>
          <rPr>
            <b/>
            <sz val="9"/>
            <color indexed="81"/>
            <rFont val="Tahoma"/>
            <family val="2"/>
          </rPr>
          <t>0 Día(s)
1 Mes (s)
2 Año(s)</t>
        </r>
      </text>
    </comment>
    <comment ref="Y207" authorId="0">
      <text>
        <r>
          <rPr>
            <sz val="9"/>
            <color indexed="81"/>
            <rFont val="Tahoma"/>
            <family val="2"/>
          </rPr>
          <t>0 Recursos propios 
1 Presupuesto de entidad nacional
2 Regalías
3 Recursos de crédito
4 SGP
5 No Aplica</t>
        </r>
      </text>
    </comment>
    <comment ref="AD207" authorId="0">
      <text>
        <r>
          <rPr>
            <b/>
            <sz val="9"/>
            <color indexed="81"/>
            <rFont val="Tahoma"/>
            <family val="2"/>
          </rPr>
          <t>0 No
1 Sí</t>
        </r>
      </text>
    </comment>
    <comment ref="AE207" authorId="0">
      <text>
        <r>
          <rPr>
            <sz val="9"/>
            <color indexed="81"/>
            <rFont val="Tahoma"/>
            <family val="2"/>
          </rPr>
          <t xml:space="preserve">
0 NA
1 No solicitadas
2 Solicitadas
3 Aprobadas</t>
        </r>
      </text>
    </comment>
    <comment ref="V208" authorId="0">
      <text>
        <r>
          <rPr>
            <b/>
            <sz val="9"/>
            <color indexed="81"/>
            <rFont val="Tahoma"/>
            <family val="2"/>
          </rPr>
          <t>0 Día(s)
1 Mes (s)
2 Año(s)</t>
        </r>
      </text>
    </comment>
    <comment ref="Y208" authorId="0">
      <text>
        <r>
          <rPr>
            <sz val="9"/>
            <color indexed="81"/>
            <rFont val="Tahoma"/>
            <family val="2"/>
          </rPr>
          <t>0 Recursos propios 
1 Presupuesto de entidad nacional
2 Regalías
3 Recursos de crédito
4 SGP
5 No Aplica</t>
        </r>
      </text>
    </comment>
    <comment ref="AD208" authorId="0">
      <text>
        <r>
          <rPr>
            <b/>
            <sz val="9"/>
            <color indexed="81"/>
            <rFont val="Tahoma"/>
            <family val="2"/>
          </rPr>
          <t>0 No
1 Sí</t>
        </r>
      </text>
    </comment>
    <comment ref="AE208" authorId="0">
      <text>
        <r>
          <rPr>
            <sz val="9"/>
            <color indexed="81"/>
            <rFont val="Tahoma"/>
            <family val="2"/>
          </rPr>
          <t xml:space="preserve">
0 NA
1 No solicitadas
2 Solicitadas
3 Aprobadas</t>
        </r>
      </text>
    </comment>
    <comment ref="BF208" authorId="1">
      <text>
        <r>
          <rPr>
            <b/>
            <sz val="9"/>
            <color indexed="81"/>
            <rFont val="Tahoma"/>
            <family val="2"/>
          </rPr>
          <t>Orlando Arias:</t>
        </r>
        <r>
          <rPr>
            <sz val="9"/>
            <color indexed="81"/>
            <rFont val="Tahoma"/>
            <family val="2"/>
          </rPr>
          <t xml:space="preserve">
17-4-18: Solicitan CDP por valor mayor a la viabilidad</t>
        </r>
      </text>
    </comment>
    <comment ref="V209" authorId="0">
      <text>
        <r>
          <rPr>
            <b/>
            <sz val="9"/>
            <color indexed="81"/>
            <rFont val="Tahoma"/>
            <family val="2"/>
          </rPr>
          <t>0 Día(s)
1 Mes (s)
2 Año(s)</t>
        </r>
      </text>
    </comment>
    <comment ref="Y209" authorId="0">
      <text>
        <r>
          <rPr>
            <sz val="9"/>
            <color indexed="81"/>
            <rFont val="Tahoma"/>
            <family val="2"/>
          </rPr>
          <t>0 Recursos propios 
1 Presupuesto de entidad nacional
2 Regalías
3 Recursos de crédito
4 SGP
5 No Aplica</t>
        </r>
      </text>
    </comment>
    <comment ref="AD209" authorId="0">
      <text>
        <r>
          <rPr>
            <b/>
            <sz val="9"/>
            <color indexed="81"/>
            <rFont val="Tahoma"/>
            <family val="2"/>
          </rPr>
          <t>0 No
1 Sí</t>
        </r>
      </text>
    </comment>
    <comment ref="AE209" authorId="0">
      <text>
        <r>
          <rPr>
            <sz val="9"/>
            <color indexed="81"/>
            <rFont val="Tahoma"/>
            <family val="2"/>
          </rPr>
          <t xml:space="preserve">
0 NA
1 No solicitadas
2 Solicitadas
3 Aprobadas</t>
        </r>
      </text>
    </comment>
    <comment ref="BF209" authorId="1">
      <text>
        <r>
          <rPr>
            <b/>
            <sz val="9"/>
            <color indexed="81"/>
            <rFont val="Tahoma"/>
            <family val="2"/>
          </rPr>
          <t>Orlando Arias:</t>
        </r>
        <r>
          <rPr>
            <sz val="9"/>
            <color indexed="81"/>
            <rFont val="Tahoma"/>
            <family val="2"/>
          </rPr>
          <t xml:space="preserve">
17-4-18: Solicitan CDP por valor mayor a la viabilidad</t>
        </r>
      </text>
    </comment>
    <comment ref="V210" authorId="0">
      <text>
        <r>
          <rPr>
            <b/>
            <sz val="9"/>
            <color indexed="81"/>
            <rFont val="Tahoma"/>
            <family val="2"/>
          </rPr>
          <t>0 Día(s)
1 Mes (s)
2 Año(s)</t>
        </r>
      </text>
    </comment>
    <comment ref="Y210" authorId="0">
      <text>
        <r>
          <rPr>
            <sz val="9"/>
            <color indexed="81"/>
            <rFont val="Tahoma"/>
            <family val="2"/>
          </rPr>
          <t>0 Recursos propios 
1 Presupuesto de entidad nacional
2 Regalías
3 Recursos de crédito
4 SGP
5 No Aplica</t>
        </r>
      </text>
    </comment>
    <comment ref="AD210" authorId="0">
      <text>
        <r>
          <rPr>
            <b/>
            <sz val="9"/>
            <color indexed="81"/>
            <rFont val="Tahoma"/>
            <family val="2"/>
          </rPr>
          <t>0 No
1 Sí</t>
        </r>
      </text>
    </comment>
    <comment ref="AE210" authorId="0">
      <text>
        <r>
          <rPr>
            <sz val="9"/>
            <color indexed="81"/>
            <rFont val="Tahoma"/>
            <family val="2"/>
          </rPr>
          <t xml:space="preserve">
0 NA
1 No solicitadas
2 Solicitadas
3 Aprobadas</t>
        </r>
      </text>
    </comment>
    <comment ref="V211" authorId="0">
      <text>
        <r>
          <rPr>
            <b/>
            <sz val="9"/>
            <color indexed="81"/>
            <rFont val="Tahoma"/>
            <family val="2"/>
          </rPr>
          <t>0 Día(s)
1 Mes (s)
2 Año(s)</t>
        </r>
      </text>
    </comment>
    <comment ref="Y211" authorId="0">
      <text>
        <r>
          <rPr>
            <sz val="9"/>
            <color indexed="81"/>
            <rFont val="Tahoma"/>
            <family val="2"/>
          </rPr>
          <t>0 Recursos propios 
1 Presupuesto de entidad nacional
2 Regalías
3 Recursos de crédito
4 SGP
5 No Aplica</t>
        </r>
      </text>
    </comment>
    <comment ref="AD211" authorId="0">
      <text>
        <r>
          <rPr>
            <b/>
            <sz val="9"/>
            <color indexed="81"/>
            <rFont val="Tahoma"/>
            <family val="2"/>
          </rPr>
          <t>0 No
1 Sí</t>
        </r>
      </text>
    </comment>
    <comment ref="AE211" authorId="0">
      <text>
        <r>
          <rPr>
            <sz val="9"/>
            <color indexed="81"/>
            <rFont val="Tahoma"/>
            <family val="2"/>
          </rPr>
          <t xml:space="preserve">
0 NA
1 No solicitadas
2 Solicitadas
3 Aprobadas</t>
        </r>
      </text>
    </comment>
    <comment ref="V212" authorId="0">
      <text>
        <r>
          <rPr>
            <b/>
            <sz val="9"/>
            <color indexed="81"/>
            <rFont val="Tahoma"/>
            <family val="2"/>
          </rPr>
          <t>0 Día(s)
1 Mes (s)
2 Año(s)</t>
        </r>
      </text>
    </comment>
    <comment ref="Y212" authorId="0">
      <text>
        <r>
          <rPr>
            <sz val="9"/>
            <color indexed="81"/>
            <rFont val="Tahoma"/>
            <family val="2"/>
          </rPr>
          <t>0 Recursos propios 
1 Presupuesto de entidad nacional
2 Regalías
3 Recursos de crédito
4 SGP
5 No Aplica</t>
        </r>
      </text>
    </comment>
    <comment ref="AD212" authorId="0">
      <text>
        <r>
          <rPr>
            <b/>
            <sz val="9"/>
            <color indexed="81"/>
            <rFont val="Tahoma"/>
            <family val="2"/>
          </rPr>
          <t>0 No
1 Sí</t>
        </r>
      </text>
    </comment>
    <comment ref="AE212" authorId="0">
      <text>
        <r>
          <rPr>
            <sz val="9"/>
            <color indexed="81"/>
            <rFont val="Tahoma"/>
            <family val="2"/>
          </rPr>
          <t xml:space="preserve">
0 NA
1 No solicitadas
2 Solicitadas
3 Aprobadas</t>
        </r>
      </text>
    </comment>
    <comment ref="V213" authorId="0">
      <text>
        <r>
          <rPr>
            <b/>
            <sz val="9"/>
            <color indexed="81"/>
            <rFont val="Tahoma"/>
            <family val="2"/>
          </rPr>
          <t>0 Día(s)
1 Mes (s)
2 Año(s)</t>
        </r>
      </text>
    </comment>
    <comment ref="Y213" authorId="0">
      <text>
        <r>
          <rPr>
            <sz val="9"/>
            <color indexed="81"/>
            <rFont val="Tahoma"/>
            <family val="2"/>
          </rPr>
          <t>0 Recursos propios 
1 Presupuesto de entidad nacional
2 Regalías
3 Recursos de crédito
4 SGP
5 No Aplica</t>
        </r>
      </text>
    </comment>
    <comment ref="AD213" authorId="0">
      <text>
        <r>
          <rPr>
            <b/>
            <sz val="9"/>
            <color indexed="81"/>
            <rFont val="Tahoma"/>
            <family val="2"/>
          </rPr>
          <t>0 No
1 Sí</t>
        </r>
      </text>
    </comment>
    <comment ref="AE213" authorId="0">
      <text>
        <r>
          <rPr>
            <sz val="9"/>
            <color indexed="81"/>
            <rFont val="Tahoma"/>
            <family val="2"/>
          </rPr>
          <t xml:space="preserve">
0 NA
1 No solicitadas
2 Solicitadas
3 Aprobadas</t>
        </r>
      </text>
    </comment>
    <comment ref="V214" authorId="0">
      <text>
        <r>
          <rPr>
            <b/>
            <sz val="9"/>
            <color indexed="81"/>
            <rFont val="Tahoma"/>
            <family val="2"/>
          </rPr>
          <t>0 Día(s)
1 Mes (s)
2 Año(s)</t>
        </r>
      </text>
    </comment>
    <comment ref="Y214" authorId="0">
      <text>
        <r>
          <rPr>
            <sz val="9"/>
            <color indexed="81"/>
            <rFont val="Tahoma"/>
            <family val="2"/>
          </rPr>
          <t>0 Recursos propios 
1 Presupuesto de entidad nacional
2 Regalías
3 Recursos de crédito
4 SGP
5 No Aplica</t>
        </r>
      </text>
    </comment>
    <comment ref="AD214" authorId="0">
      <text>
        <r>
          <rPr>
            <b/>
            <sz val="9"/>
            <color indexed="81"/>
            <rFont val="Tahoma"/>
            <family val="2"/>
          </rPr>
          <t>0 No
1 Sí</t>
        </r>
      </text>
    </comment>
    <comment ref="AE214" authorId="0">
      <text>
        <r>
          <rPr>
            <sz val="9"/>
            <color indexed="81"/>
            <rFont val="Tahoma"/>
            <family val="2"/>
          </rPr>
          <t xml:space="preserve">
0 NA
1 No solicitadas
2 Solicitadas
3 Aprobadas</t>
        </r>
      </text>
    </comment>
    <comment ref="BF214" authorId="1">
      <text>
        <r>
          <rPr>
            <b/>
            <sz val="9"/>
            <color indexed="81"/>
            <rFont val="Tahoma"/>
            <family val="2"/>
          </rPr>
          <t>Orlando Arias:</t>
        </r>
        <r>
          <rPr>
            <sz val="9"/>
            <color indexed="81"/>
            <rFont val="Tahoma"/>
            <family val="2"/>
          </rPr>
          <t xml:space="preserve">
17-4-18: Solicitan CDP por valor mayor a la viabilidad</t>
        </r>
      </text>
    </comment>
    <comment ref="V215" authorId="0">
      <text>
        <r>
          <rPr>
            <b/>
            <sz val="9"/>
            <color indexed="81"/>
            <rFont val="Tahoma"/>
            <family val="2"/>
          </rPr>
          <t>0 Día(s)
1 Mes (s)
2 Año(s)</t>
        </r>
      </text>
    </comment>
    <comment ref="Y215" authorId="0">
      <text>
        <r>
          <rPr>
            <sz val="9"/>
            <color indexed="81"/>
            <rFont val="Tahoma"/>
            <family val="2"/>
          </rPr>
          <t>0 Recursos propios 
1 Presupuesto de entidad nacional
2 Regalías
3 Recursos de crédito
4 SGP
5 No Aplica</t>
        </r>
      </text>
    </comment>
    <comment ref="AD215" authorId="0">
      <text>
        <r>
          <rPr>
            <b/>
            <sz val="9"/>
            <color indexed="81"/>
            <rFont val="Tahoma"/>
            <family val="2"/>
          </rPr>
          <t>0 No
1 Sí</t>
        </r>
      </text>
    </comment>
    <comment ref="AE215" authorId="0">
      <text>
        <r>
          <rPr>
            <sz val="9"/>
            <color indexed="81"/>
            <rFont val="Tahoma"/>
            <family val="2"/>
          </rPr>
          <t xml:space="preserve">
0 NA
1 No solicitadas
2 Solicitadas
3 Aprobadas</t>
        </r>
      </text>
    </comment>
    <comment ref="V216" authorId="0">
      <text>
        <r>
          <rPr>
            <b/>
            <sz val="9"/>
            <color indexed="81"/>
            <rFont val="Tahoma"/>
            <family val="2"/>
          </rPr>
          <t>0 Día(s)
1 Mes (s)
2 Año(s)</t>
        </r>
      </text>
    </comment>
    <comment ref="Y216" authorId="0">
      <text>
        <r>
          <rPr>
            <sz val="9"/>
            <color indexed="81"/>
            <rFont val="Tahoma"/>
            <family val="2"/>
          </rPr>
          <t>0 Recursos propios 
1 Presupuesto de entidad nacional
2 Regalías
3 Recursos de crédito
4 SGP
5 No Aplica</t>
        </r>
      </text>
    </comment>
    <comment ref="AD216" authorId="0">
      <text>
        <r>
          <rPr>
            <b/>
            <sz val="9"/>
            <color indexed="81"/>
            <rFont val="Tahoma"/>
            <family val="2"/>
          </rPr>
          <t>0 No
1 Sí</t>
        </r>
      </text>
    </comment>
    <comment ref="AE216" authorId="0">
      <text>
        <r>
          <rPr>
            <sz val="9"/>
            <color indexed="81"/>
            <rFont val="Tahoma"/>
            <family val="2"/>
          </rPr>
          <t xml:space="preserve">
0 NA
1 No solicitadas
2 Solicitadas
3 Aprobadas</t>
        </r>
      </text>
    </comment>
    <comment ref="V217" authorId="0">
      <text>
        <r>
          <rPr>
            <b/>
            <sz val="9"/>
            <color indexed="81"/>
            <rFont val="Tahoma"/>
            <family val="2"/>
          </rPr>
          <t>0 Día(s)
1 Mes (s)
2 Año(s)</t>
        </r>
      </text>
    </comment>
    <comment ref="Y217" authorId="0">
      <text>
        <r>
          <rPr>
            <sz val="9"/>
            <color indexed="81"/>
            <rFont val="Tahoma"/>
            <family val="2"/>
          </rPr>
          <t>0 Recursos propios 
1 Presupuesto de entidad nacional
2 Regalías
3 Recursos de crédito
4 SGP
5 No Aplica</t>
        </r>
      </text>
    </comment>
    <comment ref="AD217" authorId="0">
      <text>
        <r>
          <rPr>
            <b/>
            <sz val="9"/>
            <color indexed="81"/>
            <rFont val="Tahoma"/>
            <family val="2"/>
          </rPr>
          <t>0 No
1 Sí</t>
        </r>
      </text>
    </comment>
    <comment ref="AE217" authorId="0">
      <text>
        <r>
          <rPr>
            <sz val="9"/>
            <color indexed="81"/>
            <rFont val="Tahoma"/>
            <family val="2"/>
          </rPr>
          <t xml:space="preserve">
0 NA
1 No solicitadas
2 Solicitadas
3 Aprobadas</t>
        </r>
      </text>
    </comment>
    <comment ref="V218" authorId="0">
      <text>
        <r>
          <rPr>
            <b/>
            <sz val="9"/>
            <color indexed="81"/>
            <rFont val="Tahoma"/>
            <family val="2"/>
          </rPr>
          <t>0 Día(s)
1 Mes (s)
2 Año(s)</t>
        </r>
      </text>
    </comment>
    <comment ref="Y218" authorId="0">
      <text>
        <r>
          <rPr>
            <sz val="9"/>
            <color indexed="81"/>
            <rFont val="Tahoma"/>
            <family val="2"/>
          </rPr>
          <t>0 Recursos propios 
1 Presupuesto de entidad nacional
2 Regalías
3 Recursos de crédito
4 SGP
5 No Aplica</t>
        </r>
      </text>
    </comment>
    <comment ref="AD218" authorId="0">
      <text>
        <r>
          <rPr>
            <b/>
            <sz val="9"/>
            <color indexed="81"/>
            <rFont val="Tahoma"/>
            <family val="2"/>
          </rPr>
          <t>0 No
1 Sí</t>
        </r>
      </text>
    </comment>
    <comment ref="AE218" authorId="0">
      <text>
        <r>
          <rPr>
            <sz val="9"/>
            <color indexed="81"/>
            <rFont val="Tahoma"/>
            <family val="2"/>
          </rPr>
          <t xml:space="preserve">
0 NA
1 No solicitadas
2 Solicitadas
3 Aprobadas</t>
        </r>
      </text>
    </comment>
    <comment ref="V219" authorId="0">
      <text>
        <r>
          <rPr>
            <b/>
            <sz val="9"/>
            <color indexed="81"/>
            <rFont val="Tahoma"/>
            <family val="2"/>
          </rPr>
          <t>0 Día(s)
1 Mes (s)
2 Año(s)</t>
        </r>
      </text>
    </comment>
    <comment ref="Y219" authorId="0">
      <text>
        <r>
          <rPr>
            <sz val="9"/>
            <color indexed="81"/>
            <rFont val="Tahoma"/>
            <family val="2"/>
          </rPr>
          <t>0 Recursos propios 
1 Presupuesto de entidad nacional
2 Regalías
3 Recursos de crédito
4 SGP
5 No Aplica</t>
        </r>
      </text>
    </comment>
    <comment ref="AD219" authorId="0">
      <text>
        <r>
          <rPr>
            <b/>
            <sz val="9"/>
            <color indexed="81"/>
            <rFont val="Tahoma"/>
            <family val="2"/>
          </rPr>
          <t>0 No
1 Sí</t>
        </r>
      </text>
    </comment>
    <comment ref="AE219" authorId="0">
      <text>
        <r>
          <rPr>
            <sz val="9"/>
            <color indexed="81"/>
            <rFont val="Tahoma"/>
            <family val="2"/>
          </rPr>
          <t xml:space="preserve">
0 NA
1 No solicitadas
2 Solicitadas
3 Aprobadas</t>
        </r>
      </text>
    </comment>
    <comment ref="V220" authorId="0">
      <text>
        <r>
          <rPr>
            <b/>
            <sz val="9"/>
            <color indexed="81"/>
            <rFont val="Tahoma"/>
            <family val="2"/>
          </rPr>
          <t>0 Día(s)
1 Mes (s)
2 Año(s)</t>
        </r>
      </text>
    </comment>
    <comment ref="Y220" authorId="0">
      <text>
        <r>
          <rPr>
            <sz val="9"/>
            <color indexed="81"/>
            <rFont val="Tahoma"/>
            <family val="2"/>
          </rPr>
          <t>0 Recursos propios 
1 Presupuesto de entidad nacional
2 Regalías
3 Recursos de crédito
4 SGP
5 No Aplica</t>
        </r>
      </text>
    </comment>
    <comment ref="AD220" authorId="0">
      <text>
        <r>
          <rPr>
            <b/>
            <sz val="9"/>
            <color indexed="81"/>
            <rFont val="Tahoma"/>
            <family val="2"/>
          </rPr>
          <t>0 No
1 Sí</t>
        </r>
      </text>
    </comment>
    <comment ref="AE220" authorId="0">
      <text>
        <r>
          <rPr>
            <sz val="9"/>
            <color indexed="81"/>
            <rFont val="Tahoma"/>
            <family val="2"/>
          </rPr>
          <t xml:space="preserve">
0 NA
1 No solicitadas
2 Solicitadas
3 Aprobadas</t>
        </r>
      </text>
    </comment>
    <comment ref="V221" authorId="0">
      <text>
        <r>
          <rPr>
            <b/>
            <sz val="9"/>
            <color indexed="81"/>
            <rFont val="Tahoma"/>
            <family val="2"/>
          </rPr>
          <t>0 Día(s)
1 Mes (s)
2 Año(s)</t>
        </r>
      </text>
    </comment>
    <comment ref="Y221" authorId="0">
      <text>
        <r>
          <rPr>
            <sz val="9"/>
            <color indexed="81"/>
            <rFont val="Tahoma"/>
            <family val="2"/>
          </rPr>
          <t>0 Recursos propios 
1 Presupuesto de entidad nacional
2 Regalías
3 Recursos de crédito
4 SGP
5 No Aplica</t>
        </r>
      </text>
    </comment>
    <comment ref="AD221" authorId="0">
      <text>
        <r>
          <rPr>
            <b/>
            <sz val="9"/>
            <color indexed="81"/>
            <rFont val="Tahoma"/>
            <family val="2"/>
          </rPr>
          <t>0 No
1 Sí</t>
        </r>
      </text>
    </comment>
    <comment ref="AE221" authorId="0">
      <text>
        <r>
          <rPr>
            <sz val="9"/>
            <color indexed="81"/>
            <rFont val="Tahoma"/>
            <family val="2"/>
          </rPr>
          <t xml:space="preserve">
0 NA
1 No solicitadas
2 Solicitadas
3 Aprobadas</t>
        </r>
      </text>
    </comment>
    <comment ref="V222" authorId="0">
      <text>
        <r>
          <rPr>
            <b/>
            <sz val="9"/>
            <color indexed="81"/>
            <rFont val="Tahoma"/>
            <family val="2"/>
          </rPr>
          <t>0 Día(s)
1 Mes (s)
2 Año(s)</t>
        </r>
      </text>
    </comment>
    <comment ref="Y222" authorId="0">
      <text>
        <r>
          <rPr>
            <sz val="9"/>
            <color indexed="81"/>
            <rFont val="Tahoma"/>
            <family val="2"/>
          </rPr>
          <t>0 Recursos propios 
1 Presupuesto de entidad nacional
2 Regalías
3 Recursos de crédito
4 SGP
5 No Aplica</t>
        </r>
      </text>
    </comment>
    <comment ref="AD222" authorId="0">
      <text>
        <r>
          <rPr>
            <b/>
            <sz val="9"/>
            <color indexed="81"/>
            <rFont val="Tahoma"/>
            <family val="2"/>
          </rPr>
          <t>0 No
1 Sí</t>
        </r>
      </text>
    </comment>
    <comment ref="AE222" authorId="0">
      <text>
        <r>
          <rPr>
            <sz val="9"/>
            <color indexed="81"/>
            <rFont val="Tahoma"/>
            <family val="2"/>
          </rPr>
          <t xml:space="preserve">
0 NA
1 No solicitadas
2 Solicitadas
3 Aprobadas</t>
        </r>
      </text>
    </comment>
    <comment ref="V223" authorId="0">
      <text>
        <r>
          <rPr>
            <b/>
            <sz val="9"/>
            <color indexed="81"/>
            <rFont val="Tahoma"/>
            <family val="2"/>
          </rPr>
          <t>0 Día(s)
1 Mes (s)
2 Año(s)</t>
        </r>
      </text>
    </comment>
    <comment ref="Y223" authorId="0">
      <text>
        <r>
          <rPr>
            <sz val="9"/>
            <color indexed="81"/>
            <rFont val="Tahoma"/>
            <family val="2"/>
          </rPr>
          <t>0 Recursos propios 
1 Presupuesto de entidad nacional
2 Regalías
3 Recursos de crédito
4 SGP
5 No Aplica</t>
        </r>
      </text>
    </comment>
    <comment ref="AD223" authorId="0">
      <text>
        <r>
          <rPr>
            <b/>
            <sz val="9"/>
            <color indexed="81"/>
            <rFont val="Tahoma"/>
            <family val="2"/>
          </rPr>
          <t>0 No
1 Sí</t>
        </r>
      </text>
    </comment>
    <comment ref="AE223" authorId="0">
      <text>
        <r>
          <rPr>
            <sz val="9"/>
            <color indexed="81"/>
            <rFont val="Tahoma"/>
            <family val="2"/>
          </rPr>
          <t xml:space="preserve">
0 NA
1 No solicitadas
2 Solicitadas
3 Aprobadas</t>
        </r>
      </text>
    </comment>
    <comment ref="V224" authorId="0">
      <text>
        <r>
          <rPr>
            <b/>
            <sz val="9"/>
            <color indexed="81"/>
            <rFont val="Tahoma"/>
            <family val="2"/>
          </rPr>
          <t>0 Día(s)
1 Mes (s)
2 Año(s)</t>
        </r>
      </text>
    </comment>
    <comment ref="Y224" authorId="0">
      <text>
        <r>
          <rPr>
            <sz val="9"/>
            <color indexed="81"/>
            <rFont val="Tahoma"/>
            <family val="2"/>
          </rPr>
          <t>0 Recursos propios 
1 Presupuesto de entidad nacional
2 Regalías
3 Recursos de crédito
4 SGP
5 No Aplica</t>
        </r>
      </text>
    </comment>
    <comment ref="AD224" authorId="0">
      <text>
        <r>
          <rPr>
            <b/>
            <sz val="9"/>
            <color indexed="81"/>
            <rFont val="Tahoma"/>
            <family val="2"/>
          </rPr>
          <t>0 No
1 Sí</t>
        </r>
      </text>
    </comment>
    <comment ref="AE224" authorId="0">
      <text>
        <r>
          <rPr>
            <sz val="9"/>
            <color indexed="81"/>
            <rFont val="Tahoma"/>
            <family val="2"/>
          </rPr>
          <t xml:space="preserve">
0 NA
1 No solicitadas
2 Solicitadas
3 Aprobadas</t>
        </r>
      </text>
    </comment>
    <comment ref="V225" authorId="0">
      <text>
        <r>
          <rPr>
            <b/>
            <sz val="9"/>
            <color indexed="81"/>
            <rFont val="Tahoma"/>
            <family val="2"/>
          </rPr>
          <t>0 Día(s)
1 Mes (s)
2 Año(s)</t>
        </r>
      </text>
    </comment>
    <comment ref="Y225" authorId="0">
      <text>
        <r>
          <rPr>
            <sz val="9"/>
            <color indexed="81"/>
            <rFont val="Tahoma"/>
            <family val="2"/>
          </rPr>
          <t>0 Recursos propios 
1 Presupuesto de entidad nacional
2 Regalías
3 Recursos de crédito
4 SGP
5 No Aplica</t>
        </r>
      </text>
    </comment>
    <comment ref="AD225" authorId="0">
      <text>
        <r>
          <rPr>
            <b/>
            <sz val="9"/>
            <color indexed="81"/>
            <rFont val="Tahoma"/>
            <family val="2"/>
          </rPr>
          <t>0 No
1 Sí</t>
        </r>
      </text>
    </comment>
    <comment ref="AE225" authorId="0">
      <text>
        <r>
          <rPr>
            <sz val="9"/>
            <color indexed="81"/>
            <rFont val="Tahoma"/>
            <family val="2"/>
          </rPr>
          <t xml:space="preserve">
0 NA
1 No solicitadas
2 Solicitadas
3 Aprobadas</t>
        </r>
      </text>
    </comment>
    <comment ref="V226" authorId="0">
      <text>
        <r>
          <rPr>
            <b/>
            <sz val="9"/>
            <color indexed="81"/>
            <rFont val="Tahoma"/>
            <family val="2"/>
          </rPr>
          <t>0 Día(s)
1 Mes (s)
2 Año(s)</t>
        </r>
      </text>
    </comment>
    <comment ref="Y226" authorId="0">
      <text>
        <r>
          <rPr>
            <sz val="9"/>
            <color indexed="81"/>
            <rFont val="Tahoma"/>
            <family val="2"/>
          </rPr>
          <t>0 Recursos propios 
1 Presupuesto de entidad nacional
2 Regalías
3 Recursos de crédito
4 SGP
5 No Aplica</t>
        </r>
      </text>
    </comment>
    <comment ref="AD226" authorId="0">
      <text>
        <r>
          <rPr>
            <b/>
            <sz val="9"/>
            <color indexed="81"/>
            <rFont val="Tahoma"/>
            <family val="2"/>
          </rPr>
          <t>0 No
1 Sí</t>
        </r>
      </text>
    </comment>
    <comment ref="AE226" authorId="0">
      <text>
        <r>
          <rPr>
            <sz val="9"/>
            <color indexed="81"/>
            <rFont val="Tahoma"/>
            <family val="2"/>
          </rPr>
          <t xml:space="preserve">
0 NA
1 No solicitadas
2 Solicitadas
3 Aprobadas</t>
        </r>
      </text>
    </comment>
    <comment ref="V227" authorId="0">
      <text>
        <r>
          <rPr>
            <b/>
            <sz val="9"/>
            <color indexed="81"/>
            <rFont val="Tahoma"/>
            <family val="2"/>
          </rPr>
          <t>0 Día(s)
1 Mes (s)
2 Año(s)</t>
        </r>
      </text>
    </comment>
    <comment ref="Y227" authorId="0">
      <text>
        <r>
          <rPr>
            <sz val="9"/>
            <color indexed="81"/>
            <rFont val="Tahoma"/>
            <family val="2"/>
          </rPr>
          <t>0 Recursos propios 
1 Presupuesto de entidad nacional
2 Regalías
3 Recursos de crédito
4 SGP
5 No Aplica</t>
        </r>
      </text>
    </comment>
    <comment ref="AD227" authorId="0">
      <text>
        <r>
          <rPr>
            <b/>
            <sz val="9"/>
            <color indexed="81"/>
            <rFont val="Tahoma"/>
            <family val="2"/>
          </rPr>
          <t>0 No
1 Sí</t>
        </r>
      </text>
    </comment>
    <comment ref="AE227" authorId="0">
      <text>
        <r>
          <rPr>
            <sz val="9"/>
            <color indexed="81"/>
            <rFont val="Tahoma"/>
            <family val="2"/>
          </rPr>
          <t xml:space="preserve">
0 NA
1 No solicitadas
2 Solicitadas
3 Aprobadas</t>
        </r>
      </text>
    </comment>
    <comment ref="V228" authorId="0">
      <text>
        <r>
          <rPr>
            <b/>
            <sz val="9"/>
            <color indexed="81"/>
            <rFont val="Tahoma"/>
            <family val="2"/>
          </rPr>
          <t>0 Día(s)
1 Mes (s)
2 Año(s)</t>
        </r>
      </text>
    </comment>
    <comment ref="Y228" authorId="0">
      <text>
        <r>
          <rPr>
            <sz val="9"/>
            <color indexed="81"/>
            <rFont val="Tahoma"/>
            <family val="2"/>
          </rPr>
          <t>0 Recursos propios 
1 Presupuesto de entidad nacional
2 Regalías
3 Recursos de crédito
4 SGP
5 No Aplica</t>
        </r>
      </text>
    </comment>
    <comment ref="AD228" authorId="0">
      <text>
        <r>
          <rPr>
            <b/>
            <sz val="9"/>
            <color indexed="81"/>
            <rFont val="Tahoma"/>
            <family val="2"/>
          </rPr>
          <t>0 No
1 Sí</t>
        </r>
      </text>
    </comment>
    <comment ref="AE228" authorId="0">
      <text>
        <r>
          <rPr>
            <sz val="9"/>
            <color indexed="81"/>
            <rFont val="Tahoma"/>
            <family val="2"/>
          </rPr>
          <t xml:space="preserve">
0 NA
1 No solicitadas
2 Solicitadas
3 Aprobadas</t>
        </r>
      </text>
    </comment>
    <comment ref="V229" authorId="0">
      <text>
        <r>
          <rPr>
            <b/>
            <sz val="9"/>
            <color indexed="81"/>
            <rFont val="Tahoma"/>
            <family val="2"/>
          </rPr>
          <t>0 Día(s)
1 Mes (s)
2 Año(s)</t>
        </r>
      </text>
    </comment>
    <comment ref="Y229" authorId="0">
      <text>
        <r>
          <rPr>
            <sz val="9"/>
            <color indexed="81"/>
            <rFont val="Tahoma"/>
            <family val="2"/>
          </rPr>
          <t>0 Recursos propios 
1 Presupuesto de entidad nacional
2 Regalías
3 Recursos de crédito
4 SGP
5 No Aplica</t>
        </r>
      </text>
    </comment>
    <comment ref="AD229" authorId="0">
      <text>
        <r>
          <rPr>
            <b/>
            <sz val="9"/>
            <color indexed="81"/>
            <rFont val="Tahoma"/>
            <family val="2"/>
          </rPr>
          <t>0 No
1 Sí</t>
        </r>
      </text>
    </comment>
    <comment ref="AE229" authorId="0">
      <text>
        <r>
          <rPr>
            <sz val="9"/>
            <color indexed="81"/>
            <rFont val="Tahoma"/>
            <family val="2"/>
          </rPr>
          <t xml:space="preserve">
0 NA
1 No solicitadas
2 Solicitadas
3 Aprobadas</t>
        </r>
      </text>
    </comment>
    <comment ref="V230" authorId="0">
      <text>
        <r>
          <rPr>
            <b/>
            <sz val="9"/>
            <color indexed="81"/>
            <rFont val="Tahoma"/>
            <family val="2"/>
          </rPr>
          <t>0 Día(s)
1 Mes (s)
2 Año(s)</t>
        </r>
      </text>
    </comment>
    <comment ref="Y230" authorId="0">
      <text>
        <r>
          <rPr>
            <sz val="9"/>
            <color indexed="81"/>
            <rFont val="Tahoma"/>
            <family val="2"/>
          </rPr>
          <t>0 Recursos propios 
1 Presupuesto de entidad nacional
2 Regalías
3 Recursos de crédito
4 SGP
5 No Aplica</t>
        </r>
      </text>
    </comment>
    <comment ref="AD230" authorId="0">
      <text>
        <r>
          <rPr>
            <b/>
            <sz val="9"/>
            <color indexed="81"/>
            <rFont val="Tahoma"/>
            <family val="2"/>
          </rPr>
          <t>0 No
1 Sí</t>
        </r>
      </text>
    </comment>
    <comment ref="AE230" authorId="0">
      <text>
        <r>
          <rPr>
            <sz val="9"/>
            <color indexed="81"/>
            <rFont val="Tahoma"/>
            <family val="2"/>
          </rPr>
          <t xml:space="preserve">
0 NA
1 No solicitadas
2 Solicitadas
3 Aprobadas</t>
        </r>
      </text>
    </comment>
    <comment ref="V231" authorId="0">
      <text>
        <r>
          <rPr>
            <b/>
            <sz val="9"/>
            <color indexed="81"/>
            <rFont val="Tahoma"/>
            <family val="2"/>
          </rPr>
          <t>0 Día(s)
1 Mes (s)
2 Año(s)</t>
        </r>
      </text>
    </comment>
    <comment ref="Y231" authorId="0">
      <text>
        <r>
          <rPr>
            <sz val="9"/>
            <color indexed="81"/>
            <rFont val="Tahoma"/>
            <family val="2"/>
          </rPr>
          <t>0 Recursos propios 
1 Presupuesto de entidad nacional
2 Regalías
3 Recursos de crédito
4 SGP
5 No Aplica</t>
        </r>
      </text>
    </comment>
    <comment ref="AD231" authorId="0">
      <text>
        <r>
          <rPr>
            <b/>
            <sz val="9"/>
            <color indexed="81"/>
            <rFont val="Tahoma"/>
            <family val="2"/>
          </rPr>
          <t>0 No
1 Sí</t>
        </r>
      </text>
    </comment>
    <comment ref="AE231" authorId="0">
      <text>
        <r>
          <rPr>
            <sz val="9"/>
            <color indexed="81"/>
            <rFont val="Tahoma"/>
            <family val="2"/>
          </rPr>
          <t xml:space="preserve">
0 NA
1 No solicitadas
2 Solicitadas
3 Aprobadas</t>
        </r>
      </text>
    </comment>
    <comment ref="V232" authorId="0">
      <text>
        <r>
          <rPr>
            <b/>
            <sz val="9"/>
            <color indexed="81"/>
            <rFont val="Tahoma"/>
            <family val="2"/>
          </rPr>
          <t>0 Día(s)
1 Mes (s)
2 Año(s)</t>
        </r>
      </text>
    </comment>
    <comment ref="Y232" authorId="0">
      <text>
        <r>
          <rPr>
            <sz val="9"/>
            <color indexed="81"/>
            <rFont val="Tahoma"/>
            <family val="2"/>
          </rPr>
          <t>0 Recursos propios 
1 Presupuesto de entidad nacional
2 Regalías
3 Recursos de crédito
4 SGP
5 No Aplica</t>
        </r>
      </text>
    </comment>
    <comment ref="AD232" authorId="0">
      <text>
        <r>
          <rPr>
            <b/>
            <sz val="9"/>
            <color indexed="81"/>
            <rFont val="Tahoma"/>
            <family val="2"/>
          </rPr>
          <t>0 No
1 Sí</t>
        </r>
      </text>
    </comment>
    <comment ref="AE232" authorId="0">
      <text>
        <r>
          <rPr>
            <sz val="9"/>
            <color indexed="81"/>
            <rFont val="Tahoma"/>
            <family val="2"/>
          </rPr>
          <t xml:space="preserve">
0 NA
1 No solicitadas
2 Solicitadas
3 Aprobadas</t>
        </r>
      </text>
    </comment>
    <comment ref="V233" authorId="0">
      <text>
        <r>
          <rPr>
            <b/>
            <sz val="9"/>
            <color indexed="81"/>
            <rFont val="Tahoma"/>
            <family val="2"/>
          </rPr>
          <t>0 Día(s)
1 Mes (s)
2 Año(s)</t>
        </r>
      </text>
    </comment>
    <comment ref="Y233" authorId="0">
      <text>
        <r>
          <rPr>
            <sz val="9"/>
            <color indexed="81"/>
            <rFont val="Tahoma"/>
            <family val="2"/>
          </rPr>
          <t>0 Recursos propios 
1 Presupuesto de entidad nacional
2 Regalías
3 Recursos de crédito
4 SGP
5 No Aplica</t>
        </r>
      </text>
    </comment>
    <comment ref="AD233" authorId="0">
      <text>
        <r>
          <rPr>
            <b/>
            <sz val="9"/>
            <color indexed="81"/>
            <rFont val="Tahoma"/>
            <family val="2"/>
          </rPr>
          <t>0 No
1 Sí</t>
        </r>
      </text>
    </comment>
    <comment ref="AE233" authorId="0">
      <text>
        <r>
          <rPr>
            <sz val="9"/>
            <color indexed="81"/>
            <rFont val="Tahoma"/>
            <family val="2"/>
          </rPr>
          <t xml:space="preserve">
0 NA
1 No solicitadas
2 Solicitadas
3 Aprobadas</t>
        </r>
      </text>
    </comment>
    <comment ref="V234" authorId="0">
      <text>
        <r>
          <rPr>
            <b/>
            <sz val="9"/>
            <color indexed="81"/>
            <rFont val="Tahoma"/>
            <family val="2"/>
          </rPr>
          <t>0 Día(s)
1 Mes (s)
2 Año(s)</t>
        </r>
      </text>
    </comment>
    <comment ref="Y234" authorId="0">
      <text>
        <r>
          <rPr>
            <sz val="9"/>
            <color indexed="81"/>
            <rFont val="Tahoma"/>
            <family val="2"/>
          </rPr>
          <t>0 Recursos propios 
1 Presupuesto de entidad nacional
2 Regalías
3 Recursos de crédito
4 SGP
5 No Aplica</t>
        </r>
      </text>
    </comment>
    <comment ref="AD234" authorId="0">
      <text>
        <r>
          <rPr>
            <b/>
            <sz val="9"/>
            <color indexed="81"/>
            <rFont val="Tahoma"/>
            <family val="2"/>
          </rPr>
          <t>0 No
1 Sí</t>
        </r>
      </text>
    </comment>
    <comment ref="AE234" authorId="0">
      <text>
        <r>
          <rPr>
            <sz val="9"/>
            <color indexed="81"/>
            <rFont val="Tahoma"/>
            <family val="2"/>
          </rPr>
          <t xml:space="preserve">
0 NA
1 No solicitadas
2 Solicitadas
3 Aprobadas</t>
        </r>
      </text>
    </comment>
    <comment ref="V235" authorId="0">
      <text>
        <r>
          <rPr>
            <b/>
            <sz val="9"/>
            <color indexed="81"/>
            <rFont val="Tahoma"/>
            <family val="2"/>
          </rPr>
          <t>0 Día(s)
1 Mes (s)
2 Año(s)</t>
        </r>
      </text>
    </comment>
    <comment ref="Y235" authorId="0">
      <text>
        <r>
          <rPr>
            <sz val="9"/>
            <color indexed="81"/>
            <rFont val="Tahoma"/>
            <family val="2"/>
          </rPr>
          <t>0 Recursos propios 
1 Presupuesto de entidad nacional
2 Regalías
3 Recursos de crédito
4 SGP
5 No Aplica</t>
        </r>
      </text>
    </comment>
    <comment ref="AD235" authorId="0">
      <text>
        <r>
          <rPr>
            <b/>
            <sz val="9"/>
            <color indexed="81"/>
            <rFont val="Tahoma"/>
            <family val="2"/>
          </rPr>
          <t>0 No
1 Sí</t>
        </r>
      </text>
    </comment>
    <comment ref="AE235" authorId="0">
      <text>
        <r>
          <rPr>
            <sz val="9"/>
            <color indexed="81"/>
            <rFont val="Tahoma"/>
            <family val="2"/>
          </rPr>
          <t xml:space="preserve">
0 NA
1 No solicitadas
2 Solicitadas
3 Aprobadas</t>
        </r>
      </text>
    </comment>
    <comment ref="V236" authorId="0">
      <text>
        <r>
          <rPr>
            <b/>
            <sz val="9"/>
            <color indexed="81"/>
            <rFont val="Tahoma"/>
            <family val="2"/>
          </rPr>
          <t>0 Día(s)
1 Mes (s)
2 Año(s)</t>
        </r>
      </text>
    </comment>
    <comment ref="Y236" authorId="0">
      <text>
        <r>
          <rPr>
            <sz val="9"/>
            <color indexed="81"/>
            <rFont val="Tahoma"/>
            <family val="2"/>
          </rPr>
          <t>0 Recursos propios 
1 Presupuesto de entidad nacional
2 Regalías
3 Recursos de crédito
4 SGP
5 No Aplica</t>
        </r>
      </text>
    </comment>
    <comment ref="AD236" authorId="0">
      <text>
        <r>
          <rPr>
            <b/>
            <sz val="9"/>
            <color indexed="81"/>
            <rFont val="Tahoma"/>
            <family val="2"/>
          </rPr>
          <t>0 No
1 Sí</t>
        </r>
      </text>
    </comment>
    <comment ref="AE236" authorId="0">
      <text>
        <r>
          <rPr>
            <sz val="9"/>
            <color indexed="81"/>
            <rFont val="Tahoma"/>
            <family val="2"/>
          </rPr>
          <t xml:space="preserve">
0 NA
1 No solicitadas
2 Solicitadas
3 Aprobadas</t>
        </r>
      </text>
    </comment>
    <comment ref="V237" authorId="0">
      <text>
        <r>
          <rPr>
            <b/>
            <sz val="9"/>
            <color indexed="81"/>
            <rFont val="Tahoma"/>
            <family val="2"/>
          </rPr>
          <t>0 Día(s)
1 Mes (s)
2 Año(s)</t>
        </r>
      </text>
    </comment>
    <comment ref="Y237" authorId="0">
      <text>
        <r>
          <rPr>
            <sz val="9"/>
            <color indexed="81"/>
            <rFont val="Tahoma"/>
            <family val="2"/>
          </rPr>
          <t>0 Recursos propios 
1 Presupuesto de entidad nacional
2 Regalías
3 Recursos de crédito
4 SGP
5 No Aplica</t>
        </r>
      </text>
    </comment>
    <comment ref="AD237" authorId="0">
      <text>
        <r>
          <rPr>
            <b/>
            <sz val="9"/>
            <color indexed="81"/>
            <rFont val="Tahoma"/>
            <family val="2"/>
          </rPr>
          <t>0 No
1 Sí</t>
        </r>
      </text>
    </comment>
    <comment ref="AE237" authorId="0">
      <text>
        <r>
          <rPr>
            <sz val="9"/>
            <color indexed="81"/>
            <rFont val="Tahoma"/>
            <family val="2"/>
          </rPr>
          <t xml:space="preserve">
0 NA
1 No solicitadas
2 Solicitadas
3 Aprobadas</t>
        </r>
      </text>
    </comment>
    <comment ref="V238" authorId="0">
      <text>
        <r>
          <rPr>
            <b/>
            <sz val="9"/>
            <color indexed="81"/>
            <rFont val="Tahoma"/>
            <family val="2"/>
          </rPr>
          <t>0 Día(s)
1 Mes (s)
2 Año(s)</t>
        </r>
      </text>
    </comment>
    <comment ref="Y238" authorId="0">
      <text>
        <r>
          <rPr>
            <sz val="9"/>
            <color indexed="81"/>
            <rFont val="Tahoma"/>
            <family val="2"/>
          </rPr>
          <t>0 Recursos propios 
1 Presupuesto de entidad nacional
2 Regalías
3 Recursos de crédito
4 SGP
5 No Aplica</t>
        </r>
      </text>
    </comment>
    <comment ref="AD238" authorId="0">
      <text>
        <r>
          <rPr>
            <b/>
            <sz val="9"/>
            <color indexed="81"/>
            <rFont val="Tahoma"/>
            <family val="2"/>
          </rPr>
          <t>0 No
1 Sí</t>
        </r>
      </text>
    </comment>
    <comment ref="AE238" authorId="0">
      <text>
        <r>
          <rPr>
            <sz val="9"/>
            <color indexed="81"/>
            <rFont val="Tahoma"/>
            <family val="2"/>
          </rPr>
          <t xml:space="preserve">
0 NA
1 No solicitadas
2 Solicitadas
3 Aprobadas</t>
        </r>
      </text>
    </comment>
    <comment ref="V239" authorId="0">
      <text>
        <r>
          <rPr>
            <b/>
            <sz val="9"/>
            <color indexed="81"/>
            <rFont val="Tahoma"/>
            <family val="2"/>
          </rPr>
          <t>0 Día(s)
1 Mes (s)
2 Año(s)</t>
        </r>
      </text>
    </comment>
    <comment ref="Y239" authorId="0">
      <text>
        <r>
          <rPr>
            <sz val="9"/>
            <color indexed="81"/>
            <rFont val="Tahoma"/>
            <family val="2"/>
          </rPr>
          <t>0 Recursos propios 
1 Presupuesto de entidad nacional
2 Regalías
3 Recursos de crédito
4 SGP
5 No Aplica</t>
        </r>
      </text>
    </comment>
    <comment ref="AD239" authorId="0">
      <text>
        <r>
          <rPr>
            <b/>
            <sz val="9"/>
            <color indexed="81"/>
            <rFont val="Tahoma"/>
            <family val="2"/>
          </rPr>
          <t>0 No
1 Sí</t>
        </r>
      </text>
    </comment>
    <comment ref="AE239" authorId="0">
      <text>
        <r>
          <rPr>
            <sz val="9"/>
            <color indexed="81"/>
            <rFont val="Tahoma"/>
            <family val="2"/>
          </rPr>
          <t xml:space="preserve">
0 NA
1 No solicitadas
2 Solicitadas
3 Aprobadas</t>
        </r>
      </text>
    </comment>
    <comment ref="V240" authorId="0">
      <text>
        <r>
          <rPr>
            <b/>
            <sz val="9"/>
            <color indexed="81"/>
            <rFont val="Tahoma"/>
            <family val="2"/>
          </rPr>
          <t>0 Día(s)
1 Mes (s)
2 Año(s)</t>
        </r>
      </text>
    </comment>
    <comment ref="Y240" authorId="0">
      <text>
        <r>
          <rPr>
            <sz val="9"/>
            <color indexed="81"/>
            <rFont val="Tahoma"/>
            <family val="2"/>
          </rPr>
          <t>0 Recursos propios 
1 Presupuesto de entidad nacional
2 Regalías
3 Recursos de crédito
4 SGP
5 No Aplica</t>
        </r>
      </text>
    </comment>
    <comment ref="AD240" authorId="0">
      <text>
        <r>
          <rPr>
            <b/>
            <sz val="9"/>
            <color indexed="81"/>
            <rFont val="Tahoma"/>
            <family val="2"/>
          </rPr>
          <t>0 No
1 Sí</t>
        </r>
      </text>
    </comment>
    <comment ref="AE240" authorId="0">
      <text>
        <r>
          <rPr>
            <sz val="9"/>
            <color indexed="81"/>
            <rFont val="Tahoma"/>
            <family val="2"/>
          </rPr>
          <t xml:space="preserve">
0 NA
1 No solicitadas
2 Solicitadas
3 Aprobadas</t>
        </r>
      </text>
    </comment>
    <comment ref="V241" authorId="0">
      <text>
        <r>
          <rPr>
            <b/>
            <sz val="9"/>
            <color indexed="81"/>
            <rFont val="Tahoma"/>
            <family val="2"/>
          </rPr>
          <t>0 Día(s)
1 Mes (s)
2 Año(s)</t>
        </r>
      </text>
    </comment>
    <comment ref="Y241" authorId="0">
      <text>
        <r>
          <rPr>
            <sz val="9"/>
            <color indexed="81"/>
            <rFont val="Tahoma"/>
            <family val="2"/>
          </rPr>
          <t>0 Recursos propios 
1 Presupuesto de entidad nacional
2 Regalías
3 Recursos de crédito
4 SGP
5 No Aplica</t>
        </r>
      </text>
    </comment>
    <comment ref="AD241" authorId="0">
      <text>
        <r>
          <rPr>
            <b/>
            <sz val="9"/>
            <color indexed="81"/>
            <rFont val="Tahoma"/>
            <family val="2"/>
          </rPr>
          <t>0 No
1 Sí</t>
        </r>
      </text>
    </comment>
    <comment ref="AE241" authorId="0">
      <text>
        <r>
          <rPr>
            <sz val="9"/>
            <color indexed="81"/>
            <rFont val="Tahoma"/>
            <family val="2"/>
          </rPr>
          <t xml:space="preserve">
0 NA
1 No solicitadas
2 Solicitadas
3 Aprobadas</t>
        </r>
      </text>
    </comment>
    <comment ref="V242" authorId="0">
      <text>
        <r>
          <rPr>
            <b/>
            <sz val="9"/>
            <color indexed="81"/>
            <rFont val="Tahoma"/>
            <family val="2"/>
          </rPr>
          <t>0 Día(s)
1 Mes (s)
2 Año(s)</t>
        </r>
      </text>
    </comment>
    <comment ref="Y242" authorId="0">
      <text>
        <r>
          <rPr>
            <sz val="9"/>
            <color indexed="81"/>
            <rFont val="Tahoma"/>
            <family val="2"/>
          </rPr>
          <t>0 Recursos propios 
1 Presupuesto de entidad nacional
2 Regalías
3 Recursos de crédito
4 SGP
5 No Aplica</t>
        </r>
      </text>
    </comment>
    <comment ref="AD242" authorId="0">
      <text>
        <r>
          <rPr>
            <b/>
            <sz val="9"/>
            <color indexed="81"/>
            <rFont val="Tahoma"/>
            <family val="2"/>
          </rPr>
          <t>0 No
1 Sí</t>
        </r>
      </text>
    </comment>
    <comment ref="AE242" authorId="0">
      <text>
        <r>
          <rPr>
            <sz val="9"/>
            <color indexed="81"/>
            <rFont val="Tahoma"/>
            <family val="2"/>
          </rPr>
          <t xml:space="preserve">
0 NA
1 No solicitadas
2 Solicitadas
3 Aprobadas</t>
        </r>
      </text>
    </comment>
    <comment ref="V243" authorId="0">
      <text>
        <r>
          <rPr>
            <b/>
            <sz val="9"/>
            <color indexed="81"/>
            <rFont val="Tahoma"/>
            <family val="2"/>
          </rPr>
          <t>0 Día(s)
1 Mes (s)
2 Año(s)</t>
        </r>
      </text>
    </comment>
    <comment ref="Y243" authorId="0">
      <text>
        <r>
          <rPr>
            <sz val="9"/>
            <color indexed="81"/>
            <rFont val="Tahoma"/>
            <family val="2"/>
          </rPr>
          <t>0 Recursos propios 
1 Presupuesto de entidad nacional
2 Regalías
3 Recursos de crédito
4 SGP
5 No Aplica</t>
        </r>
      </text>
    </comment>
    <comment ref="AD243" authorId="0">
      <text>
        <r>
          <rPr>
            <b/>
            <sz val="9"/>
            <color indexed="81"/>
            <rFont val="Tahoma"/>
            <family val="2"/>
          </rPr>
          <t>0 No
1 Sí</t>
        </r>
      </text>
    </comment>
    <comment ref="AE243" authorId="0">
      <text>
        <r>
          <rPr>
            <sz val="9"/>
            <color indexed="81"/>
            <rFont val="Tahoma"/>
            <family val="2"/>
          </rPr>
          <t xml:space="preserve">
0 NA
1 No solicitadas
2 Solicitadas
3 Aprobadas</t>
        </r>
      </text>
    </comment>
    <comment ref="V244" authorId="0">
      <text>
        <r>
          <rPr>
            <b/>
            <sz val="9"/>
            <color indexed="81"/>
            <rFont val="Tahoma"/>
            <family val="2"/>
          </rPr>
          <t>0 Día(s)
1 Mes (s)
2 Año(s)</t>
        </r>
      </text>
    </comment>
    <comment ref="Y244" authorId="0">
      <text>
        <r>
          <rPr>
            <sz val="9"/>
            <color indexed="81"/>
            <rFont val="Tahoma"/>
            <family val="2"/>
          </rPr>
          <t>0 Recursos propios 
1 Presupuesto de entidad nacional
2 Regalías
3 Recursos de crédito
4 SGP
5 No Aplica</t>
        </r>
      </text>
    </comment>
    <comment ref="AD244" authorId="0">
      <text>
        <r>
          <rPr>
            <b/>
            <sz val="9"/>
            <color indexed="81"/>
            <rFont val="Tahoma"/>
            <family val="2"/>
          </rPr>
          <t>0 No
1 Sí</t>
        </r>
      </text>
    </comment>
    <comment ref="AE244" authorId="0">
      <text>
        <r>
          <rPr>
            <sz val="9"/>
            <color indexed="81"/>
            <rFont val="Tahoma"/>
            <family val="2"/>
          </rPr>
          <t xml:space="preserve">
0 NA
1 No solicitadas
2 Solicitadas
3 Aprobadas</t>
        </r>
      </text>
    </comment>
    <comment ref="V245" authorId="0">
      <text>
        <r>
          <rPr>
            <b/>
            <sz val="9"/>
            <color indexed="81"/>
            <rFont val="Tahoma"/>
            <family val="2"/>
          </rPr>
          <t>0 Día(s)
1 Mes (s)
2 Año(s)</t>
        </r>
      </text>
    </comment>
    <comment ref="Y245" authorId="0">
      <text>
        <r>
          <rPr>
            <sz val="9"/>
            <color indexed="81"/>
            <rFont val="Tahoma"/>
            <family val="2"/>
          </rPr>
          <t>0 Recursos propios 
1 Presupuesto de entidad nacional
2 Regalías
3 Recursos de crédito
4 SGP
5 No Aplica</t>
        </r>
      </text>
    </comment>
    <comment ref="AD245" authorId="0">
      <text>
        <r>
          <rPr>
            <b/>
            <sz val="9"/>
            <color indexed="81"/>
            <rFont val="Tahoma"/>
            <family val="2"/>
          </rPr>
          <t>0 No
1 Sí</t>
        </r>
      </text>
    </comment>
    <comment ref="AE245" authorId="0">
      <text>
        <r>
          <rPr>
            <sz val="9"/>
            <color indexed="81"/>
            <rFont val="Tahoma"/>
            <family val="2"/>
          </rPr>
          <t xml:space="preserve">
0 NA
1 No solicitadas
2 Solicitadas
3 Aprobadas</t>
        </r>
      </text>
    </comment>
    <comment ref="V246" authorId="0">
      <text>
        <r>
          <rPr>
            <b/>
            <sz val="9"/>
            <color indexed="81"/>
            <rFont val="Tahoma"/>
            <family val="2"/>
          </rPr>
          <t>0 Día(s)
1 Mes (s)
2 Año(s)</t>
        </r>
      </text>
    </comment>
    <comment ref="Y246" authorId="0">
      <text>
        <r>
          <rPr>
            <sz val="9"/>
            <color indexed="81"/>
            <rFont val="Tahoma"/>
            <family val="2"/>
          </rPr>
          <t>0 Recursos propios 
1 Presupuesto de entidad nacional
2 Regalías
3 Recursos de crédito
4 SGP
5 No Aplica</t>
        </r>
      </text>
    </comment>
    <comment ref="AD246" authorId="0">
      <text>
        <r>
          <rPr>
            <b/>
            <sz val="9"/>
            <color indexed="81"/>
            <rFont val="Tahoma"/>
            <family val="2"/>
          </rPr>
          <t>0 No
1 Sí</t>
        </r>
      </text>
    </comment>
    <comment ref="AE246" authorId="0">
      <text>
        <r>
          <rPr>
            <sz val="9"/>
            <color indexed="81"/>
            <rFont val="Tahoma"/>
            <family val="2"/>
          </rPr>
          <t xml:space="preserve">
0 NA
1 No solicitadas
2 Solicitadas
3 Aprobadas</t>
        </r>
      </text>
    </comment>
    <comment ref="V247" authorId="0">
      <text>
        <r>
          <rPr>
            <b/>
            <sz val="9"/>
            <color indexed="81"/>
            <rFont val="Tahoma"/>
            <family val="2"/>
          </rPr>
          <t>0 Día(s)
1 Mes (s)
2 Año(s)</t>
        </r>
      </text>
    </comment>
    <comment ref="Y247" authorId="0">
      <text>
        <r>
          <rPr>
            <sz val="9"/>
            <color indexed="81"/>
            <rFont val="Tahoma"/>
            <family val="2"/>
          </rPr>
          <t>0 Recursos propios 
1 Presupuesto de entidad nacional
2 Regalías
3 Recursos de crédito
4 SGP
5 No Aplica</t>
        </r>
      </text>
    </comment>
    <comment ref="AD247" authorId="0">
      <text>
        <r>
          <rPr>
            <b/>
            <sz val="9"/>
            <color indexed="81"/>
            <rFont val="Tahoma"/>
            <family val="2"/>
          </rPr>
          <t>0 No
1 Sí</t>
        </r>
      </text>
    </comment>
    <comment ref="AE247" authorId="0">
      <text>
        <r>
          <rPr>
            <sz val="9"/>
            <color indexed="81"/>
            <rFont val="Tahoma"/>
            <family val="2"/>
          </rPr>
          <t xml:space="preserve">
0 NA
1 No solicitadas
2 Solicitadas
3 Aprobadas</t>
        </r>
      </text>
    </comment>
    <comment ref="V248" authorId="0">
      <text>
        <r>
          <rPr>
            <b/>
            <sz val="9"/>
            <color indexed="81"/>
            <rFont val="Tahoma"/>
            <family val="2"/>
          </rPr>
          <t>0 Día(s)
1 Mes (s)
2 Año(s)</t>
        </r>
      </text>
    </comment>
    <comment ref="Y248" authorId="0">
      <text>
        <r>
          <rPr>
            <sz val="9"/>
            <color indexed="81"/>
            <rFont val="Tahoma"/>
            <family val="2"/>
          </rPr>
          <t>0 Recursos propios 
1 Presupuesto de entidad nacional
2 Regalías
3 Recursos de crédito
4 SGP
5 No Aplica</t>
        </r>
      </text>
    </comment>
    <comment ref="AD248" authorId="0">
      <text>
        <r>
          <rPr>
            <b/>
            <sz val="9"/>
            <color indexed="81"/>
            <rFont val="Tahoma"/>
            <family val="2"/>
          </rPr>
          <t>0 No
1 Sí</t>
        </r>
      </text>
    </comment>
    <comment ref="AE248" authorId="0">
      <text>
        <r>
          <rPr>
            <sz val="9"/>
            <color indexed="81"/>
            <rFont val="Tahoma"/>
            <family val="2"/>
          </rPr>
          <t xml:space="preserve">
0 NA
1 No solicitadas
2 Solicitadas
3 Aprobadas</t>
        </r>
      </text>
    </comment>
    <comment ref="V249" authorId="0">
      <text>
        <r>
          <rPr>
            <b/>
            <sz val="9"/>
            <color indexed="81"/>
            <rFont val="Tahoma"/>
            <family val="2"/>
          </rPr>
          <t>0 Día(s)
1 Mes (s)
2 Año(s)</t>
        </r>
      </text>
    </comment>
    <comment ref="Y249" authorId="0">
      <text>
        <r>
          <rPr>
            <sz val="9"/>
            <color indexed="81"/>
            <rFont val="Tahoma"/>
            <family val="2"/>
          </rPr>
          <t>0 Recursos propios 
1 Presupuesto de entidad nacional
2 Regalías
3 Recursos de crédito
4 SGP
5 No Aplica</t>
        </r>
      </text>
    </comment>
    <comment ref="AD249" authorId="0">
      <text>
        <r>
          <rPr>
            <b/>
            <sz val="9"/>
            <color indexed="81"/>
            <rFont val="Tahoma"/>
            <family val="2"/>
          </rPr>
          <t>0 No
1 Sí</t>
        </r>
      </text>
    </comment>
    <comment ref="AE249" authorId="0">
      <text>
        <r>
          <rPr>
            <sz val="9"/>
            <color indexed="81"/>
            <rFont val="Tahoma"/>
            <family val="2"/>
          </rPr>
          <t xml:space="preserve">
0 NA
1 No solicitadas
2 Solicitadas
3 Aprobadas</t>
        </r>
      </text>
    </comment>
    <comment ref="BO249" authorId="1">
      <text>
        <r>
          <rPr>
            <b/>
            <sz val="9"/>
            <color indexed="81"/>
            <rFont val="Tahoma"/>
            <family val="2"/>
          </rPr>
          <t>Orlando Arias:</t>
        </r>
        <r>
          <rPr>
            <sz val="9"/>
            <color indexed="81"/>
            <rFont val="Tahoma"/>
            <family val="2"/>
          </rPr>
          <t xml:space="preserve">
 SANTIAGO ARENAS NOVOA, HUBO SECIÒN DE CONTRATO</t>
        </r>
      </text>
    </comment>
    <comment ref="V250" authorId="0">
      <text>
        <r>
          <rPr>
            <b/>
            <sz val="9"/>
            <color indexed="81"/>
            <rFont val="Tahoma"/>
            <family val="2"/>
          </rPr>
          <t>0 Día(s)
1 Mes (s)
2 Año(s)</t>
        </r>
      </text>
    </comment>
    <comment ref="Y250" authorId="0">
      <text>
        <r>
          <rPr>
            <sz val="9"/>
            <color indexed="81"/>
            <rFont val="Tahoma"/>
            <family val="2"/>
          </rPr>
          <t>0 Recursos propios 
1 Presupuesto de entidad nacional
2 Regalías
3 Recursos de crédito
4 SGP
5 No Aplica</t>
        </r>
      </text>
    </comment>
    <comment ref="AD250" authorId="0">
      <text>
        <r>
          <rPr>
            <b/>
            <sz val="9"/>
            <color indexed="81"/>
            <rFont val="Tahoma"/>
            <family val="2"/>
          </rPr>
          <t>0 No
1 Sí</t>
        </r>
      </text>
    </comment>
    <comment ref="AE250" authorId="0">
      <text>
        <r>
          <rPr>
            <sz val="9"/>
            <color indexed="81"/>
            <rFont val="Tahoma"/>
            <family val="2"/>
          </rPr>
          <t xml:space="preserve">
0 NA
1 No solicitadas
2 Solicitadas
3 Aprobadas</t>
        </r>
      </text>
    </comment>
    <comment ref="V251" authorId="0">
      <text>
        <r>
          <rPr>
            <b/>
            <sz val="9"/>
            <color indexed="81"/>
            <rFont val="Tahoma"/>
            <family val="2"/>
          </rPr>
          <t>0 Día(s)
1 Mes (s)
2 Año(s)</t>
        </r>
      </text>
    </comment>
    <comment ref="Y251" authorId="0">
      <text>
        <r>
          <rPr>
            <sz val="9"/>
            <color indexed="81"/>
            <rFont val="Tahoma"/>
            <family val="2"/>
          </rPr>
          <t>0 Recursos propios 
1 Presupuesto de entidad nacional
2 Regalías
3 Recursos de crédito
4 SGP
5 No Aplica</t>
        </r>
      </text>
    </comment>
    <comment ref="AD251" authorId="0">
      <text>
        <r>
          <rPr>
            <b/>
            <sz val="9"/>
            <color indexed="81"/>
            <rFont val="Tahoma"/>
            <family val="2"/>
          </rPr>
          <t>0 No
1 Sí</t>
        </r>
      </text>
    </comment>
    <comment ref="AE251" authorId="0">
      <text>
        <r>
          <rPr>
            <sz val="9"/>
            <color indexed="81"/>
            <rFont val="Tahoma"/>
            <family val="2"/>
          </rPr>
          <t xml:space="preserve">
0 NA
1 No solicitadas
2 Solicitadas
3 Aprobadas</t>
        </r>
      </text>
    </comment>
    <comment ref="V252" authorId="0">
      <text>
        <r>
          <rPr>
            <b/>
            <sz val="9"/>
            <color indexed="81"/>
            <rFont val="Tahoma"/>
            <family val="2"/>
          </rPr>
          <t>0 Día(s)
1 Mes (s)
2 Año(s)</t>
        </r>
      </text>
    </comment>
    <comment ref="Y252" authorId="0">
      <text>
        <r>
          <rPr>
            <sz val="9"/>
            <color indexed="81"/>
            <rFont val="Tahoma"/>
            <family val="2"/>
          </rPr>
          <t>0 Recursos propios 
1 Presupuesto de entidad nacional
2 Regalías
3 Recursos de crédito
4 SGP
5 No Aplica</t>
        </r>
      </text>
    </comment>
    <comment ref="AD252" authorId="0">
      <text>
        <r>
          <rPr>
            <b/>
            <sz val="9"/>
            <color indexed="81"/>
            <rFont val="Tahoma"/>
            <family val="2"/>
          </rPr>
          <t>0 No
1 Sí</t>
        </r>
      </text>
    </comment>
    <comment ref="AE252" authorId="0">
      <text>
        <r>
          <rPr>
            <sz val="9"/>
            <color indexed="81"/>
            <rFont val="Tahoma"/>
            <family val="2"/>
          </rPr>
          <t xml:space="preserve">
0 NA
1 No solicitadas
2 Solicitadas
3 Aprobadas</t>
        </r>
      </text>
    </comment>
    <comment ref="V253" authorId="0">
      <text>
        <r>
          <rPr>
            <b/>
            <sz val="9"/>
            <color indexed="81"/>
            <rFont val="Tahoma"/>
            <family val="2"/>
          </rPr>
          <t>0 Día(s)
1 Mes (s)
2 Año(s)</t>
        </r>
      </text>
    </comment>
    <comment ref="Y253" authorId="0">
      <text>
        <r>
          <rPr>
            <sz val="9"/>
            <color indexed="81"/>
            <rFont val="Tahoma"/>
            <family val="2"/>
          </rPr>
          <t>0 Recursos propios 
1 Presupuesto de entidad nacional
2 Regalías
3 Recursos de crédito
4 SGP
5 No Aplica</t>
        </r>
      </text>
    </comment>
    <comment ref="AD253" authorId="0">
      <text>
        <r>
          <rPr>
            <b/>
            <sz val="9"/>
            <color indexed="81"/>
            <rFont val="Tahoma"/>
            <family val="2"/>
          </rPr>
          <t>0 No
1 Sí</t>
        </r>
      </text>
    </comment>
    <comment ref="AE253" authorId="0">
      <text>
        <r>
          <rPr>
            <sz val="9"/>
            <color indexed="81"/>
            <rFont val="Tahoma"/>
            <family val="2"/>
          </rPr>
          <t xml:space="preserve">
0 NA
1 No solicitadas
2 Solicitadas
3 Aprobadas</t>
        </r>
      </text>
    </comment>
    <comment ref="V254" authorId="0">
      <text>
        <r>
          <rPr>
            <b/>
            <sz val="9"/>
            <color indexed="81"/>
            <rFont val="Tahoma"/>
            <family val="2"/>
          </rPr>
          <t>0 Día(s)
1 Mes (s)
2 Año(s)</t>
        </r>
      </text>
    </comment>
    <comment ref="Y254" authorId="0">
      <text>
        <r>
          <rPr>
            <sz val="9"/>
            <color indexed="81"/>
            <rFont val="Tahoma"/>
            <family val="2"/>
          </rPr>
          <t>0 Recursos propios 
1 Presupuesto de entidad nacional
2 Regalías
3 Recursos de crédito
4 SGP
5 No Aplica</t>
        </r>
      </text>
    </comment>
    <comment ref="AD254" authorId="0">
      <text>
        <r>
          <rPr>
            <b/>
            <sz val="9"/>
            <color indexed="81"/>
            <rFont val="Tahoma"/>
            <family val="2"/>
          </rPr>
          <t>0 No
1 Sí</t>
        </r>
      </text>
    </comment>
    <comment ref="AE254" authorId="0">
      <text>
        <r>
          <rPr>
            <sz val="9"/>
            <color indexed="81"/>
            <rFont val="Tahoma"/>
            <family val="2"/>
          </rPr>
          <t xml:space="preserve">
0 NA
1 No solicitadas
2 Solicitadas
3 Aprobadas</t>
        </r>
      </text>
    </comment>
    <comment ref="V255" authorId="0">
      <text>
        <r>
          <rPr>
            <b/>
            <sz val="9"/>
            <color indexed="81"/>
            <rFont val="Tahoma"/>
            <family val="2"/>
          </rPr>
          <t>0 Día(s)
1 Mes (s)
2 Año(s)</t>
        </r>
      </text>
    </comment>
    <comment ref="Y255" authorId="0">
      <text>
        <r>
          <rPr>
            <sz val="9"/>
            <color indexed="81"/>
            <rFont val="Tahoma"/>
            <family val="2"/>
          </rPr>
          <t>0 Recursos propios 
1 Presupuesto de entidad nacional
2 Regalías
3 Recursos de crédito
4 SGP
5 No Aplica</t>
        </r>
      </text>
    </comment>
    <comment ref="AD255" authorId="0">
      <text>
        <r>
          <rPr>
            <b/>
            <sz val="9"/>
            <color indexed="81"/>
            <rFont val="Tahoma"/>
            <family val="2"/>
          </rPr>
          <t>0 No
1 Sí</t>
        </r>
      </text>
    </comment>
    <comment ref="AE255" authorId="0">
      <text>
        <r>
          <rPr>
            <sz val="9"/>
            <color indexed="81"/>
            <rFont val="Tahoma"/>
            <family val="2"/>
          </rPr>
          <t xml:space="preserve">
0 NA
1 No solicitadas
2 Solicitadas
3 Aprobadas</t>
        </r>
      </text>
    </comment>
    <comment ref="V256" authorId="0">
      <text>
        <r>
          <rPr>
            <b/>
            <sz val="9"/>
            <color indexed="81"/>
            <rFont val="Tahoma"/>
            <family val="2"/>
          </rPr>
          <t>0 Día(s)
1 Mes (s)
2 Año(s)</t>
        </r>
      </text>
    </comment>
    <comment ref="Y256" authorId="0">
      <text>
        <r>
          <rPr>
            <sz val="9"/>
            <color indexed="81"/>
            <rFont val="Tahoma"/>
            <family val="2"/>
          </rPr>
          <t>0 Recursos propios 
1 Presupuesto de entidad nacional
2 Regalías
3 Recursos de crédito
4 SGP
5 No Aplica</t>
        </r>
      </text>
    </comment>
    <comment ref="AD256" authorId="0">
      <text>
        <r>
          <rPr>
            <b/>
            <sz val="9"/>
            <color indexed="81"/>
            <rFont val="Tahoma"/>
            <family val="2"/>
          </rPr>
          <t>0 No
1 Sí</t>
        </r>
      </text>
    </comment>
    <comment ref="AE256" authorId="0">
      <text>
        <r>
          <rPr>
            <sz val="9"/>
            <color indexed="81"/>
            <rFont val="Tahoma"/>
            <family val="2"/>
          </rPr>
          <t xml:space="preserve">
0 NA
1 No solicitadas
2 Solicitadas
3 Aprobadas</t>
        </r>
      </text>
    </comment>
    <comment ref="V257" authorId="0">
      <text>
        <r>
          <rPr>
            <b/>
            <sz val="9"/>
            <color indexed="81"/>
            <rFont val="Tahoma"/>
            <family val="2"/>
          </rPr>
          <t>0 Día(s)
1 Mes (s)
2 Año(s)</t>
        </r>
      </text>
    </comment>
    <comment ref="Y257" authorId="0">
      <text>
        <r>
          <rPr>
            <sz val="9"/>
            <color indexed="81"/>
            <rFont val="Tahoma"/>
            <family val="2"/>
          </rPr>
          <t>0 Recursos propios 
1 Presupuesto de entidad nacional
2 Regalías
3 Recursos de crédito
4 SGP
5 No Aplica</t>
        </r>
      </text>
    </comment>
    <comment ref="AD257" authorId="0">
      <text>
        <r>
          <rPr>
            <b/>
            <sz val="9"/>
            <color indexed="81"/>
            <rFont val="Tahoma"/>
            <family val="2"/>
          </rPr>
          <t>0 No
1 Sí</t>
        </r>
      </text>
    </comment>
    <comment ref="AE257" authorId="0">
      <text>
        <r>
          <rPr>
            <sz val="9"/>
            <color indexed="81"/>
            <rFont val="Tahoma"/>
            <family val="2"/>
          </rPr>
          <t xml:space="preserve">
0 NA
1 No solicitadas
2 Solicitadas
3 Aprobadas</t>
        </r>
      </text>
    </comment>
    <comment ref="V258" authorId="0">
      <text>
        <r>
          <rPr>
            <b/>
            <sz val="9"/>
            <color indexed="81"/>
            <rFont val="Tahoma"/>
            <family val="2"/>
          </rPr>
          <t>0 Día(s)
1 Mes (s)
2 Año(s)</t>
        </r>
      </text>
    </comment>
    <comment ref="Y258" authorId="0">
      <text>
        <r>
          <rPr>
            <sz val="9"/>
            <color indexed="81"/>
            <rFont val="Tahoma"/>
            <family val="2"/>
          </rPr>
          <t>0 Recursos propios 
1 Presupuesto de entidad nacional
2 Regalías
3 Recursos de crédito
4 SGP
5 No Aplica</t>
        </r>
      </text>
    </comment>
    <comment ref="AD258" authorId="0">
      <text>
        <r>
          <rPr>
            <b/>
            <sz val="9"/>
            <color indexed="81"/>
            <rFont val="Tahoma"/>
            <family val="2"/>
          </rPr>
          <t>0 No
1 Sí</t>
        </r>
      </text>
    </comment>
    <comment ref="AE258" authorId="0">
      <text>
        <r>
          <rPr>
            <sz val="9"/>
            <color indexed="81"/>
            <rFont val="Tahoma"/>
            <family val="2"/>
          </rPr>
          <t xml:space="preserve">
0 NA
1 No solicitadas
2 Solicitadas
3 Aprobadas</t>
        </r>
      </text>
    </comment>
    <comment ref="V259" authorId="0">
      <text>
        <r>
          <rPr>
            <b/>
            <sz val="9"/>
            <color indexed="81"/>
            <rFont val="Tahoma"/>
            <family val="2"/>
          </rPr>
          <t>0 Día(s)
1 Mes (s)
2 Año(s)</t>
        </r>
      </text>
    </comment>
    <comment ref="Y259" authorId="0">
      <text>
        <r>
          <rPr>
            <sz val="9"/>
            <color indexed="81"/>
            <rFont val="Tahoma"/>
            <family val="2"/>
          </rPr>
          <t>0 Recursos propios 
1 Presupuesto de entidad nacional
2 Regalías
3 Recursos de crédito
4 SGP
5 No Aplica</t>
        </r>
      </text>
    </comment>
    <comment ref="AD259" authorId="0">
      <text>
        <r>
          <rPr>
            <b/>
            <sz val="9"/>
            <color indexed="81"/>
            <rFont val="Tahoma"/>
            <family val="2"/>
          </rPr>
          <t>0 No
1 Sí</t>
        </r>
      </text>
    </comment>
    <comment ref="AE259" authorId="0">
      <text>
        <r>
          <rPr>
            <sz val="9"/>
            <color indexed="81"/>
            <rFont val="Tahoma"/>
            <family val="2"/>
          </rPr>
          <t xml:space="preserve">
0 NA
1 No solicitadas
2 Solicitadas
3 Aprobadas</t>
        </r>
      </text>
    </comment>
    <comment ref="V260" authorId="0">
      <text>
        <r>
          <rPr>
            <b/>
            <sz val="9"/>
            <color indexed="81"/>
            <rFont val="Tahoma"/>
            <family val="2"/>
          </rPr>
          <t>0 Día(s)
1 Mes (s)
2 Año(s)</t>
        </r>
      </text>
    </comment>
    <comment ref="Y260" authorId="0">
      <text>
        <r>
          <rPr>
            <sz val="9"/>
            <color indexed="81"/>
            <rFont val="Tahoma"/>
            <family val="2"/>
          </rPr>
          <t>0 Recursos propios 
1 Presupuesto de entidad nacional
2 Regalías
3 Recursos de crédito
4 SGP
5 No Aplica</t>
        </r>
      </text>
    </comment>
    <comment ref="AD260" authorId="0">
      <text>
        <r>
          <rPr>
            <b/>
            <sz val="9"/>
            <color indexed="81"/>
            <rFont val="Tahoma"/>
            <family val="2"/>
          </rPr>
          <t>0 No
1 Sí</t>
        </r>
      </text>
    </comment>
    <comment ref="AE260" authorId="0">
      <text>
        <r>
          <rPr>
            <sz val="9"/>
            <color indexed="81"/>
            <rFont val="Tahoma"/>
            <family val="2"/>
          </rPr>
          <t xml:space="preserve">
0 NA
1 No solicitadas
2 Solicitadas
3 Aprobadas</t>
        </r>
      </text>
    </comment>
    <comment ref="V261" authorId="0">
      <text>
        <r>
          <rPr>
            <b/>
            <sz val="9"/>
            <color indexed="81"/>
            <rFont val="Tahoma"/>
            <family val="2"/>
          </rPr>
          <t>0 Día(s)
1 Mes (s)
2 Año(s)</t>
        </r>
      </text>
    </comment>
    <comment ref="Y261" authorId="0">
      <text>
        <r>
          <rPr>
            <sz val="9"/>
            <color indexed="81"/>
            <rFont val="Tahoma"/>
            <family val="2"/>
          </rPr>
          <t>0 Recursos propios 
1 Presupuesto de entidad nacional
2 Regalías
3 Recursos de crédito
4 SGP
5 No Aplica</t>
        </r>
      </text>
    </comment>
    <comment ref="AD261" authorId="0">
      <text>
        <r>
          <rPr>
            <b/>
            <sz val="9"/>
            <color indexed="81"/>
            <rFont val="Tahoma"/>
            <family val="2"/>
          </rPr>
          <t>0 No
1 Sí</t>
        </r>
      </text>
    </comment>
    <comment ref="AE261" authorId="0">
      <text>
        <r>
          <rPr>
            <sz val="9"/>
            <color indexed="81"/>
            <rFont val="Tahoma"/>
            <family val="2"/>
          </rPr>
          <t xml:space="preserve">
0 NA
1 No solicitadas
2 Solicitadas
3 Aprobadas</t>
        </r>
      </text>
    </comment>
    <comment ref="V262" authorId="0">
      <text>
        <r>
          <rPr>
            <b/>
            <sz val="9"/>
            <color indexed="81"/>
            <rFont val="Tahoma"/>
            <family val="2"/>
          </rPr>
          <t>0 Día(s)
1 Mes (s)
2 Año(s)</t>
        </r>
      </text>
    </comment>
    <comment ref="Y262" authorId="0">
      <text>
        <r>
          <rPr>
            <sz val="9"/>
            <color indexed="81"/>
            <rFont val="Tahoma"/>
            <family val="2"/>
          </rPr>
          <t>0 Recursos propios 
1 Presupuesto de entidad nacional
2 Regalías
3 Recursos de crédito
4 SGP
5 No Aplica</t>
        </r>
      </text>
    </comment>
    <comment ref="AD262" authorId="0">
      <text>
        <r>
          <rPr>
            <b/>
            <sz val="9"/>
            <color indexed="81"/>
            <rFont val="Tahoma"/>
            <family val="2"/>
          </rPr>
          <t>0 No
1 Sí</t>
        </r>
      </text>
    </comment>
    <comment ref="AE262" authorId="0">
      <text>
        <r>
          <rPr>
            <sz val="9"/>
            <color indexed="81"/>
            <rFont val="Tahoma"/>
            <family val="2"/>
          </rPr>
          <t xml:space="preserve">
0 NA
1 No solicitadas
2 Solicitadas
3 Aprobadas</t>
        </r>
      </text>
    </comment>
    <comment ref="V263" authorId="0">
      <text>
        <r>
          <rPr>
            <b/>
            <sz val="9"/>
            <color indexed="81"/>
            <rFont val="Tahoma"/>
            <family val="2"/>
          </rPr>
          <t>0 Día(s)
1 Mes (s)
2 Año(s)</t>
        </r>
      </text>
    </comment>
    <comment ref="Y263" authorId="0">
      <text>
        <r>
          <rPr>
            <sz val="9"/>
            <color indexed="81"/>
            <rFont val="Tahoma"/>
            <family val="2"/>
          </rPr>
          <t>0 Recursos propios 
1 Presupuesto de entidad nacional
2 Regalías
3 Recursos de crédito
4 SGP
5 No Aplica</t>
        </r>
      </text>
    </comment>
    <comment ref="AD263" authorId="0">
      <text>
        <r>
          <rPr>
            <b/>
            <sz val="9"/>
            <color indexed="81"/>
            <rFont val="Tahoma"/>
            <family val="2"/>
          </rPr>
          <t>0 No
1 Sí</t>
        </r>
      </text>
    </comment>
    <comment ref="AE263" authorId="0">
      <text>
        <r>
          <rPr>
            <sz val="9"/>
            <color indexed="81"/>
            <rFont val="Tahoma"/>
            <family val="2"/>
          </rPr>
          <t xml:space="preserve">
0 NA
1 No solicitadas
2 Solicitadas
3 Aprobadas</t>
        </r>
      </text>
    </comment>
    <comment ref="V264" authorId="0">
      <text>
        <r>
          <rPr>
            <b/>
            <sz val="9"/>
            <color indexed="81"/>
            <rFont val="Tahoma"/>
            <family val="2"/>
          </rPr>
          <t>0 Día(s)
1 Mes (s)
2 Año(s)</t>
        </r>
      </text>
    </comment>
    <comment ref="Y264" authorId="0">
      <text>
        <r>
          <rPr>
            <sz val="9"/>
            <color indexed="81"/>
            <rFont val="Tahoma"/>
            <family val="2"/>
          </rPr>
          <t>0 Recursos propios 
1 Presupuesto de entidad nacional
2 Regalías
3 Recursos de crédito
4 SGP
5 No Aplica</t>
        </r>
      </text>
    </comment>
    <comment ref="AD264" authorId="0">
      <text>
        <r>
          <rPr>
            <b/>
            <sz val="9"/>
            <color indexed="81"/>
            <rFont val="Tahoma"/>
            <family val="2"/>
          </rPr>
          <t>0 No
1 Sí</t>
        </r>
      </text>
    </comment>
    <comment ref="AE264" authorId="0">
      <text>
        <r>
          <rPr>
            <sz val="9"/>
            <color indexed="81"/>
            <rFont val="Tahoma"/>
            <family val="2"/>
          </rPr>
          <t xml:space="preserve">
0 NA
1 No solicitadas
2 Solicitadas
3 Aprobadas</t>
        </r>
      </text>
    </comment>
    <comment ref="V265" authorId="0">
      <text>
        <r>
          <rPr>
            <b/>
            <sz val="9"/>
            <color indexed="81"/>
            <rFont val="Tahoma"/>
            <family val="2"/>
          </rPr>
          <t>0 Día(s)
1 Mes (s)
2 Año(s)</t>
        </r>
      </text>
    </comment>
    <comment ref="Y265" authorId="0">
      <text>
        <r>
          <rPr>
            <sz val="9"/>
            <color indexed="81"/>
            <rFont val="Tahoma"/>
            <family val="2"/>
          </rPr>
          <t>0 Recursos propios 
1 Presupuesto de entidad nacional
2 Regalías
3 Recursos de crédito
4 SGP
5 No Aplica</t>
        </r>
      </text>
    </comment>
    <comment ref="AD265" authorId="0">
      <text>
        <r>
          <rPr>
            <b/>
            <sz val="9"/>
            <color indexed="81"/>
            <rFont val="Tahoma"/>
            <family val="2"/>
          </rPr>
          <t>0 No
1 Sí</t>
        </r>
      </text>
    </comment>
    <comment ref="AE265" authorId="0">
      <text>
        <r>
          <rPr>
            <sz val="9"/>
            <color indexed="81"/>
            <rFont val="Tahoma"/>
            <family val="2"/>
          </rPr>
          <t xml:space="preserve">
0 NA
1 No solicitadas
2 Solicitadas
3 Aprobadas</t>
        </r>
      </text>
    </comment>
    <comment ref="V266" authorId="0">
      <text>
        <r>
          <rPr>
            <b/>
            <sz val="9"/>
            <color indexed="81"/>
            <rFont val="Tahoma"/>
            <family val="2"/>
          </rPr>
          <t>0 Día(s)
1 Mes (s)
2 Año(s)</t>
        </r>
      </text>
    </comment>
    <comment ref="Y266" authorId="0">
      <text>
        <r>
          <rPr>
            <sz val="9"/>
            <color indexed="81"/>
            <rFont val="Tahoma"/>
            <family val="2"/>
          </rPr>
          <t>0 Recursos propios 
1 Presupuesto de entidad nacional
2 Regalías
3 Recursos de crédito
4 SGP
5 No Aplica</t>
        </r>
      </text>
    </comment>
    <comment ref="AD266" authorId="0">
      <text>
        <r>
          <rPr>
            <b/>
            <sz val="9"/>
            <color indexed="81"/>
            <rFont val="Tahoma"/>
            <family val="2"/>
          </rPr>
          <t>0 No
1 Sí</t>
        </r>
      </text>
    </comment>
    <comment ref="AE266" authorId="0">
      <text>
        <r>
          <rPr>
            <sz val="9"/>
            <color indexed="81"/>
            <rFont val="Tahoma"/>
            <family val="2"/>
          </rPr>
          <t xml:space="preserve">
0 NA
1 No solicitadas
2 Solicitadas
3 Aprobadas</t>
        </r>
      </text>
    </comment>
    <comment ref="V267" authorId="0">
      <text>
        <r>
          <rPr>
            <b/>
            <sz val="9"/>
            <color indexed="81"/>
            <rFont val="Tahoma"/>
            <family val="2"/>
          </rPr>
          <t>0 Día(s)
1 Mes (s)
2 Año(s)</t>
        </r>
      </text>
    </comment>
    <comment ref="Y267" authorId="0">
      <text>
        <r>
          <rPr>
            <sz val="9"/>
            <color indexed="81"/>
            <rFont val="Tahoma"/>
            <family val="2"/>
          </rPr>
          <t>0 Recursos propios 
1 Presupuesto de entidad nacional
2 Regalías
3 Recursos de crédito
4 SGP
5 No Aplica</t>
        </r>
      </text>
    </comment>
    <comment ref="AD267" authorId="0">
      <text>
        <r>
          <rPr>
            <b/>
            <sz val="9"/>
            <color indexed="81"/>
            <rFont val="Tahoma"/>
            <family val="2"/>
          </rPr>
          <t>0 No
1 Sí</t>
        </r>
      </text>
    </comment>
    <comment ref="AE267" authorId="0">
      <text>
        <r>
          <rPr>
            <sz val="9"/>
            <color indexed="81"/>
            <rFont val="Tahoma"/>
            <family val="2"/>
          </rPr>
          <t xml:space="preserve">
0 NA
1 No solicitadas
2 Solicitadas
3 Aprobadas</t>
        </r>
      </text>
    </comment>
    <comment ref="V268" authorId="0">
      <text>
        <r>
          <rPr>
            <b/>
            <sz val="9"/>
            <color indexed="81"/>
            <rFont val="Tahoma"/>
            <family val="2"/>
          </rPr>
          <t>0 Día(s)
1 Mes (s)
2 Año(s)</t>
        </r>
      </text>
    </comment>
    <comment ref="Y268" authorId="0">
      <text>
        <r>
          <rPr>
            <sz val="9"/>
            <color indexed="81"/>
            <rFont val="Tahoma"/>
            <family val="2"/>
          </rPr>
          <t>0 Recursos propios 
1 Presupuesto de entidad nacional
2 Regalías
3 Recursos de crédito
4 SGP
5 No Aplica</t>
        </r>
      </text>
    </comment>
    <comment ref="AD268" authorId="0">
      <text>
        <r>
          <rPr>
            <b/>
            <sz val="9"/>
            <color indexed="81"/>
            <rFont val="Tahoma"/>
            <family val="2"/>
          </rPr>
          <t>0 No
1 Sí</t>
        </r>
      </text>
    </comment>
    <comment ref="AE268" authorId="0">
      <text>
        <r>
          <rPr>
            <sz val="9"/>
            <color indexed="81"/>
            <rFont val="Tahoma"/>
            <family val="2"/>
          </rPr>
          <t xml:space="preserve">
0 NA
1 No solicitadas
2 Solicitadas
3 Aprobadas</t>
        </r>
      </text>
    </comment>
    <comment ref="V269" authorId="0">
      <text>
        <r>
          <rPr>
            <b/>
            <sz val="9"/>
            <color indexed="81"/>
            <rFont val="Tahoma"/>
            <family val="2"/>
          </rPr>
          <t>0 Día(s)
1 Mes (s)
2 Año(s)</t>
        </r>
      </text>
    </comment>
    <comment ref="Y269" authorId="0">
      <text>
        <r>
          <rPr>
            <sz val="9"/>
            <color indexed="81"/>
            <rFont val="Tahoma"/>
            <family val="2"/>
          </rPr>
          <t>0 Recursos propios 
1 Presupuesto de entidad nacional
2 Regalías
3 Recursos de crédito
4 SGP
5 No Aplica</t>
        </r>
      </text>
    </comment>
    <comment ref="AD269" authorId="0">
      <text>
        <r>
          <rPr>
            <b/>
            <sz val="9"/>
            <color indexed="81"/>
            <rFont val="Tahoma"/>
            <family val="2"/>
          </rPr>
          <t>0 No
1 Sí</t>
        </r>
      </text>
    </comment>
    <comment ref="AE269" authorId="0">
      <text>
        <r>
          <rPr>
            <sz val="9"/>
            <color indexed="81"/>
            <rFont val="Tahoma"/>
            <family val="2"/>
          </rPr>
          <t xml:space="preserve">
0 NA
1 No solicitadas
2 Solicitadas
3 Aprobadas</t>
        </r>
      </text>
    </comment>
    <comment ref="V270" authorId="0">
      <text>
        <r>
          <rPr>
            <b/>
            <sz val="9"/>
            <color indexed="81"/>
            <rFont val="Tahoma"/>
            <family val="2"/>
          </rPr>
          <t>0 Día(s)
1 Mes (s)
2 Año(s)</t>
        </r>
      </text>
    </comment>
    <comment ref="Y270" authorId="0">
      <text>
        <r>
          <rPr>
            <sz val="9"/>
            <color indexed="81"/>
            <rFont val="Tahoma"/>
            <family val="2"/>
          </rPr>
          <t>0 Recursos propios 
1 Presupuesto de entidad nacional
2 Regalías
3 Recursos de crédito
4 SGP
5 No Aplica</t>
        </r>
      </text>
    </comment>
    <comment ref="AD270" authorId="0">
      <text>
        <r>
          <rPr>
            <b/>
            <sz val="9"/>
            <color indexed="81"/>
            <rFont val="Tahoma"/>
            <family val="2"/>
          </rPr>
          <t>0 No
1 Sí</t>
        </r>
      </text>
    </comment>
    <comment ref="AE270" authorId="0">
      <text>
        <r>
          <rPr>
            <sz val="9"/>
            <color indexed="81"/>
            <rFont val="Tahoma"/>
            <family val="2"/>
          </rPr>
          <t xml:space="preserve">
0 NA
1 No solicitadas
2 Solicitadas
3 Aprobadas</t>
        </r>
      </text>
    </comment>
    <comment ref="V271" authorId="0">
      <text>
        <r>
          <rPr>
            <b/>
            <sz val="9"/>
            <color indexed="81"/>
            <rFont val="Tahoma"/>
            <family val="2"/>
          </rPr>
          <t>0 Día(s)
1 Mes (s)
2 Año(s)</t>
        </r>
      </text>
    </comment>
    <comment ref="Y271" authorId="0">
      <text>
        <r>
          <rPr>
            <sz val="9"/>
            <color indexed="81"/>
            <rFont val="Tahoma"/>
            <family val="2"/>
          </rPr>
          <t>0 Recursos propios 
1 Presupuesto de entidad nacional
2 Regalías
3 Recursos de crédito
4 SGP
5 No Aplica</t>
        </r>
      </text>
    </comment>
    <comment ref="AD271" authorId="0">
      <text>
        <r>
          <rPr>
            <b/>
            <sz val="9"/>
            <color indexed="81"/>
            <rFont val="Tahoma"/>
            <family val="2"/>
          </rPr>
          <t>0 No
1 Sí</t>
        </r>
      </text>
    </comment>
    <comment ref="AE271" authorId="0">
      <text>
        <r>
          <rPr>
            <sz val="9"/>
            <color indexed="81"/>
            <rFont val="Tahoma"/>
            <family val="2"/>
          </rPr>
          <t xml:space="preserve">
0 NA
1 No solicitadas
2 Solicitadas
3 Aprobadas</t>
        </r>
      </text>
    </comment>
    <comment ref="V272" authorId="0">
      <text>
        <r>
          <rPr>
            <b/>
            <sz val="9"/>
            <color indexed="81"/>
            <rFont val="Tahoma"/>
            <family val="2"/>
          </rPr>
          <t>0 Día(s)
1 Mes (s)
2 Año(s)</t>
        </r>
      </text>
    </comment>
    <comment ref="Y272" authorId="0">
      <text>
        <r>
          <rPr>
            <sz val="9"/>
            <color indexed="81"/>
            <rFont val="Tahoma"/>
            <family val="2"/>
          </rPr>
          <t>0 Recursos propios 
1 Presupuesto de entidad nacional
2 Regalías
3 Recursos de crédito
4 SGP
5 No Aplica</t>
        </r>
      </text>
    </comment>
    <comment ref="AD272" authorId="0">
      <text>
        <r>
          <rPr>
            <b/>
            <sz val="9"/>
            <color indexed="81"/>
            <rFont val="Tahoma"/>
            <family val="2"/>
          </rPr>
          <t>0 No
1 Sí</t>
        </r>
      </text>
    </comment>
    <comment ref="AE272" authorId="0">
      <text>
        <r>
          <rPr>
            <sz val="9"/>
            <color indexed="81"/>
            <rFont val="Tahoma"/>
            <family val="2"/>
          </rPr>
          <t xml:space="preserve">
0 NA
1 No solicitadas
2 Solicitadas
3 Aprobadas</t>
        </r>
      </text>
    </comment>
    <comment ref="V273" authorId="0">
      <text>
        <r>
          <rPr>
            <b/>
            <sz val="9"/>
            <color indexed="81"/>
            <rFont val="Tahoma"/>
            <family val="2"/>
          </rPr>
          <t>0 Día(s)
1 Mes (s)
2 Año(s)</t>
        </r>
      </text>
    </comment>
    <comment ref="Y273" authorId="0">
      <text>
        <r>
          <rPr>
            <sz val="9"/>
            <color indexed="81"/>
            <rFont val="Tahoma"/>
            <family val="2"/>
          </rPr>
          <t>0 Recursos propios 
1 Presupuesto de entidad nacional
2 Regalías
3 Recursos de crédito
4 SGP
5 No Aplica</t>
        </r>
      </text>
    </comment>
    <comment ref="AD273" authorId="0">
      <text>
        <r>
          <rPr>
            <b/>
            <sz val="9"/>
            <color indexed="81"/>
            <rFont val="Tahoma"/>
            <family val="2"/>
          </rPr>
          <t>0 No
1 Sí</t>
        </r>
      </text>
    </comment>
    <comment ref="AE273" authorId="0">
      <text>
        <r>
          <rPr>
            <sz val="9"/>
            <color indexed="81"/>
            <rFont val="Tahoma"/>
            <family val="2"/>
          </rPr>
          <t xml:space="preserve">
0 NA
1 No solicitadas
2 Solicitadas
3 Aprobadas</t>
        </r>
      </text>
    </comment>
    <comment ref="V274" authorId="0">
      <text>
        <r>
          <rPr>
            <b/>
            <sz val="9"/>
            <color indexed="81"/>
            <rFont val="Tahoma"/>
            <family val="2"/>
          </rPr>
          <t>0 Día(s)
1 Mes (s)
2 Año(s)</t>
        </r>
      </text>
    </comment>
    <comment ref="Y274" authorId="0">
      <text>
        <r>
          <rPr>
            <sz val="9"/>
            <color indexed="81"/>
            <rFont val="Tahoma"/>
            <family val="2"/>
          </rPr>
          <t>0 Recursos propios 
1 Presupuesto de entidad nacional
2 Regalías
3 Recursos de crédito
4 SGP
5 No Aplica</t>
        </r>
      </text>
    </comment>
    <comment ref="AD274" authorId="0">
      <text>
        <r>
          <rPr>
            <b/>
            <sz val="9"/>
            <color indexed="81"/>
            <rFont val="Tahoma"/>
            <family val="2"/>
          </rPr>
          <t>0 No
1 Sí</t>
        </r>
      </text>
    </comment>
    <comment ref="AE274" authorId="0">
      <text>
        <r>
          <rPr>
            <sz val="9"/>
            <color indexed="81"/>
            <rFont val="Tahoma"/>
            <family val="2"/>
          </rPr>
          <t xml:space="preserve">
0 NA
1 No solicitadas
2 Solicitadas
3 Aprobadas</t>
        </r>
      </text>
    </comment>
    <comment ref="V275" authorId="0">
      <text>
        <r>
          <rPr>
            <b/>
            <sz val="9"/>
            <color indexed="81"/>
            <rFont val="Tahoma"/>
            <family val="2"/>
          </rPr>
          <t>0 Día(s)
1 Mes (s)
2 Año(s)</t>
        </r>
      </text>
    </comment>
    <comment ref="Y275" authorId="0">
      <text>
        <r>
          <rPr>
            <sz val="9"/>
            <color indexed="81"/>
            <rFont val="Tahoma"/>
            <family val="2"/>
          </rPr>
          <t>0 Recursos propios 
1 Presupuesto de entidad nacional
2 Regalías
3 Recursos de crédito
4 SGP
5 No Aplica</t>
        </r>
      </text>
    </comment>
    <comment ref="AD275" authorId="0">
      <text>
        <r>
          <rPr>
            <b/>
            <sz val="9"/>
            <color indexed="81"/>
            <rFont val="Tahoma"/>
            <family val="2"/>
          </rPr>
          <t>0 No
1 Sí</t>
        </r>
      </text>
    </comment>
    <comment ref="AE275" authorId="0">
      <text>
        <r>
          <rPr>
            <sz val="9"/>
            <color indexed="81"/>
            <rFont val="Tahoma"/>
            <family val="2"/>
          </rPr>
          <t xml:space="preserve">
0 NA
1 No solicitadas
2 Solicitadas
3 Aprobadas</t>
        </r>
      </text>
    </comment>
    <comment ref="V276" authorId="0">
      <text>
        <r>
          <rPr>
            <b/>
            <sz val="9"/>
            <color indexed="81"/>
            <rFont val="Tahoma"/>
            <family val="2"/>
          </rPr>
          <t>0 Día(s)
1 Mes (s)
2 Año(s)</t>
        </r>
      </text>
    </comment>
    <comment ref="Y276" authorId="0">
      <text>
        <r>
          <rPr>
            <sz val="9"/>
            <color indexed="81"/>
            <rFont val="Tahoma"/>
            <family val="2"/>
          </rPr>
          <t>0 Recursos propios 
1 Presupuesto de entidad nacional
2 Regalías
3 Recursos de crédito
4 SGP
5 No Aplica</t>
        </r>
      </text>
    </comment>
    <comment ref="AD276" authorId="0">
      <text>
        <r>
          <rPr>
            <b/>
            <sz val="9"/>
            <color indexed="81"/>
            <rFont val="Tahoma"/>
            <family val="2"/>
          </rPr>
          <t>0 No
1 Sí</t>
        </r>
      </text>
    </comment>
    <comment ref="AE276" authorId="0">
      <text>
        <r>
          <rPr>
            <sz val="9"/>
            <color indexed="81"/>
            <rFont val="Tahoma"/>
            <family val="2"/>
          </rPr>
          <t xml:space="preserve">
0 NA
1 No solicitadas
2 Solicitadas
3 Aprobadas</t>
        </r>
      </text>
    </comment>
    <comment ref="V277" authorId="0">
      <text>
        <r>
          <rPr>
            <b/>
            <sz val="9"/>
            <color indexed="81"/>
            <rFont val="Tahoma"/>
            <family val="2"/>
          </rPr>
          <t>0 Día(s)
1 Mes (s)
2 Año(s)</t>
        </r>
      </text>
    </comment>
    <comment ref="Y277" authorId="0">
      <text>
        <r>
          <rPr>
            <sz val="9"/>
            <color indexed="81"/>
            <rFont val="Tahoma"/>
            <family val="2"/>
          </rPr>
          <t>0 Recursos propios 
1 Presupuesto de entidad nacional
2 Regalías
3 Recursos de crédito
4 SGP
5 No Aplica</t>
        </r>
      </text>
    </comment>
    <comment ref="AD277" authorId="0">
      <text>
        <r>
          <rPr>
            <b/>
            <sz val="9"/>
            <color indexed="81"/>
            <rFont val="Tahoma"/>
            <family val="2"/>
          </rPr>
          <t>0 No
1 Sí</t>
        </r>
      </text>
    </comment>
    <comment ref="AE277" authorId="0">
      <text>
        <r>
          <rPr>
            <sz val="9"/>
            <color indexed="81"/>
            <rFont val="Tahoma"/>
            <family val="2"/>
          </rPr>
          <t xml:space="preserve">
0 NA
1 No solicitadas
2 Solicitadas
3 Aprobadas</t>
        </r>
      </text>
    </comment>
    <comment ref="V278" authorId="0">
      <text>
        <r>
          <rPr>
            <b/>
            <sz val="9"/>
            <color indexed="81"/>
            <rFont val="Tahoma"/>
            <family val="2"/>
          </rPr>
          <t>0 Día(s)
1 Mes (s)
2 Año(s)</t>
        </r>
      </text>
    </comment>
    <comment ref="Y278" authorId="0">
      <text>
        <r>
          <rPr>
            <sz val="9"/>
            <color indexed="81"/>
            <rFont val="Tahoma"/>
            <family val="2"/>
          </rPr>
          <t>0 Recursos propios 
1 Presupuesto de entidad nacional
2 Regalías
3 Recursos de crédito
4 SGP
5 No Aplica</t>
        </r>
      </text>
    </comment>
    <comment ref="AD278" authorId="0">
      <text>
        <r>
          <rPr>
            <b/>
            <sz val="9"/>
            <color indexed="81"/>
            <rFont val="Tahoma"/>
            <family val="2"/>
          </rPr>
          <t>0 No
1 Sí</t>
        </r>
      </text>
    </comment>
    <comment ref="AE278" authorId="0">
      <text>
        <r>
          <rPr>
            <sz val="9"/>
            <color indexed="81"/>
            <rFont val="Tahoma"/>
            <family val="2"/>
          </rPr>
          <t xml:space="preserve">
0 NA
1 No solicitadas
2 Solicitadas
3 Aprobadas</t>
        </r>
      </text>
    </comment>
    <comment ref="V279" authorId="0">
      <text>
        <r>
          <rPr>
            <b/>
            <sz val="9"/>
            <color indexed="81"/>
            <rFont val="Tahoma"/>
            <family val="2"/>
          </rPr>
          <t>0 Día(s)
1 Mes (s)
2 Año(s)</t>
        </r>
      </text>
    </comment>
    <comment ref="Y279" authorId="0">
      <text>
        <r>
          <rPr>
            <sz val="9"/>
            <color indexed="81"/>
            <rFont val="Tahoma"/>
            <family val="2"/>
          </rPr>
          <t>0 Recursos propios 
1 Presupuesto de entidad nacional
2 Regalías
3 Recursos de crédito
4 SGP
5 No Aplica</t>
        </r>
      </text>
    </comment>
    <comment ref="AD279" authorId="0">
      <text>
        <r>
          <rPr>
            <b/>
            <sz val="9"/>
            <color indexed="81"/>
            <rFont val="Tahoma"/>
            <family val="2"/>
          </rPr>
          <t>0 No
1 Sí</t>
        </r>
      </text>
    </comment>
    <comment ref="AE279" authorId="0">
      <text>
        <r>
          <rPr>
            <sz val="9"/>
            <color indexed="81"/>
            <rFont val="Tahoma"/>
            <family val="2"/>
          </rPr>
          <t xml:space="preserve">
0 NA
1 No solicitadas
2 Solicitadas
3 Aprobadas</t>
        </r>
      </text>
    </comment>
    <comment ref="V280" authorId="0">
      <text>
        <r>
          <rPr>
            <b/>
            <sz val="9"/>
            <color indexed="81"/>
            <rFont val="Tahoma"/>
            <family val="2"/>
          </rPr>
          <t>0 Día(s)
1 Mes (s)
2 Año(s)</t>
        </r>
      </text>
    </comment>
    <comment ref="Y280" authorId="0">
      <text>
        <r>
          <rPr>
            <sz val="9"/>
            <color indexed="81"/>
            <rFont val="Tahoma"/>
            <family val="2"/>
          </rPr>
          <t>0 Recursos propios 
1 Presupuesto de entidad nacional
2 Regalías
3 Recursos de crédito
4 SGP
5 No Aplica</t>
        </r>
      </text>
    </comment>
    <comment ref="AD280" authorId="0">
      <text>
        <r>
          <rPr>
            <b/>
            <sz val="9"/>
            <color indexed="81"/>
            <rFont val="Tahoma"/>
            <family val="2"/>
          </rPr>
          <t>0 No
1 Sí</t>
        </r>
      </text>
    </comment>
    <comment ref="AE280" authorId="0">
      <text>
        <r>
          <rPr>
            <sz val="9"/>
            <color indexed="81"/>
            <rFont val="Tahoma"/>
            <family val="2"/>
          </rPr>
          <t xml:space="preserve">
0 NA
1 No solicitadas
2 Solicitadas
3 Aprobadas</t>
        </r>
      </text>
    </comment>
    <comment ref="V281" authorId="0">
      <text>
        <r>
          <rPr>
            <b/>
            <sz val="9"/>
            <color indexed="81"/>
            <rFont val="Tahoma"/>
            <family val="2"/>
          </rPr>
          <t>0 Día(s)
1 Mes (s)
2 Año(s)</t>
        </r>
      </text>
    </comment>
    <comment ref="Y281" authorId="0">
      <text>
        <r>
          <rPr>
            <sz val="9"/>
            <color indexed="81"/>
            <rFont val="Tahoma"/>
            <family val="2"/>
          </rPr>
          <t>0 Recursos propios 
1 Presupuesto de entidad nacional
2 Regalías
3 Recursos de crédito
4 SGP
5 No Aplica</t>
        </r>
      </text>
    </comment>
    <comment ref="AD281" authorId="0">
      <text>
        <r>
          <rPr>
            <b/>
            <sz val="9"/>
            <color indexed="81"/>
            <rFont val="Tahoma"/>
            <family val="2"/>
          </rPr>
          <t>0 No
1 Sí</t>
        </r>
      </text>
    </comment>
    <comment ref="AE281" authorId="0">
      <text>
        <r>
          <rPr>
            <sz val="9"/>
            <color indexed="81"/>
            <rFont val="Tahoma"/>
            <family val="2"/>
          </rPr>
          <t xml:space="preserve">
0 NA
1 No solicitadas
2 Solicitadas
3 Aprobadas</t>
        </r>
      </text>
    </comment>
    <comment ref="V282" authorId="0">
      <text>
        <r>
          <rPr>
            <b/>
            <sz val="9"/>
            <color indexed="81"/>
            <rFont val="Tahoma"/>
            <family val="2"/>
          </rPr>
          <t>0 Día(s)
1 Mes (s)
2 Año(s)</t>
        </r>
      </text>
    </comment>
    <comment ref="Y282" authorId="0">
      <text>
        <r>
          <rPr>
            <sz val="9"/>
            <color indexed="81"/>
            <rFont val="Tahoma"/>
            <family val="2"/>
          </rPr>
          <t>0 Recursos propios 
1 Presupuesto de entidad nacional
2 Regalías
3 Recursos de crédito
4 SGP
5 No Aplica</t>
        </r>
      </text>
    </comment>
    <comment ref="AD282" authorId="0">
      <text>
        <r>
          <rPr>
            <b/>
            <sz val="9"/>
            <color indexed="81"/>
            <rFont val="Tahoma"/>
            <family val="2"/>
          </rPr>
          <t>0 No
1 Sí</t>
        </r>
      </text>
    </comment>
    <comment ref="AE282" authorId="0">
      <text>
        <r>
          <rPr>
            <sz val="9"/>
            <color indexed="81"/>
            <rFont val="Tahoma"/>
            <family val="2"/>
          </rPr>
          <t xml:space="preserve">
0 NA
1 No solicitadas
2 Solicitadas
3 Aprobadas</t>
        </r>
      </text>
    </comment>
    <comment ref="V283" authorId="0">
      <text>
        <r>
          <rPr>
            <b/>
            <sz val="9"/>
            <color indexed="81"/>
            <rFont val="Tahoma"/>
            <family val="2"/>
          </rPr>
          <t>0 Día(s)
1 Mes (s)
2 Año(s)</t>
        </r>
      </text>
    </comment>
    <comment ref="Y283" authorId="0">
      <text>
        <r>
          <rPr>
            <sz val="9"/>
            <color indexed="81"/>
            <rFont val="Tahoma"/>
            <family val="2"/>
          </rPr>
          <t>0 Recursos propios 
1 Presupuesto de entidad nacional
2 Regalías
3 Recursos de crédito
4 SGP
5 No Aplica</t>
        </r>
      </text>
    </comment>
    <comment ref="AD283" authorId="0">
      <text>
        <r>
          <rPr>
            <b/>
            <sz val="9"/>
            <color indexed="81"/>
            <rFont val="Tahoma"/>
            <family val="2"/>
          </rPr>
          <t>0 No
1 Sí</t>
        </r>
      </text>
    </comment>
    <comment ref="AE283" authorId="0">
      <text>
        <r>
          <rPr>
            <sz val="9"/>
            <color indexed="81"/>
            <rFont val="Tahoma"/>
            <family val="2"/>
          </rPr>
          <t xml:space="preserve">
0 NA
1 No solicitadas
2 Solicitadas
3 Aprobadas</t>
        </r>
      </text>
    </comment>
    <comment ref="V284" authorId="0">
      <text>
        <r>
          <rPr>
            <b/>
            <sz val="9"/>
            <color indexed="81"/>
            <rFont val="Tahoma"/>
            <family val="2"/>
          </rPr>
          <t>0 Día(s)
1 Mes (s)
2 Año(s)</t>
        </r>
      </text>
    </comment>
    <comment ref="Y284" authorId="0">
      <text>
        <r>
          <rPr>
            <sz val="9"/>
            <color indexed="81"/>
            <rFont val="Tahoma"/>
            <family val="2"/>
          </rPr>
          <t>0 Recursos propios 
1 Presupuesto de entidad nacional
2 Regalías
3 Recursos de crédito
4 SGP
5 No Aplica</t>
        </r>
      </text>
    </comment>
    <comment ref="AD284" authorId="0">
      <text>
        <r>
          <rPr>
            <b/>
            <sz val="9"/>
            <color indexed="81"/>
            <rFont val="Tahoma"/>
            <family val="2"/>
          </rPr>
          <t>0 No
1 Sí</t>
        </r>
      </text>
    </comment>
    <comment ref="AE284" authorId="0">
      <text>
        <r>
          <rPr>
            <sz val="9"/>
            <color indexed="81"/>
            <rFont val="Tahoma"/>
            <family val="2"/>
          </rPr>
          <t xml:space="preserve">
0 NA
1 No solicitadas
2 Solicitadas
3 Aprobadas</t>
        </r>
      </text>
    </comment>
    <comment ref="V285" authorId="0">
      <text>
        <r>
          <rPr>
            <b/>
            <sz val="9"/>
            <color indexed="81"/>
            <rFont val="Tahoma"/>
            <family val="2"/>
          </rPr>
          <t>0 Día(s)
1 Mes (s)
2 Año(s)</t>
        </r>
      </text>
    </comment>
    <comment ref="Y285" authorId="0">
      <text>
        <r>
          <rPr>
            <sz val="9"/>
            <color indexed="81"/>
            <rFont val="Tahoma"/>
            <family val="2"/>
          </rPr>
          <t>0 Recursos propios 
1 Presupuesto de entidad nacional
2 Regalías
3 Recursos de crédito
4 SGP
5 No Aplica</t>
        </r>
      </text>
    </comment>
    <comment ref="AD285" authorId="0">
      <text>
        <r>
          <rPr>
            <b/>
            <sz val="9"/>
            <color indexed="81"/>
            <rFont val="Tahoma"/>
            <family val="2"/>
          </rPr>
          <t>0 No
1 Sí</t>
        </r>
      </text>
    </comment>
    <comment ref="AE285" authorId="0">
      <text>
        <r>
          <rPr>
            <sz val="9"/>
            <color indexed="81"/>
            <rFont val="Tahoma"/>
            <family val="2"/>
          </rPr>
          <t xml:space="preserve">
0 NA
1 No solicitadas
2 Solicitadas
3 Aprobadas</t>
        </r>
      </text>
    </comment>
    <comment ref="V286" authorId="0">
      <text>
        <r>
          <rPr>
            <b/>
            <sz val="9"/>
            <color indexed="81"/>
            <rFont val="Tahoma"/>
            <family val="2"/>
          </rPr>
          <t>0 Día(s)
1 Mes (s)
2 Año(s)</t>
        </r>
      </text>
    </comment>
    <comment ref="Y286" authorId="0">
      <text>
        <r>
          <rPr>
            <sz val="9"/>
            <color indexed="81"/>
            <rFont val="Tahoma"/>
            <family val="2"/>
          </rPr>
          <t>0 Recursos propios 
1 Presupuesto de entidad nacional
2 Regalías
3 Recursos de crédito
4 SGP
5 No Aplica</t>
        </r>
      </text>
    </comment>
    <comment ref="AD286" authorId="0">
      <text>
        <r>
          <rPr>
            <b/>
            <sz val="9"/>
            <color indexed="81"/>
            <rFont val="Tahoma"/>
            <family val="2"/>
          </rPr>
          <t>0 No
1 Sí</t>
        </r>
      </text>
    </comment>
    <comment ref="AE286" authorId="0">
      <text>
        <r>
          <rPr>
            <sz val="9"/>
            <color indexed="81"/>
            <rFont val="Tahoma"/>
            <family val="2"/>
          </rPr>
          <t xml:space="preserve">
0 NA
1 No solicitadas
2 Solicitadas
3 Aprobadas</t>
        </r>
      </text>
    </comment>
    <comment ref="V287" authorId="0">
      <text>
        <r>
          <rPr>
            <b/>
            <sz val="9"/>
            <color indexed="81"/>
            <rFont val="Tahoma"/>
            <family val="2"/>
          </rPr>
          <t>0 Día(s)
1 Mes (s)
2 Año(s)</t>
        </r>
      </text>
    </comment>
    <comment ref="Y287" authorId="0">
      <text>
        <r>
          <rPr>
            <sz val="9"/>
            <color indexed="81"/>
            <rFont val="Tahoma"/>
            <family val="2"/>
          </rPr>
          <t>0 Recursos propios 
1 Presupuesto de entidad nacional
2 Regalías
3 Recursos de crédito
4 SGP
5 No Aplica</t>
        </r>
      </text>
    </comment>
    <comment ref="AD287" authorId="0">
      <text>
        <r>
          <rPr>
            <b/>
            <sz val="9"/>
            <color indexed="81"/>
            <rFont val="Tahoma"/>
            <family val="2"/>
          </rPr>
          <t>0 No
1 Sí</t>
        </r>
      </text>
    </comment>
    <comment ref="AE287" authorId="0">
      <text>
        <r>
          <rPr>
            <sz val="9"/>
            <color indexed="81"/>
            <rFont val="Tahoma"/>
            <family val="2"/>
          </rPr>
          <t xml:space="preserve">
0 NA
1 No solicitadas
2 Solicitadas
3 Aprobadas</t>
        </r>
      </text>
    </comment>
    <comment ref="V288" authorId="0">
      <text>
        <r>
          <rPr>
            <b/>
            <sz val="9"/>
            <color indexed="81"/>
            <rFont val="Tahoma"/>
            <family val="2"/>
          </rPr>
          <t>0 Día(s)
1 Mes (s)
2 Año(s)</t>
        </r>
      </text>
    </comment>
    <comment ref="Y288" authorId="0">
      <text>
        <r>
          <rPr>
            <sz val="9"/>
            <color indexed="81"/>
            <rFont val="Tahoma"/>
            <family val="2"/>
          </rPr>
          <t>0 Recursos propios 
1 Presupuesto de entidad nacional
2 Regalías
3 Recursos de crédito
4 SGP
5 No Aplica</t>
        </r>
      </text>
    </comment>
    <comment ref="AD288" authorId="0">
      <text>
        <r>
          <rPr>
            <b/>
            <sz val="9"/>
            <color indexed="81"/>
            <rFont val="Tahoma"/>
            <family val="2"/>
          </rPr>
          <t>0 No
1 Sí</t>
        </r>
      </text>
    </comment>
    <comment ref="AE288" authorId="0">
      <text>
        <r>
          <rPr>
            <sz val="9"/>
            <color indexed="81"/>
            <rFont val="Tahoma"/>
            <family val="2"/>
          </rPr>
          <t xml:space="preserve">
0 NA
1 No solicitadas
2 Solicitadas
3 Aprobadas</t>
        </r>
      </text>
    </comment>
    <comment ref="V289" authorId="0">
      <text>
        <r>
          <rPr>
            <b/>
            <sz val="9"/>
            <color indexed="81"/>
            <rFont val="Tahoma"/>
            <family val="2"/>
          </rPr>
          <t>0 Día(s)
1 Mes (s)
2 Año(s)</t>
        </r>
      </text>
    </comment>
    <comment ref="Y289" authorId="0">
      <text>
        <r>
          <rPr>
            <sz val="9"/>
            <color indexed="81"/>
            <rFont val="Tahoma"/>
            <family val="2"/>
          </rPr>
          <t>0 Recursos propios 
1 Presupuesto de entidad nacional
2 Regalías
3 Recursos de crédito
4 SGP
5 No Aplica</t>
        </r>
      </text>
    </comment>
    <comment ref="AD289" authorId="0">
      <text>
        <r>
          <rPr>
            <b/>
            <sz val="9"/>
            <color indexed="81"/>
            <rFont val="Tahoma"/>
            <family val="2"/>
          </rPr>
          <t>0 No
1 Sí</t>
        </r>
      </text>
    </comment>
    <comment ref="AE289" authorId="0">
      <text>
        <r>
          <rPr>
            <sz val="9"/>
            <color indexed="81"/>
            <rFont val="Tahoma"/>
            <family val="2"/>
          </rPr>
          <t xml:space="preserve">
0 NA
1 No solicitadas
2 Solicitadas
3 Aprobadas</t>
        </r>
      </text>
    </comment>
    <comment ref="V290" authorId="0">
      <text>
        <r>
          <rPr>
            <b/>
            <sz val="9"/>
            <color indexed="81"/>
            <rFont val="Tahoma"/>
            <family val="2"/>
          </rPr>
          <t>0 Día(s)
1 Mes (s)
2 Año(s)</t>
        </r>
      </text>
    </comment>
    <comment ref="Y290" authorId="0">
      <text>
        <r>
          <rPr>
            <sz val="9"/>
            <color indexed="81"/>
            <rFont val="Tahoma"/>
            <family val="2"/>
          </rPr>
          <t>0 Recursos propios 
1 Presupuesto de entidad nacional
2 Regalías
3 Recursos de crédito
4 SGP
5 No Aplica</t>
        </r>
      </text>
    </comment>
    <comment ref="AD290" authorId="0">
      <text>
        <r>
          <rPr>
            <b/>
            <sz val="9"/>
            <color indexed="81"/>
            <rFont val="Tahoma"/>
            <family val="2"/>
          </rPr>
          <t>0 No
1 Sí</t>
        </r>
      </text>
    </comment>
    <comment ref="AE290" authorId="0">
      <text>
        <r>
          <rPr>
            <sz val="9"/>
            <color indexed="81"/>
            <rFont val="Tahoma"/>
            <family val="2"/>
          </rPr>
          <t xml:space="preserve">
0 NA
1 No solicitadas
2 Solicitadas
3 Aprobadas</t>
        </r>
      </text>
    </comment>
    <comment ref="V291" authorId="0">
      <text>
        <r>
          <rPr>
            <b/>
            <sz val="9"/>
            <color indexed="81"/>
            <rFont val="Tahoma"/>
            <family val="2"/>
          </rPr>
          <t>0 Día(s)
1 Mes (s)
2 Año(s)</t>
        </r>
      </text>
    </comment>
    <comment ref="Y291" authorId="0">
      <text>
        <r>
          <rPr>
            <sz val="9"/>
            <color indexed="81"/>
            <rFont val="Tahoma"/>
            <family val="2"/>
          </rPr>
          <t>0 Recursos propios 
1 Presupuesto de entidad nacional
2 Regalías
3 Recursos de crédito
4 SGP
5 No Aplica</t>
        </r>
      </text>
    </comment>
    <comment ref="AD291" authorId="0">
      <text>
        <r>
          <rPr>
            <b/>
            <sz val="9"/>
            <color indexed="81"/>
            <rFont val="Tahoma"/>
            <family val="2"/>
          </rPr>
          <t>0 No
1 Sí</t>
        </r>
      </text>
    </comment>
    <comment ref="AE291" authorId="0">
      <text>
        <r>
          <rPr>
            <sz val="9"/>
            <color indexed="81"/>
            <rFont val="Tahoma"/>
            <family val="2"/>
          </rPr>
          <t xml:space="preserve">
0 NA
1 No solicitadas
2 Solicitadas
3 Aprobadas</t>
        </r>
      </text>
    </comment>
    <comment ref="V292" authorId="0">
      <text>
        <r>
          <rPr>
            <b/>
            <sz val="9"/>
            <color indexed="81"/>
            <rFont val="Tahoma"/>
            <family val="2"/>
          </rPr>
          <t>0 Día(s)
1 Mes (s)
2 Año(s)</t>
        </r>
      </text>
    </comment>
    <comment ref="Y292" authorId="0">
      <text>
        <r>
          <rPr>
            <sz val="9"/>
            <color indexed="81"/>
            <rFont val="Tahoma"/>
            <family val="2"/>
          </rPr>
          <t>0 Recursos propios 
1 Presupuesto de entidad nacional
2 Regalías
3 Recursos de crédito
4 SGP
5 No Aplica</t>
        </r>
      </text>
    </comment>
    <comment ref="AD292" authorId="0">
      <text>
        <r>
          <rPr>
            <b/>
            <sz val="9"/>
            <color indexed="81"/>
            <rFont val="Tahoma"/>
            <family val="2"/>
          </rPr>
          <t>0 No
1 Sí</t>
        </r>
      </text>
    </comment>
    <comment ref="AE292" authorId="0">
      <text>
        <r>
          <rPr>
            <sz val="9"/>
            <color indexed="81"/>
            <rFont val="Tahoma"/>
            <family val="2"/>
          </rPr>
          <t xml:space="preserve">
0 NA
1 No solicitadas
2 Solicitadas
3 Aprobadas</t>
        </r>
      </text>
    </comment>
    <comment ref="V293" authorId="0">
      <text>
        <r>
          <rPr>
            <b/>
            <sz val="9"/>
            <color indexed="81"/>
            <rFont val="Tahoma"/>
            <family val="2"/>
          </rPr>
          <t>0 Día(s)
1 Mes (s)
2 Año(s)</t>
        </r>
      </text>
    </comment>
    <comment ref="Y293" authorId="0">
      <text>
        <r>
          <rPr>
            <sz val="9"/>
            <color indexed="81"/>
            <rFont val="Tahoma"/>
            <family val="2"/>
          </rPr>
          <t>0 Recursos propios 
1 Presupuesto de entidad nacional
2 Regalías
3 Recursos de crédito
4 SGP
5 No Aplica</t>
        </r>
      </text>
    </comment>
    <comment ref="AD293" authorId="0">
      <text>
        <r>
          <rPr>
            <b/>
            <sz val="9"/>
            <color indexed="81"/>
            <rFont val="Tahoma"/>
            <family val="2"/>
          </rPr>
          <t>0 No
1 Sí</t>
        </r>
      </text>
    </comment>
    <comment ref="AE293" authorId="0">
      <text>
        <r>
          <rPr>
            <sz val="9"/>
            <color indexed="81"/>
            <rFont val="Tahoma"/>
            <family val="2"/>
          </rPr>
          <t xml:space="preserve">
0 NA
1 No solicitadas
2 Solicitadas
3 Aprobadas</t>
        </r>
      </text>
    </comment>
    <comment ref="V294" authorId="0">
      <text>
        <r>
          <rPr>
            <b/>
            <sz val="9"/>
            <color indexed="81"/>
            <rFont val="Tahoma"/>
            <family val="2"/>
          </rPr>
          <t>0 Día(s)
1 Mes (s)
2 Año(s)</t>
        </r>
      </text>
    </comment>
    <comment ref="Y294" authorId="0">
      <text>
        <r>
          <rPr>
            <sz val="9"/>
            <color indexed="81"/>
            <rFont val="Tahoma"/>
            <family val="2"/>
          </rPr>
          <t>0 Recursos propios 
1 Presupuesto de entidad nacional
2 Regalías
3 Recursos de crédito
4 SGP
5 No Aplica</t>
        </r>
      </text>
    </comment>
    <comment ref="AD294" authorId="0">
      <text>
        <r>
          <rPr>
            <b/>
            <sz val="9"/>
            <color indexed="81"/>
            <rFont val="Tahoma"/>
            <family val="2"/>
          </rPr>
          <t>0 No
1 Sí</t>
        </r>
      </text>
    </comment>
    <comment ref="AE294" authorId="0">
      <text>
        <r>
          <rPr>
            <sz val="9"/>
            <color indexed="81"/>
            <rFont val="Tahoma"/>
            <family val="2"/>
          </rPr>
          <t xml:space="preserve">
0 NA
1 No solicitadas
2 Solicitadas
3 Aprobadas</t>
        </r>
      </text>
    </comment>
    <comment ref="V295" authorId="0">
      <text>
        <r>
          <rPr>
            <b/>
            <sz val="9"/>
            <color indexed="81"/>
            <rFont val="Tahoma"/>
            <family val="2"/>
          </rPr>
          <t>0 Día(s)
1 Mes (s)
2 Año(s)</t>
        </r>
      </text>
    </comment>
    <comment ref="Y295" authorId="0">
      <text>
        <r>
          <rPr>
            <sz val="9"/>
            <color indexed="81"/>
            <rFont val="Tahoma"/>
            <family val="2"/>
          </rPr>
          <t>0 Recursos propios 
1 Presupuesto de entidad nacional
2 Regalías
3 Recursos de crédito
4 SGP
5 No Aplica</t>
        </r>
      </text>
    </comment>
    <comment ref="AD295" authorId="0">
      <text>
        <r>
          <rPr>
            <b/>
            <sz val="9"/>
            <color indexed="81"/>
            <rFont val="Tahoma"/>
            <family val="2"/>
          </rPr>
          <t>0 No
1 Sí</t>
        </r>
      </text>
    </comment>
    <comment ref="AE295" authorId="0">
      <text>
        <r>
          <rPr>
            <sz val="9"/>
            <color indexed="81"/>
            <rFont val="Tahoma"/>
            <family val="2"/>
          </rPr>
          <t xml:space="preserve">
0 NA
1 No solicitadas
2 Solicitadas
3 Aprobadas</t>
        </r>
      </text>
    </comment>
    <comment ref="V296" authorId="0">
      <text>
        <r>
          <rPr>
            <b/>
            <sz val="9"/>
            <color indexed="81"/>
            <rFont val="Tahoma"/>
            <family val="2"/>
          </rPr>
          <t>0 Día(s)
1 Mes (s)
2 Año(s)</t>
        </r>
      </text>
    </comment>
    <comment ref="Y296" authorId="0">
      <text>
        <r>
          <rPr>
            <sz val="9"/>
            <color indexed="81"/>
            <rFont val="Tahoma"/>
            <family val="2"/>
          </rPr>
          <t>0 Recursos propios 
1 Presupuesto de entidad nacional
2 Regalías
3 Recursos de crédito
4 SGP
5 No Aplica</t>
        </r>
      </text>
    </comment>
    <comment ref="AD296" authorId="0">
      <text>
        <r>
          <rPr>
            <b/>
            <sz val="9"/>
            <color indexed="81"/>
            <rFont val="Tahoma"/>
            <family val="2"/>
          </rPr>
          <t>0 No
1 Sí</t>
        </r>
      </text>
    </comment>
    <comment ref="AE296" authorId="0">
      <text>
        <r>
          <rPr>
            <sz val="9"/>
            <color indexed="81"/>
            <rFont val="Tahoma"/>
            <family val="2"/>
          </rPr>
          <t xml:space="preserve">
0 NA
1 No solicitadas
2 Solicitadas
3 Aprobadas</t>
        </r>
      </text>
    </comment>
    <comment ref="V297" authorId="0">
      <text>
        <r>
          <rPr>
            <b/>
            <sz val="9"/>
            <color indexed="81"/>
            <rFont val="Tahoma"/>
            <family val="2"/>
          </rPr>
          <t>0 Día(s)
1 Mes (s)
2 Año(s)</t>
        </r>
      </text>
    </comment>
    <comment ref="Y297" authorId="0">
      <text>
        <r>
          <rPr>
            <sz val="9"/>
            <color indexed="81"/>
            <rFont val="Tahoma"/>
            <family val="2"/>
          </rPr>
          <t>0 Recursos propios 
1 Presupuesto de entidad nacional
2 Regalías
3 Recursos de crédito
4 SGP
5 No Aplica</t>
        </r>
      </text>
    </comment>
    <comment ref="AD297" authorId="0">
      <text>
        <r>
          <rPr>
            <b/>
            <sz val="9"/>
            <color indexed="81"/>
            <rFont val="Tahoma"/>
            <family val="2"/>
          </rPr>
          <t>0 No
1 Sí</t>
        </r>
      </text>
    </comment>
    <comment ref="AE297" authorId="0">
      <text>
        <r>
          <rPr>
            <sz val="9"/>
            <color indexed="81"/>
            <rFont val="Tahoma"/>
            <family val="2"/>
          </rPr>
          <t xml:space="preserve">
0 NA
1 No solicitadas
2 Solicitadas
3 Aprobadas</t>
        </r>
      </text>
    </comment>
    <comment ref="V298" authorId="0">
      <text>
        <r>
          <rPr>
            <b/>
            <sz val="9"/>
            <color indexed="81"/>
            <rFont val="Tahoma"/>
            <family val="2"/>
          </rPr>
          <t>0 Día(s)
1 Mes (s)
2 Año(s)</t>
        </r>
      </text>
    </comment>
    <comment ref="Y298" authorId="0">
      <text>
        <r>
          <rPr>
            <sz val="9"/>
            <color indexed="81"/>
            <rFont val="Tahoma"/>
            <family val="2"/>
          </rPr>
          <t>0 Recursos propios 
1 Presupuesto de entidad nacional
2 Regalías
3 Recursos de crédito
4 SGP
5 No Aplica</t>
        </r>
      </text>
    </comment>
    <comment ref="AD298" authorId="0">
      <text>
        <r>
          <rPr>
            <b/>
            <sz val="9"/>
            <color indexed="81"/>
            <rFont val="Tahoma"/>
            <family val="2"/>
          </rPr>
          <t>0 No
1 Sí</t>
        </r>
      </text>
    </comment>
    <comment ref="AE298" authorId="0">
      <text>
        <r>
          <rPr>
            <sz val="9"/>
            <color indexed="81"/>
            <rFont val="Tahoma"/>
            <family val="2"/>
          </rPr>
          <t xml:space="preserve">
0 NA
1 No solicitadas
2 Solicitadas
3 Aprobadas</t>
        </r>
      </text>
    </comment>
    <comment ref="V299" authorId="0">
      <text>
        <r>
          <rPr>
            <b/>
            <sz val="9"/>
            <color indexed="81"/>
            <rFont val="Tahoma"/>
            <family val="2"/>
          </rPr>
          <t>0 Día(s)
1 Mes (s)
2 Año(s)</t>
        </r>
      </text>
    </comment>
    <comment ref="Y299" authorId="0">
      <text>
        <r>
          <rPr>
            <sz val="9"/>
            <color indexed="81"/>
            <rFont val="Tahoma"/>
            <family val="2"/>
          </rPr>
          <t>0 Recursos propios 
1 Presupuesto de entidad nacional
2 Regalías
3 Recursos de crédito
4 SGP
5 No Aplica</t>
        </r>
      </text>
    </comment>
    <comment ref="AD299" authorId="0">
      <text>
        <r>
          <rPr>
            <b/>
            <sz val="9"/>
            <color indexed="81"/>
            <rFont val="Tahoma"/>
            <family val="2"/>
          </rPr>
          <t>0 No
1 Sí</t>
        </r>
      </text>
    </comment>
    <comment ref="AE299" authorId="0">
      <text>
        <r>
          <rPr>
            <sz val="9"/>
            <color indexed="81"/>
            <rFont val="Tahoma"/>
            <family val="2"/>
          </rPr>
          <t xml:space="preserve">
0 NA
1 No solicitadas
2 Solicitadas
3 Aprobadas</t>
        </r>
      </text>
    </comment>
    <comment ref="V300" authorId="0">
      <text>
        <r>
          <rPr>
            <b/>
            <sz val="9"/>
            <color indexed="81"/>
            <rFont val="Tahoma"/>
            <family val="2"/>
          </rPr>
          <t>0 Día(s)
1 Mes (s)
2 Año(s)</t>
        </r>
      </text>
    </comment>
    <comment ref="Y300" authorId="0">
      <text>
        <r>
          <rPr>
            <sz val="9"/>
            <color indexed="81"/>
            <rFont val="Tahoma"/>
            <family val="2"/>
          </rPr>
          <t>0 Recursos propios 
1 Presupuesto de entidad nacional
2 Regalías
3 Recursos de crédito
4 SGP
5 No Aplica</t>
        </r>
      </text>
    </comment>
    <comment ref="AD300" authorId="0">
      <text>
        <r>
          <rPr>
            <b/>
            <sz val="9"/>
            <color indexed="81"/>
            <rFont val="Tahoma"/>
            <family val="2"/>
          </rPr>
          <t>0 No
1 Sí</t>
        </r>
      </text>
    </comment>
    <comment ref="AE300" authorId="0">
      <text>
        <r>
          <rPr>
            <sz val="9"/>
            <color indexed="81"/>
            <rFont val="Tahoma"/>
            <family val="2"/>
          </rPr>
          <t xml:space="preserve">
0 NA
1 No solicitadas
2 Solicitadas
3 Aprobadas</t>
        </r>
      </text>
    </comment>
    <comment ref="V301" authorId="0">
      <text>
        <r>
          <rPr>
            <b/>
            <sz val="9"/>
            <color indexed="81"/>
            <rFont val="Tahoma"/>
            <family val="2"/>
          </rPr>
          <t>0 Día(s)
1 Mes (s)
2 Año(s)</t>
        </r>
      </text>
    </comment>
    <comment ref="Y301" authorId="0">
      <text>
        <r>
          <rPr>
            <sz val="9"/>
            <color indexed="81"/>
            <rFont val="Tahoma"/>
            <family val="2"/>
          </rPr>
          <t>0 Recursos propios 
1 Presupuesto de entidad nacional
2 Regalías
3 Recursos de crédito
4 SGP
5 No Aplica</t>
        </r>
      </text>
    </comment>
    <comment ref="AD301" authorId="0">
      <text>
        <r>
          <rPr>
            <b/>
            <sz val="9"/>
            <color indexed="81"/>
            <rFont val="Tahoma"/>
            <family val="2"/>
          </rPr>
          <t>0 No
1 Sí</t>
        </r>
      </text>
    </comment>
    <comment ref="AE301" authorId="0">
      <text>
        <r>
          <rPr>
            <sz val="9"/>
            <color indexed="81"/>
            <rFont val="Tahoma"/>
            <family val="2"/>
          </rPr>
          <t xml:space="preserve">
0 NA
1 No solicitadas
2 Solicitadas
3 Aprobadas</t>
        </r>
      </text>
    </comment>
    <comment ref="V302" authorId="0">
      <text>
        <r>
          <rPr>
            <b/>
            <sz val="9"/>
            <color indexed="81"/>
            <rFont val="Tahoma"/>
            <family val="2"/>
          </rPr>
          <t>0 Día(s)
1 Mes (s)
2 Año(s)</t>
        </r>
      </text>
    </comment>
    <comment ref="Y302" authorId="0">
      <text>
        <r>
          <rPr>
            <sz val="9"/>
            <color indexed="81"/>
            <rFont val="Tahoma"/>
            <family val="2"/>
          </rPr>
          <t>0 Recursos propios 
1 Presupuesto de entidad nacional
2 Regalías
3 Recursos de crédito
4 SGP
5 No Aplica</t>
        </r>
      </text>
    </comment>
    <comment ref="AD302" authorId="0">
      <text>
        <r>
          <rPr>
            <b/>
            <sz val="9"/>
            <color indexed="81"/>
            <rFont val="Tahoma"/>
            <family val="2"/>
          </rPr>
          <t>0 No
1 Sí</t>
        </r>
      </text>
    </comment>
    <comment ref="AE302" authorId="0">
      <text>
        <r>
          <rPr>
            <sz val="9"/>
            <color indexed="81"/>
            <rFont val="Tahoma"/>
            <family val="2"/>
          </rPr>
          <t xml:space="preserve">
0 NA
1 No solicitadas
2 Solicitadas
3 Aprobadas</t>
        </r>
      </text>
    </comment>
    <comment ref="V303" authorId="0">
      <text>
        <r>
          <rPr>
            <b/>
            <sz val="9"/>
            <color indexed="81"/>
            <rFont val="Tahoma"/>
            <family val="2"/>
          </rPr>
          <t>0 Día(s)
1 Mes (s)
2 Año(s)</t>
        </r>
      </text>
    </comment>
    <comment ref="Y303" authorId="0">
      <text>
        <r>
          <rPr>
            <sz val="9"/>
            <color indexed="81"/>
            <rFont val="Tahoma"/>
            <family val="2"/>
          </rPr>
          <t>0 Recursos propios 
1 Presupuesto de entidad nacional
2 Regalías
3 Recursos de crédito
4 SGP
5 No Aplica</t>
        </r>
      </text>
    </comment>
    <comment ref="AD303" authorId="0">
      <text>
        <r>
          <rPr>
            <b/>
            <sz val="9"/>
            <color indexed="81"/>
            <rFont val="Tahoma"/>
            <family val="2"/>
          </rPr>
          <t>0 No
1 Sí</t>
        </r>
      </text>
    </comment>
    <comment ref="AE303" authorId="0">
      <text>
        <r>
          <rPr>
            <sz val="9"/>
            <color indexed="81"/>
            <rFont val="Tahoma"/>
            <family val="2"/>
          </rPr>
          <t xml:space="preserve">
0 NA
1 No solicitadas
2 Solicitadas
3 Aprobadas</t>
        </r>
      </text>
    </comment>
    <comment ref="V304" authorId="0">
      <text>
        <r>
          <rPr>
            <b/>
            <sz val="9"/>
            <color indexed="81"/>
            <rFont val="Tahoma"/>
            <family val="2"/>
          </rPr>
          <t>0 Día(s)
1 Mes (s)
2 Año(s)</t>
        </r>
      </text>
    </comment>
    <comment ref="Y304" authorId="0">
      <text>
        <r>
          <rPr>
            <sz val="9"/>
            <color indexed="81"/>
            <rFont val="Tahoma"/>
            <family val="2"/>
          </rPr>
          <t>0 Recursos propios 
1 Presupuesto de entidad nacional
2 Regalías
3 Recursos de crédito
4 SGP
5 No Aplica</t>
        </r>
      </text>
    </comment>
    <comment ref="AD304" authorId="0">
      <text>
        <r>
          <rPr>
            <b/>
            <sz val="9"/>
            <color indexed="81"/>
            <rFont val="Tahoma"/>
            <family val="2"/>
          </rPr>
          <t>0 No
1 Sí</t>
        </r>
      </text>
    </comment>
    <comment ref="AE304" authorId="0">
      <text>
        <r>
          <rPr>
            <sz val="9"/>
            <color indexed="81"/>
            <rFont val="Tahoma"/>
            <family val="2"/>
          </rPr>
          <t xml:space="preserve">
0 NA
1 No solicitadas
2 Solicitadas
3 Aprobadas</t>
        </r>
      </text>
    </comment>
    <comment ref="V305" authorId="0">
      <text>
        <r>
          <rPr>
            <b/>
            <sz val="9"/>
            <color indexed="81"/>
            <rFont val="Tahoma"/>
            <family val="2"/>
          </rPr>
          <t>0 Día(s)
1 Mes (s)
2 Año(s)</t>
        </r>
      </text>
    </comment>
    <comment ref="Y305" authorId="0">
      <text>
        <r>
          <rPr>
            <sz val="9"/>
            <color indexed="81"/>
            <rFont val="Tahoma"/>
            <family val="2"/>
          </rPr>
          <t>0 Recursos propios 
1 Presupuesto de entidad nacional
2 Regalías
3 Recursos de crédito
4 SGP
5 No Aplica</t>
        </r>
      </text>
    </comment>
    <comment ref="AD305" authorId="0">
      <text>
        <r>
          <rPr>
            <b/>
            <sz val="9"/>
            <color indexed="81"/>
            <rFont val="Tahoma"/>
            <family val="2"/>
          </rPr>
          <t>0 No
1 Sí</t>
        </r>
      </text>
    </comment>
    <comment ref="AE305" authorId="0">
      <text>
        <r>
          <rPr>
            <sz val="9"/>
            <color indexed="81"/>
            <rFont val="Tahoma"/>
            <family val="2"/>
          </rPr>
          <t xml:space="preserve">
0 NA
1 No solicitadas
2 Solicitadas
3 Aprobadas</t>
        </r>
      </text>
    </comment>
    <comment ref="V306" authorId="0">
      <text>
        <r>
          <rPr>
            <b/>
            <sz val="9"/>
            <color indexed="81"/>
            <rFont val="Tahoma"/>
            <family val="2"/>
          </rPr>
          <t>0 Día(s)
1 Mes (s)
2 Año(s)</t>
        </r>
      </text>
    </comment>
    <comment ref="Y306" authorId="0">
      <text>
        <r>
          <rPr>
            <sz val="9"/>
            <color indexed="81"/>
            <rFont val="Tahoma"/>
            <family val="2"/>
          </rPr>
          <t>0 Recursos propios 
1 Presupuesto de entidad nacional
2 Regalías
3 Recursos de crédito
4 SGP
5 No Aplica</t>
        </r>
      </text>
    </comment>
    <comment ref="AD306" authorId="0">
      <text>
        <r>
          <rPr>
            <b/>
            <sz val="9"/>
            <color indexed="81"/>
            <rFont val="Tahoma"/>
            <family val="2"/>
          </rPr>
          <t>0 No
1 Sí</t>
        </r>
      </text>
    </comment>
    <comment ref="AE306" authorId="0">
      <text>
        <r>
          <rPr>
            <sz val="9"/>
            <color indexed="81"/>
            <rFont val="Tahoma"/>
            <family val="2"/>
          </rPr>
          <t xml:space="preserve">
0 NA
1 No solicitadas
2 Solicitadas
3 Aprobadas</t>
        </r>
      </text>
    </comment>
    <comment ref="AZ306" authorId="1">
      <text>
        <r>
          <rPr>
            <b/>
            <sz val="9"/>
            <color indexed="81"/>
            <rFont val="Tahoma"/>
            <family val="2"/>
          </rPr>
          <t>Orlando Arias:</t>
        </r>
        <r>
          <rPr>
            <sz val="9"/>
            <color indexed="81"/>
            <rFont val="Tahoma"/>
            <family val="2"/>
          </rPr>
          <t xml:space="preserve">
Reducción para traslado de recursos al proycto 11110</t>
        </r>
      </text>
    </comment>
    <comment ref="V307" authorId="0">
      <text>
        <r>
          <rPr>
            <b/>
            <sz val="9"/>
            <color indexed="81"/>
            <rFont val="Tahoma"/>
            <family val="2"/>
          </rPr>
          <t>0 Día(s)
1 Mes (s)
2 Año(s)</t>
        </r>
      </text>
    </comment>
    <comment ref="Y307" authorId="0">
      <text>
        <r>
          <rPr>
            <sz val="9"/>
            <color indexed="81"/>
            <rFont val="Tahoma"/>
            <family val="2"/>
          </rPr>
          <t>0 Recursos propios 
1 Presupuesto de entidad nacional
2 Regalías
3 Recursos de crédito
4 SGP
5 No Aplica</t>
        </r>
      </text>
    </comment>
    <comment ref="AD307" authorId="0">
      <text>
        <r>
          <rPr>
            <b/>
            <sz val="9"/>
            <color indexed="81"/>
            <rFont val="Tahoma"/>
            <family val="2"/>
          </rPr>
          <t>0 No
1 Sí</t>
        </r>
      </text>
    </comment>
    <comment ref="AE307" authorId="0">
      <text>
        <r>
          <rPr>
            <sz val="9"/>
            <color indexed="81"/>
            <rFont val="Tahoma"/>
            <family val="2"/>
          </rPr>
          <t xml:space="preserve">
0 NA
1 No solicitadas
2 Solicitadas
3 Aprobadas</t>
        </r>
      </text>
    </comment>
    <comment ref="V308" authorId="0">
      <text>
        <r>
          <rPr>
            <b/>
            <sz val="9"/>
            <color indexed="81"/>
            <rFont val="Tahoma"/>
            <family val="2"/>
          </rPr>
          <t>0 Día(s)
1 Mes (s)
2 Año(s)</t>
        </r>
      </text>
    </comment>
    <comment ref="Y308" authorId="0">
      <text>
        <r>
          <rPr>
            <sz val="9"/>
            <color indexed="81"/>
            <rFont val="Tahoma"/>
            <family val="2"/>
          </rPr>
          <t>0 Recursos propios 
1 Presupuesto de entidad nacional
2 Regalías
3 Recursos de crédito
4 SGP
5 No Aplica</t>
        </r>
      </text>
    </comment>
    <comment ref="AD308" authorId="0">
      <text>
        <r>
          <rPr>
            <b/>
            <sz val="9"/>
            <color indexed="81"/>
            <rFont val="Tahoma"/>
            <family val="2"/>
          </rPr>
          <t>0 No
1 Sí</t>
        </r>
      </text>
    </comment>
    <comment ref="AE308" authorId="0">
      <text>
        <r>
          <rPr>
            <sz val="9"/>
            <color indexed="81"/>
            <rFont val="Tahoma"/>
            <family val="2"/>
          </rPr>
          <t xml:space="preserve">
0 NA
1 No solicitadas
2 Solicitadas
3 Aprobadas</t>
        </r>
      </text>
    </comment>
    <comment ref="V309" authorId="0">
      <text>
        <r>
          <rPr>
            <b/>
            <sz val="9"/>
            <color indexed="81"/>
            <rFont val="Tahoma"/>
            <family val="2"/>
          </rPr>
          <t>0 Día(s)
1 Mes (s)
2 Año(s)</t>
        </r>
      </text>
    </comment>
    <comment ref="Y309" authorId="0">
      <text>
        <r>
          <rPr>
            <sz val="9"/>
            <color indexed="81"/>
            <rFont val="Tahoma"/>
            <family val="2"/>
          </rPr>
          <t>0 Recursos propios 
1 Presupuesto de entidad nacional
2 Regalías
3 Recursos de crédito
4 SGP
5 No Aplica</t>
        </r>
      </text>
    </comment>
    <comment ref="AD309" authorId="0">
      <text>
        <r>
          <rPr>
            <b/>
            <sz val="9"/>
            <color indexed="81"/>
            <rFont val="Tahoma"/>
            <family val="2"/>
          </rPr>
          <t>0 No
1 Sí</t>
        </r>
      </text>
    </comment>
    <comment ref="AE309" authorId="0">
      <text>
        <r>
          <rPr>
            <sz val="9"/>
            <color indexed="81"/>
            <rFont val="Tahoma"/>
            <family val="2"/>
          </rPr>
          <t xml:space="preserve">
0 NA
1 No solicitadas
2 Solicitadas
3 Aprobadas</t>
        </r>
      </text>
    </comment>
    <comment ref="AU309" authorId="1">
      <text>
        <r>
          <rPr>
            <b/>
            <sz val="9"/>
            <color indexed="81"/>
            <rFont val="Tahoma"/>
            <family val="2"/>
          </rPr>
          <t>Orlando Arias:</t>
        </r>
        <r>
          <rPr>
            <sz val="9"/>
            <color indexed="81"/>
            <rFont val="Tahoma"/>
            <family val="2"/>
          </rPr>
          <t xml:space="preserve">
Por este concepto se expidio el CDP</t>
        </r>
      </text>
    </comment>
    <comment ref="BF309" authorId="1">
      <text>
        <r>
          <rPr>
            <b/>
            <sz val="9"/>
            <color indexed="81"/>
            <rFont val="Tahoma"/>
            <family val="2"/>
          </rPr>
          <t>Orlando Arias:</t>
        </r>
        <r>
          <rPr>
            <sz val="9"/>
            <color indexed="81"/>
            <rFont val="Tahoma"/>
            <family val="2"/>
          </rPr>
          <t xml:space="preserve">
La solicitud de CDP quedo mal tramitada, ya que salio por el concepto de gasto 0187, se viabilizò bien, para poder llevar control del saldo hoy 16-05-2018, modifico el concepto de gasto de acuerdo al concepto de gasto del CDP</t>
        </r>
      </text>
    </comment>
    <comment ref="V310" authorId="0">
      <text>
        <r>
          <rPr>
            <b/>
            <sz val="9"/>
            <color indexed="81"/>
            <rFont val="Tahoma"/>
            <family val="2"/>
          </rPr>
          <t>0 Día(s)
1 Mes (s)
2 Año(s)</t>
        </r>
      </text>
    </comment>
    <comment ref="Y310" authorId="0">
      <text>
        <r>
          <rPr>
            <sz val="9"/>
            <color indexed="81"/>
            <rFont val="Tahoma"/>
            <family val="2"/>
          </rPr>
          <t>0 Recursos propios 
1 Presupuesto de entidad nacional
2 Regalías
3 Recursos de crédito
4 SGP
5 No Aplica</t>
        </r>
      </text>
    </comment>
    <comment ref="AD310" authorId="0">
      <text>
        <r>
          <rPr>
            <b/>
            <sz val="9"/>
            <color indexed="81"/>
            <rFont val="Tahoma"/>
            <family val="2"/>
          </rPr>
          <t>0 No
1 Sí</t>
        </r>
      </text>
    </comment>
    <comment ref="AE310" authorId="0">
      <text>
        <r>
          <rPr>
            <sz val="9"/>
            <color indexed="81"/>
            <rFont val="Tahoma"/>
            <family val="2"/>
          </rPr>
          <t xml:space="preserve">
0 NA
1 No solicitadas
2 Solicitadas
3 Aprobadas</t>
        </r>
      </text>
    </comment>
    <comment ref="V311" authorId="0">
      <text>
        <r>
          <rPr>
            <b/>
            <sz val="9"/>
            <color indexed="81"/>
            <rFont val="Tahoma"/>
            <family val="2"/>
          </rPr>
          <t>0 Día(s)
1 Mes (s)
2 Año(s)</t>
        </r>
      </text>
    </comment>
    <comment ref="Y311" authorId="0">
      <text>
        <r>
          <rPr>
            <sz val="9"/>
            <color indexed="81"/>
            <rFont val="Tahoma"/>
            <family val="2"/>
          </rPr>
          <t>0 Recursos propios 
1 Presupuesto de entidad nacional
2 Regalías
3 Recursos de crédito
4 SGP
5 No Aplica</t>
        </r>
      </text>
    </comment>
    <comment ref="AD311" authorId="0">
      <text>
        <r>
          <rPr>
            <b/>
            <sz val="9"/>
            <color indexed="81"/>
            <rFont val="Tahoma"/>
            <family val="2"/>
          </rPr>
          <t>0 No
1 Sí</t>
        </r>
      </text>
    </comment>
    <comment ref="AE311" authorId="0">
      <text>
        <r>
          <rPr>
            <sz val="9"/>
            <color indexed="81"/>
            <rFont val="Tahoma"/>
            <family val="2"/>
          </rPr>
          <t xml:space="preserve">
0 NA
1 No solicitadas
2 Solicitadas
3 Aprobadas</t>
        </r>
      </text>
    </comment>
    <comment ref="V312" authorId="0">
      <text>
        <r>
          <rPr>
            <b/>
            <sz val="9"/>
            <color indexed="81"/>
            <rFont val="Tahoma"/>
            <family val="2"/>
          </rPr>
          <t>0 Día(s)
1 Mes (s)
2 Año(s)</t>
        </r>
      </text>
    </comment>
    <comment ref="Y312" authorId="0">
      <text>
        <r>
          <rPr>
            <sz val="9"/>
            <color indexed="81"/>
            <rFont val="Tahoma"/>
            <family val="2"/>
          </rPr>
          <t>0 Recursos propios 
1 Presupuesto de entidad nacional
2 Regalías
3 Recursos de crédito
4 SGP
5 No Aplica</t>
        </r>
      </text>
    </comment>
    <comment ref="AD312" authorId="0">
      <text>
        <r>
          <rPr>
            <b/>
            <sz val="9"/>
            <color indexed="81"/>
            <rFont val="Tahoma"/>
            <family val="2"/>
          </rPr>
          <t>0 No
1 Sí</t>
        </r>
      </text>
    </comment>
    <comment ref="AE312" authorId="0">
      <text>
        <r>
          <rPr>
            <sz val="9"/>
            <color indexed="81"/>
            <rFont val="Tahoma"/>
            <family val="2"/>
          </rPr>
          <t xml:space="preserve">
0 NA
1 No solicitadas
2 Solicitadas
3 Aprobadas</t>
        </r>
      </text>
    </comment>
    <comment ref="V313" authorId="0">
      <text>
        <r>
          <rPr>
            <b/>
            <sz val="9"/>
            <color indexed="81"/>
            <rFont val="Tahoma"/>
            <family val="2"/>
          </rPr>
          <t>0 Día(s)
1 Mes (s)
2 Año(s)</t>
        </r>
      </text>
    </comment>
    <comment ref="Y313" authorId="0">
      <text>
        <r>
          <rPr>
            <sz val="9"/>
            <color indexed="81"/>
            <rFont val="Tahoma"/>
            <family val="2"/>
          </rPr>
          <t>0 Recursos propios 
1 Presupuesto de entidad nacional
2 Regalías
3 Recursos de crédito
4 SGP
5 No Aplica</t>
        </r>
      </text>
    </comment>
    <comment ref="AD313" authorId="0">
      <text>
        <r>
          <rPr>
            <b/>
            <sz val="9"/>
            <color indexed="81"/>
            <rFont val="Tahoma"/>
            <family val="2"/>
          </rPr>
          <t>0 No
1 Sí</t>
        </r>
      </text>
    </comment>
    <comment ref="AE313" authorId="0">
      <text>
        <r>
          <rPr>
            <sz val="9"/>
            <color indexed="81"/>
            <rFont val="Tahoma"/>
            <family val="2"/>
          </rPr>
          <t xml:space="preserve">
0 NA
1 No solicitadas
2 Solicitadas
3 Aprobadas</t>
        </r>
      </text>
    </comment>
    <comment ref="V314" authorId="0">
      <text>
        <r>
          <rPr>
            <b/>
            <sz val="9"/>
            <color indexed="81"/>
            <rFont val="Tahoma"/>
            <family val="2"/>
          </rPr>
          <t>0 Día(s)
1 Mes (s)
2 Año(s)</t>
        </r>
      </text>
    </comment>
    <comment ref="Y314" authorId="0">
      <text>
        <r>
          <rPr>
            <sz val="9"/>
            <color indexed="81"/>
            <rFont val="Tahoma"/>
            <family val="2"/>
          </rPr>
          <t>0 Recursos propios 
1 Presupuesto de entidad nacional
2 Regalías
3 Recursos de crédito
4 SGP
5 No Aplica</t>
        </r>
      </text>
    </comment>
    <comment ref="AD314" authorId="0">
      <text>
        <r>
          <rPr>
            <b/>
            <sz val="9"/>
            <color indexed="81"/>
            <rFont val="Tahoma"/>
            <family val="2"/>
          </rPr>
          <t>0 No
1 Sí</t>
        </r>
      </text>
    </comment>
    <comment ref="AE314" authorId="0">
      <text>
        <r>
          <rPr>
            <sz val="9"/>
            <color indexed="81"/>
            <rFont val="Tahoma"/>
            <family val="2"/>
          </rPr>
          <t xml:space="preserve">
0 NA
1 No solicitadas
2 Solicitadas
3 Aprobadas</t>
        </r>
      </text>
    </comment>
    <comment ref="V315" authorId="0">
      <text>
        <r>
          <rPr>
            <b/>
            <sz val="9"/>
            <color indexed="81"/>
            <rFont val="Tahoma"/>
            <family val="2"/>
          </rPr>
          <t>0 Día(s)
1 Mes (s)
2 Año(s)</t>
        </r>
      </text>
    </comment>
    <comment ref="Y315" authorId="0">
      <text>
        <r>
          <rPr>
            <sz val="9"/>
            <color indexed="81"/>
            <rFont val="Tahoma"/>
            <family val="2"/>
          </rPr>
          <t>0 Recursos propios 
1 Presupuesto de entidad nacional
2 Regalías
3 Recursos de crédito
4 SGP
5 No Aplica</t>
        </r>
      </text>
    </comment>
    <comment ref="AD315" authorId="0">
      <text>
        <r>
          <rPr>
            <b/>
            <sz val="9"/>
            <color indexed="81"/>
            <rFont val="Tahoma"/>
            <family val="2"/>
          </rPr>
          <t>0 No
1 Sí</t>
        </r>
      </text>
    </comment>
    <comment ref="AE315" authorId="0">
      <text>
        <r>
          <rPr>
            <sz val="9"/>
            <color indexed="81"/>
            <rFont val="Tahoma"/>
            <family val="2"/>
          </rPr>
          <t xml:space="preserve">
0 NA
1 No solicitadas
2 Solicitadas
3 Aprobadas</t>
        </r>
      </text>
    </comment>
    <comment ref="V316" authorId="0">
      <text>
        <r>
          <rPr>
            <b/>
            <sz val="9"/>
            <color indexed="81"/>
            <rFont val="Tahoma"/>
            <family val="2"/>
          </rPr>
          <t>0 Día(s)
1 Mes (s)
2 Año(s)</t>
        </r>
      </text>
    </comment>
    <comment ref="Y316" authorId="0">
      <text>
        <r>
          <rPr>
            <sz val="9"/>
            <color indexed="81"/>
            <rFont val="Tahoma"/>
            <family val="2"/>
          </rPr>
          <t>0 Recursos propios 
1 Presupuesto de entidad nacional
2 Regalías
3 Recursos de crédito
4 SGP
5 No Aplica</t>
        </r>
      </text>
    </comment>
    <comment ref="AD316" authorId="0">
      <text>
        <r>
          <rPr>
            <b/>
            <sz val="9"/>
            <color indexed="81"/>
            <rFont val="Tahoma"/>
            <family val="2"/>
          </rPr>
          <t>0 No
1 Sí</t>
        </r>
      </text>
    </comment>
    <comment ref="AE316" authorId="0">
      <text>
        <r>
          <rPr>
            <sz val="9"/>
            <color indexed="81"/>
            <rFont val="Tahoma"/>
            <family val="2"/>
          </rPr>
          <t xml:space="preserve">
0 NA
1 No solicitadas
2 Solicitadas
3 Aprobadas</t>
        </r>
      </text>
    </comment>
    <comment ref="V317" authorId="0">
      <text>
        <r>
          <rPr>
            <b/>
            <sz val="9"/>
            <color indexed="81"/>
            <rFont val="Tahoma"/>
            <family val="2"/>
          </rPr>
          <t>0 Día(s)
1 Mes (s)
2 Año(s)</t>
        </r>
      </text>
    </comment>
    <comment ref="Y317" authorId="0">
      <text>
        <r>
          <rPr>
            <sz val="9"/>
            <color indexed="81"/>
            <rFont val="Tahoma"/>
            <family val="2"/>
          </rPr>
          <t>0 Recursos propios 
1 Presupuesto de entidad nacional
2 Regalías
3 Recursos de crédito
4 SGP
5 No Aplica</t>
        </r>
      </text>
    </comment>
    <comment ref="AD317" authorId="0">
      <text>
        <r>
          <rPr>
            <b/>
            <sz val="9"/>
            <color indexed="81"/>
            <rFont val="Tahoma"/>
            <family val="2"/>
          </rPr>
          <t>0 No
1 Sí</t>
        </r>
      </text>
    </comment>
    <comment ref="AE317" authorId="0">
      <text>
        <r>
          <rPr>
            <sz val="9"/>
            <color indexed="81"/>
            <rFont val="Tahoma"/>
            <family val="2"/>
          </rPr>
          <t xml:space="preserve">
0 NA
1 No solicitadas
2 Solicitadas
3 Aprobadas</t>
        </r>
      </text>
    </comment>
    <comment ref="V318" authorId="0">
      <text>
        <r>
          <rPr>
            <b/>
            <sz val="9"/>
            <color indexed="81"/>
            <rFont val="Tahoma"/>
            <family val="2"/>
          </rPr>
          <t>0 Día(s)
1 Mes (s)
2 Año(s)</t>
        </r>
      </text>
    </comment>
    <comment ref="Y318" authorId="0">
      <text>
        <r>
          <rPr>
            <sz val="9"/>
            <color indexed="81"/>
            <rFont val="Tahoma"/>
            <family val="2"/>
          </rPr>
          <t>0 Recursos propios 
1 Presupuesto de entidad nacional
2 Regalías
3 Recursos de crédito
4 SGP
5 No Aplica</t>
        </r>
      </text>
    </comment>
    <comment ref="AD318" authorId="0">
      <text>
        <r>
          <rPr>
            <b/>
            <sz val="9"/>
            <color indexed="81"/>
            <rFont val="Tahoma"/>
            <family val="2"/>
          </rPr>
          <t>0 No
1 Sí</t>
        </r>
      </text>
    </comment>
    <comment ref="AE318" authorId="0">
      <text>
        <r>
          <rPr>
            <sz val="9"/>
            <color indexed="81"/>
            <rFont val="Tahoma"/>
            <family val="2"/>
          </rPr>
          <t xml:space="preserve">
0 NA
1 No solicitadas
2 Solicitadas
3 Aprobadas</t>
        </r>
      </text>
    </comment>
    <comment ref="V319" authorId="0">
      <text>
        <r>
          <rPr>
            <b/>
            <sz val="9"/>
            <color indexed="81"/>
            <rFont val="Tahoma"/>
            <family val="2"/>
          </rPr>
          <t>0 Día(s)
1 Mes (s)
2 Año(s)</t>
        </r>
      </text>
    </comment>
    <comment ref="Y319" authorId="0">
      <text>
        <r>
          <rPr>
            <sz val="9"/>
            <color indexed="81"/>
            <rFont val="Tahoma"/>
            <family val="2"/>
          </rPr>
          <t>0 Recursos propios 
1 Presupuesto de entidad nacional
2 Regalías
3 Recursos de crédito
4 SGP
5 No Aplica</t>
        </r>
      </text>
    </comment>
    <comment ref="AD319" authorId="0">
      <text>
        <r>
          <rPr>
            <b/>
            <sz val="9"/>
            <color indexed="81"/>
            <rFont val="Tahoma"/>
            <family val="2"/>
          </rPr>
          <t>0 No
1 Sí</t>
        </r>
      </text>
    </comment>
    <comment ref="AE319" authorId="0">
      <text>
        <r>
          <rPr>
            <sz val="9"/>
            <color indexed="81"/>
            <rFont val="Tahoma"/>
            <family val="2"/>
          </rPr>
          <t xml:space="preserve">
0 NA
1 No solicitadas
2 Solicitadas
3 Aprobadas</t>
        </r>
      </text>
    </comment>
    <comment ref="V320" authorId="0">
      <text>
        <r>
          <rPr>
            <b/>
            <sz val="9"/>
            <color indexed="81"/>
            <rFont val="Tahoma"/>
            <family val="2"/>
          </rPr>
          <t>0 Día(s)
1 Mes (s)
2 Año(s)</t>
        </r>
      </text>
    </comment>
    <comment ref="Y320" authorId="0">
      <text>
        <r>
          <rPr>
            <sz val="9"/>
            <color indexed="81"/>
            <rFont val="Tahoma"/>
            <family val="2"/>
          </rPr>
          <t>0 Recursos propios 
1 Presupuesto de entidad nacional
2 Regalías
3 Recursos de crédito
4 SGP
5 No Aplica</t>
        </r>
      </text>
    </comment>
    <comment ref="AD320" authorId="0">
      <text>
        <r>
          <rPr>
            <b/>
            <sz val="9"/>
            <color indexed="81"/>
            <rFont val="Tahoma"/>
            <family val="2"/>
          </rPr>
          <t>0 No
1 Sí</t>
        </r>
      </text>
    </comment>
    <comment ref="AE320" authorId="0">
      <text>
        <r>
          <rPr>
            <sz val="9"/>
            <color indexed="81"/>
            <rFont val="Tahoma"/>
            <family val="2"/>
          </rPr>
          <t xml:space="preserve">
0 NA
1 No solicitadas
2 Solicitadas
3 Aprobadas</t>
        </r>
      </text>
    </comment>
    <comment ref="V321" authorId="0">
      <text>
        <r>
          <rPr>
            <b/>
            <sz val="9"/>
            <color indexed="81"/>
            <rFont val="Tahoma"/>
            <family val="2"/>
          </rPr>
          <t>0 Día(s)
1 Mes (s)
2 Año(s)</t>
        </r>
      </text>
    </comment>
    <comment ref="Y321" authorId="0">
      <text>
        <r>
          <rPr>
            <sz val="9"/>
            <color indexed="81"/>
            <rFont val="Tahoma"/>
            <family val="2"/>
          </rPr>
          <t>0 Recursos propios 
1 Presupuesto de entidad nacional
2 Regalías
3 Recursos de crédito
4 SGP
5 No Aplica</t>
        </r>
      </text>
    </comment>
    <comment ref="AD321" authorId="0">
      <text>
        <r>
          <rPr>
            <b/>
            <sz val="9"/>
            <color indexed="81"/>
            <rFont val="Tahoma"/>
            <family val="2"/>
          </rPr>
          <t>0 No
1 Sí</t>
        </r>
      </text>
    </comment>
    <comment ref="AE321" authorId="0">
      <text>
        <r>
          <rPr>
            <sz val="9"/>
            <color indexed="81"/>
            <rFont val="Tahoma"/>
            <family val="2"/>
          </rPr>
          <t xml:space="preserve">
0 NA
1 No solicitadas
2 Solicitadas
3 Aprobadas</t>
        </r>
      </text>
    </comment>
    <comment ref="V322" authorId="0">
      <text>
        <r>
          <rPr>
            <b/>
            <sz val="9"/>
            <color indexed="81"/>
            <rFont val="Tahoma"/>
            <family val="2"/>
          </rPr>
          <t>0 Día(s)
1 Mes (s)
2 Año(s)</t>
        </r>
      </text>
    </comment>
    <comment ref="Y322" authorId="0">
      <text>
        <r>
          <rPr>
            <sz val="9"/>
            <color indexed="81"/>
            <rFont val="Tahoma"/>
            <family val="2"/>
          </rPr>
          <t>0 Recursos propios 
1 Presupuesto de entidad nacional
2 Regalías
3 Recursos de crédito
4 SGP
5 No Aplica</t>
        </r>
      </text>
    </comment>
    <comment ref="AD322" authorId="0">
      <text>
        <r>
          <rPr>
            <b/>
            <sz val="9"/>
            <color indexed="81"/>
            <rFont val="Tahoma"/>
            <family val="2"/>
          </rPr>
          <t>0 No
1 Sí</t>
        </r>
      </text>
    </comment>
    <comment ref="AE322" authorId="0">
      <text>
        <r>
          <rPr>
            <sz val="9"/>
            <color indexed="81"/>
            <rFont val="Tahoma"/>
            <family val="2"/>
          </rPr>
          <t xml:space="preserve">
0 NA
1 No solicitadas
2 Solicitadas
3 Aprobadas</t>
        </r>
      </text>
    </comment>
    <comment ref="V323" authorId="0">
      <text>
        <r>
          <rPr>
            <b/>
            <sz val="9"/>
            <color indexed="81"/>
            <rFont val="Tahoma"/>
            <family val="2"/>
          </rPr>
          <t>0 Día(s)
1 Mes (s)
2 Año(s)</t>
        </r>
      </text>
    </comment>
    <comment ref="Y323" authorId="0">
      <text>
        <r>
          <rPr>
            <sz val="9"/>
            <color indexed="81"/>
            <rFont val="Tahoma"/>
            <family val="2"/>
          </rPr>
          <t>0 Recursos propios 
1 Presupuesto de entidad nacional
2 Regalías
3 Recursos de crédito
4 SGP
5 No Aplica</t>
        </r>
      </text>
    </comment>
    <comment ref="AD323" authorId="0">
      <text>
        <r>
          <rPr>
            <b/>
            <sz val="9"/>
            <color indexed="81"/>
            <rFont val="Tahoma"/>
            <family val="2"/>
          </rPr>
          <t>0 No
1 Sí</t>
        </r>
      </text>
    </comment>
    <comment ref="AE323" authorId="0">
      <text>
        <r>
          <rPr>
            <sz val="9"/>
            <color indexed="81"/>
            <rFont val="Tahoma"/>
            <family val="2"/>
          </rPr>
          <t xml:space="preserve">
0 NA
1 No solicitadas
2 Solicitadas
3 Aprobadas</t>
        </r>
      </text>
    </comment>
    <comment ref="V324" authorId="0">
      <text>
        <r>
          <rPr>
            <b/>
            <sz val="9"/>
            <color indexed="81"/>
            <rFont val="Tahoma"/>
            <family val="2"/>
          </rPr>
          <t>0 Día(s)
1 Mes (s)
2 Año(s)</t>
        </r>
      </text>
    </comment>
    <comment ref="Y324" authorId="0">
      <text>
        <r>
          <rPr>
            <sz val="9"/>
            <color indexed="81"/>
            <rFont val="Tahoma"/>
            <family val="2"/>
          </rPr>
          <t>0 Recursos propios 
1 Presupuesto de entidad nacional
2 Regalías
3 Recursos de crédito
4 SGP
5 No Aplica</t>
        </r>
      </text>
    </comment>
    <comment ref="AD324" authorId="0">
      <text>
        <r>
          <rPr>
            <b/>
            <sz val="9"/>
            <color indexed="81"/>
            <rFont val="Tahoma"/>
            <family val="2"/>
          </rPr>
          <t>0 No
1 Sí</t>
        </r>
      </text>
    </comment>
    <comment ref="AE324" authorId="0">
      <text>
        <r>
          <rPr>
            <sz val="9"/>
            <color indexed="81"/>
            <rFont val="Tahoma"/>
            <family val="2"/>
          </rPr>
          <t xml:space="preserve">
0 NA
1 No solicitadas
2 Solicitadas
3 Aprobadas</t>
        </r>
      </text>
    </comment>
    <comment ref="V325" authorId="0">
      <text>
        <r>
          <rPr>
            <b/>
            <sz val="9"/>
            <color indexed="81"/>
            <rFont val="Tahoma"/>
            <family val="2"/>
          </rPr>
          <t>0 Día(s)
1 Mes (s)
2 Año(s)</t>
        </r>
      </text>
    </comment>
    <comment ref="Y325" authorId="0">
      <text>
        <r>
          <rPr>
            <sz val="9"/>
            <color indexed="81"/>
            <rFont val="Tahoma"/>
            <family val="2"/>
          </rPr>
          <t>0 Recursos propios 
1 Presupuesto de entidad nacional
2 Regalías
3 Recursos de crédito
4 SGP
5 No Aplica</t>
        </r>
      </text>
    </comment>
    <comment ref="AD325" authorId="0">
      <text>
        <r>
          <rPr>
            <b/>
            <sz val="9"/>
            <color indexed="81"/>
            <rFont val="Tahoma"/>
            <family val="2"/>
          </rPr>
          <t>0 No
1 Sí</t>
        </r>
      </text>
    </comment>
    <comment ref="AE325" authorId="0">
      <text>
        <r>
          <rPr>
            <sz val="9"/>
            <color indexed="81"/>
            <rFont val="Tahoma"/>
            <family val="2"/>
          </rPr>
          <t xml:space="preserve">
0 NA
1 No solicitadas
2 Solicitadas
3 Aprobadas</t>
        </r>
      </text>
    </comment>
    <comment ref="V326" authorId="0">
      <text>
        <r>
          <rPr>
            <b/>
            <sz val="9"/>
            <color indexed="81"/>
            <rFont val="Tahoma"/>
            <family val="2"/>
          </rPr>
          <t>0 Día(s)
1 Mes (s)
2 Año(s)</t>
        </r>
      </text>
    </comment>
    <comment ref="Y326" authorId="0">
      <text>
        <r>
          <rPr>
            <sz val="9"/>
            <color indexed="81"/>
            <rFont val="Tahoma"/>
            <family val="2"/>
          </rPr>
          <t>0 Recursos propios 
1 Presupuesto de entidad nacional
2 Regalías
3 Recursos de crédito
4 SGP
5 No Aplica</t>
        </r>
      </text>
    </comment>
    <comment ref="AD326" authorId="0">
      <text>
        <r>
          <rPr>
            <b/>
            <sz val="9"/>
            <color indexed="81"/>
            <rFont val="Tahoma"/>
            <family val="2"/>
          </rPr>
          <t>0 No
1 Sí</t>
        </r>
      </text>
    </comment>
    <comment ref="AE326" authorId="0">
      <text>
        <r>
          <rPr>
            <sz val="9"/>
            <color indexed="81"/>
            <rFont val="Tahoma"/>
            <family val="2"/>
          </rPr>
          <t xml:space="preserve">
0 NA
1 No solicitadas
2 Solicitadas
3 Aprobadas</t>
        </r>
      </text>
    </comment>
    <comment ref="V327" authorId="0">
      <text>
        <r>
          <rPr>
            <b/>
            <sz val="9"/>
            <color indexed="81"/>
            <rFont val="Tahoma"/>
            <family val="2"/>
          </rPr>
          <t>0 Día(s)
1 Mes (s)
2 Año(s)</t>
        </r>
      </text>
    </comment>
    <comment ref="Y327" authorId="0">
      <text>
        <r>
          <rPr>
            <sz val="9"/>
            <color indexed="81"/>
            <rFont val="Tahoma"/>
            <family val="2"/>
          </rPr>
          <t>0 Recursos propios 
1 Presupuesto de entidad nacional
2 Regalías
3 Recursos de crédito
4 SGP
5 No Aplica</t>
        </r>
      </text>
    </comment>
    <comment ref="AD327" authorId="0">
      <text>
        <r>
          <rPr>
            <b/>
            <sz val="9"/>
            <color indexed="81"/>
            <rFont val="Tahoma"/>
            <family val="2"/>
          </rPr>
          <t>0 No
1 Sí</t>
        </r>
      </text>
    </comment>
    <comment ref="AE327" authorId="0">
      <text>
        <r>
          <rPr>
            <sz val="9"/>
            <color indexed="81"/>
            <rFont val="Tahoma"/>
            <family val="2"/>
          </rPr>
          <t xml:space="preserve">
0 NA
1 No solicitadas
2 Solicitadas
3 Aprobadas</t>
        </r>
      </text>
    </comment>
    <comment ref="V328" authorId="0">
      <text>
        <r>
          <rPr>
            <b/>
            <sz val="9"/>
            <color indexed="81"/>
            <rFont val="Tahoma"/>
            <family val="2"/>
          </rPr>
          <t>0 Día(s)
1 Mes (s)
2 Año(s)</t>
        </r>
      </text>
    </comment>
    <comment ref="Y328" authorId="0">
      <text>
        <r>
          <rPr>
            <sz val="9"/>
            <color indexed="81"/>
            <rFont val="Tahoma"/>
            <family val="2"/>
          </rPr>
          <t>0 Recursos propios 
1 Presupuesto de entidad nacional
2 Regalías
3 Recursos de crédito
4 SGP
5 No Aplica</t>
        </r>
      </text>
    </comment>
    <comment ref="AD328" authorId="0">
      <text>
        <r>
          <rPr>
            <b/>
            <sz val="9"/>
            <color indexed="81"/>
            <rFont val="Tahoma"/>
            <family val="2"/>
          </rPr>
          <t>0 No
1 Sí</t>
        </r>
      </text>
    </comment>
    <comment ref="AE328" authorId="0">
      <text>
        <r>
          <rPr>
            <sz val="9"/>
            <color indexed="81"/>
            <rFont val="Tahoma"/>
            <family val="2"/>
          </rPr>
          <t xml:space="preserve">
0 NA
1 No solicitadas
2 Solicitadas
3 Aprobadas</t>
        </r>
      </text>
    </comment>
    <comment ref="AZ328" authorId="1">
      <text>
        <r>
          <rPr>
            <b/>
            <sz val="9"/>
            <color indexed="81"/>
            <rFont val="Tahoma"/>
            <family val="2"/>
          </rPr>
          <t>Orlando Arias:</t>
        </r>
        <r>
          <rPr>
            <sz val="9"/>
            <color indexed="81"/>
            <rFont val="Tahoma"/>
            <family val="2"/>
          </rPr>
          <t xml:space="preserve">
Reducción para traslado de recursos al proycto 11110</t>
        </r>
      </text>
    </comment>
    <comment ref="V329" authorId="0">
      <text>
        <r>
          <rPr>
            <b/>
            <sz val="9"/>
            <color indexed="81"/>
            <rFont val="Tahoma"/>
            <family val="2"/>
          </rPr>
          <t>0 Día(s)
1 Mes (s)
2 Año(s)</t>
        </r>
      </text>
    </comment>
    <comment ref="Y329" authorId="0">
      <text>
        <r>
          <rPr>
            <sz val="9"/>
            <color indexed="81"/>
            <rFont val="Tahoma"/>
            <family val="2"/>
          </rPr>
          <t>0 Recursos propios 
1 Presupuesto de entidad nacional
2 Regalías
3 Recursos de crédito
4 SGP
5 No Aplica</t>
        </r>
      </text>
    </comment>
    <comment ref="AD329" authorId="0">
      <text>
        <r>
          <rPr>
            <b/>
            <sz val="9"/>
            <color indexed="81"/>
            <rFont val="Tahoma"/>
            <family val="2"/>
          </rPr>
          <t>0 No
1 Sí</t>
        </r>
      </text>
    </comment>
    <comment ref="AE329" authorId="0">
      <text>
        <r>
          <rPr>
            <sz val="9"/>
            <color indexed="81"/>
            <rFont val="Tahoma"/>
            <family val="2"/>
          </rPr>
          <t xml:space="preserve">
0 NA
1 No solicitadas
2 Solicitadas
3 Aprobadas</t>
        </r>
      </text>
    </comment>
    <comment ref="V330" authorId="0">
      <text>
        <r>
          <rPr>
            <b/>
            <sz val="9"/>
            <color indexed="81"/>
            <rFont val="Tahoma"/>
            <family val="2"/>
          </rPr>
          <t>0 Día(s)
1 Mes (s)
2 Año(s)</t>
        </r>
      </text>
    </comment>
    <comment ref="Y330" authorId="0">
      <text>
        <r>
          <rPr>
            <sz val="9"/>
            <color indexed="81"/>
            <rFont val="Tahoma"/>
            <family val="2"/>
          </rPr>
          <t>0 Recursos propios 
1 Presupuesto de entidad nacional
2 Regalías
3 Recursos de crédito
4 SGP
5 No Aplica</t>
        </r>
      </text>
    </comment>
    <comment ref="AD330" authorId="0">
      <text>
        <r>
          <rPr>
            <b/>
            <sz val="9"/>
            <color indexed="81"/>
            <rFont val="Tahoma"/>
            <family val="2"/>
          </rPr>
          <t>0 No
1 Sí</t>
        </r>
      </text>
    </comment>
    <comment ref="AE330" authorId="0">
      <text>
        <r>
          <rPr>
            <sz val="9"/>
            <color indexed="81"/>
            <rFont val="Tahoma"/>
            <family val="2"/>
          </rPr>
          <t xml:space="preserve">
0 NA
1 No solicitadas
2 Solicitadas
3 Aprobadas</t>
        </r>
      </text>
    </comment>
    <comment ref="V331" authorId="0">
      <text>
        <r>
          <rPr>
            <b/>
            <sz val="9"/>
            <color indexed="81"/>
            <rFont val="Tahoma"/>
            <family val="2"/>
          </rPr>
          <t>0 Día(s)
1 Mes (s)
2 Año(s)</t>
        </r>
      </text>
    </comment>
    <comment ref="Y331" authorId="0">
      <text>
        <r>
          <rPr>
            <sz val="9"/>
            <color indexed="81"/>
            <rFont val="Tahoma"/>
            <family val="2"/>
          </rPr>
          <t>0 Recursos propios 
1 Presupuesto de entidad nacional
2 Regalías
3 Recursos de crédito
4 SGP
5 No Aplica</t>
        </r>
      </text>
    </comment>
    <comment ref="AD331" authorId="0">
      <text>
        <r>
          <rPr>
            <b/>
            <sz val="9"/>
            <color indexed="81"/>
            <rFont val="Tahoma"/>
            <family val="2"/>
          </rPr>
          <t>0 No
1 Sí</t>
        </r>
      </text>
    </comment>
    <comment ref="AE331" authorId="0">
      <text>
        <r>
          <rPr>
            <sz val="9"/>
            <color indexed="81"/>
            <rFont val="Tahoma"/>
            <family val="2"/>
          </rPr>
          <t xml:space="preserve">
0 NA
1 No solicitadas
2 Solicitadas
3 Aprobadas</t>
        </r>
      </text>
    </comment>
    <comment ref="V332" authorId="0">
      <text>
        <r>
          <rPr>
            <b/>
            <sz val="9"/>
            <color indexed="81"/>
            <rFont val="Tahoma"/>
            <family val="2"/>
          </rPr>
          <t>0 Día(s)
1 Mes (s)
2 Año(s)</t>
        </r>
      </text>
    </comment>
    <comment ref="Y332" authorId="0">
      <text>
        <r>
          <rPr>
            <sz val="9"/>
            <color indexed="81"/>
            <rFont val="Tahoma"/>
            <family val="2"/>
          </rPr>
          <t>0 Recursos propios 
1 Presupuesto de entidad nacional
2 Regalías
3 Recursos de crédito
4 SGP
5 No Aplica</t>
        </r>
      </text>
    </comment>
    <comment ref="AD332" authorId="0">
      <text>
        <r>
          <rPr>
            <b/>
            <sz val="9"/>
            <color indexed="81"/>
            <rFont val="Tahoma"/>
            <family val="2"/>
          </rPr>
          <t>0 No
1 Sí</t>
        </r>
      </text>
    </comment>
    <comment ref="AE332" authorId="0">
      <text>
        <r>
          <rPr>
            <sz val="9"/>
            <color indexed="81"/>
            <rFont val="Tahoma"/>
            <family val="2"/>
          </rPr>
          <t xml:space="preserve">
0 NA
1 No solicitadas
2 Solicitadas
3 Aprobadas</t>
        </r>
      </text>
    </comment>
    <comment ref="V333" authorId="0">
      <text>
        <r>
          <rPr>
            <b/>
            <sz val="9"/>
            <color indexed="81"/>
            <rFont val="Tahoma"/>
            <family val="2"/>
          </rPr>
          <t>0 Día(s)
1 Mes (s)
2 Año(s)</t>
        </r>
      </text>
    </comment>
    <comment ref="Y333" authorId="0">
      <text>
        <r>
          <rPr>
            <sz val="9"/>
            <color indexed="81"/>
            <rFont val="Tahoma"/>
            <family val="2"/>
          </rPr>
          <t>0 Recursos propios 
1 Presupuesto de entidad nacional
2 Regalías
3 Recursos de crédito
4 SGP
5 No Aplica</t>
        </r>
      </text>
    </comment>
    <comment ref="AD333" authorId="0">
      <text>
        <r>
          <rPr>
            <b/>
            <sz val="9"/>
            <color indexed="81"/>
            <rFont val="Tahoma"/>
            <family val="2"/>
          </rPr>
          <t>0 No
1 Sí</t>
        </r>
      </text>
    </comment>
    <comment ref="AE333" authorId="0">
      <text>
        <r>
          <rPr>
            <sz val="9"/>
            <color indexed="81"/>
            <rFont val="Tahoma"/>
            <family val="2"/>
          </rPr>
          <t xml:space="preserve">
0 NA
1 No solicitadas
2 Solicitadas
3 Aprobadas</t>
        </r>
      </text>
    </comment>
    <comment ref="V334" authorId="0">
      <text>
        <r>
          <rPr>
            <b/>
            <sz val="9"/>
            <color indexed="81"/>
            <rFont val="Tahoma"/>
            <family val="2"/>
          </rPr>
          <t>0 Día(s)
1 Mes (s)
2 Año(s)</t>
        </r>
      </text>
    </comment>
    <comment ref="Y334" authorId="0">
      <text>
        <r>
          <rPr>
            <sz val="9"/>
            <color indexed="81"/>
            <rFont val="Tahoma"/>
            <family val="2"/>
          </rPr>
          <t>0 Recursos propios 
1 Presupuesto de entidad nacional
2 Regalías
3 Recursos de crédito
4 SGP
5 No Aplica</t>
        </r>
      </text>
    </comment>
    <comment ref="AD334" authorId="0">
      <text>
        <r>
          <rPr>
            <b/>
            <sz val="9"/>
            <color indexed="81"/>
            <rFont val="Tahoma"/>
            <family val="2"/>
          </rPr>
          <t>0 No
1 Sí</t>
        </r>
      </text>
    </comment>
    <comment ref="AE334" authorId="0">
      <text>
        <r>
          <rPr>
            <sz val="9"/>
            <color indexed="81"/>
            <rFont val="Tahoma"/>
            <family val="2"/>
          </rPr>
          <t xml:space="preserve">
0 NA
1 No solicitadas
2 Solicitadas
3 Aprobadas</t>
        </r>
      </text>
    </comment>
    <comment ref="V335" authorId="0">
      <text>
        <r>
          <rPr>
            <b/>
            <sz val="9"/>
            <color indexed="81"/>
            <rFont val="Tahoma"/>
            <family val="2"/>
          </rPr>
          <t>0 Día(s)
1 Mes (s)
2 Año(s)</t>
        </r>
      </text>
    </comment>
    <comment ref="Y335" authorId="0">
      <text>
        <r>
          <rPr>
            <sz val="9"/>
            <color indexed="81"/>
            <rFont val="Tahoma"/>
            <family val="2"/>
          </rPr>
          <t>0 Recursos propios 
1 Presupuesto de entidad nacional
2 Regalías
3 Recursos de crédito
4 SGP
5 No Aplica</t>
        </r>
      </text>
    </comment>
    <comment ref="AD335" authorId="0">
      <text>
        <r>
          <rPr>
            <b/>
            <sz val="9"/>
            <color indexed="81"/>
            <rFont val="Tahoma"/>
            <family val="2"/>
          </rPr>
          <t>0 No
1 Sí</t>
        </r>
      </text>
    </comment>
    <comment ref="AE335" authorId="0">
      <text>
        <r>
          <rPr>
            <sz val="9"/>
            <color indexed="81"/>
            <rFont val="Tahoma"/>
            <family val="2"/>
          </rPr>
          <t xml:space="preserve">
0 NA
1 No solicitadas
2 Solicitadas
3 Aprobadas</t>
        </r>
      </text>
    </comment>
    <comment ref="V336" authorId="0">
      <text>
        <r>
          <rPr>
            <b/>
            <sz val="9"/>
            <color indexed="81"/>
            <rFont val="Tahoma"/>
            <family val="2"/>
          </rPr>
          <t>0 Día(s)
1 Mes (s)
2 Año(s)</t>
        </r>
      </text>
    </comment>
    <comment ref="Y336" authorId="0">
      <text>
        <r>
          <rPr>
            <sz val="9"/>
            <color indexed="81"/>
            <rFont val="Tahoma"/>
            <family val="2"/>
          </rPr>
          <t>0 Recursos propios 
1 Presupuesto de entidad nacional
2 Regalías
3 Recursos de crédito
4 SGP
5 No Aplica</t>
        </r>
      </text>
    </comment>
    <comment ref="AD336" authorId="0">
      <text>
        <r>
          <rPr>
            <b/>
            <sz val="9"/>
            <color indexed="81"/>
            <rFont val="Tahoma"/>
            <family val="2"/>
          </rPr>
          <t>0 No
1 Sí</t>
        </r>
      </text>
    </comment>
    <comment ref="AE336" authorId="0">
      <text>
        <r>
          <rPr>
            <sz val="9"/>
            <color indexed="81"/>
            <rFont val="Tahoma"/>
            <family val="2"/>
          </rPr>
          <t xml:space="preserve">
0 NA
1 No solicitadas
2 Solicitadas
3 Aprobadas</t>
        </r>
      </text>
    </comment>
    <comment ref="V337" authorId="0">
      <text>
        <r>
          <rPr>
            <b/>
            <sz val="9"/>
            <color indexed="81"/>
            <rFont val="Tahoma"/>
            <family val="2"/>
          </rPr>
          <t>0 Día(s)
1 Mes (s)
2 Año(s)</t>
        </r>
      </text>
    </comment>
    <comment ref="Y337" authorId="0">
      <text>
        <r>
          <rPr>
            <sz val="9"/>
            <color indexed="81"/>
            <rFont val="Tahoma"/>
            <family val="2"/>
          </rPr>
          <t>0 Recursos propios 
1 Presupuesto de entidad nacional
2 Regalías
3 Recursos de crédito
4 SGP
5 No Aplica</t>
        </r>
      </text>
    </comment>
    <comment ref="AD337" authorId="0">
      <text>
        <r>
          <rPr>
            <b/>
            <sz val="9"/>
            <color indexed="81"/>
            <rFont val="Tahoma"/>
            <family val="2"/>
          </rPr>
          <t>0 No
1 Sí</t>
        </r>
      </text>
    </comment>
    <comment ref="AE337" authorId="0">
      <text>
        <r>
          <rPr>
            <sz val="9"/>
            <color indexed="81"/>
            <rFont val="Tahoma"/>
            <family val="2"/>
          </rPr>
          <t xml:space="preserve">
0 NA
1 No solicitadas
2 Solicitadas
3 Aprobadas</t>
        </r>
      </text>
    </comment>
    <comment ref="V338" authorId="0">
      <text>
        <r>
          <rPr>
            <b/>
            <sz val="9"/>
            <color indexed="81"/>
            <rFont val="Tahoma"/>
            <family val="2"/>
          </rPr>
          <t>0 Día(s)
1 Mes (s)
2 Año(s)</t>
        </r>
      </text>
    </comment>
    <comment ref="Y338" authorId="0">
      <text>
        <r>
          <rPr>
            <sz val="9"/>
            <color indexed="81"/>
            <rFont val="Tahoma"/>
            <family val="2"/>
          </rPr>
          <t>0 Recursos propios 
1 Presupuesto de entidad nacional
2 Regalías
3 Recursos de crédito
4 SGP
5 No Aplica</t>
        </r>
      </text>
    </comment>
    <comment ref="AD338" authorId="0">
      <text>
        <r>
          <rPr>
            <b/>
            <sz val="9"/>
            <color indexed="81"/>
            <rFont val="Tahoma"/>
            <family val="2"/>
          </rPr>
          <t>0 No
1 Sí</t>
        </r>
      </text>
    </comment>
    <comment ref="AE338" authorId="0">
      <text>
        <r>
          <rPr>
            <sz val="9"/>
            <color indexed="81"/>
            <rFont val="Tahoma"/>
            <family val="2"/>
          </rPr>
          <t xml:space="preserve">
0 NA
1 No solicitadas
2 Solicitadas
3 Aprobadas</t>
        </r>
      </text>
    </comment>
    <comment ref="V339" authorId="0">
      <text>
        <r>
          <rPr>
            <b/>
            <sz val="9"/>
            <color indexed="81"/>
            <rFont val="Tahoma"/>
            <family val="2"/>
          </rPr>
          <t>0 Día(s)
1 Mes (s)
2 Año(s)</t>
        </r>
      </text>
    </comment>
    <comment ref="Y339" authorId="0">
      <text>
        <r>
          <rPr>
            <sz val="9"/>
            <color indexed="81"/>
            <rFont val="Tahoma"/>
            <family val="2"/>
          </rPr>
          <t>0 Recursos propios 
1 Presupuesto de entidad nacional
2 Regalías
3 Recursos de crédito
4 SGP
5 No Aplica</t>
        </r>
      </text>
    </comment>
    <comment ref="AD339" authorId="0">
      <text>
        <r>
          <rPr>
            <b/>
            <sz val="9"/>
            <color indexed="81"/>
            <rFont val="Tahoma"/>
            <family val="2"/>
          </rPr>
          <t>0 No
1 Sí</t>
        </r>
      </text>
    </comment>
    <comment ref="AE339" authorId="0">
      <text>
        <r>
          <rPr>
            <sz val="9"/>
            <color indexed="81"/>
            <rFont val="Tahoma"/>
            <family val="2"/>
          </rPr>
          <t xml:space="preserve">
0 NA
1 No solicitadas
2 Solicitadas
3 Aprobadas</t>
        </r>
      </text>
    </comment>
    <comment ref="V340" authorId="0">
      <text>
        <r>
          <rPr>
            <b/>
            <sz val="9"/>
            <color indexed="81"/>
            <rFont val="Tahoma"/>
            <family val="2"/>
          </rPr>
          <t>0 Día(s)
1 Mes (s)
2 Año(s)</t>
        </r>
      </text>
    </comment>
    <comment ref="Y340" authorId="0">
      <text>
        <r>
          <rPr>
            <sz val="9"/>
            <color indexed="81"/>
            <rFont val="Tahoma"/>
            <family val="2"/>
          </rPr>
          <t>0 Recursos propios 
1 Presupuesto de entidad nacional
2 Regalías
3 Recursos de crédito
4 SGP
5 No Aplica</t>
        </r>
      </text>
    </comment>
    <comment ref="AD340" authorId="0">
      <text>
        <r>
          <rPr>
            <b/>
            <sz val="9"/>
            <color indexed="81"/>
            <rFont val="Tahoma"/>
            <family val="2"/>
          </rPr>
          <t>0 No
1 Sí</t>
        </r>
      </text>
    </comment>
    <comment ref="AE340" authorId="0">
      <text>
        <r>
          <rPr>
            <sz val="9"/>
            <color indexed="81"/>
            <rFont val="Tahoma"/>
            <family val="2"/>
          </rPr>
          <t xml:space="preserve">
0 NA
1 No solicitadas
2 Solicitadas
3 Aprobadas</t>
        </r>
      </text>
    </comment>
    <comment ref="V341" authorId="0">
      <text>
        <r>
          <rPr>
            <b/>
            <sz val="9"/>
            <color indexed="81"/>
            <rFont val="Tahoma"/>
            <family val="2"/>
          </rPr>
          <t>0 Día(s)
1 Mes (s)
2 Año(s)</t>
        </r>
      </text>
    </comment>
    <comment ref="Y341" authorId="0">
      <text>
        <r>
          <rPr>
            <sz val="9"/>
            <color indexed="81"/>
            <rFont val="Tahoma"/>
            <family val="2"/>
          </rPr>
          <t>0 Recursos propios 
1 Presupuesto de entidad nacional
2 Regalías
3 Recursos de crédito
4 SGP
5 No Aplica</t>
        </r>
      </text>
    </comment>
    <comment ref="AD341" authorId="0">
      <text>
        <r>
          <rPr>
            <b/>
            <sz val="9"/>
            <color indexed="81"/>
            <rFont val="Tahoma"/>
            <family val="2"/>
          </rPr>
          <t>0 No
1 Sí</t>
        </r>
      </text>
    </comment>
    <comment ref="AE341" authorId="0">
      <text>
        <r>
          <rPr>
            <sz val="9"/>
            <color indexed="81"/>
            <rFont val="Tahoma"/>
            <family val="2"/>
          </rPr>
          <t xml:space="preserve">
0 NA
1 No solicitadas
2 Solicitadas
3 Aprobadas</t>
        </r>
      </text>
    </comment>
    <comment ref="V342" authorId="0">
      <text>
        <r>
          <rPr>
            <b/>
            <sz val="9"/>
            <color indexed="81"/>
            <rFont val="Tahoma"/>
            <family val="2"/>
          </rPr>
          <t>0 Día(s)
1 Mes (s)
2 Año(s)</t>
        </r>
      </text>
    </comment>
    <comment ref="Y342" authorId="0">
      <text>
        <r>
          <rPr>
            <sz val="9"/>
            <color indexed="81"/>
            <rFont val="Tahoma"/>
            <family val="2"/>
          </rPr>
          <t>0 Recursos propios 
1 Presupuesto de entidad nacional
2 Regalías
3 Recursos de crédito
4 SGP
5 No Aplica</t>
        </r>
      </text>
    </comment>
    <comment ref="AD342" authorId="0">
      <text>
        <r>
          <rPr>
            <b/>
            <sz val="9"/>
            <color indexed="81"/>
            <rFont val="Tahoma"/>
            <family val="2"/>
          </rPr>
          <t>0 No
1 Sí</t>
        </r>
      </text>
    </comment>
    <comment ref="AE342" authorId="0">
      <text>
        <r>
          <rPr>
            <sz val="9"/>
            <color indexed="81"/>
            <rFont val="Tahoma"/>
            <family val="2"/>
          </rPr>
          <t xml:space="preserve">
0 NA
1 No solicitadas
2 Solicitadas
3 Aprobadas</t>
        </r>
      </text>
    </comment>
    <comment ref="V343" authorId="0">
      <text>
        <r>
          <rPr>
            <b/>
            <sz val="9"/>
            <color indexed="81"/>
            <rFont val="Tahoma"/>
            <family val="2"/>
          </rPr>
          <t>0 Día(s)
1 Mes (s)
2 Año(s)</t>
        </r>
      </text>
    </comment>
    <comment ref="Y343" authorId="0">
      <text>
        <r>
          <rPr>
            <sz val="9"/>
            <color indexed="81"/>
            <rFont val="Tahoma"/>
            <family val="2"/>
          </rPr>
          <t>0 Recursos propios 
1 Presupuesto de entidad nacional
2 Regalías
3 Recursos de crédito
4 SGP
5 No Aplica</t>
        </r>
      </text>
    </comment>
    <comment ref="AD343" authorId="0">
      <text>
        <r>
          <rPr>
            <b/>
            <sz val="9"/>
            <color indexed="81"/>
            <rFont val="Tahoma"/>
            <family val="2"/>
          </rPr>
          <t>0 No
1 Sí</t>
        </r>
      </text>
    </comment>
    <comment ref="AE343" authorId="0">
      <text>
        <r>
          <rPr>
            <sz val="9"/>
            <color indexed="81"/>
            <rFont val="Tahoma"/>
            <family val="2"/>
          </rPr>
          <t xml:space="preserve">
0 NA
1 No solicitadas
2 Solicitadas
3 Aprobadas</t>
        </r>
      </text>
    </comment>
    <comment ref="V344" authorId="0">
      <text>
        <r>
          <rPr>
            <b/>
            <sz val="9"/>
            <color indexed="81"/>
            <rFont val="Tahoma"/>
            <family val="2"/>
          </rPr>
          <t>0 Día(s)
1 Mes (s)
2 Año(s)</t>
        </r>
      </text>
    </comment>
    <comment ref="Y344" authorId="0">
      <text>
        <r>
          <rPr>
            <sz val="9"/>
            <color indexed="81"/>
            <rFont val="Tahoma"/>
            <family val="2"/>
          </rPr>
          <t>0 Recursos propios 
1 Presupuesto de entidad nacional
2 Regalías
3 Recursos de crédito
4 SGP
5 No Aplica</t>
        </r>
      </text>
    </comment>
    <comment ref="AD344" authorId="0">
      <text>
        <r>
          <rPr>
            <b/>
            <sz val="9"/>
            <color indexed="81"/>
            <rFont val="Tahoma"/>
            <family val="2"/>
          </rPr>
          <t>0 No
1 Sí</t>
        </r>
      </text>
    </comment>
    <comment ref="AE344" authorId="0">
      <text>
        <r>
          <rPr>
            <sz val="9"/>
            <color indexed="81"/>
            <rFont val="Tahoma"/>
            <family val="2"/>
          </rPr>
          <t xml:space="preserve">
0 NA
1 No solicitadas
2 Solicitadas
3 Aprobadas</t>
        </r>
      </text>
    </comment>
    <comment ref="V345" authorId="0">
      <text>
        <r>
          <rPr>
            <b/>
            <sz val="9"/>
            <color indexed="81"/>
            <rFont val="Tahoma"/>
            <family val="2"/>
          </rPr>
          <t>0 Día(s)
1 Mes (s)
2 Año(s)</t>
        </r>
      </text>
    </comment>
    <comment ref="Y345" authorId="0">
      <text>
        <r>
          <rPr>
            <sz val="9"/>
            <color indexed="81"/>
            <rFont val="Tahoma"/>
            <family val="2"/>
          </rPr>
          <t>0 Recursos propios 
1 Presupuesto de entidad nacional
2 Regalías
3 Recursos de crédito
4 SGP
5 No Aplica</t>
        </r>
      </text>
    </comment>
    <comment ref="AD345" authorId="0">
      <text>
        <r>
          <rPr>
            <b/>
            <sz val="9"/>
            <color indexed="81"/>
            <rFont val="Tahoma"/>
            <family val="2"/>
          </rPr>
          <t>0 No
1 Sí</t>
        </r>
      </text>
    </comment>
    <comment ref="AE345" authorId="0">
      <text>
        <r>
          <rPr>
            <sz val="9"/>
            <color indexed="81"/>
            <rFont val="Tahoma"/>
            <family val="2"/>
          </rPr>
          <t xml:space="preserve">
0 NA
1 No solicitadas
2 Solicitadas
3 Aprobadas</t>
        </r>
      </text>
    </comment>
    <comment ref="V346" authorId="0">
      <text>
        <r>
          <rPr>
            <b/>
            <sz val="9"/>
            <color indexed="81"/>
            <rFont val="Tahoma"/>
            <family val="2"/>
          </rPr>
          <t>0 Día(s)
1 Mes (s)
2 Año(s)</t>
        </r>
      </text>
    </comment>
    <comment ref="Y346" authorId="0">
      <text>
        <r>
          <rPr>
            <sz val="9"/>
            <color indexed="81"/>
            <rFont val="Tahoma"/>
            <family val="2"/>
          </rPr>
          <t>0 Recursos propios 
1 Presupuesto de entidad nacional
2 Regalías
3 Recursos de crédito
4 SGP
5 No Aplica</t>
        </r>
      </text>
    </comment>
    <comment ref="AD346" authorId="0">
      <text>
        <r>
          <rPr>
            <b/>
            <sz val="9"/>
            <color indexed="81"/>
            <rFont val="Tahoma"/>
            <family val="2"/>
          </rPr>
          <t>0 No
1 Sí</t>
        </r>
      </text>
    </comment>
    <comment ref="AE346" authorId="0">
      <text>
        <r>
          <rPr>
            <sz val="9"/>
            <color indexed="81"/>
            <rFont val="Tahoma"/>
            <family val="2"/>
          </rPr>
          <t xml:space="preserve">
0 NA
1 No solicitadas
2 Solicitadas
3 Aprobadas</t>
        </r>
      </text>
    </comment>
    <comment ref="V347" authorId="0">
      <text>
        <r>
          <rPr>
            <b/>
            <sz val="9"/>
            <color indexed="81"/>
            <rFont val="Tahoma"/>
            <family val="2"/>
          </rPr>
          <t>0 Día(s)
1 Mes (s)
2 Año(s)</t>
        </r>
      </text>
    </comment>
    <comment ref="Y347" authorId="0">
      <text>
        <r>
          <rPr>
            <sz val="9"/>
            <color indexed="81"/>
            <rFont val="Tahoma"/>
            <family val="2"/>
          </rPr>
          <t>0 Recursos propios 
1 Presupuesto de entidad nacional
2 Regalías
3 Recursos de crédito
4 SGP
5 No Aplica</t>
        </r>
      </text>
    </comment>
    <comment ref="AD347" authorId="0">
      <text>
        <r>
          <rPr>
            <b/>
            <sz val="9"/>
            <color indexed="81"/>
            <rFont val="Tahoma"/>
            <family val="2"/>
          </rPr>
          <t>0 No
1 Sí</t>
        </r>
      </text>
    </comment>
    <comment ref="AE347" authorId="0">
      <text>
        <r>
          <rPr>
            <sz val="9"/>
            <color indexed="81"/>
            <rFont val="Tahoma"/>
            <family val="2"/>
          </rPr>
          <t xml:space="preserve">
0 NA
1 No solicitadas
2 Solicitadas
3 Aprobadas</t>
        </r>
      </text>
    </comment>
    <comment ref="V348" authorId="0">
      <text>
        <r>
          <rPr>
            <b/>
            <sz val="9"/>
            <color indexed="81"/>
            <rFont val="Tahoma"/>
            <family val="2"/>
          </rPr>
          <t>0 Día(s)
1 Mes (s)
2 Año(s)</t>
        </r>
      </text>
    </comment>
    <comment ref="Y348" authorId="0">
      <text>
        <r>
          <rPr>
            <sz val="9"/>
            <color indexed="81"/>
            <rFont val="Tahoma"/>
            <family val="2"/>
          </rPr>
          <t>0 Recursos propios 
1 Presupuesto de entidad nacional
2 Regalías
3 Recursos de crédito
4 SGP
5 No Aplica</t>
        </r>
      </text>
    </comment>
    <comment ref="AD348" authorId="0">
      <text>
        <r>
          <rPr>
            <b/>
            <sz val="9"/>
            <color indexed="81"/>
            <rFont val="Tahoma"/>
            <family val="2"/>
          </rPr>
          <t>0 No
1 Sí</t>
        </r>
      </text>
    </comment>
    <comment ref="AE348" authorId="0">
      <text>
        <r>
          <rPr>
            <sz val="9"/>
            <color indexed="81"/>
            <rFont val="Tahoma"/>
            <family val="2"/>
          </rPr>
          <t xml:space="preserve">
0 NA
1 No solicitadas
2 Solicitadas
3 Aprobadas</t>
        </r>
      </text>
    </comment>
    <comment ref="V349" authorId="0">
      <text>
        <r>
          <rPr>
            <b/>
            <sz val="9"/>
            <color indexed="81"/>
            <rFont val="Tahoma"/>
            <family val="2"/>
          </rPr>
          <t>0 Día(s)
1 Mes (s)
2 Año(s)</t>
        </r>
      </text>
    </comment>
    <comment ref="Y349" authorId="0">
      <text>
        <r>
          <rPr>
            <sz val="9"/>
            <color indexed="81"/>
            <rFont val="Tahoma"/>
            <family val="2"/>
          </rPr>
          <t>0 Recursos propios 
1 Presupuesto de entidad nacional
2 Regalías
3 Recursos de crédito
4 SGP
5 No Aplica</t>
        </r>
      </text>
    </comment>
    <comment ref="AD349" authorId="0">
      <text>
        <r>
          <rPr>
            <b/>
            <sz val="9"/>
            <color indexed="81"/>
            <rFont val="Tahoma"/>
            <family val="2"/>
          </rPr>
          <t>0 No
1 Sí</t>
        </r>
      </text>
    </comment>
    <comment ref="AE349" authorId="0">
      <text>
        <r>
          <rPr>
            <sz val="9"/>
            <color indexed="81"/>
            <rFont val="Tahoma"/>
            <family val="2"/>
          </rPr>
          <t xml:space="preserve">
0 NA
1 No solicitadas
2 Solicitadas
3 Aprobadas</t>
        </r>
      </text>
    </comment>
    <comment ref="V350" authorId="0">
      <text>
        <r>
          <rPr>
            <b/>
            <sz val="9"/>
            <color indexed="81"/>
            <rFont val="Tahoma"/>
            <family val="2"/>
          </rPr>
          <t>0 Día(s)
1 Mes (s)
2 Año(s)</t>
        </r>
      </text>
    </comment>
    <comment ref="Y350" authorId="0">
      <text>
        <r>
          <rPr>
            <sz val="9"/>
            <color indexed="81"/>
            <rFont val="Tahoma"/>
            <family val="2"/>
          </rPr>
          <t>0 Recursos propios 
1 Presupuesto de entidad nacional
2 Regalías
3 Recursos de crédito
4 SGP
5 No Aplica</t>
        </r>
      </text>
    </comment>
    <comment ref="AD350" authorId="0">
      <text>
        <r>
          <rPr>
            <b/>
            <sz val="9"/>
            <color indexed="81"/>
            <rFont val="Tahoma"/>
            <family val="2"/>
          </rPr>
          <t>0 No
1 Sí</t>
        </r>
      </text>
    </comment>
    <comment ref="AE350" authorId="0">
      <text>
        <r>
          <rPr>
            <sz val="9"/>
            <color indexed="81"/>
            <rFont val="Tahoma"/>
            <family val="2"/>
          </rPr>
          <t xml:space="preserve">
0 NA
1 No solicitadas
2 Solicitadas
3 Aprobadas</t>
        </r>
      </text>
    </comment>
    <comment ref="V351" authorId="0">
      <text>
        <r>
          <rPr>
            <b/>
            <sz val="9"/>
            <color indexed="81"/>
            <rFont val="Tahoma"/>
            <family val="2"/>
          </rPr>
          <t>0 Día(s)
1 Mes (s)
2 Año(s)</t>
        </r>
      </text>
    </comment>
    <comment ref="Y351" authorId="0">
      <text>
        <r>
          <rPr>
            <sz val="9"/>
            <color indexed="81"/>
            <rFont val="Tahoma"/>
            <family val="2"/>
          </rPr>
          <t>0 Recursos propios 
1 Presupuesto de entidad nacional
2 Regalías
3 Recursos de crédito
4 SGP
5 No Aplica</t>
        </r>
      </text>
    </comment>
    <comment ref="AD351" authorId="0">
      <text>
        <r>
          <rPr>
            <b/>
            <sz val="9"/>
            <color indexed="81"/>
            <rFont val="Tahoma"/>
            <family val="2"/>
          </rPr>
          <t>0 No
1 Sí</t>
        </r>
      </text>
    </comment>
    <comment ref="AE351" authorId="0">
      <text>
        <r>
          <rPr>
            <sz val="9"/>
            <color indexed="81"/>
            <rFont val="Tahoma"/>
            <family val="2"/>
          </rPr>
          <t xml:space="preserve">
0 NA
1 No solicitadas
2 Solicitadas
3 Aprobadas</t>
        </r>
      </text>
    </comment>
    <comment ref="V352" authorId="0">
      <text>
        <r>
          <rPr>
            <b/>
            <sz val="9"/>
            <color indexed="81"/>
            <rFont val="Tahoma"/>
            <family val="2"/>
          </rPr>
          <t>0 Día(s)
1 Mes (s)
2 Año(s)</t>
        </r>
      </text>
    </comment>
    <comment ref="Y352" authorId="0">
      <text>
        <r>
          <rPr>
            <sz val="9"/>
            <color indexed="81"/>
            <rFont val="Tahoma"/>
            <family val="2"/>
          </rPr>
          <t>0 Recursos propios 
1 Presupuesto de entidad nacional
2 Regalías
3 Recursos de crédito
4 SGP
5 No Aplica</t>
        </r>
      </text>
    </comment>
    <comment ref="AD352" authorId="0">
      <text>
        <r>
          <rPr>
            <b/>
            <sz val="9"/>
            <color indexed="81"/>
            <rFont val="Tahoma"/>
            <family val="2"/>
          </rPr>
          <t>0 No
1 Sí</t>
        </r>
      </text>
    </comment>
    <comment ref="AE352" authorId="0">
      <text>
        <r>
          <rPr>
            <sz val="9"/>
            <color indexed="81"/>
            <rFont val="Tahoma"/>
            <family val="2"/>
          </rPr>
          <t xml:space="preserve">
0 NA
1 No solicitadas
2 Solicitadas
3 Aprobadas</t>
        </r>
      </text>
    </comment>
    <comment ref="V353" authorId="0">
      <text>
        <r>
          <rPr>
            <b/>
            <sz val="9"/>
            <color indexed="81"/>
            <rFont val="Tahoma"/>
            <family val="2"/>
          </rPr>
          <t>0 Día(s)
1 Mes (s)
2 Año(s)</t>
        </r>
      </text>
    </comment>
    <comment ref="Y353" authorId="0">
      <text>
        <r>
          <rPr>
            <sz val="9"/>
            <color indexed="81"/>
            <rFont val="Tahoma"/>
            <family val="2"/>
          </rPr>
          <t>0 Recursos propios 
1 Presupuesto de entidad nacional
2 Regalías
3 Recursos de crédito
4 SGP
5 No Aplica</t>
        </r>
      </text>
    </comment>
    <comment ref="AD353" authorId="0">
      <text>
        <r>
          <rPr>
            <b/>
            <sz val="9"/>
            <color indexed="81"/>
            <rFont val="Tahoma"/>
            <family val="2"/>
          </rPr>
          <t>0 No
1 Sí</t>
        </r>
      </text>
    </comment>
    <comment ref="AE353" authorId="0">
      <text>
        <r>
          <rPr>
            <sz val="9"/>
            <color indexed="81"/>
            <rFont val="Tahoma"/>
            <family val="2"/>
          </rPr>
          <t xml:space="preserve">
0 NA
1 No solicitadas
2 Solicitadas
3 Aprobadas</t>
        </r>
      </text>
    </comment>
    <comment ref="V354" authorId="0">
      <text>
        <r>
          <rPr>
            <b/>
            <sz val="9"/>
            <color indexed="81"/>
            <rFont val="Tahoma"/>
            <family val="2"/>
          </rPr>
          <t>0 Día(s)
1 Mes (s)
2 Año(s)</t>
        </r>
      </text>
    </comment>
    <comment ref="Y354" authorId="0">
      <text>
        <r>
          <rPr>
            <sz val="9"/>
            <color indexed="81"/>
            <rFont val="Tahoma"/>
            <family val="2"/>
          </rPr>
          <t>0 Recursos propios 
1 Presupuesto de entidad nacional
2 Regalías
3 Recursos de crédito
4 SGP
5 No Aplica</t>
        </r>
      </text>
    </comment>
    <comment ref="AD354" authorId="0">
      <text>
        <r>
          <rPr>
            <b/>
            <sz val="9"/>
            <color indexed="81"/>
            <rFont val="Tahoma"/>
            <family val="2"/>
          </rPr>
          <t>0 No
1 Sí</t>
        </r>
      </text>
    </comment>
    <comment ref="AE354" authorId="0">
      <text>
        <r>
          <rPr>
            <sz val="9"/>
            <color indexed="81"/>
            <rFont val="Tahoma"/>
            <family val="2"/>
          </rPr>
          <t xml:space="preserve">
0 NA
1 No solicitadas
2 Solicitadas
3 Aprobadas</t>
        </r>
      </text>
    </comment>
    <comment ref="V355" authorId="0">
      <text>
        <r>
          <rPr>
            <b/>
            <sz val="9"/>
            <color indexed="81"/>
            <rFont val="Tahoma"/>
            <family val="2"/>
          </rPr>
          <t>0 Día(s)
1 Mes (s)
2 Año(s)</t>
        </r>
      </text>
    </comment>
    <comment ref="Y355" authorId="0">
      <text>
        <r>
          <rPr>
            <sz val="9"/>
            <color indexed="81"/>
            <rFont val="Tahoma"/>
            <family val="2"/>
          </rPr>
          <t>0 Recursos propios 
1 Presupuesto de entidad nacional
2 Regalías
3 Recursos de crédito
4 SGP
5 No Aplica</t>
        </r>
      </text>
    </comment>
    <comment ref="AD355" authorId="0">
      <text>
        <r>
          <rPr>
            <b/>
            <sz val="9"/>
            <color indexed="81"/>
            <rFont val="Tahoma"/>
            <family val="2"/>
          </rPr>
          <t>0 No
1 Sí</t>
        </r>
      </text>
    </comment>
    <comment ref="AE355" authorId="0">
      <text>
        <r>
          <rPr>
            <sz val="9"/>
            <color indexed="81"/>
            <rFont val="Tahoma"/>
            <family val="2"/>
          </rPr>
          <t xml:space="preserve">
0 NA
1 No solicitadas
2 Solicitadas
3 Aprobadas</t>
        </r>
      </text>
    </comment>
    <comment ref="V356" authorId="0">
      <text>
        <r>
          <rPr>
            <b/>
            <sz val="9"/>
            <color indexed="81"/>
            <rFont val="Tahoma"/>
            <family val="2"/>
          </rPr>
          <t>0 Día(s)
1 Mes (s)
2 Año(s)</t>
        </r>
      </text>
    </comment>
    <comment ref="Y356" authorId="0">
      <text>
        <r>
          <rPr>
            <sz val="9"/>
            <color indexed="81"/>
            <rFont val="Tahoma"/>
            <family val="2"/>
          </rPr>
          <t>0 Recursos propios 
1 Presupuesto de entidad nacional
2 Regalías
3 Recursos de crédito
4 SGP
5 No Aplica</t>
        </r>
      </text>
    </comment>
    <comment ref="AD356" authorId="0">
      <text>
        <r>
          <rPr>
            <b/>
            <sz val="9"/>
            <color indexed="81"/>
            <rFont val="Tahoma"/>
            <family val="2"/>
          </rPr>
          <t>0 No
1 Sí</t>
        </r>
      </text>
    </comment>
    <comment ref="AE356" authorId="0">
      <text>
        <r>
          <rPr>
            <sz val="9"/>
            <color indexed="81"/>
            <rFont val="Tahoma"/>
            <family val="2"/>
          </rPr>
          <t xml:space="preserve">
0 NA
1 No solicitadas
2 Solicitadas
3 Aprobadas</t>
        </r>
      </text>
    </comment>
    <comment ref="V357" authorId="0">
      <text>
        <r>
          <rPr>
            <b/>
            <sz val="9"/>
            <color indexed="81"/>
            <rFont val="Tahoma"/>
            <family val="2"/>
          </rPr>
          <t>0 Día(s)
1 Mes (s)
2 Año(s)</t>
        </r>
      </text>
    </comment>
    <comment ref="Y357" authorId="0">
      <text>
        <r>
          <rPr>
            <sz val="9"/>
            <color indexed="81"/>
            <rFont val="Tahoma"/>
            <family val="2"/>
          </rPr>
          <t>0 Recursos propios 
1 Presupuesto de entidad nacional
2 Regalías
3 Recursos de crédito
4 SGP
5 No Aplica</t>
        </r>
      </text>
    </comment>
    <comment ref="AD357" authorId="0">
      <text>
        <r>
          <rPr>
            <b/>
            <sz val="9"/>
            <color indexed="81"/>
            <rFont val="Tahoma"/>
            <family val="2"/>
          </rPr>
          <t>0 No
1 Sí</t>
        </r>
      </text>
    </comment>
    <comment ref="AE357" authorId="0">
      <text>
        <r>
          <rPr>
            <sz val="9"/>
            <color indexed="81"/>
            <rFont val="Tahoma"/>
            <family val="2"/>
          </rPr>
          <t xml:space="preserve">
0 NA
1 No solicitadas
2 Solicitadas
3 Aprobadas</t>
        </r>
      </text>
    </comment>
    <comment ref="V358" authorId="0">
      <text>
        <r>
          <rPr>
            <b/>
            <sz val="9"/>
            <color indexed="81"/>
            <rFont val="Tahoma"/>
            <family val="2"/>
          </rPr>
          <t>0 Día(s)
1 Mes (s)
2 Año(s)</t>
        </r>
      </text>
    </comment>
    <comment ref="Y358" authorId="0">
      <text>
        <r>
          <rPr>
            <sz val="9"/>
            <color indexed="81"/>
            <rFont val="Tahoma"/>
            <family val="2"/>
          </rPr>
          <t>0 Recursos propios 
1 Presupuesto de entidad nacional
2 Regalías
3 Recursos de crédito
4 SGP
5 No Aplica</t>
        </r>
      </text>
    </comment>
    <comment ref="AD358" authorId="0">
      <text>
        <r>
          <rPr>
            <b/>
            <sz val="9"/>
            <color indexed="81"/>
            <rFont val="Tahoma"/>
            <family val="2"/>
          </rPr>
          <t>0 No
1 Sí</t>
        </r>
      </text>
    </comment>
    <comment ref="AE358" authorId="0">
      <text>
        <r>
          <rPr>
            <sz val="9"/>
            <color indexed="81"/>
            <rFont val="Tahoma"/>
            <family val="2"/>
          </rPr>
          <t xml:space="preserve">
0 NA
1 No solicitadas
2 Solicitadas
3 Aprobadas</t>
        </r>
      </text>
    </comment>
    <comment ref="V359" authorId="0">
      <text>
        <r>
          <rPr>
            <b/>
            <sz val="9"/>
            <color indexed="81"/>
            <rFont val="Tahoma"/>
            <family val="2"/>
          </rPr>
          <t>0 Día(s)
1 Mes (s)
2 Año(s)</t>
        </r>
      </text>
    </comment>
    <comment ref="Y359" authorId="0">
      <text>
        <r>
          <rPr>
            <sz val="9"/>
            <color indexed="81"/>
            <rFont val="Tahoma"/>
            <family val="2"/>
          </rPr>
          <t>0 Recursos propios 
1 Presupuesto de entidad nacional
2 Regalías
3 Recursos de crédito
4 SGP
5 No Aplica</t>
        </r>
      </text>
    </comment>
    <comment ref="AD359" authorId="0">
      <text>
        <r>
          <rPr>
            <b/>
            <sz val="9"/>
            <color indexed="81"/>
            <rFont val="Tahoma"/>
            <family val="2"/>
          </rPr>
          <t>0 No
1 Sí</t>
        </r>
      </text>
    </comment>
    <comment ref="AE359" authorId="0">
      <text>
        <r>
          <rPr>
            <sz val="9"/>
            <color indexed="81"/>
            <rFont val="Tahoma"/>
            <family val="2"/>
          </rPr>
          <t xml:space="preserve">
0 NA
1 No solicitadas
2 Solicitadas
3 Aprobadas</t>
        </r>
      </text>
    </comment>
    <comment ref="V360" authorId="0">
      <text>
        <r>
          <rPr>
            <b/>
            <sz val="9"/>
            <color indexed="81"/>
            <rFont val="Tahoma"/>
            <family val="2"/>
          </rPr>
          <t>0 Día(s)
1 Mes (s)
2 Año(s)</t>
        </r>
      </text>
    </comment>
    <comment ref="Y360" authorId="0">
      <text>
        <r>
          <rPr>
            <sz val="9"/>
            <color indexed="81"/>
            <rFont val="Tahoma"/>
            <family val="2"/>
          </rPr>
          <t>0 Recursos propios 
1 Presupuesto de entidad nacional
2 Regalías
3 Recursos de crédito
4 SGP
5 No Aplica</t>
        </r>
      </text>
    </comment>
    <comment ref="AD360" authorId="0">
      <text>
        <r>
          <rPr>
            <b/>
            <sz val="9"/>
            <color indexed="81"/>
            <rFont val="Tahoma"/>
            <family val="2"/>
          </rPr>
          <t>0 No
1 Sí</t>
        </r>
      </text>
    </comment>
    <comment ref="AE360" authorId="0">
      <text>
        <r>
          <rPr>
            <sz val="9"/>
            <color indexed="81"/>
            <rFont val="Tahoma"/>
            <family val="2"/>
          </rPr>
          <t xml:space="preserve">
0 NA
1 No solicitadas
2 Solicitadas
3 Aprobadas</t>
        </r>
      </text>
    </comment>
    <comment ref="V361" authorId="0">
      <text>
        <r>
          <rPr>
            <b/>
            <sz val="9"/>
            <color indexed="81"/>
            <rFont val="Tahoma"/>
            <family val="2"/>
          </rPr>
          <t>0 Día(s)
1 Mes (s)
2 Año(s)</t>
        </r>
      </text>
    </comment>
    <comment ref="Y361" authorId="0">
      <text>
        <r>
          <rPr>
            <sz val="9"/>
            <color indexed="81"/>
            <rFont val="Tahoma"/>
            <family val="2"/>
          </rPr>
          <t>0 Recursos propios 
1 Presupuesto de entidad nacional
2 Regalías
3 Recursos de crédito
4 SGP
5 No Aplica</t>
        </r>
      </text>
    </comment>
    <comment ref="AD361" authorId="0">
      <text>
        <r>
          <rPr>
            <b/>
            <sz val="9"/>
            <color indexed="81"/>
            <rFont val="Tahoma"/>
            <family val="2"/>
          </rPr>
          <t>0 No
1 Sí</t>
        </r>
      </text>
    </comment>
    <comment ref="AE361" authorId="0">
      <text>
        <r>
          <rPr>
            <sz val="9"/>
            <color indexed="81"/>
            <rFont val="Tahoma"/>
            <family val="2"/>
          </rPr>
          <t xml:space="preserve">
0 NA
1 No solicitadas
2 Solicitadas
3 Aprobadas</t>
        </r>
      </text>
    </comment>
    <comment ref="V362" authorId="0">
      <text>
        <r>
          <rPr>
            <b/>
            <sz val="9"/>
            <color indexed="81"/>
            <rFont val="Tahoma"/>
            <family val="2"/>
          </rPr>
          <t>0 Día(s)
1 Mes (s)
2 Año(s)</t>
        </r>
      </text>
    </comment>
    <comment ref="Y362" authorId="0">
      <text>
        <r>
          <rPr>
            <sz val="9"/>
            <color indexed="81"/>
            <rFont val="Tahoma"/>
            <family val="2"/>
          </rPr>
          <t>0 Recursos propios 
1 Presupuesto de entidad nacional
2 Regalías
3 Recursos de crédito
4 SGP
5 No Aplica</t>
        </r>
      </text>
    </comment>
    <comment ref="AD362" authorId="0">
      <text>
        <r>
          <rPr>
            <b/>
            <sz val="9"/>
            <color indexed="81"/>
            <rFont val="Tahoma"/>
            <family val="2"/>
          </rPr>
          <t>0 No
1 Sí</t>
        </r>
      </text>
    </comment>
    <comment ref="AE362" authorId="0">
      <text>
        <r>
          <rPr>
            <sz val="9"/>
            <color indexed="81"/>
            <rFont val="Tahoma"/>
            <family val="2"/>
          </rPr>
          <t xml:space="preserve">
0 NA
1 No solicitadas
2 Solicitadas
3 Aprobadas</t>
        </r>
      </text>
    </comment>
    <comment ref="V363" authorId="0">
      <text>
        <r>
          <rPr>
            <b/>
            <sz val="9"/>
            <color indexed="81"/>
            <rFont val="Tahoma"/>
            <family val="2"/>
          </rPr>
          <t>0 Día(s)
1 Mes (s)
2 Año(s)</t>
        </r>
      </text>
    </comment>
    <comment ref="Y363" authorId="0">
      <text>
        <r>
          <rPr>
            <sz val="9"/>
            <color indexed="81"/>
            <rFont val="Tahoma"/>
            <family val="2"/>
          </rPr>
          <t>0 Recursos propios 
1 Presupuesto de entidad nacional
2 Regalías
3 Recursos de crédito
4 SGP
5 No Aplica</t>
        </r>
      </text>
    </comment>
    <comment ref="AD363" authorId="0">
      <text>
        <r>
          <rPr>
            <b/>
            <sz val="9"/>
            <color indexed="81"/>
            <rFont val="Tahoma"/>
            <family val="2"/>
          </rPr>
          <t>0 No
1 Sí</t>
        </r>
      </text>
    </comment>
    <comment ref="AE363" authorId="0">
      <text>
        <r>
          <rPr>
            <sz val="9"/>
            <color indexed="81"/>
            <rFont val="Tahoma"/>
            <family val="2"/>
          </rPr>
          <t xml:space="preserve">
0 NA
1 No solicitadas
2 Solicitadas
3 Aprobadas</t>
        </r>
      </text>
    </comment>
    <comment ref="V364" authorId="0">
      <text>
        <r>
          <rPr>
            <b/>
            <sz val="9"/>
            <color indexed="81"/>
            <rFont val="Tahoma"/>
            <family val="2"/>
          </rPr>
          <t>0 Día(s)
1 Mes (s)
2 Año(s)</t>
        </r>
      </text>
    </comment>
    <comment ref="Y364" authorId="0">
      <text>
        <r>
          <rPr>
            <sz val="9"/>
            <color indexed="81"/>
            <rFont val="Tahoma"/>
            <family val="2"/>
          </rPr>
          <t>0 Recursos propios 
1 Presupuesto de entidad nacional
2 Regalías
3 Recursos de crédito
4 SGP
5 No Aplica</t>
        </r>
      </text>
    </comment>
    <comment ref="AD364" authorId="0">
      <text>
        <r>
          <rPr>
            <b/>
            <sz val="9"/>
            <color indexed="81"/>
            <rFont val="Tahoma"/>
            <family val="2"/>
          </rPr>
          <t>0 No
1 Sí</t>
        </r>
      </text>
    </comment>
    <comment ref="AE364" authorId="0">
      <text>
        <r>
          <rPr>
            <sz val="9"/>
            <color indexed="81"/>
            <rFont val="Tahoma"/>
            <family val="2"/>
          </rPr>
          <t xml:space="preserve">
0 NA
1 No solicitadas
2 Solicitadas
3 Aprobadas</t>
        </r>
      </text>
    </comment>
    <comment ref="V365" authorId="0">
      <text>
        <r>
          <rPr>
            <b/>
            <sz val="9"/>
            <color indexed="81"/>
            <rFont val="Tahoma"/>
            <family val="2"/>
          </rPr>
          <t>0 Día(s)
1 Mes (s)
2 Año(s)</t>
        </r>
      </text>
    </comment>
    <comment ref="Y365" authorId="0">
      <text>
        <r>
          <rPr>
            <sz val="9"/>
            <color indexed="81"/>
            <rFont val="Tahoma"/>
            <family val="2"/>
          </rPr>
          <t>0 Recursos propios 
1 Presupuesto de entidad nacional
2 Regalías
3 Recursos de crédito
4 SGP
5 No Aplica</t>
        </r>
      </text>
    </comment>
    <comment ref="AD365" authorId="0">
      <text>
        <r>
          <rPr>
            <b/>
            <sz val="9"/>
            <color indexed="81"/>
            <rFont val="Tahoma"/>
            <family val="2"/>
          </rPr>
          <t>0 No
1 Sí</t>
        </r>
      </text>
    </comment>
    <comment ref="AE365" authorId="0">
      <text>
        <r>
          <rPr>
            <sz val="9"/>
            <color indexed="81"/>
            <rFont val="Tahoma"/>
            <family val="2"/>
          </rPr>
          <t xml:space="preserve">
0 NA
1 No solicitadas
2 Solicitadas
3 Aprobadas</t>
        </r>
      </text>
    </comment>
    <comment ref="V366" authorId="0">
      <text>
        <r>
          <rPr>
            <b/>
            <sz val="9"/>
            <color indexed="81"/>
            <rFont val="Tahoma"/>
            <family val="2"/>
          </rPr>
          <t>0 Día(s)
1 Mes (s)
2 Año(s)</t>
        </r>
      </text>
    </comment>
    <comment ref="Y366" authorId="0">
      <text>
        <r>
          <rPr>
            <sz val="9"/>
            <color indexed="81"/>
            <rFont val="Tahoma"/>
            <family val="2"/>
          </rPr>
          <t>0 Recursos propios 
1 Presupuesto de entidad nacional
2 Regalías
3 Recursos de crédito
4 SGP
5 No Aplica</t>
        </r>
      </text>
    </comment>
    <comment ref="AD366" authorId="0">
      <text>
        <r>
          <rPr>
            <b/>
            <sz val="9"/>
            <color indexed="81"/>
            <rFont val="Tahoma"/>
            <family val="2"/>
          </rPr>
          <t>0 No
1 Sí</t>
        </r>
      </text>
    </comment>
    <comment ref="AE366" authorId="0">
      <text>
        <r>
          <rPr>
            <sz val="9"/>
            <color indexed="81"/>
            <rFont val="Tahoma"/>
            <family val="2"/>
          </rPr>
          <t xml:space="preserve">
0 NA
1 No solicitadas
2 Solicitadas
3 Aprobadas</t>
        </r>
      </text>
    </comment>
    <comment ref="V367" authorId="0">
      <text>
        <r>
          <rPr>
            <b/>
            <sz val="9"/>
            <color indexed="81"/>
            <rFont val="Tahoma"/>
            <family val="2"/>
          </rPr>
          <t>0 Día(s)
1 Mes (s)
2 Año(s)</t>
        </r>
      </text>
    </comment>
    <comment ref="Y367" authorId="0">
      <text>
        <r>
          <rPr>
            <sz val="9"/>
            <color indexed="81"/>
            <rFont val="Tahoma"/>
            <family val="2"/>
          </rPr>
          <t>0 Recursos propios 
1 Presupuesto de entidad nacional
2 Regalías
3 Recursos de crédito
4 SGP
5 No Aplica</t>
        </r>
      </text>
    </comment>
    <comment ref="AD367" authorId="0">
      <text>
        <r>
          <rPr>
            <b/>
            <sz val="9"/>
            <color indexed="81"/>
            <rFont val="Tahoma"/>
            <family val="2"/>
          </rPr>
          <t>0 No
1 Sí</t>
        </r>
      </text>
    </comment>
    <comment ref="AE367" authorId="0">
      <text>
        <r>
          <rPr>
            <sz val="9"/>
            <color indexed="81"/>
            <rFont val="Tahoma"/>
            <family val="2"/>
          </rPr>
          <t xml:space="preserve">
0 NA
1 No solicitadas
2 Solicitadas
3 Aprobadas</t>
        </r>
      </text>
    </comment>
    <comment ref="V368" authorId="0">
      <text>
        <r>
          <rPr>
            <b/>
            <sz val="9"/>
            <color indexed="81"/>
            <rFont val="Tahoma"/>
            <family val="2"/>
          </rPr>
          <t>0 Día(s)
1 Mes (s)
2 Año(s)</t>
        </r>
      </text>
    </comment>
    <comment ref="Y368" authorId="0">
      <text>
        <r>
          <rPr>
            <sz val="9"/>
            <color indexed="81"/>
            <rFont val="Tahoma"/>
            <family val="2"/>
          </rPr>
          <t>0 Recursos propios 
1 Presupuesto de entidad nacional
2 Regalías
3 Recursos de crédito
4 SGP
5 No Aplica</t>
        </r>
      </text>
    </comment>
    <comment ref="AD368" authorId="0">
      <text>
        <r>
          <rPr>
            <b/>
            <sz val="9"/>
            <color indexed="81"/>
            <rFont val="Tahoma"/>
            <family val="2"/>
          </rPr>
          <t>0 No
1 Sí</t>
        </r>
      </text>
    </comment>
    <comment ref="AE368" authorId="0">
      <text>
        <r>
          <rPr>
            <sz val="9"/>
            <color indexed="81"/>
            <rFont val="Tahoma"/>
            <family val="2"/>
          </rPr>
          <t xml:space="preserve">
0 NA
1 No solicitadas
2 Solicitadas
3 Aprobadas</t>
        </r>
      </text>
    </comment>
    <comment ref="V369" authorId="0">
      <text>
        <r>
          <rPr>
            <b/>
            <sz val="9"/>
            <color indexed="81"/>
            <rFont val="Tahoma"/>
            <family val="2"/>
          </rPr>
          <t>0 Día(s)
1 Mes (s)
2 Año(s)</t>
        </r>
      </text>
    </comment>
    <comment ref="Y369" authorId="0">
      <text>
        <r>
          <rPr>
            <sz val="9"/>
            <color indexed="81"/>
            <rFont val="Tahoma"/>
            <family val="2"/>
          </rPr>
          <t>0 Recursos propios 
1 Presupuesto de entidad nacional
2 Regalías
3 Recursos de crédito
4 SGP
5 No Aplica</t>
        </r>
      </text>
    </comment>
    <comment ref="AD369" authorId="0">
      <text>
        <r>
          <rPr>
            <b/>
            <sz val="9"/>
            <color indexed="81"/>
            <rFont val="Tahoma"/>
            <family val="2"/>
          </rPr>
          <t>0 No
1 Sí</t>
        </r>
      </text>
    </comment>
    <comment ref="AE369" authorId="0">
      <text>
        <r>
          <rPr>
            <sz val="9"/>
            <color indexed="81"/>
            <rFont val="Tahoma"/>
            <family val="2"/>
          </rPr>
          <t xml:space="preserve">
0 NA
1 No solicitadas
2 Solicitadas
3 Aprobadas</t>
        </r>
      </text>
    </comment>
    <comment ref="V370" authorId="0">
      <text>
        <r>
          <rPr>
            <b/>
            <sz val="9"/>
            <color indexed="81"/>
            <rFont val="Tahoma"/>
            <family val="2"/>
          </rPr>
          <t>0 Día(s)
1 Mes (s)
2 Año(s)</t>
        </r>
      </text>
    </comment>
    <comment ref="Y370" authorId="0">
      <text>
        <r>
          <rPr>
            <sz val="9"/>
            <color indexed="81"/>
            <rFont val="Tahoma"/>
            <family val="2"/>
          </rPr>
          <t>0 Recursos propios 
1 Presupuesto de entidad nacional
2 Regalías
3 Recursos de crédito
4 SGP
5 No Aplica</t>
        </r>
      </text>
    </comment>
    <comment ref="AD370" authorId="0">
      <text>
        <r>
          <rPr>
            <b/>
            <sz val="9"/>
            <color indexed="81"/>
            <rFont val="Tahoma"/>
            <family val="2"/>
          </rPr>
          <t>0 No
1 Sí</t>
        </r>
      </text>
    </comment>
    <comment ref="AE370" authorId="0">
      <text>
        <r>
          <rPr>
            <sz val="9"/>
            <color indexed="81"/>
            <rFont val="Tahoma"/>
            <family val="2"/>
          </rPr>
          <t xml:space="preserve">
0 NA
1 No solicitadas
2 Solicitadas
3 Aprobadas</t>
        </r>
      </text>
    </comment>
    <comment ref="V371" authorId="0">
      <text>
        <r>
          <rPr>
            <b/>
            <sz val="9"/>
            <color indexed="81"/>
            <rFont val="Tahoma"/>
            <family val="2"/>
          </rPr>
          <t>0 Día(s)
1 Mes (s)
2 Año(s)</t>
        </r>
      </text>
    </comment>
    <comment ref="Y371" authorId="0">
      <text>
        <r>
          <rPr>
            <sz val="9"/>
            <color indexed="81"/>
            <rFont val="Tahoma"/>
            <family val="2"/>
          </rPr>
          <t>0 Recursos propios 
1 Presupuesto de entidad nacional
2 Regalías
3 Recursos de crédito
4 SGP
5 No Aplica</t>
        </r>
      </text>
    </comment>
    <comment ref="AD371" authorId="0">
      <text>
        <r>
          <rPr>
            <b/>
            <sz val="9"/>
            <color indexed="81"/>
            <rFont val="Tahoma"/>
            <family val="2"/>
          </rPr>
          <t>0 No
1 Sí</t>
        </r>
      </text>
    </comment>
    <comment ref="AE371" authorId="0">
      <text>
        <r>
          <rPr>
            <sz val="9"/>
            <color indexed="81"/>
            <rFont val="Tahoma"/>
            <family val="2"/>
          </rPr>
          <t xml:space="preserve">
0 NA
1 No solicitadas
2 Solicitadas
3 Aprobadas</t>
        </r>
      </text>
    </comment>
    <comment ref="V372" authorId="0">
      <text>
        <r>
          <rPr>
            <b/>
            <sz val="9"/>
            <color indexed="81"/>
            <rFont val="Tahoma"/>
            <family val="2"/>
          </rPr>
          <t>0 Día(s)
1 Mes (s)
2 Año(s)</t>
        </r>
      </text>
    </comment>
    <comment ref="Y372" authorId="0">
      <text>
        <r>
          <rPr>
            <sz val="9"/>
            <color indexed="81"/>
            <rFont val="Tahoma"/>
            <family val="2"/>
          </rPr>
          <t>0 Recursos propios 
1 Presupuesto de entidad nacional
2 Regalías
3 Recursos de crédito
4 SGP
5 No Aplica</t>
        </r>
      </text>
    </comment>
    <comment ref="AD372" authorId="0">
      <text>
        <r>
          <rPr>
            <b/>
            <sz val="9"/>
            <color indexed="81"/>
            <rFont val="Tahoma"/>
            <family val="2"/>
          </rPr>
          <t>0 No
1 Sí</t>
        </r>
      </text>
    </comment>
    <comment ref="AE372" authorId="0">
      <text>
        <r>
          <rPr>
            <sz val="9"/>
            <color indexed="81"/>
            <rFont val="Tahoma"/>
            <family val="2"/>
          </rPr>
          <t xml:space="preserve">
0 NA
1 No solicitadas
2 Solicitadas
3 Aprobadas</t>
        </r>
      </text>
    </comment>
    <comment ref="V373" authorId="0">
      <text>
        <r>
          <rPr>
            <b/>
            <sz val="9"/>
            <color indexed="81"/>
            <rFont val="Tahoma"/>
            <family val="2"/>
          </rPr>
          <t>0 Día(s)
1 Mes (s)
2 Año(s)</t>
        </r>
      </text>
    </comment>
    <comment ref="Y373" authorId="0">
      <text>
        <r>
          <rPr>
            <sz val="9"/>
            <color indexed="81"/>
            <rFont val="Tahoma"/>
            <family val="2"/>
          </rPr>
          <t>0 Recursos propios 
1 Presupuesto de entidad nacional
2 Regalías
3 Recursos de crédito
4 SGP
5 No Aplica</t>
        </r>
      </text>
    </comment>
    <comment ref="AD373" authorId="0">
      <text>
        <r>
          <rPr>
            <b/>
            <sz val="9"/>
            <color indexed="81"/>
            <rFont val="Tahoma"/>
            <family val="2"/>
          </rPr>
          <t>0 No
1 Sí</t>
        </r>
      </text>
    </comment>
    <comment ref="AE373" authorId="0">
      <text>
        <r>
          <rPr>
            <sz val="9"/>
            <color indexed="81"/>
            <rFont val="Tahoma"/>
            <family val="2"/>
          </rPr>
          <t xml:space="preserve">
0 NA
1 No solicitadas
2 Solicitadas
3 Aprobadas</t>
        </r>
      </text>
    </comment>
    <comment ref="V374" authorId="0">
      <text>
        <r>
          <rPr>
            <b/>
            <sz val="9"/>
            <color indexed="81"/>
            <rFont val="Tahoma"/>
            <family val="2"/>
          </rPr>
          <t>0 Día(s)
1 Mes (s)
2 Año(s)</t>
        </r>
      </text>
    </comment>
    <comment ref="Y374" authorId="0">
      <text>
        <r>
          <rPr>
            <sz val="9"/>
            <color indexed="81"/>
            <rFont val="Tahoma"/>
            <family val="2"/>
          </rPr>
          <t>0 Recursos propios 
1 Presupuesto de entidad nacional
2 Regalías
3 Recursos de crédito
4 SGP
5 No Aplica</t>
        </r>
      </text>
    </comment>
    <comment ref="AD374" authorId="0">
      <text>
        <r>
          <rPr>
            <b/>
            <sz val="9"/>
            <color indexed="81"/>
            <rFont val="Tahoma"/>
            <family val="2"/>
          </rPr>
          <t>0 No
1 Sí</t>
        </r>
      </text>
    </comment>
    <comment ref="AE374" authorId="0">
      <text>
        <r>
          <rPr>
            <sz val="9"/>
            <color indexed="81"/>
            <rFont val="Tahoma"/>
            <family val="2"/>
          </rPr>
          <t xml:space="preserve">
0 NA
1 No solicitadas
2 Solicitadas
3 Aprobadas</t>
        </r>
      </text>
    </comment>
    <comment ref="V375" authorId="0">
      <text>
        <r>
          <rPr>
            <b/>
            <sz val="9"/>
            <color indexed="81"/>
            <rFont val="Tahoma"/>
            <family val="2"/>
          </rPr>
          <t>0 Día(s)
1 Mes (s)
2 Año(s)</t>
        </r>
      </text>
    </comment>
    <comment ref="Y375" authorId="0">
      <text>
        <r>
          <rPr>
            <sz val="9"/>
            <color indexed="81"/>
            <rFont val="Tahoma"/>
            <family val="2"/>
          </rPr>
          <t>0 Recursos propios 
1 Presupuesto de entidad nacional
2 Regalías
3 Recursos de crédito
4 SGP
5 No Aplica</t>
        </r>
      </text>
    </comment>
    <comment ref="AD375" authorId="0">
      <text>
        <r>
          <rPr>
            <b/>
            <sz val="9"/>
            <color indexed="81"/>
            <rFont val="Tahoma"/>
            <family val="2"/>
          </rPr>
          <t>0 No
1 Sí</t>
        </r>
      </text>
    </comment>
    <comment ref="AE375" authorId="0">
      <text>
        <r>
          <rPr>
            <sz val="9"/>
            <color indexed="81"/>
            <rFont val="Tahoma"/>
            <family val="2"/>
          </rPr>
          <t xml:space="preserve">
0 NA
1 No solicitadas
2 Solicitadas
3 Aprobadas</t>
        </r>
      </text>
    </comment>
    <comment ref="V376" authorId="0">
      <text>
        <r>
          <rPr>
            <b/>
            <sz val="9"/>
            <color indexed="81"/>
            <rFont val="Tahoma"/>
            <family val="2"/>
          </rPr>
          <t>0 Día(s)
1 Mes (s)
2 Año(s)</t>
        </r>
      </text>
    </comment>
    <comment ref="Y376" authorId="0">
      <text>
        <r>
          <rPr>
            <sz val="9"/>
            <color indexed="81"/>
            <rFont val="Tahoma"/>
            <family val="2"/>
          </rPr>
          <t>0 Recursos propios 
1 Presupuesto de entidad nacional
2 Regalías
3 Recursos de crédito
4 SGP
5 No Aplica</t>
        </r>
      </text>
    </comment>
    <comment ref="AD376" authorId="0">
      <text>
        <r>
          <rPr>
            <b/>
            <sz val="9"/>
            <color indexed="81"/>
            <rFont val="Tahoma"/>
            <family val="2"/>
          </rPr>
          <t>0 No
1 Sí</t>
        </r>
      </text>
    </comment>
    <comment ref="AE376" authorId="0">
      <text>
        <r>
          <rPr>
            <sz val="9"/>
            <color indexed="81"/>
            <rFont val="Tahoma"/>
            <family val="2"/>
          </rPr>
          <t xml:space="preserve">
0 NA
1 No solicitadas
2 Solicitadas
3 Aprobadas</t>
        </r>
      </text>
    </comment>
    <comment ref="V377" authorId="0">
      <text>
        <r>
          <rPr>
            <b/>
            <sz val="9"/>
            <color indexed="81"/>
            <rFont val="Tahoma"/>
            <family val="2"/>
          </rPr>
          <t>0 Día(s)
1 Mes (s)
2 Año(s)</t>
        </r>
      </text>
    </comment>
    <comment ref="Y377" authorId="0">
      <text>
        <r>
          <rPr>
            <sz val="9"/>
            <color indexed="81"/>
            <rFont val="Tahoma"/>
            <family val="2"/>
          </rPr>
          <t>0 Recursos propios 
1 Presupuesto de entidad nacional
2 Regalías
3 Recursos de crédito
4 SGP
5 No Aplica</t>
        </r>
      </text>
    </comment>
    <comment ref="AD377" authorId="0">
      <text>
        <r>
          <rPr>
            <b/>
            <sz val="9"/>
            <color indexed="81"/>
            <rFont val="Tahoma"/>
            <family val="2"/>
          </rPr>
          <t>0 No
1 Sí</t>
        </r>
      </text>
    </comment>
    <comment ref="AE377" authorId="0">
      <text>
        <r>
          <rPr>
            <sz val="9"/>
            <color indexed="81"/>
            <rFont val="Tahoma"/>
            <family val="2"/>
          </rPr>
          <t xml:space="preserve">
0 NA
1 No solicitadas
2 Solicitadas
3 Aprobadas</t>
        </r>
      </text>
    </comment>
    <comment ref="V378" authorId="0">
      <text>
        <r>
          <rPr>
            <b/>
            <sz val="9"/>
            <color indexed="81"/>
            <rFont val="Tahoma"/>
            <family val="2"/>
          </rPr>
          <t>0 Día(s)
1 Mes (s)
2 Año(s)</t>
        </r>
      </text>
    </comment>
    <comment ref="Y378" authorId="0">
      <text>
        <r>
          <rPr>
            <sz val="9"/>
            <color indexed="81"/>
            <rFont val="Tahoma"/>
            <family val="2"/>
          </rPr>
          <t>0 Recursos propios 
1 Presupuesto de entidad nacional
2 Regalías
3 Recursos de crédito
4 SGP
5 No Aplica</t>
        </r>
      </text>
    </comment>
    <comment ref="AD378" authorId="0">
      <text>
        <r>
          <rPr>
            <b/>
            <sz val="9"/>
            <color indexed="81"/>
            <rFont val="Tahoma"/>
            <family val="2"/>
          </rPr>
          <t>0 No
1 Sí</t>
        </r>
      </text>
    </comment>
    <comment ref="AE378" authorId="0">
      <text>
        <r>
          <rPr>
            <sz val="9"/>
            <color indexed="81"/>
            <rFont val="Tahoma"/>
            <family val="2"/>
          </rPr>
          <t xml:space="preserve">
0 NA
1 No solicitadas
2 Solicitadas
3 Aprobadas</t>
        </r>
      </text>
    </comment>
    <comment ref="V379" authorId="0">
      <text>
        <r>
          <rPr>
            <b/>
            <sz val="9"/>
            <color indexed="81"/>
            <rFont val="Tahoma"/>
            <family val="2"/>
          </rPr>
          <t>0 Día(s)
1 Mes (s)
2 Año(s)</t>
        </r>
      </text>
    </comment>
    <comment ref="Y379" authorId="0">
      <text>
        <r>
          <rPr>
            <sz val="9"/>
            <color indexed="81"/>
            <rFont val="Tahoma"/>
            <family val="2"/>
          </rPr>
          <t>0 Recursos propios 
1 Presupuesto de entidad nacional
2 Regalías
3 Recursos de crédito
4 SGP
5 No Aplica</t>
        </r>
      </text>
    </comment>
    <comment ref="AD379" authorId="0">
      <text>
        <r>
          <rPr>
            <b/>
            <sz val="9"/>
            <color indexed="81"/>
            <rFont val="Tahoma"/>
            <family val="2"/>
          </rPr>
          <t>0 No
1 Sí</t>
        </r>
      </text>
    </comment>
    <comment ref="AE379" authorId="0">
      <text>
        <r>
          <rPr>
            <sz val="9"/>
            <color indexed="81"/>
            <rFont val="Tahoma"/>
            <family val="2"/>
          </rPr>
          <t xml:space="preserve">
0 NA
1 No solicitadas
2 Solicitadas
3 Aprobadas</t>
        </r>
      </text>
    </comment>
    <comment ref="V380" authorId="0">
      <text>
        <r>
          <rPr>
            <b/>
            <sz val="9"/>
            <color indexed="81"/>
            <rFont val="Tahoma"/>
            <family val="2"/>
          </rPr>
          <t>0 Día(s)
1 Mes (s)
2 Año(s)</t>
        </r>
      </text>
    </comment>
    <comment ref="Y380" authorId="0">
      <text>
        <r>
          <rPr>
            <sz val="9"/>
            <color indexed="81"/>
            <rFont val="Tahoma"/>
            <family val="2"/>
          </rPr>
          <t>0 Recursos propios 
1 Presupuesto de entidad nacional
2 Regalías
3 Recursos de crédito
4 SGP
5 No Aplica</t>
        </r>
      </text>
    </comment>
    <comment ref="AD380" authorId="0">
      <text>
        <r>
          <rPr>
            <b/>
            <sz val="9"/>
            <color indexed="81"/>
            <rFont val="Tahoma"/>
            <family val="2"/>
          </rPr>
          <t>0 No
1 Sí</t>
        </r>
      </text>
    </comment>
    <comment ref="AE380" authorId="0">
      <text>
        <r>
          <rPr>
            <sz val="9"/>
            <color indexed="81"/>
            <rFont val="Tahoma"/>
            <family val="2"/>
          </rPr>
          <t xml:space="preserve">
0 NA
1 No solicitadas
2 Solicitadas
3 Aprobadas</t>
        </r>
      </text>
    </comment>
    <comment ref="V381" authorId="0">
      <text>
        <r>
          <rPr>
            <b/>
            <sz val="9"/>
            <color indexed="81"/>
            <rFont val="Tahoma"/>
            <family val="2"/>
          </rPr>
          <t>0 Día(s)
1 Mes (s)
2 Año(s)</t>
        </r>
      </text>
    </comment>
    <comment ref="Y381" authorId="0">
      <text>
        <r>
          <rPr>
            <sz val="9"/>
            <color indexed="81"/>
            <rFont val="Tahoma"/>
            <family val="2"/>
          </rPr>
          <t>0 Recursos propios 
1 Presupuesto de entidad nacional
2 Regalías
3 Recursos de crédito
4 SGP
5 No Aplica</t>
        </r>
      </text>
    </comment>
    <comment ref="AD381" authorId="0">
      <text>
        <r>
          <rPr>
            <b/>
            <sz val="9"/>
            <color indexed="81"/>
            <rFont val="Tahoma"/>
            <family val="2"/>
          </rPr>
          <t>0 No
1 Sí</t>
        </r>
      </text>
    </comment>
    <comment ref="AE381" authorId="0">
      <text>
        <r>
          <rPr>
            <sz val="9"/>
            <color indexed="81"/>
            <rFont val="Tahoma"/>
            <family val="2"/>
          </rPr>
          <t xml:space="preserve">
0 NA
1 No solicitadas
2 Solicitadas
3 Aprobadas</t>
        </r>
      </text>
    </comment>
    <comment ref="V382" authorId="0">
      <text>
        <r>
          <rPr>
            <b/>
            <sz val="9"/>
            <color indexed="81"/>
            <rFont val="Tahoma"/>
            <family val="2"/>
          </rPr>
          <t>0 Día(s)
1 Mes (s)
2 Año(s)</t>
        </r>
      </text>
    </comment>
    <comment ref="Y382" authorId="0">
      <text>
        <r>
          <rPr>
            <sz val="9"/>
            <color indexed="81"/>
            <rFont val="Tahoma"/>
            <family val="2"/>
          </rPr>
          <t>0 Recursos propios 
1 Presupuesto de entidad nacional
2 Regalías
3 Recursos de crédito
4 SGP
5 No Aplica</t>
        </r>
      </text>
    </comment>
    <comment ref="AD382" authorId="0">
      <text>
        <r>
          <rPr>
            <b/>
            <sz val="9"/>
            <color indexed="81"/>
            <rFont val="Tahoma"/>
            <family val="2"/>
          </rPr>
          <t>0 No
1 Sí</t>
        </r>
      </text>
    </comment>
    <comment ref="AE382" authorId="0">
      <text>
        <r>
          <rPr>
            <sz val="9"/>
            <color indexed="81"/>
            <rFont val="Tahoma"/>
            <family val="2"/>
          </rPr>
          <t xml:space="preserve">
0 NA
1 No solicitadas
2 Solicitadas
3 Aprobadas</t>
        </r>
      </text>
    </comment>
    <comment ref="V383" authorId="0">
      <text>
        <r>
          <rPr>
            <b/>
            <sz val="9"/>
            <color indexed="81"/>
            <rFont val="Tahoma"/>
            <family val="2"/>
          </rPr>
          <t>0 Día(s)
1 Mes (s)
2 Año(s)</t>
        </r>
      </text>
    </comment>
    <comment ref="Y383" authorId="0">
      <text>
        <r>
          <rPr>
            <sz val="9"/>
            <color indexed="81"/>
            <rFont val="Tahoma"/>
            <family val="2"/>
          </rPr>
          <t>0 Recursos propios 
1 Presupuesto de entidad nacional
2 Regalías
3 Recursos de crédito
4 SGP
5 No Aplica</t>
        </r>
      </text>
    </comment>
    <comment ref="AD383" authorId="0">
      <text>
        <r>
          <rPr>
            <b/>
            <sz val="9"/>
            <color indexed="81"/>
            <rFont val="Tahoma"/>
            <family val="2"/>
          </rPr>
          <t>0 No
1 Sí</t>
        </r>
      </text>
    </comment>
    <comment ref="AE383" authorId="0">
      <text>
        <r>
          <rPr>
            <sz val="9"/>
            <color indexed="81"/>
            <rFont val="Tahoma"/>
            <family val="2"/>
          </rPr>
          <t xml:space="preserve">
0 NA
1 No solicitadas
2 Solicitadas
3 Aprobadas</t>
        </r>
      </text>
    </comment>
    <comment ref="V384" authorId="0">
      <text>
        <r>
          <rPr>
            <b/>
            <sz val="9"/>
            <color indexed="81"/>
            <rFont val="Tahoma"/>
            <family val="2"/>
          </rPr>
          <t>0 Día(s)
1 Mes (s)
2 Año(s)</t>
        </r>
      </text>
    </comment>
    <comment ref="Y384" authorId="0">
      <text>
        <r>
          <rPr>
            <sz val="9"/>
            <color indexed="81"/>
            <rFont val="Tahoma"/>
            <family val="2"/>
          </rPr>
          <t>0 Recursos propios 
1 Presupuesto de entidad nacional
2 Regalías
3 Recursos de crédito
4 SGP
5 No Aplica</t>
        </r>
      </text>
    </comment>
    <comment ref="AD384" authorId="0">
      <text>
        <r>
          <rPr>
            <b/>
            <sz val="9"/>
            <color indexed="81"/>
            <rFont val="Tahoma"/>
            <family val="2"/>
          </rPr>
          <t>0 No
1 Sí</t>
        </r>
      </text>
    </comment>
    <comment ref="AE384" authorId="0">
      <text>
        <r>
          <rPr>
            <sz val="9"/>
            <color indexed="81"/>
            <rFont val="Tahoma"/>
            <family val="2"/>
          </rPr>
          <t xml:space="preserve">
0 NA
1 No solicitadas
2 Solicitadas
3 Aprobadas</t>
        </r>
      </text>
    </comment>
    <comment ref="V385" authorId="0">
      <text>
        <r>
          <rPr>
            <b/>
            <sz val="9"/>
            <color indexed="81"/>
            <rFont val="Tahoma"/>
            <family val="2"/>
          </rPr>
          <t>0 Día(s)
1 Mes (s)
2 Año(s)</t>
        </r>
      </text>
    </comment>
    <comment ref="Y385" authorId="0">
      <text>
        <r>
          <rPr>
            <sz val="9"/>
            <color indexed="81"/>
            <rFont val="Tahoma"/>
            <family val="2"/>
          </rPr>
          <t>0 Recursos propios 
1 Presupuesto de entidad nacional
2 Regalías
3 Recursos de crédito
4 SGP
5 No Aplica</t>
        </r>
      </text>
    </comment>
    <comment ref="AD385" authorId="0">
      <text>
        <r>
          <rPr>
            <b/>
            <sz val="9"/>
            <color indexed="81"/>
            <rFont val="Tahoma"/>
            <family val="2"/>
          </rPr>
          <t>0 No
1 Sí</t>
        </r>
      </text>
    </comment>
    <comment ref="AE385" authorId="0">
      <text>
        <r>
          <rPr>
            <sz val="9"/>
            <color indexed="81"/>
            <rFont val="Tahoma"/>
            <family val="2"/>
          </rPr>
          <t xml:space="preserve">
0 NA
1 No solicitadas
2 Solicitadas
3 Aprobadas</t>
        </r>
      </text>
    </comment>
    <comment ref="V386" authorId="0">
      <text>
        <r>
          <rPr>
            <b/>
            <sz val="9"/>
            <color indexed="81"/>
            <rFont val="Tahoma"/>
            <family val="2"/>
          </rPr>
          <t>0 Día(s)
1 Mes (s)
2 Año(s)</t>
        </r>
      </text>
    </comment>
    <comment ref="Y386" authorId="0">
      <text>
        <r>
          <rPr>
            <sz val="9"/>
            <color indexed="81"/>
            <rFont val="Tahoma"/>
            <family val="2"/>
          </rPr>
          <t>0 Recursos propios 
1 Presupuesto de entidad nacional
2 Regalías
3 Recursos de crédito
4 SGP
5 No Aplica</t>
        </r>
      </text>
    </comment>
    <comment ref="AD386" authorId="0">
      <text>
        <r>
          <rPr>
            <b/>
            <sz val="9"/>
            <color indexed="81"/>
            <rFont val="Tahoma"/>
            <family val="2"/>
          </rPr>
          <t>0 No
1 Sí</t>
        </r>
      </text>
    </comment>
    <comment ref="AE386" authorId="0">
      <text>
        <r>
          <rPr>
            <sz val="9"/>
            <color indexed="81"/>
            <rFont val="Tahoma"/>
            <family val="2"/>
          </rPr>
          <t xml:space="preserve">
0 NA
1 No solicitadas
2 Solicitadas
3 Aprobadas</t>
        </r>
      </text>
    </comment>
    <comment ref="V387" authorId="0">
      <text>
        <r>
          <rPr>
            <b/>
            <sz val="9"/>
            <color indexed="81"/>
            <rFont val="Tahoma"/>
            <family val="2"/>
          </rPr>
          <t>0 Día(s)
1 Mes (s)
2 Año(s)</t>
        </r>
      </text>
    </comment>
    <comment ref="Y387" authorId="0">
      <text>
        <r>
          <rPr>
            <sz val="9"/>
            <color indexed="81"/>
            <rFont val="Tahoma"/>
            <family val="2"/>
          </rPr>
          <t>0 Recursos propios 
1 Presupuesto de entidad nacional
2 Regalías
3 Recursos de crédito
4 SGP
5 No Aplica</t>
        </r>
      </text>
    </comment>
    <comment ref="AD387" authorId="0">
      <text>
        <r>
          <rPr>
            <b/>
            <sz val="9"/>
            <color indexed="81"/>
            <rFont val="Tahoma"/>
            <family val="2"/>
          </rPr>
          <t>0 No
1 Sí</t>
        </r>
      </text>
    </comment>
    <comment ref="AE387" authorId="0">
      <text>
        <r>
          <rPr>
            <sz val="9"/>
            <color indexed="81"/>
            <rFont val="Tahoma"/>
            <family val="2"/>
          </rPr>
          <t xml:space="preserve">
0 NA
1 No solicitadas
2 Solicitadas
3 Aprobadas</t>
        </r>
      </text>
    </comment>
    <comment ref="V388" authorId="0">
      <text>
        <r>
          <rPr>
            <b/>
            <sz val="9"/>
            <color indexed="81"/>
            <rFont val="Tahoma"/>
            <family val="2"/>
          </rPr>
          <t>0 Día(s)
1 Mes (s)
2 Año(s)</t>
        </r>
      </text>
    </comment>
    <comment ref="Y388" authorId="0">
      <text>
        <r>
          <rPr>
            <sz val="9"/>
            <color indexed="81"/>
            <rFont val="Tahoma"/>
            <family val="2"/>
          </rPr>
          <t>0 Recursos propios 
1 Presupuesto de entidad nacional
2 Regalías
3 Recursos de crédito
4 SGP
5 No Aplica</t>
        </r>
      </text>
    </comment>
    <comment ref="AD388" authorId="0">
      <text>
        <r>
          <rPr>
            <b/>
            <sz val="9"/>
            <color indexed="81"/>
            <rFont val="Tahoma"/>
            <family val="2"/>
          </rPr>
          <t>0 No
1 Sí</t>
        </r>
      </text>
    </comment>
    <comment ref="AE388" authorId="0">
      <text>
        <r>
          <rPr>
            <sz val="9"/>
            <color indexed="81"/>
            <rFont val="Tahoma"/>
            <family val="2"/>
          </rPr>
          <t xml:space="preserve">
0 NA
1 No solicitadas
2 Solicitadas
3 Aprobadas</t>
        </r>
      </text>
    </comment>
    <comment ref="V389" authorId="0">
      <text>
        <r>
          <rPr>
            <b/>
            <sz val="9"/>
            <color indexed="81"/>
            <rFont val="Tahoma"/>
            <family val="2"/>
          </rPr>
          <t>0 Día(s)
1 Mes (s)
2 Año(s)</t>
        </r>
      </text>
    </comment>
    <comment ref="Y389" authorId="0">
      <text>
        <r>
          <rPr>
            <sz val="9"/>
            <color indexed="81"/>
            <rFont val="Tahoma"/>
            <family val="2"/>
          </rPr>
          <t>0 Recursos propios 
1 Presupuesto de entidad nacional
2 Regalías
3 Recursos de crédito
4 SGP
5 No Aplica</t>
        </r>
      </text>
    </comment>
    <comment ref="AD389" authorId="0">
      <text>
        <r>
          <rPr>
            <b/>
            <sz val="9"/>
            <color indexed="81"/>
            <rFont val="Tahoma"/>
            <family val="2"/>
          </rPr>
          <t>0 No
1 Sí</t>
        </r>
      </text>
    </comment>
    <comment ref="AE389" authorId="0">
      <text>
        <r>
          <rPr>
            <sz val="9"/>
            <color indexed="81"/>
            <rFont val="Tahoma"/>
            <family val="2"/>
          </rPr>
          <t xml:space="preserve">
0 NA
1 No solicitadas
2 Solicitadas
3 Aprobadas</t>
        </r>
      </text>
    </comment>
    <comment ref="V390" authorId="0">
      <text>
        <r>
          <rPr>
            <b/>
            <sz val="9"/>
            <color indexed="81"/>
            <rFont val="Tahoma"/>
            <family val="2"/>
          </rPr>
          <t>0 Día(s)
1 Mes (s)
2 Año(s)</t>
        </r>
      </text>
    </comment>
    <comment ref="Y390" authorId="0">
      <text>
        <r>
          <rPr>
            <sz val="9"/>
            <color indexed="81"/>
            <rFont val="Tahoma"/>
            <family val="2"/>
          </rPr>
          <t>0 Recursos propios 
1 Presupuesto de entidad nacional
2 Regalías
3 Recursos de crédito
4 SGP
5 No Aplica</t>
        </r>
      </text>
    </comment>
    <comment ref="AD390" authorId="0">
      <text>
        <r>
          <rPr>
            <b/>
            <sz val="9"/>
            <color indexed="81"/>
            <rFont val="Tahoma"/>
            <family val="2"/>
          </rPr>
          <t>0 No
1 Sí</t>
        </r>
      </text>
    </comment>
    <comment ref="AE390" authorId="0">
      <text>
        <r>
          <rPr>
            <sz val="9"/>
            <color indexed="81"/>
            <rFont val="Tahoma"/>
            <family val="2"/>
          </rPr>
          <t xml:space="preserve">
0 NA
1 No solicitadas
2 Solicitadas
3 Aprobadas</t>
        </r>
      </text>
    </comment>
    <comment ref="V391" authorId="0">
      <text>
        <r>
          <rPr>
            <b/>
            <sz val="9"/>
            <color indexed="81"/>
            <rFont val="Tahoma"/>
            <family val="2"/>
          </rPr>
          <t>0 Día(s)
1 Mes (s)
2 Año(s)</t>
        </r>
      </text>
    </comment>
    <comment ref="Y391" authorId="0">
      <text>
        <r>
          <rPr>
            <sz val="9"/>
            <color indexed="81"/>
            <rFont val="Tahoma"/>
            <family val="2"/>
          </rPr>
          <t>0 Recursos propios 
1 Presupuesto de entidad nacional
2 Regalías
3 Recursos de crédito
4 SGP
5 No Aplica</t>
        </r>
      </text>
    </comment>
    <comment ref="AD391" authorId="0">
      <text>
        <r>
          <rPr>
            <b/>
            <sz val="9"/>
            <color indexed="81"/>
            <rFont val="Tahoma"/>
            <family val="2"/>
          </rPr>
          <t>0 No
1 Sí</t>
        </r>
      </text>
    </comment>
    <comment ref="AE391" authorId="0">
      <text>
        <r>
          <rPr>
            <sz val="9"/>
            <color indexed="81"/>
            <rFont val="Tahoma"/>
            <family val="2"/>
          </rPr>
          <t xml:space="preserve">
0 NA
1 No solicitadas
2 Solicitadas
3 Aprobadas</t>
        </r>
      </text>
    </comment>
    <comment ref="V392" authorId="0">
      <text>
        <r>
          <rPr>
            <b/>
            <sz val="9"/>
            <color indexed="81"/>
            <rFont val="Tahoma"/>
            <family val="2"/>
          </rPr>
          <t>0 Día(s)
1 Mes (s)
2 Año(s)</t>
        </r>
      </text>
    </comment>
    <comment ref="Y392" authorId="0">
      <text>
        <r>
          <rPr>
            <sz val="9"/>
            <color indexed="81"/>
            <rFont val="Tahoma"/>
            <family val="2"/>
          </rPr>
          <t>0 Recursos propios 
1 Presupuesto de entidad nacional
2 Regalías
3 Recursos de crédito
4 SGP
5 No Aplica</t>
        </r>
      </text>
    </comment>
    <comment ref="AD392" authorId="0">
      <text>
        <r>
          <rPr>
            <b/>
            <sz val="9"/>
            <color indexed="81"/>
            <rFont val="Tahoma"/>
            <family val="2"/>
          </rPr>
          <t>0 No
1 Sí</t>
        </r>
      </text>
    </comment>
    <comment ref="AE392" authorId="0">
      <text>
        <r>
          <rPr>
            <sz val="9"/>
            <color indexed="81"/>
            <rFont val="Tahoma"/>
            <family val="2"/>
          </rPr>
          <t xml:space="preserve">
0 NA
1 No solicitadas
2 Solicitadas
3 Aprobadas</t>
        </r>
      </text>
    </comment>
    <comment ref="V393" authorId="0">
      <text>
        <r>
          <rPr>
            <b/>
            <sz val="9"/>
            <color indexed="81"/>
            <rFont val="Tahoma"/>
            <family val="2"/>
          </rPr>
          <t>0 Día(s)
1 Mes (s)
2 Año(s)</t>
        </r>
      </text>
    </comment>
    <comment ref="Y393" authorId="0">
      <text>
        <r>
          <rPr>
            <sz val="9"/>
            <color indexed="81"/>
            <rFont val="Tahoma"/>
            <family val="2"/>
          </rPr>
          <t>0 Recursos propios 
1 Presupuesto de entidad nacional
2 Regalías
3 Recursos de crédito
4 SGP
5 No Aplica</t>
        </r>
      </text>
    </comment>
    <comment ref="AD393" authorId="0">
      <text>
        <r>
          <rPr>
            <b/>
            <sz val="9"/>
            <color indexed="81"/>
            <rFont val="Tahoma"/>
            <family val="2"/>
          </rPr>
          <t>0 No
1 Sí</t>
        </r>
      </text>
    </comment>
    <comment ref="AE393" authorId="0">
      <text>
        <r>
          <rPr>
            <sz val="9"/>
            <color indexed="81"/>
            <rFont val="Tahoma"/>
            <family val="2"/>
          </rPr>
          <t xml:space="preserve">
0 NA
1 No solicitadas
2 Solicitadas
3 Aprobadas</t>
        </r>
      </text>
    </comment>
    <comment ref="V394" authorId="0">
      <text>
        <r>
          <rPr>
            <b/>
            <sz val="9"/>
            <color indexed="81"/>
            <rFont val="Tahoma"/>
            <family val="2"/>
          </rPr>
          <t>0 Día(s)
1 Mes (s)
2 Año(s)</t>
        </r>
      </text>
    </comment>
    <comment ref="Y394" authorId="0">
      <text>
        <r>
          <rPr>
            <sz val="9"/>
            <color indexed="81"/>
            <rFont val="Tahoma"/>
            <family val="2"/>
          </rPr>
          <t>0 Recursos propios 
1 Presupuesto de entidad nacional
2 Regalías
3 Recursos de crédito
4 SGP
5 No Aplica</t>
        </r>
      </text>
    </comment>
    <comment ref="AD394" authorId="0">
      <text>
        <r>
          <rPr>
            <b/>
            <sz val="9"/>
            <color indexed="81"/>
            <rFont val="Tahoma"/>
            <family val="2"/>
          </rPr>
          <t>0 No
1 Sí</t>
        </r>
      </text>
    </comment>
    <comment ref="AE394" authorId="0">
      <text>
        <r>
          <rPr>
            <sz val="9"/>
            <color indexed="81"/>
            <rFont val="Tahoma"/>
            <family val="2"/>
          </rPr>
          <t xml:space="preserve">
0 NA
1 No solicitadas
2 Solicitadas
3 Aprobadas</t>
        </r>
      </text>
    </comment>
    <comment ref="V395" authorId="0">
      <text>
        <r>
          <rPr>
            <b/>
            <sz val="9"/>
            <color indexed="81"/>
            <rFont val="Tahoma"/>
            <family val="2"/>
          </rPr>
          <t>0 Día(s)
1 Mes (s)
2 Año(s)</t>
        </r>
      </text>
    </comment>
    <comment ref="Y395" authorId="0">
      <text>
        <r>
          <rPr>
            <sz val="9"/>
            <color indexed="81"/>
            <rFont val="Tahoma"/>
            <family val="2"/>
          </rPr>
          <t>0 Recursos propios 
1 Presupuesto de entidad nacional
2 Regalías
3 Recursos de crédito
4 SGP
5 No Aplica</t>
        </r>
      </text>
    </comment>
    <comment ref="AD395" authorId="0">
      <text>
        <r>
          <rPr>
            <b/>
            <sz val="9"/>
            <color indexed="81"/>
            <rFont val="Tahoma"/>
            <family val="2"/>
          </rPr>
          <t>0 No
1 Sí</t>
        </r>
      </text>
    </comment>
    <comment ref="AE395" authorId="0">
      <text>
        <r>
          <rPr>
            <sz val="9"/>
            <color indexed="81"/>
            <rFont val="Tahoma"/>
            <family val="2"/>
          </rPr>
          <t xml:space="preserve">
0 NA
1 No solicitadas
2 Solicitadas
3 Aprobadas</t>
        </r>
      </text>
    </comment>
    <comment ref="V396" authorId="0">
      <text>
        <r>
          <rPr>
            <b/>
            <sz val="9"/>
            <color indexed="81"/>
            <rFont val="Tahoma"/>
            <family val="2"/>
          </rPr>
          <t>0 Día(s)
1 Mes (s)
2 Año(s)</t>
        </r>
      </text>
    </comment>
    <comment ref="Y396" authorId="0">
      <text>
        <r>
          <rPr>
            <sz val="9"/>
            <color indexed="81"/>
            <rFont val="Tahoma"/>
            <family val="2"/>
          </rPr>
          <t>0 Recursos propios 
1 Presupuesto de entidad nacional
2 Regalías
3 Recursos de crédito
4 SGP
5 No Aplica</t>
        </r>
      </text>
    </comment>
    <comment ref="AD396" authorId="0">
      <text>
        <r>
          <rPr>
            <b/>
            <sz val="9"/>
            <color indexed="81"/>
            <rFont val="Tahoma"/>
            <family val="2"/>
          </rPr>
          <t>0 No
1 Sí</t>
        </r>
      </text>
    </comment>
    <comment ref="AE396" authorId="0">
      <text>
        <r>
          <rPr>
            <sz val="9"/>
            <color indexed="81"/>
            <rFont val="Tahoma"/>
            <family val="2"/>
          </rPr>
          <t xml:space="preserve">
0 NA
1 No solicitadas
2 Solicitadas
3 Aprobadas</t>
        </r>
      </text>
    </comment>
    <comment ref="V397" authorId="0">
      <text>
        <r>
          <rPr>
            <b/>
            <sz val="9"/>
            <color indexed="81"/>
            <rFont val="Tahoma"/>
            <family val="2"/>
          </rPr>
          <t>0 Día(s)
1 Mes (s)
2 Año(s)</t>
        </r>
      </text>
    </comment>
    <comment ref="Y397" authorId="0">
      <text>
        <r>
          <rPr>
            <sz val="9"/>
            <color indexed="81"/>
            <rFont val="Tahoma"/>
            <family val="2"/>
          </rPr>
          <t>0 Recursos propios 
1 Presupuesto de entidad nacional
2 Regalías
3 Recursos de crédito
4 SGP
5 No Aplica</t>
        </r>
      </text>
    </comment>
    <comment ref="AD397" authorId="0">
      <text>
        <r>
          <rPr>
            <b/>
            <sz val="9"/>
            <color indexed="81"/>
            <rFont val="Tahoma"/>
            <family val="2"/>
          </rPr>
          <t>0 No
1 Sí</t>
        </r>
      </text>
    </comment>
    <comment ref="AE397" authorId="0">
      <text>
        <r>
          <rPr>
            <sz val="9"/>
            <color indexed="81"/>
            <rFont val="Tahoma"/>
            <family val="2"/>
          </rPr>
          <t xml:space="preserve">
0 NA
1 No solicitadas
2 Solicitadas
3 Aprobadas</t>
        </r>
      </text>
    </comment>
    <comment ref="V398" authorId="0">
      <text>
        <r>
          <rPr>
            <b/>
            <sz val="9"/>
            <color indexed="81"/>
            <rFont val="Tahoma"/>
            <family val="2"/>
          </rPr>
          <t>0 Día(s)
1 Mes (s)
2 Año(s)</t>
        </r>
      </text>
    </comment>
    <comment ref="Y398" authorId="0">
      <text>
        <r>
          <rPr>
            <sz val="9"/>
            <color indexed="81"/>
            <rFont val="Tahoma"/>
            <family val="2"/>
          </rPr>
          <t>0 Recursos propios 
1 Presupuesto de entidad nacional
2 Regalías
3 Recursos de crédito
4 SGP
5 No Aplica</t>
        </r>
      </text>
    </comment>
    <comment ref="AD398" authorId="0">
      <text>
        <r>
          <rPr>
            <b/>
            <sz val="9"/>
            <color indexed="81"/>
            <rFont val="Tahoma"/>
            <family val="2"/>
          </rPr>
          <t>0 No
1 Sí</t>
        </r>
      </text>
    </comment>
    <comment ref="AE398" authorId="0">
      <text>
        <r>
          <rPr>
            <sz val="9"/>
            <color indexed="81"/>
            <rFont val="Tahoma"/>
            <family val="2"/>
          </rPr>
          <t xml:space="preserve">
0 NA
1 No solicitadas
2 Solicitadas
3 Aprobadas</t>
        </r>
      </text>
    </comment>
    <comment ref="V399" authorId="0">
      <text>
        <r>
          <rPr>
            <b/>
            <sz val="9"/>
            <color indexed="81"/>
            <rFont val="Tahoma"/>
            <family val="2"/>
          </rPr>
          <t>0 Día(s)
1 Mes (s)
2 Año(s)</t>
        </r>
      </text>
    </comment>
    <comment ref="Y399" authorId="0">
      <text>
        <r>
          <rPr>
            <sz val="9"/>
            <color indexed="81"/>
            <rFont val="Tahoma"/>
            <family val="2"/>
          </rPr>
          <t>0 Recursos propios 
1 Presupuesto de entidad nacional
2 Regalías
3 Recursos de crédito
4 SGP
5 No Aplica</t>
        </r>
      </text>
    </comment>
    <comment ref="AD399" authorId="0">
      <text>
        <r>
          <rPr>
            <b/>
            <sz val="9"/>
            <color indexed="81"/>
            <rFont val="Tahoma"/>
            <family val="2"/>
          </rPr>
          <t>0 No
1 Sí</t>
        </r>
      </text>
    </comment>
    <comment ref="AE399" authorId="0">
      <text>
        <r>
          <rPr>
            <sz val="9"/>
            <color indexed="81"/>
            <rFont val="Tahoma"/>
            <family val="2"/>
          </rPr>
          <t xml:space="preserve">
0 NA
1 No solicitadas
2 Solicitadas
3 Aprobadas</t>
        </r>
      </text>
    </comment>
    <comment ref="V400" authorId="0">
      <text>
        <r>
          <rPr>
            <b/>
            <sz val="9"/>
            <color indexed="81"/>
            <rFont val="Tahoma"/>
            <family val="2"/>
          </rPr>
          <t>0 Día(s)
1 Mes (s)
2 Año(s)</t>
        </r>
      </text>
    </comment>
    <comment ref="Y400" authorId="0">
      <text>
        <r>
          <rPr>
            <sz val="9"/>
            <color indexed="81"/>
            <rFont val="Tahoma"/>
            <family val="2"/>
          </rPr>
          <t>0 Recursos propios 
1 Presupuesto de entidad nacional
2 Regalías
3 Recursos de crédito
4 SGP
5 No Aplica</t>
        </r>
      </text>
    </comment>
    <comment ref="AD400" authorId="0">
      <text>
        <r>
          <rPr>
            <b/>
            <sz val="9"/>
            <color indexed="81"/>
            <rFont val="Tahoma"/>
            <family val="2"/>
          </rPr>
          <t>0 No
1 Sí</t>
        </r>
      </text>
    </comment>
    <comment ref="AE400" authorId="0">
      <text>
        <r>
          <rPr>
            <sz val="9"/>
            <color indexed="81"/>
            <rFont val="Tahoma"/>
            <family val="2"/>
          </rPr>
          <t xml:space="preserve">
0 NA
1 No solicitadas
2 Solicitadas
3 Aprobadas</t>
        </r>
      </text>
    </comment>
    <comment ref="V401" authorId="0">
      <text>
        <r>
          <rPr>
            <b/>
            <sz val="9"/>
            <color indexed="81"/>
            <rFont val="Tahoma"/>
            <family val="2"/>
          </rPr>
          <t>0 Día(s)
1 Mes (s)
2 Año(s)</t>
        </r>
      </text>
    </comment>
    <comment ref="Y401" authorId="0">
      <text>
        <r>
          <rPr>
            <sz val="9"/>
            <color indexed="81"/>
            <rFont val="Tahoma"/>
            <family val="2"/>
          </rPr>
          <t>0 Recursos propios 
1 Presupuesto de entidad nacional
2 Regalías
3 Recursos de crédito
4 SGP
5 No Aplica</t>
        </r>
      </text>
    </comment>
    <comment ref="AD401" authorId="0">
      <text>
        <r>
          <rPr>
            <b/>
            <sz val="9"/>
            <color indexed="81"/>
            <rFont val="Tahoma"/>
            <family val="2"/>
          </rPr>
          <t>0 No
1 Sí</t>
        </r>
      </text>
    </comment>
    <comment ref="AE401" authorId="0">
      <text>
        <r>
          <rPr>
            <sz val="9"/>
            <color indexed="81"/>
            <rFont val="Tahoma"/>
            <family val="2"/>
          </rPr>
          <t xml:space="preserve">
0 NA
1 No solicitadas
2 Solicitadas
3 Aprobadas</t>
        </r>
      </text>
    </comment>
    <comment ref="V402" authorId="0">
      <text>
        <r>
          <rPr>
            <b/>
            <sz val="9"/>
            <color indexed="81"/>
            <rFont val="Tahoma"/>
            <family val="2"/>
          </rPr>
          <t>0 Día(s)
1 Mes (s)
2 Año(s)</t>
        </r>
      </text>
    </comment>
    <comment ref="Y402" authorId="0">
      <text>
        <r>
          <rPr>
            <sz val="9"/>
            <color indexed="81"/>
            <rFont val="Tahoma"/>
            <family val="2"/>
          </rPr>
          <t>0 Recursos propios 
1 Presupuesto de entidad nacional
2 Regalías
3 Recursos de crédito
4 SGP
5 No Aplica</t>
        </r>
      </text>
    </comment>
    <comment ref="AD402" authorId="0">
      <text>
        <r>
          <rPr>
            <b/>
            <sz val="9"/>
            <color indexed="81"/>
            <rFont val="Tahoma"/>
            <family val="2"/>
          </rPr>
          <t>0 No
1 Sí</t>
        </r>
      </text>
    </comment>
    <comment ref="AE402" authorId="0">
      <text>
        <r>
          <rPr>
            <sz val="9"/>
            <color indexed="81"/>
            <rFont val="Tahoma"/>
            <family val="2"/>
          </rPr>
          <t xml:space="preserve">
0 NA
1 No solicitadas
2 Solicitadas
3 Aprobadas</t>
        </r>
      </text>
    </comment>
    <comment ref="V403" authorId="0">
      <text>
        <r>
          <rPr>
            <b/>
            <sz val="9"/>
            <color indexed="81"/>
            <rFont val="Tahoma"/>
            <family val="2"/>
          </rPr>
          <t>0 Día(s)
1 Mes (s)
2 Año(s)</t>
        </r>
      </text>
    </comment>
    <comment ref="Y403" authorId="0">
      <text>
        <r>
          <rPr>
            <sz val="9"/>
            <color indexed="81"/>
            <rFont val="Tahoma"/>
            <family val="2"/>
          </rPr>
          <t>0 Recursos propios 
1 Presupuesto de entidad nacional
2 Regalías
3 Recursos de crédito
4 SGP
5 No Aplica</t>
        </r>
      </text>
    </comment>
    <comment ref="AD403" authorId="0">
      <text>
        <r>
          <rPr>
            <b/>
            <sz val="9"/>
            <color indexed="81"/>
            <rFont val="Tahoma"/>
            <family val="2"/>
          </rPr>
          <t>0 No
1 Sí</t>
        </r>
      </text>
    </comment>
    <comment ref="AE403" authorId="0">
      <text>
        <r>
          <rPr>
            <sz val="9"/>
            <color indexed="81"/>
            <rFont val="Tahoma"/>
            <family val="2"/>
          </rPr>
          <t xml:space="preserve">
0 NA
1 No solicitadas
2 Solicitadas
3 Aprobadas</t>
        </r>
      </text>
    </comment>
    <comment ref="V404" authorId="0">
      <text>
        <r>
          <rPr>
            <b/>
            <sz val="9"/>
            <color indexed="81"/>
            <rFont val="Tahoma"/>
            <family val="2"/>
          </rPr>
          <t>0 Día(s)
1 Mes (s)
2 Año(s)</t>
        </r>
      </text>
    </comment>
    <comment ref="Y404" authorId="0">
      <text>
        <r>
          <rPr>
            <sz val="9"/>
            <color indexed="81"/>
            <rFont val="Tahoma"/>
            <family val="2"/>
          </rPr>
          <t>0 Recursos propios 
1 Presupuesto de entidad nacional
2 Regalías
3 Recursos de crédito
4 SGP
5 No Aplica</t>
        </r>
      </text>
    </comment>
    <comment ref="AD404" authorId="0">
      <text>
        <r>
          <rPr>
            <b/>
            <sz val="9"/>
            <color indexed="81"/>
            <rFont val="Tahoma"/>
            <family val="2"/>
          </rPr>
          <t>0 No
1 Sí</t>
        </r>
      </text>
    </comment>
    <comment ref="AE404" authorId="0">
      <text>
        <r>
          <rPr>
            <sz val="9"/>
            <color indexed="81"/>
            <rFont val="Tahoma"/>
            <family val="2"/>
          </rPr>
          <t xml:space="preserve">
0 NA
1 No solicitadas
2 Solicitadas
3 Aprobadas</t>
        </r>
      </text>
    </comment>
    <comment ref="V405" authorId="0">
      <text>
        <r>
          <rPr>
            <b/>
            <sz val="9"/>
            <color indexed="81"/>
            <rFont val="Tahoma"/>
            <family val="2"/>
          </rPr>
          <t>0 Día(s)
1 Mes (s)
2 Año(s)</t>
        </r>
      </text>
    </comment>
    <comment ref="Y405" authorId="0">
      <text>
        <r>
          <rPr>
            <sz val="9"/>
            <color indexed="81"/>
            <rFont val="Tahoma"/>
            <family val="2"/>
          </rPr>
          <t>0 Recursos propios 
1 Presupuesto de entidad nacional
2 Regalías
3 Recursos de crédito
4 SGP
5 No Aplica</t>
        </r>
      </text>
    </comment>
    <comment ref="AD405" authorId="0">
      <text>
        <r>
          <rPr>
            <b/>
            <sz val="9"/>
            <color indexed="81"/>
            <rFont val="Tahoma"/>
            <family val="2"/>
          </rPr>
          <t>0 No
1 Sí</t>
        </r>
      </text>
    </comment>
    <comment ref="AE405" authorId="0">
      <text>
        <r>
          <rPr>
            <sz val="9"/>
            <color indexed="81"/>
            <rFont val="Tahoma"/>
            <family val="2"/>
          </rPr>
          <t xml:space="preserve">
0 NA
1 No solicitadas
2 Solicitadas
3 Aprobadas</t>
        </r>
      </text>
    </comment>
    <comment ref="V406" authorId="0">
      <text>
        <r>
          <rPr>
            <b/>
            <sz val="9"/>
            <color indexed="81"/>
            <rFont val="Tahoma"/>
            <family val="2"/>
          </rPr>
          <t>0 Día(s)
1 Mes (s)
2 Año(s)</t>
        </r>
      </text>
    </comment>
    <comment ref="Y406" authorId="0">
      <text>
        <r>
          <rPr>
            <sz val="9"/>
            <color indexed="81"/>
            <rFont val="Tahoma"/>
            <family val="2"/>
          </rPr>
          <t>0 Recursos propios 
1 Presupuesto de entidad nacional
2 Regalías
3 Recursos de crédito
4 SGP
5 No Aplica</t>
        </r>
      </text>
    </comment>
    <comment ref="AD406" authorId="0">
      <text>
        <r>
          <rPr>
            <b/>
            <sz val="9"/>
            <color indexed="81"/>
            <rFont val="Tahoma"/>
            <family val="2"/>
          </rPr>
          <t>0 No
1 Sí</t>
        </r>
      </text>
    </comment>
    <comment ref="AE406" authorId="0">
      <text>
        <r>
          <rPr>
            <sz val="9"/>
            <color indexed="81"/>
            <rFont val="Tahoma"/>
            <family val="2"/>
          </rPr>
          <t xml:space="preserve">
0 NA
1 No solicitadas
2 Solicitadas
3 Aprobadas</t>
        </r>
      </text>
    </comment>
    <comment ref="V407" authorId="0">
      <text>
        <r>
          <rPr>
            <b/>
            <sz val="9"/>
            <color indexed="81"/>
            <rFont val="Tahoma"/>
            <family val="2"/>
          </rPr>
          <t>0 Día(s)
1 Mes (s)
2 Año(s)</t>
        </r>
      </text>
    </comment>
    <comment ref="Y407" authorId="0">
      <text>
        <r>
          <rPr>
            <sz val="9"/>
            <color indexed="81"/>
            <rFont val="Tahoma"/>
            <family val="2"/>
          </rPr>
          <t>0 Recursos propios 
1 Presupuesto de entidad nacional
2 Regalías
3 Recursos de crédito
4 SGP
5 No Aplica</t>
        </r>
      </text>
    </comment>
    <comment ref="AD407" authorId="0">
      <text>
        <r>
          <rPr>
            <b/>
            <sz val="9"/>
            <color indexed="81"/>
            <rFont val="Tahoma"/>
            <family val="2"/>
          </rPr>
          <t>0 No
1 Sí</t>
        </r>
      </text>
    </comment>
    <comment ref="AE407" authorId="0">
      <text>
        <r>
          <rPr>
            <sz val="9"/>
            <color indexed="81"/>
            <rFont val="Tahoma"/>
            <family val="2"/>
          </rPr>
          <t xml:space="preserve">
0 NA
1 No solicitadas
2 Solicitadas
3 Aprobadas</t>
        </r>
      </text>
    </comment>
    <comment ref="V408" authorId="0">
      <text>
        <r>
          <rPr>
            <b/>
            <sz val="9"/>
            <color indexed="81"/>
            <rFont val="Tahoma"/>
            <family val="2"/>
          </rPr>
          <t>0 Día(s)
1 Mes (s)
2 Año(s)</t>
        </r>
      </text>
    </comment>
    <comment ref="Y408" authorId="0">
      <text>
        <r>
          <rPr>
            <sz val="9"/>
            <color indexed="81"/>
            <rFont val="Tahoma"/>
            <family val="2"/>
          </rPr>
          <t>0 Recursos propios 
1 Presupuesto de entidad nacional
2 Regalías
3 Recursos de crédito
4 SGP
5 No Aplica</t>
        </r>
      </text>
    </comment>
    <comment ref="AD408" authorId="0">
      <text>
        <r>
          <rPr>
            <b/>
            <sz val="9"/>
            <color indexed="81"/>
            <rFont val="Tahoma"/>
            <family val="2"/>
          </rPr>
          <t>0 No
1 Sí</t>
        </r>
      </text>
    </comment>
    <comment ref="AE408" authorId="0">
      <text>
        <r>
          <rPr>
            <sz val="9"/>
            <color indexed="81"/>
            <rFont val="Tahoma"/>
            <family val="2"/>
          </rPr>
          <t xml:space="preserve">
0 NA
1 No solicitadas
2 Solicitadas
3 Aprobadas</t>
        </r>
      </text>
    </comment>
    <comment ref="V409" authorId="0">
      <text>
        <r>
          <rPr>
            <b/>
            <sz val="9"/>
            <color indexed="81"/>
            <rFont val="Tahoma"/>
            <family val="2"/>
          </rPr>
          <t>0 Día(s)
1 Mes (s)
2 Año(s)</t>
        </r>
      </text>
    </comment>
    <comment ref="Y409" authorId="0">
      <text>
        <r>
          <rPr>
            <sz val="9"/>
            <color indexed="81"/>
            <rFont val="Tahoma"/>
            <family val="2"/>
          </rPr>
          <t>0 Recursos propios 
1 Presupuesto de entidad nacional
2 Regalías
3 Recursos de crédito
4 SGP
5 No Aplica</t>
        </r>
      </text>
    </comment>
    <comment ref="AD409" authorId="0">
      <text>
        <r>
          <rPr>
            <b/>
            <sz val="9"/>
            <color indexed="81"/>
            <rFont val="Tahoma"/>
            <family val="2"/>
          </rPr>
          <t>0 No
1 Sí</t>
        </r>
      </text>
    </comment>
    <comment ref="AE409" authorId="0">
      <text>
        <r>
          <rPr>
            <sz val="9"/>
            <color indexed="81"/>
            <rFont val="Tahoma"/>
            <family val="2"/>
          </rPr>
          <t xml:space="preserve">
0 NA
1 No solicitadas
2 Solicitadas
3 Aprobadas</t>
        </r>
      </text>
    </comment>
    <comment ref="V410" authorId="0">
      <text>
        <r>
          <rPr>
            <b/>
            <sz val="9"/>
            <color indexed="81"/>
            <rFont val="Tahoma"/>
            <family val="2"/>
          </rPr>
          <t>0 Día(s)
1 Mes (s)
2 Año(s)</t>
        </r>
      </text>
    </comment>
    <comment ref="Y410" authorId="0">
      <text>
        <r>
          <rPr>
            <sz val="9"/>
            <color indexed="81"/>
            <rFont val="Tahoma"/>
            <family val="2"/>
          </rPr>
          <t>0 Recursos propios 
1 Presupuesto de entidad nacional
2 Regalías
3 Recursos de crédito
4 SGP
5 No Aplica</t>
        </r>
      </text>
    </comment>
    <comment ref="AD410" authorId="0">
      <text>
        <r>
          <rPr>
            <b/>
            <sz val="9"/>
            <color indexed="81"/>
            <rFont val="Tahoma"/>
            <family val="2"/>
          </rPr>
          <t>0 No
1 Sí</t>
        </r>
      </text>
    </comment>
    <comment ref="AE410" authorId="0">
      <text>
        <r>
          <rPr>
            <sz val="9"/>
            <color indexed="81"/>
            <rFont val="Tahoma"/>
            <family val="2"/>
          </rPr>
          <t xml:space="preserve">
0 NA
1 No solicitadas
2 Solicitadas
3 Aprobadas</t>
        </r>
      </text>
    </comment>
    <comment ref="V411" authorId="0">
      <text>
        <r>
          <rPr>
            <b/>
            <sz val="9"/>
            <color indexed="81"/>
            <rFont val="Tahoma"/>
            <family val="2"/>
          </rPr>
          <t>0 Día(s)
1 Mes (s)
2 Año(s)</t>
        </r>
      </text>
    </comment>
    <comment ref="Y411" authorId="0">
      <text>
        <r>
          <rPr>
            <sz val="9"/>
            <color indexed="81"/>
            <rFont val="Tahoma"/>
            <family val="2"/>
          </rPr>
          <t>0 Recursos propios 
1 Presupuesto de entidad nacional
2 Regalías
3 Recursos de crédito
4 SGP
5 No Aplica</t>
        </r>
      </text>
    </comment>
    <comment ref="AD411" authorId="0">
      <text>
        <r>
          <rPr>
            <b/>
            <sz val="9"/>
            <color indexed="81"/>
            <rFont val="Tahoma"/>
            <family val="2"/>
          </rPr>
          <t>0 No
1 Sí</t>
        </r>
      </text>
    </comment>
    <comment ref="AE411" authorId="0">
      <text>
        <r>
          <rPr>
            <sz val="9"/>
            <color indexed="81"/>
            <rFont val="Tahoma"/>
            <family val="2"/>
          </rPr>
          <t xml:space="preserve">
0 NA
1 No solicitadas
2 Solicitadas
3 Aprobadas</t>
        </r>
      </text>
    </comment>
    <comment ref="V412" authorId="0">
      <text>
        <r>
          <rPr>
            <b/>
            <sz val="9"/>
            <color indexed="81"/>
            <rFont val="Tahoma"/>
            <family val="2"/>
          </rPr>
          <t>0 Día(s)
1 Mes (s)
2 Año(s)</t>
        </r>
      </text>
    </comment>
    <comment ref="Y412" authorId="0">
      <text>
        <r>
          <rPr>
            <sz val="9"/>
            <color indexed="81"/>
            <rFont val="Tahoma"/>
            <family val="2"/>
          </rPr>
          <t>0 Recursos propios 
1 Presupuesto de entidad nacional
2 Regalías
3 Recursos de crédito
4 SGP
5 No Aplica</t>
        </r>
      </text>
    </comment>
    <comment ref="AD412" authorId="0">
      <text>
        <r>
          <rPr>
            <b/>
            <sz val="9"/>
            <color indexed="81"/>
            <rFont val="Tahoma"/>
            <family val="2"/>
          </rPr>
          <t>0 No
1 Sí</t>
        </r>
      </text>
    </comment>
    <comment ref="AE412" authorId="0">
      <text>
        <r>
          <rPr>
            <sz val="9"/>
            <color indexed="81"/>
            <rFont val="Tahoma"/>
            <family val="2"/>
          </rPr>
          <t xml:space="preserve">
0 NA
1 No solicitadas
2 Solicitadas
3 Aprobadas</t>
        </r>
      </text>
    </comment>
    <comment ref="V413" authorId="0">
      <text>
        <r>
          <rPr>
            <b/>
            <sz val="9"/>
            <color indexed="81"/>
            <rFont val="Tahoma"/>
            <family val="2"/>
          </rPr>
          <t>0 Día(s)
1 Mes (s)
2 Año(s)</t>
        </r>
      </text>
    </comment>
    <comment ref="Y413" authorId="0">
      <text>
        <r>
          <rPr>
            <sz val="9"/>
            <color indexed="81"/>
            <rFont val="Tahoma"/>
            <family val="2"/>
          </rPr>
          <t>0 Recursos propios 
1 Presupuesto de entidad nacional
2 Regalías
3 Recursos de crédito
4 SGP
5 No Aplica</t>
        </r>
      </text>
    </comment>
    <comment ref="AD413" authorId="0">
      <text>
        <r>
          <rPr>
            <b/>
            <sz val="9"/>
            <color indexed="81"/>
            <rFont val="Tahoma"/>
            <family val="2"/>
          </rPr>
          <t>0 No
1 Sí</t>
        </r>
      </text>
    </comment>
    <comment ref="AE413" authorId="0">
      <text>
        <r>
          <rPr>
            <sz val="9"/>
            <color indexed="81"/>
            <rFont val="Tahoma"/>
            <family val="2"/>
          </rPr>
          <t xml:space="preserve">
0 NA
1 No solicitadas
2 Solicitadas
3 Aprobadas</t>
        </r>
      </text>
    </comment>
    <comment ref="V414" authorId="0">
      <text>
        <r>
          <rPr>
            <b/>
            <sz val="9"/>
            <color indexed="81"/>
            <rFont val="Tahoma"/>
            <family val="2"/>
          </rPr>
          <t>0 Día(s)
1 Mes (s)
2 Año(s)</t>
        </r>
      </text>
    </comment>
    <comment ref="Y414" authorId="0">
      <text>
        <r>
          <rPr>
            <sz val="9"/>
            <color indexed="81"/>
            <rFont val="Tahoma"/>
            <family val="2"/>
          </rPr>
          <t>0 Recursos propios 
1 Presupuesto de entidad nacional
2 Regalías
3 Recursos de crédito
4 SGP
5 No Aplica</t>
        </r>
      </text>
    </comment>
    <comment ref="AD414" authorId="0">
      <text>
        <r>
          <rPr>
            <b/>
            <sz val="9"/>
            <color indexed="81"/>
            <rFont val="Tahoma"/>
            <family val="2"/>
          </rPr>
          <t>0 No
1 Sí</t>
        </r>
      </text>
    </comment>
    <comment ref="AE414" authorId="0">
      <text>
        <r>
          <rPr>
            <sz val="9"/>
            <color indexed="81"/>
            <rFont val="Tahoma"/>
            <family val="2"/>
          </rPr>
          <t xml:space="preserve">
0 NA
1 No solicitadas
2 Solicitadas
3 Aprobadas</t>
        </r>
      </text>
    </comment>
    <comment ref="V415" authorId="0">
      <text>
        <r>
          <rPr>
            <b/>
            <sz val="9"/>
            <color indexed="81"/>
            <rFont val="Tahoma"/>
            <family val="2"/>
          </rPr>
          <t>0 Día(s)
1 Mes (s)
2 Año(s)</t>
        </r>
      </text>
    </comment>
    <comment ref="Y415" authorId="0">
      <text>
        <r>
          <rPr>
            <sz val="9"/>
            <color indexed="81"/>
            <rFont val="Tahoma"/>
            <family val="2"/>
          </rPr>
          <t>0 Recursos propios 
1 Presupuesto de entidad nacional
2 Regalías
3 Recursos de crédito
4 SGP
5 No Aplica</t>
        </r>
      </text>
    </comment>
    <comment ref="AD415" authorId="0">
      <text>
        <r>
          <rPr>
            <b/>
            <sz val="9"/>
            <color indexed="81"/>
            <rFont val="Tahoma"/>
            <family val="2"/>
          </rPr>
          <t>0 No
1 Sí</t>
        </r>
      </text>
    </comment>
    <comment ref="AE415" authorId="0">
      <text>
        <r>
          <rPr>
            <sz val="9"/>
            <color indexed="81"/>
            <rFont val="Tahoma"/>
            <family val="2"/>
          </rPr>
          <t xml:space="preserve">
0 NA
1 No solicitadas
2 Solicitadas
3 Aprobadas</t>
        </r>
      </text>
    </comment>
    <comment ref="V416" authorId="0">
      <text>
        <r>
          <rPr>
            <b/>
            <sz val="9"/>
            <color indexed="81"/>
            <rFont val="Tahoma"/>
            <family val="2"/>
          </rPr>
          <t>0 Día(s)
1 Mes (s)
2 Año(s)</t>
        </r>
      </text>
    </comment>
    <comment ref="Y416" authorId="0">
      <text>
        <r>
          <rPr>
            <sz val="9"/>
            <color indexed="81"/>
            <rFont val="Tahoma"/>
            <family val="2"/>
          </rPr>
          <t>0 Recursos propios 
1 Presupuesto de entidad nacional
2 Regalías
3 Recursos de crédito
4 SGP
5 No Aplica</t>
        </r>
      </text>
    </comment>
    <comment ref="AD416" authorId="0">
      <text>
        <r>
          <rPr>
            <b/>
            <sz val="9"/>
            <color indexed="81"/>
            <rFont val="Tahoma"/>
            <family val="2"/>
          </rPr>
          <t>0 No
1 Sí</t>
        </r>
      </text>
    </comment>
    <comment ref="AE416" authorId="0">
      <text>
        <r>
          <rPr>
            <sz val="9"/>
            <color indexed="81"/>
            <rFont val="Tahoma"/>
            <family val="2"/>
          </rPr>
          <t xml:space="preserve">
0 NA
1 No solicitadas
2 Solicitadas
3 Aprobadas</t>
        </r>
      </text>
    </comment>
    <comment ref="V417" authorId="0">
      <text>
        <r>
          <rPr>
            <b/>
            <sz val="9"/>
            <color indexed="81"/>
            <rFont val="Tahoma"/>
            <family val="2"/>
          </rPr>
          <t>0 Día(s)
1 Mes (s)
2 Año(s)</t>
        </r>
      </text>
    </comment>
    <comment ref="Y417" authorId="0">
      <text>
        <r>
          <rPr>
            <sz val="9"/>
            <color indexed="81"/>
            <rFont val="Tahoma"/>
            <family val="2"/>
          </rPr>
          <t>0 Recursos propios 
1 Presupuesto de entidad nacional
2 Regalías
3 Recursos de crédito
4 SGP
5 No Aplica</t>
        </r>
      </text>
    </comment>
    <comment ref="AD417" authorId="0">
      <text>
        <r>
          <rPr>
            <b/>
            <sz val="9"/>
            <color indexed="81"/>
            <rFont val="Tahoma"/>
            <family val="2"/>
          </rPr>
          <t>0 No
1 Sí</t>
        </r>
      </text>
    </comment>
    <comment ref="AE417" authorId="0">
      <text>
        <r>
          <rPr>
            <sz val="9"/>
            <color indexed="81"/>
            <rFont val="Tahoma"/>
            <family val="2"/>
          </rPr>
          <t xml:space="preserve">
0 NA
1 No solicitadas
2 Solicitadas
3 Aprobadas</t>
        </r>
      </text>
    </comment>
    <comment ref="V418" authorId="0">
      <text>
        <r>
          <rPr>
            <b/>
            <sz val="9"/>
            <color indexed="81"/>
            <rFont val="Tahoma"/>
            <family val="2"/>
          </rPr>
          <t>0 Día(s)
1 Mes (s)
2 Año(s)</t>
        </r>
      </text>
    </comment>
    <comment ref="Y418" authorId="0">
      <text>
        <r>
          <rPr>
            <sz val="9"/>
            <color indexed="81"/>
            <rFont val="Tahoma"/>
            <family val="2"/>
          </rPr>
          <t>0 Recursos propios 
1 Presupuesto de entidad nacional
2 Regalías
3 Recursos de crédito
4 SGP
5 No Aplica</t>
        </r>
      </text>
    </comment>
    <comment ref="AD418" authorId="0">
      <text>
        <r>
          <rPr>
            <b/>
            <sz val="9"/>
            <color indexed="81"/>
            <rFont val="Tahoma"/>
            <family val="2"/>
          </rPr>
          <t>0 No
1 Sí</t>
        </r>
      </text>
    </comment>
    <comment ref="AE418" authorId="0">
      <text>
        <r>
          <rPr>
            <sz val="9"/>
            <color indexed="81"/>
            <rFont val="Tahoma"/>
            <family val="2"/>
          </rPr>
          <t xml:space="preserve">
0 NA
1 No solicitadas
2 Solicitadas
3 Aprobadas</t>
        </r>
      </text>
    </comment>
    <comment ref="V419" authorId="0">
      <text>
        <r>
          <rPr>
            <b/>
            <sz val="9"/>
            <color indexed="81"/>
            <rFont val="Tahoma"/>
            <family val="2"/>
          </rPr>
          <t>0 Día(s)
1 Mes (s)
2 Año(s)</t>
        </r>
      </text>
    </comment>
    <comment ref="Y419" authorId="0">
      <text>
        <r>
          <rPr>
            <sz val="9"/>
            <color indexed="81"/>
            <rFont val="Tahoma"/>
            <family val="2"/>
          </rPr>
          <t>0 Recursos propios 
1 Presupuesto de entidad nacional
2 Regalías
3 Recursos de crédito
4 SGP
5 No Aplica</t>
        </r>
      </text>
    </comment>
    <comment ref="AD419" authorId="0">
      <text>
        <r>
          <rPr>
            <b/>
            <sz val="9"/>
            <color indexed="81"/>
            <rFont val="Tahoma"/>
            <family val="2"/>
          </rPr>
          <t>0 No
1 Sí</t>
        </r>
      </text>
    </comment>
    <comment ref="AE419" authorId="0">
      <text>
        <r>
          <rPr>
            <sz val="9"/>
            <color indexed="81"/>
            <rFont val="Tahoma"/>
            <family val="2"/>
          </rPr>
          <t xml:space="preserve">
0 NA
1 No solicitadas
2 Solicitadas
3 Aprobadas</t>
        </r>
      </text>
    </comment>
    <comment ref="V420" authorId="0">
      <text>
        <r>
          <rPr>
            <b/>
            <sz val="9"/>
            <color indexed="81"/>
            <rFont val="Tahoma"/>
            <family val="2"/>
          </rPr>
          <t>0 Día(s)
1 Mes (s)
2 Año(s)</t>
        </r>
      </text>
    </comment>
    <comment ref="Y420" authorId="0">
      <text>
        <r>
          <rPr>
            <sz val="9"/>
            <color indexed="81"/>
            <rFont val="Tahoma"/>
            <family val="2"/>
          </rPr>
          <t>0 Recursos propios 
1 Presupuesto de entidad nacional
2 Regalías
3 Recursos de crédito
4 SGP
5 No Aplica</t>
        </r>
      </text>
    </comment>
    <comment ref="AD420" authorId="0">
      <text>
        <r>
          <rPr>
            <b/>
            <sz val="9"/>
            <color indexed="81"/>
            <rFont val="Tahoma"/>
            <family val="2"/>
          </rPr>
          <t>0 No
1 Sí</t>
        </r>
      </text>
    </comment>
    <comment ref="AE420" authorId="0">
      <text>
        <r>
          <rPr>
            <sz val="9"/>
            <color indexed="81"/>
            <rFont val="Tahoma"/>
            <family val="2"/>
          </rPr>
          <t xml:space="preserve">
0 NA
1 No solicitadas
2 Solicitadas
3 Aprobadas</t>
        </r>
      </text>
    </comment>
    <comment ref="V421" authorId="0">
      <text>
        <r>
          <rPr>
            <b/>
            <sz val="9"/>
            <color indexed="81"/>
            <rFont val="Tahoma"/>
            <family val="2"/>
          </rPr>
          <t>0 Día(s)
1 Mes (s)
2 Año(s)</t>
        </r>
      </text>
    </comment>
    <comment ref="Y421" authorId="0">
      <text>
        <r>
          <rPr>
            <sz val="9"/>
            <color indexed="81"/>
            <rFont val="Tahoma"/>
            <family val="2"/>
          </rPr>
          <t>0 Recursos propios 
1 Presupuesto de entidad nacional
2 Regalías
3 Recursos de crédito
4 SGP
5 No Aplica</t>
        </r>
      </text>
    </comment>
    <comment ref="AD421" authorId="0">
      <text>
        <r>
          <rPr>
            <b/>
            <sz val="9"/>
            <color indexed="81"/>
            <rFont val="Tahoma"/>
            <family val="2"/>
          </rPr>
          <t>0 No
1 Sí</t>
        </r>
      </text>
    </comment>
    <comment ref="AE421" authorId="0">
      <text>
        <r>
          <rPr>
            <sz val="9"/>
            <color indexed="81"/>
            <rFont val="Tahoma"/>
            <family val="2"/>
          </rPr>
          <t xml:space="preserve">
0 NA
1 No solicitadas
2 Solicitadas
3 Aprobadas</t>
        </r>
      </text>
    </comment>
    <comment ref="V422" authorId="0">
      <text>
        <r>
          <rPr>
            <b/>
            <sz val="9"/>
            <color indexed="81"/>
            <rFont val="Tahoma"/>
            <family val="2"/>
          </rPr>
          <t>0 Día(s)
1 Mes (s)
2 Año(s)</t>
        </r>
      </text>
    </comment>
    <comment ref="Y422" authorId="0">
      <text>
        <r>
          <rPr>
            <sz val="9"/>
            <color indexed="81"/>
            <rFont val="Tahoma"/>
            <family val="2"/>
          </rPr>
          <t>0 Recursos propios 
1 Presupuesto de entidad nacional
2 Regalías
3 Recursos de crédito
4 SGP
5 No Aplica</t>
        </r>
      </text>
    </comment>
    <comment ref="AD422" authorId="0">
      <text>
        <r>
          <rPr>
            <b/>
            <sz val="9"/>
            <color indexed="81"/>
            <rFont val="Tahoma"/>
            <family val="2"/>
          </rPr>
          <t>0 No
1 Sí</t>
        </r>
      </text>
    </comment>
    <comment ref="AE422" authorId="0">
      <text>
        <r>
          <rPr>
            <sz val="9"/>
            <color indexed="81"/>
            <rFont val="Tahoma"/>
            <family val="2"/>
          </rPr>
          <t xml:space="preserve">
0 NA
1 No solicitadas
2 Solicitadas
3 Aprobadas</t>
        </r>
      </text>
    </comment>
    <comment ref="V423" authorId="0">
      <text>
        <r>
          <rPr>
            <b/>
            <sz val="9"/>
            <color indexed="81"/>
            <rFont val="Tahoma"/>
            <family val="2"/>
          </rPr>
          <t>0 Día(s)
1 Mes (s)
2 Año(s)</t>
        </r>
      </text>
    </comment>
    <comment ref="Y423" authorId="0">
      <text>
        <r>
          <rPr>
            <sz val="9"/>
            <color indexed="81"/>
            <rFont val="Tahoma"/>
            <family val="2"/>
          </rPr>
          <t>0 Recursos propios 
1 Presupuesto de entidad nacional
2 Regalías
3 Recursos de crédito
4 SGP
5 No Aplica</t>
        </r>
      </text>
    </comment>
    <comment ref="AD423" authorId="0">
      <text>
        <r>
          <rPr>
            <b/>
            <sz val="9"/>
            <color indexed="81"/>
            <rFont val="Tahoma"/>
            <family val="2"/>
          </rPr>
          <t>0 No
1 Sí</t>
        </r>
      </text>
    </comment>
    <comment ref="AE423" authorId="0">
      <text>
        <r>
          <rPr>
            <sz val="9"/>
            <color indexed="81"/>
            <rFont val="Tahoma"/>
            <family val="2"/>
          </rPr>
          <t xml:space="preserve">
0 NA
1 No solicitadas
2 Solicitadas
3 Aprobadas</t>
        </r>
      </text>
    </comment>
    <comment ref="V424" authorId="0">
      <text>
        <r>
          <rPr>
            <b/>
            <sz val="9"/>
            <color indexed="81"/>
            <rFont val="Tahoma"/>
            <family val="2"/>
          </rPr>
          <t>0 Día(s)
1 Mes (s)
2 Año(s)</t>
        </r>
      </text>
    </comment>
    <comment ref="Y424" authorId="0">
      <text>
        <r>
          <rPr>
            <sz val="9"/>
            <color indexed="81"/>
            <rFont val="Tahoma"/>
            <family val="2"/>
          </rPr>
          <t>0 Recursos propios 
1 Presupuesto de entidad nacional
2 Regalías
3 Recursos de crédito
4 SGP
5 No Aplica</t>
        </r>
      </text>
    </comment>
    <comment ref="AD424" authorId="0">
      <text>
        <r>
          <rPr>
            <b/>
            <sz val="9"/>
            <color indexed="81"/>
            <rFont val="Tahoma"/>
            <family val="2"/>
          </rPr>
          <t>0 No
1 Sí</t>
        </r>
      </text>
    </comment>
    <comment ref="AE424" authorId="0">
      <text>
        <r>
          <rPr>
            <sz val="9"/>
            <color indexed="81"/>
            <rFont val="Tahoma"/>
            <family val="2"/>
          </rPr>
          <t xml:space="preserve">
0 NA
1 No solicitadas
2 Solicitadas
3 Aprobadas</t>
        </r>
      </text>
    </comment>
    <comment ref="V425" authorId="0">
      <text>
        <r>
          <rPr>
            <b/>
            <sz val="9"/>
            <color indexed="81"/>
            <rFont val="Tahoma"/>
            <family val="2"/>
          </rPr>
          <t>0 Día(s)
1 Mes (s)
2 Año(s)</t>
        </r>
      </text>
    </comment>
    <comment ref="Y425" authorId="0">
      <text>
        <r>
          <rPr>
            <sz val="9"/>
            <color indexed="81"/>
            <rFont val="Tahoma"/>
            <family val="2"/>
          </rPr>
          <t>0 Recursos propios 
1 Presupuesto de entidad nacional
2 Regalías
3 Recursos de crédito
4 SGP
5 No Aplica</t>
        </r>
      </text>
    </comment>
    <comment ref="AD425" authorId="0">
      <text>
        <r>
          <rPr>
            <b/>
            <sz val="9"/>
            <color indexed="81"/>
            <rFont val="Tahoma"/>
            <family val="2"/>
          </rPr>
          <t>0 No
1 Sí</t>
        </r>
      </text>
    </comment>
    <comment ref="AE425" authorId="0">
      <text>
        <r>
          <rPr>
            <sz val="9"/>
            <color indexed="81"/>
            <rFont val="Tahoma"/>
            <family val="2"/>
          </rPr>
          <t xml:space="preserve">
0 NA
1 No solicitadas
2 Solicitadas
3 Aprobadas</t>
        </r>
      </text>
    </comment>
    <comment ref="V426" authorId="0">
      <text>
        <r>
          <rPr>
            <b/>
            <sz val="9"/>
            <color indexed="81"/>
            <rFont val="Tahoma"/>
            <family val="2"/>
          </rPr>
          <t>0 Día(s)
1 Mes (s)
2 Año(s)</t>
        </r>
      </text>
    </comment>
    <comment ref="Y426" authorId="0">
      <text>
        <r>
          <rPr>
            <sz val="9"/>
            <color indexed="81"/>
            <rFont val="Tahoma"/>
            <family val="2"/>
          </rPr>
          <t>0 Recursos propios 
1 Presupuesto de entidad nacional
2 Regalías
3 Recursos de crédito
4 SGP
5 No Aplica</t>
        </r>
      </text>
    </comment>
    <comment ref="AD426" authorId="0">
      <text>
        <r>
          <rPr>
            <b/>
            <sz val="9"/>
            <color indexed="81"/>
            <rFont val="Tahoma"/>
            <family val="2"/>
          </rPr>
          <t>0 No
1 Sí</t>
        </r>
      </text>
    </comment>
    <comment ref="AE426" authorId="0">
      <text>
        <r>
          <rPr>
            <sz val="9"/>
            <color indexed="81"/>
            <rFont val="Tahoma"/>
            <family val="2"/>
          </rPr>
          <t xml:space="preserve">
0 NA
1 No solicitadas
2 Solicitadas
3 Aprobadas</t>
        </r>
      </text>
    </comment>
    <comment ref="V427" authorId="0">
      <text>
        <r>
          <rPr>
            <b/>
            <sz val="9"/>
            <color indexed="81"/>
            <rFont val="Tahoma"/>
            <family val="2"/>
          </rPr>
          <t>0 Día(s)
1 Mes (s)
2 Año(s)</t>
        </r>
      </text>
    </comment>
    <comment ref="Y427" authorId="0">
      <text>
        <r>
          <rPr>
            <sz val="9"/>
            <color indexed="81"/>
            <rFont val="Tahoma"/>
            <family val="2"/>
          </rPr>
          <t>0 Recursos propios 
1 Presupuesto de entidad nacional
2 Regalías
3 Recursos de crédito
4 SGP
5 No Aplica</t>
        </r>
      </text>
    </comment>
    <comment ref="AD427" authorId="0">
      <text>
        <r>
          <rPr>
            <b/>
            <sz val="9"/>
            <color indexed="81"/>
            <rFont val="Tahoma"/>
            <family val="2"/>
          </rPr>
          <t>0 No
1 Sí</t>
        </r>
      </text>
    </comment>
    <comment ref="AE427" authorId="0">
      <text>
        <r>
          <rPr>
            <sz val="9"/>
            <color indexed="81"/>
            <rFont val="Tahoma"/>
            <family val="2"/>
          </rPr>
          <t xml:space="preserve">
0 NA
1 No solicitadas
2 Solicitadas
3 Aprobadas</t>
        </r>
      </text>
    </comment>
    <comment ref="V428" authorId="0">
      <text>
        <r>
          <rPr>
            <b/>
            <sz val="9"/>
            <color indexed="81"/>
            <rFont val="Tahoma"/>
            <family val="2"/>
          </rPr>
          <t>0 Día(s)
1 Mes (s)
2 Año(s)</t>
        </r>
      </text>
    </comment>
    <comment ref="Y428" authorId="0">
      <text>
        <r>
          <rPr>
            <sz val="9"/>
            <color indexed="81"/>
            <rFont val="Tahoma"/>
            <family val="2"/>
          </rPr>
          <t>0 Recursos propios 
1 Presupuesto de entidad nacional
2 Regalías
3 Recursos de crédito
4 SGP
5 No Aplica</t>
        </r>
      </text>
    </comment>
    <comment ref="AD428" authorId="0">
      <text>
        <r>
          <rPr>
            <b/>
            <sz val="9"/>
            <color indexed="81"/>
            <rFont val="Tahoma"/>
            <family val="2"/>
          </rPr>
          <t>0 No
1 Sí</t>
        </r>
      </text>
    </comment>
    <comment ref="AE428" authorId="0">
      <text>
        <r>
          <rPr>
            <sz val="9"/>
            <color indexed="81"/>
            <rFont val="Tahoma"/>
            <family val="2"/>
          </rPr>
          <t xml:space="preserve">
0 NA
1 No solicitadas
2 Solicitadas
3 Aprobadas</t>
        </r>
      </text>
    </comment>
    <comment ref="V429" authorId="0">
      <text>
        <r>
          <rPr>
            <b/>
            <sz val="9"/>
            <color indexed="81"/>
            <rFont val="Tahoma"/>
            <family val="2"/>
          </rPr>
          <t>0 Día(s)
1 Mes (s)
2 Año(s)</t>
        </r>
      </text>
    </comment>
    <comment ref="Y429" authorId="0">
      <text>
        <r>
          <rPr>
            <sz val="9"/>
            <color indexed="81"/>
            <rFont val="Tahoma"/>
            <family val="2"/>
          </rPr>
          <t>0 Recursos propios 
1 Presupuesto de entidad nacional
2 Regalías
3 Recursos de crédito
4 SGP
5 No Aplica</t>
        </r>
      </text>
    </comment>
    <comment ref="AD429" authorId="0">
      <text>
        <r>
          <rPr>
            <b/>
            <sz val="9"/>
            <color indexed="81"/>
            <rFont val="Tahoma"/>
            <family val="2"/>
          </rPr>
          <t>0 No
1 Sí</t>
        </r>
      </text>
    </comment>
    <comment ref="AE429" authorId="0">
      <text>
        <r>
          <rPr>
            <sz val="9"/>
            <color indexed="81"/>
            <rFont val="Tahoma"/>
            <family val="2"/>
          </rPr>
          <t xml:space="preserve">
0 NA
1 No solicitadas
2 Solicitadas
3 Aprobadas</t>
        </r>
      </text>
    </comment>
    <comment ref="V430" authorId="0">
      <text>
        <r>
          <rPr>
            <b/>
            <sz val="9"/>
            <color indexed="81"/>
            <rFont val="Tahoma"/>
            <family val="2"/>
          </rPr>
          <t>0 Día(s)
1 Mes (s)
2 Año(s)</t>
        </r>
      </text>
    </comment>
    <comment ref="Y430" authorId="0">
      <text>
        <r>
          <rPr>
            <sz val="9"/>
            <color indexed="81"/>
            <rFont val="Tahoma"/>
            <family val="2"/>
          </rPr>
          <t>0 Recursos propios 
1 Presupuesto de entidad nacional
2 Regalías
3 Recursos de crédito
4 SGP
5 No Aplica</t>
        </r>
      </text>
    </comment>
    <comment ref="AD430" authorId="0">
      <text>
        <r>
          <rPr>
            <b/>
            <sz val="9"/>
            <color indexed="81"/>
            <rFont val="Tahoma"/>
            <family val="2"/>
          </rPr>
          <t>0 No
1 Sí</t>
        </r>
      </text>
    </comment>
    <comment ref="AE430" authorId="0">
      <text>
        <r>
          <rPr>
            <sz val="9"/>
            <color indexed="81"/>
            <rFont val="Tahoma"/>
            <family val="2"/>
          </rPr>
          <t xml:space="preserve">
0 NA
1 No solicitadas
2 Solicitadas
3 Aprobadas</t>
        </r>
      </text>
    </comment>
    <comment ref="V431" authorId="0">
      <text>
        <r>
          <rPr>
            <b/>
            <sz val="9"/>
            <color indexed="81"/>
            <rFont val="Tahoma"/>
            <family val="2"/>
          </rPr>
          <t>0 Día(s)
1 Mes (s)
2 Año(s)</t>
        </r>
      </text>
    </comment>
    <comment ref="Y431" authorId="0">
      <text>
        <r>
          <rPr>
            <sz val="9"/>
            <color indexed="81"/>
            <rFont val="Tahoma"/>
            <family val="2"/>
          </rPr>
          <t>0 Recursos propios 
1 Presupuesto de entidad nacional
2 Regalías
3 Recursos de crédito
4 SGP
5 No Aplica</t>
        </r>
      </text>
    </comment>
    <comment ref="AD431" authorId="0">
      <text>
        <r>
          <rPr>
            <b/>
            <sz val="9"/>
            <color indexed="81"/>
            <rFont val="Tahoma"/>
            <family val="2"/>
          </rPr>
          <t>0 No
1 Sí</t>
        </r>
      </text>
    </comment>
    <comment ref="AE431" authorId="0">
      <text>
        <r>
          <rPr>
            <sz val="9"/>
            <color indexed="81"/>
            <rFont val="Tahoma"/>
            <family val="2"/>
          </rPr>
          <t xml:space="preserve">
0 NA
1 No solicitadas
2 Solicitadas
3 Aprobadas</t>
        </r>
      </text>
    </comment>
    <comment ref="V432" authorId="0">
      <text>
        <r>
          <rPr>
            <b/>
            <sz val="9"/>
            <color indexed="81"/>
            <rFont val="Tahoma"/>
            <family val="2"/>
          </rPr>
          <t>0 Día(s)
1 Mes (s)
2 Año(s)</t>
        </r>
      </text>
    </comment>
    <comment ref="Y432" authorId="0">
      <text>
        <r>
          <rPr>
            <sz val="9"/>
            <color indexed="81"/>
            <rFont val="Tahoma"/>
            <family val="2"/>
          </rPr>
          <t>0 Recursos propios 
1 Presupuesto de entidad nacional
2 Regalías
3 Recursos de crédito
4 SGP
5 No Aplica</t>
        </r>
      </text>
    </comment>
    <comment ref="AD432" authorId="0">
      <text>
        <r>
          <rPr>
            <b/>
            <sz val="9"/>
            <color indexed="81"/>
            <rFont val="Tahoma"/>
            <family val="2"/>
          </rPr>
          <t>0 No
1 Sí</t>
        </r>
      </text>
    </comment>
    <comment ref="AE432" authorId="0">
      <text>
        <r>
          <rPr>
            <sz val="9"/>
            <color indexed="81"/>
            <rFont val="Tahoma"/>
            <family val="2"/>
          </rPr>
          <t xml:space="preserve">
0 NA
1 No solicitadas
2 Solicitadas
3 Aprobadas</t>
        </r>
      </text>
    </comment>
    <comment ref="V433" authorId="0">
      <text>
        <r>
          <rPr>
            <b/>
            <sz val="9"/>
            <color indexed="81"/>
            <rFont val="Tahoma"/>
            <family val="2"/>
          </rPr>
          <t>0 Día(s)
1 Mes (s)
2 Año(s)</t>
        </r>
      </text>
    </comment>
    <comment ref="Y433" authorId="0">
      <text>
        <r>
          <rPr>
            <sz val="9"/>
            <color indexed="81"/>
            <rFont val="Tahoma"/>
            <family val="2"/>
          </rPr>
          <t>0 Recursos propios 
1 Presupuesto de entidad nacional
2 Regalías
3 Recursos de crédito
4 SGP
5 No Aplica</t>
        </r>
      </text>
    </comment>
    <comment ref="AD433" authorId="0">
      <text>
        <r>
          <rPr>
            <b/>
            <sz val="9"/>
            <color indexed="81"/>
            <rFont val="Tahoma"/>
            <family val="2"/>
          </rPr>
          <t>0 No
1 Sí</t>
        </r>
      </text>
    </comment>
    <comment ref="AE433" authorId="0">
      <text>
        <r>
          <rPr>
            <sz val="9"/>
            <color indexed="81"/>
            <rFont val="Tahoma"/>
            <family val="2"/>
          </rPr>
          <t xml:space="preserve">
0 NA
1 No solicitadas
2 Solicitadas
3 Aprobadas</t>
        </r>
      </text>
    </comment>
    <comment ref="V434" authorId="0">
      <text>
        <r>
          <rPr>
            <b/>
            <sz val="9"/>
            <color indexed="81"/>
            <rFont val="Tahoma"/>
            <family val="2"/>
          </rPr>
          <t>0 Día(s)
1 Mes (s)
2 Año(s)</t>
        </r>
      </text>
    </comment>
    <comment ref="Y434" authorId="0">
      <text>
        <r>
          <rPr>
            <sz val="9"/>
            <color indexed="81"/>
            <rFont val="Tahoma"/>
            <family val="2"/>
          </rPr>
          <t>0 Recursos propios 
1 Presupuesto de entidad nacional
2 Regalías
3 Recursos de crédito
4 SGP
5 No Aplica</t>
        </r>
      </text>
    </comment>
    <comment ref="AD434" authorId="0">
      <text>
        <r>
          <rPr>
            <b/>
            <sz val="9"/>
            <color indexed="81"/>
            <rFont val="Tahoma"/>
            <family val="2"/>
          </rPr>
          <t>0 No
1 Sí</t>
        </r>
      </text>
    </comment>
    <comment ref="AE434" authorId="0">
      <text>
        <r>
          <rPr>
            <sz val="9"/>
            <color indexed="81"/>
            <rFont val="Tahoma"/>
            <family val="2"/>
          </rPr>
          <t xml:space="preserve">
0 NA
1 No solicitadas
2 Solicitadas
3 Aprobadas</t>
        </r>
      </text>
    </comment>
    <comment ref="V435" authorId="0">
      <text>
        <r>
          <rPr>
            <b/>
            <sz val="9"/>
            <color indexed="81"/>
            <rFont val="Tahoma"/>
            <family val="2"/>
          </rPr>
          <t>0 Día(s)
1 Mes (s)
2 Año(s)</t>
        </r>
      </text>
    </comment>
    <comment ref="Y435" authorId="0">
      <text>
        <r>
          <rPr>
            <sz val="9"/>
            <color indexed="81"/>
            <rFont val="Tahoma"/>
            <family val="2"/>
          </rPr>
          <t>0 Recursos propios 
1 Presupuesto de entidad nacional
2 Regalías
3 Recursos de crédito
4 SGP
5 No Aplica</t>
        </r>
      </text>
    </comment>
    <comment ref="AD435" authorId="0">
      <text>
        <r>
          <rPr>
            <b/>
            <sz val="9"/>
            <color indexed="81"/>
            <rFont val="Tahoma"/>
            <family val="2"/>
          </rPr>
          <t>0 No
1 Sí</t>
        </r>
      </text>
    </comment>
    <comment ref="AE435" authorId="0">
      <text>
        <r>
          <rPr>
            <sz val="9"/>
            <color indexed="81"/>
            <rFont val="Tahoma"/>
            <family val="2"/>
          </rPr>
          <t xml:space="preserve">
0 NA
1 No solicitadas
2 Solicitadas
3 Aprobadas</t>
        </r>
      </text>
    </comment>
    <comment ref="V436" authorId="0">
      <text>
        <r>
          <rPr>
            <b/>
            <sz val="9"/>
            <color indexed="81"/>
            <rFont val="Tahoma"/>
            <family val="2"/>
          </rPr>
          <t>0 Día(s)
1 Mes (s)
2 Año(s)</t>
        </r>
      </text>
    </comment>
    <comment ref="Y436" authorId="0">
      <text>
        <r>
          <rPr>
            <sz val="9"/>
            <color indexed="81"/>
            <rFont val="Tahoma"/>
            <family val="2"/>
          </rPr>
          <t>0 Recursos propios 
1 Presupuesto de entidad nacional
2 Regalías
3 Recursos de crédito
4 SGP
5 No Aplica</t>
        </r>
      </text>
    </comment>
    <comment ref="AD436" authorId="0">
      <text>
        <r>
          <rPr>
            <b/>
            <sz val="9"/>
            <color indexed="81"/>
            <rFont val="Tahoma"/>
            <family val="2"/>
          </rPr>
          <t>0 No
1 Sí</t>
        </r>
      </text>
    </comment>
    <comment ref="AE436" authorId="0">
      <text>
        <r>
          <rPr>
            <sz val="9"/>
            <color indexed="81"/>
            <rFont val="Tahoma"/>
            <family val="2"/>
          </rPr>
          <t xml:space="preserve">
0 NA
1 No solicitadas
2 Solicitadas
3 Aprobadas</t>
        </r>
      </text>
    </comment>
    <comment ref="V437" authorId="0">
      <text>
        <r>
          <rPr>
            <b/>
            <sz val="9"/>
            <color indexed="81"/>
            <rFont val="Tahoma"/>
            <family val="2"/>
          </rPr>
          <t>0 Día(s)
1 Mes (s)
2 Año(s)</t>
        </r>
      </text>
    </comment>
    <comment ref="Y437" authorId="0">
      <text>
        <r>
          <rPr>
            <sz val="9"/>
            <color indexed="81"/>
            <rFont val="Tahoma"/>
            <family val="2"/>
          </rPr>
          <t>0 Recursos propios 
1 Presupuesto de entidad nacional
2 Regalías
3 Recursos de crédito
4 SGP
5 No Aplica</t>
        </r>
      </text>
    </comment>
    <comment ref="AD437" authorId="0">
      <text>
        <r>
          <rPr>
            <b/>
            <sz val="9"/>
            <color indexed="81"/>
            <rFont val="Tahoma"/>
            <family val="2"/>
          </rPr>
          <t>0 No
1 Sí</t>
        </r>
      </text>
    </comment>
    <comment ref="AE437" authorId="0">
      <text>
        <r>
          <rPr>
            <sz val="9"/>
            <color indexed="81"/>
            <rFont val="Tahoma"/>
            <family val="2"/>
          </rPr>
          <t xml:space="preserve">
0 NA
1 No solicitadas
2 Solicitadas
3 Aprobadas</t>
        </r>
      </text>
    </comment>
    <comment ref="V438" authorId="0">
      <text>
        <r>
          <rPr>
            <b/>
            <sz val="9"/>
            <color indexed="81"/>
            <rFont val="Tahoma"/>
            <family val="2"/>
          </rPr>
          <t>0 Día(s)
1 Mes (s)
2 Año(s)</t>
        </r>
      </text>
    </comment>
    <comment ref="Y438" authorId="0">
      <text>
        <r>
          <rPr>
            <sz val="9"/>
            <color indexed="81"/>
            <rFont val="Tahoma"/>
            <family val="2"/>
          </rPr>
          <t>0 Recursos propios 
1 Presupuesto de entidad nacional
2 Regalías
3 Recursos de crédito
4 SGP
5 No Aplica</t>
        </r>
      </text>
    </comment>
    <comment ref="AD438" authorId="0">
      <text>
        <r>
          <rPr>
            <b/>
            <sz val="9"/>
            <color indexed="81"/>
            <rFont val="Tahoma"/>
            <family val="2"/>
          </rPr>
          <t>0 No
1 Sí</t>
        </r>
      </text>
    </comment>
    <comment ref="AE438" authorId="0">
      <text>
        <r>
          <rPr>
            <sz val="9"/>
            <color indexed="81"/>
            <rFont val="Tahoma"/>
            <family val="2"/>
          </rPr>
          <t xml:space="preserve">
0 NA
1 No solicitadas
2 Solicitadas
3 Aprobadas</t>
        </r>
      </text>
    </comment>
    <comment ref="V439" authorId="0">
      <text>
        <r>
          <rPr>
            <b/>
            <sz val="9"/>
            <color indexed="81"/>
            <rFont val="Tahoma"/>
            <family val="2"/>
          </rPr>
          <t>0 Día(s)
1 Mes (s)
2 Año(s)</t>
        </r>
      </text>
    </comment>
    <comment ref="Y439" authorId="0">
      <text>
        <r>
          <rPr>
            <sz val="9"/>
            <color indexed="81"/>
            <rFont val="Tahoma"/>
            <family val="2"/>
          </rPr>
          <t>0 Recursos propios 
1 Presupuesto de entidad nacional
2 Regalías
3 Recursos de crédito
4 SGP
5 No Aplica</t>
        </r>
      </text>
    </comment>
    <comment ref="AD439" authorId="0">
      <text>
        <r>
          <rPr>
            <b/>
            <sz val="9"/>
            <color indexed="81"/>
            <rFont val="Tahoma"/>
            <family val="2"/>
          </rPr>
          <t>0 No
1 Sí</t>
        </r>
      </text>
    </comment>
    <comment ref="AE439" authorId="0">
      <text>
        <r>
          <rPr>
            <sz val="9"/>
            <color indexed="81"/>
            <rFont val="Tahoma"/>
            <family val="2"/>
          </rPr>
          <t xml:space="preserve">
0 NA
1 No solicitadas
2 Solicitadas
3 Aprobadas</t>
        </r>
      </text>
    </comment>
    <comment ref="V440" authorId="0">
      <text>
        <r>
          <rPr>
            <b/>
            <sz val="9"/>
            <color indexed="81"/>
            <rFont val="Tahoma"/>
            <family val="2"/>
          </rPr>
          <t>0 Día(s)
1 Mes (s)
2 Año(s)</t>
        </r>
      </text>
    </comment>
    <comment ref="Y440" authorId="0">
      <text>
        <r>
          <rPr>
            <sz val="9"/>
            <color indexed="81"/>
            <rFont val="Tahoma"/>
            <family val="2"/>
          </rPr>
          <t>0 Recursos propios 
1 Presupuesto de entidad nacional
2 Regalías
3 Recursos de crédito
4 SGP
5 No Aplica</t>
        </r>
      </text>
    </comment>
    <comment ref="AD440" authorId="0">
      <text>
        <r>
          <rPr>
            <b/>
            <sz val="9"/>
            <color indexed="81"/>
            <rFont val="Tahoma"/>
            <family val="2"/>
          </rPr>
          <t>0 No
1 Sí</t>
        </r>
      </text>
    </comment>
    <comment ref="AE440" authorId="0">
      <text>
        <r>
          <rPr>
            <sz val="9"/>
            <color indexed="81"/>
            <rFont val="Tahoma"/>
            <family val="2"/>
          </rPr>
          <t xml:space="preserve">
0 NA
1 No solicitadas
2 Solicitadas
3 Aprobadas</t>
        </r>
      </text>
    </comment>
    <comment ref="V441" authorId="0">
      <text>
        <r>
          <rPr>
            <b/>
            <sz val="9"/>
            <color indexed="81"/>
            <rFont val="Tahoma"/>
            <family val="2"/>
          </rPr>
          <t>0 Día(s)
1 Mes (s)
2 Año(s)</t>
        </r>
      </text>
    </comment>
    <comment ref="Y441" authorId="0">
      <text>
        <r>
          <rPr>
            <sz val="9"/>
            <color indexed="81"/>
            <rFont val="Tahoma"/>
            <family val="2"/>
          </rPr>
          <t>0 Recursos propios 
1 Presupuesto de entidad nacional
2 Regalías
3 Recursos de crédito
4 SGP
5 No Aplica</t>
        </r>
      </text>
    </comment>
    <comment ref="AD441" authorId="0">
      <text>
        <r>
          <rPr>
            <b/>
            <sz val="9"/>
            <color indexed="81"/>
            <rFont val="Tahoma"/>
            <family val="2"/>
          </rPr>
          <t>0 No
1 Sí</t>
        </r>
      </text>
    </comment>
    <comment ref="AE441" authorId="0">
      <text>
        <r>
          <rPr>
            <sz val="9"/>
            <color indexed="81"/>
            <rFont val="Tahoma"/>
            <family val="2"/>
          </rPr>
          <t xml:space="preserve">
0 NA
1 No solicitadas
2 Solicitadas
3 Aprobadas</t>
        </r>
      </text>
    </comment>
    <comment ref="V442" authorId="0">
      <text>
        <r>
          <rPr>
            <b/>
            <sz val="9"/>
            <color indexed="81"/>
            <rFont val="Tahoma"/>
            <family val="2"/>
          </rPr>
          <t>0 Día(s)
1 Mes (s)
2 Año(s)</t>
        </r>
      </text>
    </comment>
    <comment ref="Y442" authorId="0">
      <text>
        <r>
          <rPr>
            <sz val="9"/>
            <color indexed="81"/>
            <rFont val="Tahoma"/>
            <family val="2"/>
          </rPr>
          <t>0 Recursos propios 
1 Presupuesto de entidad nacional
2 Regalías
3 Recursos de crédito
4 SGP
5 No Aplica</t>
        </r>
      </text>
    </comment>
    <comment ref="AD442" authorId="0">
      <text>
        <r>
          <rPr>
            <b/>
            <sz val="9"/>
            <color indexed="81"/>
            <rFont val="Tahoma"/>
            <family val="2"/>
          </rPr>
          <t>0 No
1 Sí</t>
        </r>
      </text>
    </comment>
    <comment ref="AE442" authorId="0">
      <text>
        <r>
          <rPr>
            <sz val="9"/>
            <color indexed="81"/>
            <rFont val="Tahoma"/>
            <family val="2"/>
          </rPr>
          <t xml:space="preserve">
0 NA
1 No solicitadas
2 Solicitadas
3 Aprobadas</t>
        </r>
      </text>
    </comment>
    <comment ref="V443" authorId="0">
      <text>
        <r>
          <rPr>
            <b/>
            <sz val="9"/>
            <color indexed="81"/>
            <rFont val="Tahoma"/>
            <family val="2"/>
          </rPr>
          <t>0 Día(s)
1 Mes (s)
2 Año(s)</t>
        </r>
      </text>
    </comment>
    <comment ref="Y443" authorId="0">
      <text>
        <r>
          <rPr>
            <sz val="9"/>
            <color indexed="81"/>
            <rFont val="Tahoma"/>
            <family val="2"/>
          </rPr>
          <t>0 Recursos propios 
1 Presupuesto de entidad nacional
2 Regalías
3 Recursos de crédito
4 SGP
5 No Aplica</t>
        </r>
      </text>
    </comment>
    <comment ref="AD443" authorId="0">
      <text>
        <r>
          <rPr>
            <b/>
            <sz val="9"/>
            <color indexed="81"/>
            <rFont val="Tahoma"/>
            <family val="2"/>
          </rPr>
          <t>0 No
1 Sí</t>
        </r>
      </text>
    </comment>
    <comment ref="AE443" authorId="0">
      <text>
        <r>
          <rPr>
            <sz val="9"/>
            <color indexed="81"/>
            <rFont val="Tahoma"/>
            <family val="2"/>
          </rPr>
          <t xml:space="preserve">
0 NA
1 No solicitadas
2 Solicitadas
3 Aprobadas</t>
        </r>
      </text>
    </comment>
    <comment ref="V444" authorId="0">
      <text>
        <r>
          <rPr>
            <b/>
            <sz val="9"/>
            <color indexed="81"/>
            <rFont val="Tahoma"/>
            <family val="2"/>
          </rPr>
          <t>0 Día(s)
1 Mes (s)
2 Año(s)</t>
        </r>
      </text>
    </comment>
    <comment ref="Y444" authorId="0">
      <text>
        <r>
          <rPr>
            <sz val="9"/>
            <color indexed="81"/>
            <rFont val="Tahoma"/>
            <family val="2"/>
          </rPr>
          <t>0 Recursos propios 
1 Presupuesto de entidad nacional
2 Regalías
3 Recursos de crédito
4 SGP
5 No Aplica</t>
        </r>
      </text>
    </comment>
    <comment ref="AD444" authorId="0">
      <text>
        <r>
          <rPr>
            <b/>
            <sz val="9"/>
            <color indexed="81"/>
            <rFont val="Tahoma"/>
            <family val="2"/>
          </rPr>
          <t>0 No
1 Sí</t>
        </r>
      </text>
    </comment>
    <comment ref="AE444" authorId="0">
      <text>
        <r>
          <rPr>
            <sz val="9"/>
            <color indexed="81"/>
            <rFont val="Tahoma"/>
            <family val="2"/>
          </rPr>
          <t xml:space="preserve">
0 NA
1 No solicitadas
2 Solicitadas
3 Aprobadas</t>
        </r>
      </text>
    </comment>
    <comment ref="V445" authorId="0">
      <text>
        <r>
          <rPr>
            <b/>
            <sz val="9"/>
            <color indexed="81"/>
            <rFont val="Tahoma"/>
            <family val="2"/>
          </rPr>
          <t>0 Día(s)
1 Mes (s)
2 Año(s)</t>
        </r>
      </text>
    </comment>
    <comment ref="Y445" authorId="0">
      <text>
        <r>
          <rPr>
            <sz val="9"/>
            <color indexed="81"/>
            <rFont val="Tahoma"/>
            <family val="2"/>
          </rPr>
          <t>0 Recursos propios 
1 Presupuesto de entidad nacional
2 Regalías
3 Recursos de crédito
4 SGP
5 No Aplica</t>
        </r>
      </text>
    </comment>
    <comment ref="AD445" authorId="0">
      <text>
        <r>
          <rPr>
            <b/>
            <sz val="9"/>
            <color indexed="81"/>
            <rFont val="Tahoma"/>
            <family val="2"/>
          </rPr>
          <t>0 No
1 Sí</t>
        </r>
      </text>
    </comment>
    <comment ref="AE445" authorId="0">
      <text>
        <r>
          <rPr>
            <sz val="9"/>
            <color indexed="81"/>
            <rFont val="Tahoma"/>
            <family val="2"/>
          </rPr>
          <t xml:space="preserve">
0 NA
1 No solicitadas
2 Solicitadas
3 Aprobadas</t>
        </r>
      </text>
    </comment>
    <comment ref="V446" authorId="0">
      <text>
        <r>
          <rPr>
            <b/>
            <sz val="9"/>
            <color indexed="81"/>
            <rFont val="Tahoma"/>
            <family val="2"/>
          </rPr>
          <t>0 Día(s)
1 Mes (s)
2 Año(s)</t>
        </r>
      </text>
    </comment>
    <comment ref="Y446" authorId="0">
      <text>
        <r>
          <rPr>
            <sz val="9"/>
            <color indexed="81"/>
            <rFont val="Tahoma"/>
            <family val="2"/>
          </rPr>
          <t>0 Recursos propios 
1 Presupuesto de entidad nacional
2 Regalías
3 Recursos de crédito
4 SGP
5 No Aplica</t>
        </r>
      </text>
    </comment>
    <comment ref="AD446" authorId="0">
      <text>
        <r>
          <rPr>
            <b/>
            <sz val="9"/>
            <color indexed="81"/>
            <rFont val="Tahoma"/>
            <family val="2"/>
          </rPr>
          <t>0 No
1 Sí</t>
        </r>
      </text>
    </comment>
    <comment ref="AE446" authorId="0">
      <text>
        <r>
          <rPr>
            <sz val="9"/>
            <color indexed="81"/>
            <rFont val="Tahoma"/>
            <family val="2"/>
          </rPr>
          <t xml:space="preserve">
0 NA
1 No solicitadas
2 Solicitadas
3 Aprobadas</t>
        </r>
      </text>
    </comment>
    <comment ref="V447" authorId="0">
      <text>
        <r>
          <rPr>
            <b/>
            <sz val="9"/>
            <color indexed="81"/>
            <rFont val="Tahoma"/>
            <family val="2"/>
          </rPr>
          <t>0 Día(s)
1 Mes (s)
2 Año(s)</t>
        </r>
      </text>
    </comment>
    <comment ref="Y447" authorId="0">
      <text>
        <r>
          <rPr>
            <sz val="9"/>
            <color indexed="81"/>
            <rFont val="Tahoma"/>
            <family val="2"/>
          </rPr>
          <t>0 Recursos propios 
1 Presupuesto de entidad nacional
2 Regalías
3 Recursos de crédito
4 SGP
5 No Aplica</t>
        </r>
      </text>
    </comment>
    <comment ref="AD447" authorId="0">
      <text>
        <r>
          <rPr>
            <b/>
            <sz val="9"/>
            <color indexed="81"/>
            <rFont val="Tahoma"/>
            <family val="2"/>
          </rPr>
          <t>0 No
1 Sí</t>
        </r>
      </text>
    </comment>
    <comment ref="AE447" authorId="0">
      <text>
        <r>
          <rPr>
            <sz val="9"/>
            <color indexed="81"/>
            <rFont val="Tahoma"/>
            <family val="2"/>
          </rPr>
          <t xml:space="preserve">
0 NA
1 No solicitadas
2 Solicitadas
3 Aprobadas</t>
        </r>
      </text>
    </comment>
    <comment ref="V448" authorId="0">
      <text>
        <r>
          <rPr>
            <b/>
            <sz val="9"/>
            <color indexed="81"/>
            <rFont val="Tahoma"/>
            <family val="2"/>
          </rPr>
          <t>0 Día(s)
1 Mes (s)
2 Año(s)</t>
        </r>
      </text>
    </comment>
    <comment ref="Y448" authorId="0">
      <text>
        <r>
          <rPr>
            <sz val="9"/>
            <color indexed="81"/>
            <rFont val="Tahoma"/>
            <family val="2"/>
          </rPr>
          <t>0 Recursos propios 
1 Presupuesto de entidad nacional
2 Regalías
3 Recursos de crédito
4 SGP
5 No Aplica</t>
        </r>
      </text>
    </comment>
    <comment ref="AD448" authorId="0">
      <text>
        <r>
          <rPr>
            <b/>
            <sz val="9"/>
            <color indexed="81"/>
            <rFont val="Tahoma"/>
            <family val="2"/>
          </rPr>
          <t>0 No
1 Sí</t>
        </r>
      </text>
    </comment>
    <comment ref="AE448" authorId="0">
      <text>
        <r>
          <rPr>
            <sz val="9"/>
            <color indexed="81"/>
            <rFont val="Tahoma"/>
            <family val="2"/>
          </rPr>
          <t xml:space="preserve">
0 NA
1 No solicitadas
2 Solicitadas
3 Aprobadas</t>
        </r>
      </text>
    </comment>
    <comment ref="V449" authorId="0">
      <text>
        <r>
          <rPr>
            <b/>
            <sz val="9"/>
            <color indexed="81"/>
            <rFont val="Tahoma"/>
            <family val="2"/>
          </rPr>
          <t>0 Día(s)
1 Mes (s)
2 Año(s)</t>
        </r>
      </text>
    </comment>
    <comment ref="Y449" authorId="0">
      <text>
        <r>
          <rPr>
            <sz val="9"/>
            <color indexed="81"/>
            <rFont val="Tahoma"/>
            <family val="2"/>
          </rPr>
          <t>0 Recursos propios 
1 Presupuesto de entidad nacional
2 Regalías
3 Recursos de crédito
4 SGP
5 No Aplica</t>
        </r>
      </text>
    </comment>
    <comment ref="AD449" authorId="0">
      <text>
        <r>
          <rPr>
            <b/>
            <sz val="9"/>
            <color indexed="81"/>
            <rFont val="Tahoma"/>
            <family val="2"/>
          </rPr>
          <t>0 No
1 Sí</t>
        </r>
      </text>
    </comment>
    <comment ref="AE449" authorId="0">
      <text>
        <r>
          <rPr>
            <sz val="9"/>
            <color indexed="81"/>
            <rFont val="Tahoma"/>
            <family val="2"/>
          </rPr>
          <t xml:space="preserve">
0 NA
1 No solicitadas
2 Solicitadas
3 Aprobadas</t>
        </r>
      </text>
    </comment>
    <comment ref="V450" authorId="0">
      <text>
        <r>
          <rPr>
            <b/>
            <sz val="9"/>
            <color indexed="81"/>
            <rFont val="Tahoma"/>
            <family val="2"/>
          </rPr>
          <t>0 Día(s)
1 Mes (s)
2 Año(s)</t>
        </r>
      </text>
    </comment>
    <comment ref="Y450" authorId="0">
      <text>
        <r>
          <rPr>
            <sz val="9"/>
            <color indexed="81"/>
            <rFont val="Tahoma"/>
            <family val="2"/>
          </rPr>
          <t>0 Recursos propios 
1 Presupuesto de entidad nacional
2 Regalías
3 Recursos de crédito
4 SGP
5 No Aplica</t>
        </r>
      </text>
    </comment>
    <comment ref="AD450" authorId="0">
      <text>
        <r>
          <rPr>
            <b/>
            <sz val="9"/>
            <color indexed="81"/>
            <rFont val="Tahoma"/>
            <family val="2"/>
          </rPr>
          <t>0 No
1 Sí</t>
        </r>
      </text>
    </comment>
    <comment ref="AE450" authorId="0">
      <text>
        <r>
          <rPr>
            <sz val="9"/>
            <color indexed="81"/>
            <rFont val="Tahoma"/>
            <family val="2"/>
          </rPr>
          <t xml:space="preserve">
0 NA
1 No solicitadas
2 Solicitadas
3 Aprobadas</t>
        </r>
      </text>
    </comment>
    <comment ref="V451" authorId="0">
      <text>
        <r>
          <rPr>
            <b/>
            <sz val="9"/>
            <color indexed="81"/>
            <rFont val="Tahoma"/>
            <family val="2"/>
          </rPr>
          <t>0 Día(s)
1 Mes (s)
2 Año(s)</t>
        </r>
      </text>
    </comment>
    <comment ref="Y451" authorId="0">
      <text>
        <r>
          <rPr>
            <sz val="9"/>
            <color indexed="81"/>
            <rFont val="Tahoma"/>
            <family val="2"/>
          </rPr>
          <t>0 Recursos propios 
1 Presupuesto de entidad nacional
2 Regalías
3 Recursos de crédito
4 SGP
5 No Aplica</t>
        </r>
      </text>
    </comment>
    <comment ref="AD451" authorId="0">
      <text>
        <r>
          <rPr>
            <b/>
            <sz val="9"/>
            <color indexed="81"/>
            <rFont val="Tahoma"/>
            <family val="2"/>
          </rPr>
          <t>0 No
1 Sí</t>
        </r>
      </text>
    </comment>
    <comment ref="AE451" authorId="0">
      <text>
        <r>
          <rPr>
            <sz val="9"/>
            <color indexed="81"/>
            <rFont val="Tahoma"/>
            <family val="2"/>
          </rPr>
          <t xml:space="preserve">
0 NA
1 No solicitadas
2 Solicitadas
3 Aprobadas</t>
        </r>
      </text>
    </comment>
    <comment ref="V452" authorId="0">
      <text>
        <r>
          <rPr>
            <b/>
            <sz val="9"/>
            <color indexed="81"/>
            <rFont val="Tahoma"/>
            <family val="2"/>
          </rPr>
          <t>0 Día(s)
1 Mes (s)
2 Año(s)</t>
        </r>
      </text>
    </comment>
    <comment ref="Y452" authorId="0">
      <text>
        <r>
          <rPr>
            <sz val="9"/>
            <color indexed="81"/>
            <rFont val="Tahoma"/>
            <family val="2"/>
          </rPr>
          <t>0 Recursos propios 
1 Presupuesto de entidad nacional
2 Regalías
3 Recursos de crédito
4 SGP
5 No Aplica</t>
        </r>
      </text>
    </comment>
    <comment ref="AD452" authorId="0">
      <text>
        <r>
          <rPr>
            <b/>
            <sz val="9"/>
            <color indexed="81"/>
            <rFont val="Tahoma"/>
            <family val="2"/>
          </rPr>
          <t>0 No
1 Sí</t>
        </r>
      </text>
    </comment>
    <comment ref="AE452" authorId="0">
      <text>
        <r>
          <rPr>
            <sz val="9"/>
            <color indexed="81"/>
            <rFont val="Tahoma"/>
            <family val="2"/>
          </rPr>
          <t xml:space="preserve">
0 NA
1 No solicitadas
2 Solicitadas
3 Aprobadas</t>
        </r>
      </text>
    </comment>
    <comment ref="V453" authorId="0">
      <text>
        <r>
          <rPr>
            <b/>
            <sz val="9"/>
            <color indexed="81"/>
            <rFont val="Tahoma"/>
            <family val="2"/>
          </rPr>
          <t>0 Día(s)
1 Mes (s)
2 Año(s)</t>
        </r>
      </text>
    </comment>
    <comment ref="Y453" authorId="0">
      <text>
        <r>
          <rPr>
            <sz val="9"/>
            <color indexed="81"/>
            <rFont val="Tahoma"/>
            <family val="2"/>
          </rPr>
          <t>0 Recursos propios 
1 Presupuesto de entidad nacional
2 Regalías
3 Recursos de crédito
4 SGP
5 No Aplica</t>
        </r>
      </text>
    </comment>
    <comment ref="AD453" authorId="0">
      <text>
        <r>
          <rPr>
            <b/>
            <sz val="9"/>
            <color indexed="81"/>
            <rFont val="Tahoma"/>
            <family val="2"/>
          </rPr>
          <t>0 No
1 Sí</t>
        </r>
      </text>
    </comment>
    <comment ref="AE453" authorId="0">
      <text>
        <r>
          <rPr>
            <sz val="9"/>
            <color indexed="81"/>
            <rFont val="Tahoma"/>
            <family val="2"/>
          </rPr>
          <t xml:space="preserve">
0 NA
1 No solicitadas
2 Solicitadas
3 Aprobadas</t>
        </r>
      </text>
    </comment>
    <comment ref="V454" authorId="0">
      <text>
        <r>
          <rPr>
            <b/>
            <sz val="9"/>
            <color indexed="81"/>
            <rFont val="Tahoma"/>
            <family val="2"/>
          </rPr>
          <t>0 Día(s)
1 Mes (s)
2 Año(s)</t>
        </r>
      </text>
    </comment>
    <comment ref="Y454" authorId="0">
      <text>
        <r>
          <rPr>
            <sz val="9"/>
            <color indexed="81"/>
            <rFont val="Tahoma"/>
            <family val="2"/>
          </rPr>
          <t>0 Recursos propios 
1 Presupuesto de entidad nacional
2 Regalías
3 Recursos de crédito
4 SGP
5 No Aplica</t>
        </r>
      </text>
    </comment>
    <comment ref="AD454" authorId="0">
      <text>
        <r>
          <rPr>
            <b/>
            <sz val="9"/>
            <color indexed="81"/>
            <rFont val="Tahoma"/>
            <family val="2"/>
          </rPr>
          <t>0 No
1 Sí</t>
        </r>
      </text>
    </comment>
    <comment ref="AE454" authorId="0">
      <text>
        <r>
          <rPr>
            <sz val="9"/>
            <color indexed="81"/>
            <rFont val="Tahoma"/>
            <family val="2"/>
          </rPr>
          <t xml:space="preserve">
0 NA
1 No solicitadas
2 Solicitadas
3 Aprobadas</t>
        </r>
      </text>
    </comment>
    <comment ref="V455" authorId="0">
      <text>
        <r>
          <rPr>
            <b/>
            <sz val="9"/>
            <color indexed="81"/>
            <rFont val="Tahoma"/>
            <family val="2"/>
          </rPr>
          <t>0 Día(s)
1 Mes (s)
2 Año(s)</t>
        </r>
      </text>
    </comment>
    <comment ref="Y455" authorId="0">
      <text>
        <r>
          <rPr>
            <sz val="9"/>
            <color indexed="81"/>
            <rFont val="Tahoma"/>
            <family val="2"/>
          </rPr>
          <t>0 Recursos propios 
1 Presupuesto de entidad nacional
2 Regalías
3 Recursos de crédito
4 SGP
5 No Aplica</t>
        </r>
      </text>
    </comment>
    <comment ref="AD455" authorId="0">
      <text>
        <r>
          <rPr>
            <b/>
            <sz val="9"/>
            <color indexed="81"/>
            <rFont val="Tahoma"/>
            <family val="2"/>
          </rPr>
          <t>0 No
1 Sí</t>
        </r>
      </text>
    </comment>
    <comment ref="AE455" authorId="0">
      <text>
        <r>
          <rPr>
            <sz val="9"/>
            <color indexed="81"/>
            <rFont val="Tahoma"/>
            <family val="2"/>
          </rPr>
          <t xml:space="preserve">
0 NA
1 No solicitadas
2 Solicitadas
3 Aprobadas</t>
        </r>
      </text>
    </comment>
    <comment ref="V456" authorId="0">
      <text>
        <r>
          <rPr>
            <b/>
            <sz val="9"/>
            <color indexed="81"/>
            <rFont val="Tahoma"/>
            <family val="2"/>
          </rPr>
          <t>0 Día(s)
1 Mes (s)
2 Año(s)</t>
        </r>
      </text>
    </comment>
    <comment ref="Y456" authorId="0">
      <text>
        <r>
          <rPr>
            <sz val="9"/>
            <color indexed="81"/>
            <rFont val="Tahoma"/>
            <family val="2"/>
          </rPr>
          <t>0 Recursos propios 
1 Presupuesto de entidad nacional
2 Regalías
3 Recursos de crédito
4 SGP
5 No Aplica</t>
        </r>
      </text>
    </comment>
    <comment ref="AD456" authorId="0">
      <text>
        <r>
          <rPr>
            <b/>
            <sz val="9"/>
            <color indexed="81"/>
            <rFont val="Tahoma"/>
            <family val="2"/>
          </rPr>
          <t>0 No
1 Sí</t>
        </r>
      </text>
    </comment>
    <comment ref="AE456" authorId="0">
      <text>
        <r>
          <rPr>
            <sz val="9"/>
            <color indexed="81"/>
            <rFont val="Tahoma"/>
            <family val="2"/>
          </rPr>
          <t xml:space="preserve">
0 NA
1 No solicitadas
2 Solicitadas
3 Aprobadas</t>
        </r>
      </text>
    </comment>
    <comment ref="AW456" authorId="1">
      <text>
        <r>
          <rPr>
            <b/>
            <sz val="9"/>
            <color indexed="81"/>
            <rFont val="Tahoma"/>
            <family val="2"/>
          </rPr>
          <t>Orlando Arias:</t>
        </r>
        <r>
          <rPr>
            <sz val="9"/>
            <color indexed="81"/>
            <rFont val="Tahoma"/>
            <family val="2"/>
          </rPr>
          <t xml:space="preserve">
Se debe hacer una modificación en PAA, porque quedo mal viabilizado y el CDP salio pòr la 01-12</t>
        </r>
      </text>
    </comment>
    <comment ref="V457" authorId="0">
      <text>
        <r>
          <rPr>
            <b/>
            <sz val="9"/>
            <color indexed="81"/>
            <rFont val="Tahoma"/>
            <family val="2"/>
          </rPr>
          <t>0 Día(s)
1 Mes (s)
2 Año(s)</t>
        </r>
      </text>
    </comment>
    <comment ref="Y457" authorId="0">
      <text>
        <r>
          <rPr>
            <sz val="9"/>
            <color indexed="81"/>
            <rFont val="Tahoma"/>
            <family val="2"/>
          </rPr>
          <t>0 Recursos propios 
1 Presupuesto de entidad nacional
2 Regalías
3 Recursos de crédito
4 SGP
5 No Aplica</t>
        </r>
      </text>
    </comment>
    <comment ref="AD457" authorId="0">
      <text>
        <r>
          <rPr>
            <b/>
            <sz val="9"/>
            <color indexed="81"/>
            <rFont val="Tahoma"/>
            <family val="2"/>
          </rPr>
          <t>0 No
1 Sí</t>
        </r>
      </text>
    </comment>
    <comment ref="AE457" authorId="0">
      <text>
        <r>
          <rPr>
            <sz val="9"/>
            <color indexed="81"/>
            <rFont val="Tahoma"/>
            <family val="2"/>
          </rPr>
          <t xml:space="preserve">
0 NA
1 No solicitadas
2 Solicitadas
3 Aprobadas</t>
        </r>
      </text>
    </comment>
    <comment ref="V458" authorId="0">
      <text>
        <r>
          <rPr>
            <b/>
            <sz val="9"/>
            <color indexed="81"/>
            <rFont val="Tahoma"/>
            <family val="2"/>
          </rPr>
          <t>0 Día(s)
1 Mes (s)
2 Año(s)</t>
        </r>
      </text>
    </comment>
    <comment ref="Y458" authorId="0">
      <text>
        <r>
          <rPr>
            <sz val="9"/>
            <color indexed="81"/>
            <rFont val="Tahoma"/>
            <family val="2"/>
          </rPr>
          <t>0 Recursos propios 
1 Presupuesto de entidad nacional
2 Regalías
3 Recursos de crédito
4 SGP
5 No Aplica</t>
        </r>
      </text>
    </comment>
    <comment ref="AD458" authorId="0">
      <text>
        <r>
          <rPr>
            <b/>
            <sz val="9"/>
            <color indexed="81"/>
            <rFont val="Tahoma"/>
            <family val="2"/>
          </rPr>
          <t>0 No
1 Sí</t>
        </r>
      </text>
    </comment>
    <comment ref="AE458" authorId="0">
      <text>
        <r>
          <rPr>
            <sz val="9"/>
            <color indexed="81"/>
            <rFont val="Tahoma"/>
            <family val="2"/>
          </rPr>
          <t xml:space="preserve">
0 NA
1 No solicitadas
2 Solicitadas
3 Aprobadas</t>
        </r>
      </text>
    </comment>
    <comment ref="V459" authorId="0">
      <text>
        <r>
          <rPr>
            <b/>
            <sz val="9"/>
            <color indexed="81"/>
            <rFont val="Tahoma"/>
            <family val="2"/>
          </rPr>
          <t>0 Día(s)
1 Mes (s)
2 Año(s)</t>
        </r>
      </text>
    </comment>
    <comment ref="Y459" authorId="0">
      <text>
        <r>
          <rPr>
            <sz val="9"/>
            <color indexed="81"/>
            <rFont val="Tahoma"/>
            <family val="2"/>
          </rPr>
          <t>0 Recursos propios 
1 Presupuesto de entidad nacional
2 Regalías
3 Recursos de crédito
4 SGP
5 No Aplica</t>
        </r>
      </text>
    </comment>
    <comment ref="AD459" authorId="0">
      <text>
        <r>
          <rPr>
            <b/>
            <sz val="9"/>
            <color indexed="81"/>
            <rFont val="Tahoma"/>
            <family val="2"/>
          </rPr>
          <t>0 No
1 Sí</t>
        </r>
      </text>
    </comment>
    <comment ref="AE459" authorId="0">
      <text>
        <r>
          <rPr>
            <sz val="9"/>
            <color indexed="81"/>
            <rFont val="Tahoma"/>
            <family val="2"/>
          </rPr>
          <t xml:space="preserve">
0 NA
1 No solicitadas
2 Solicitadas
3 Aprobadas</t>
        </r>
      </text>
    </comment>
    <comment ref="V460" authorId="0">
      <text>
        <r>
          <rPr>
            <b/>
            <sz val="9"/>
            <color indexed="81"/>
            <rFont val="Tahoma"/>
            <family val="2"/>
          </rPr>
          <t>0 Día(s)
1 Mes (s)
2 Año(s)</t>
        </r>
      </text>
    </comment>
    <comment ref="Y460" authorId="0">
      <text>
        <r>
          <rPr>
            <sz val="9"/>
            <color indexed="81"/>
            <rFont val="Tahoma"/>
            <family val="2"/>
          </rPr>
          <t>0 Recursos propios 
1 Presupuesto de entidad nacional
2 Regalías
3 Recursos de crédito
4 SGP
5 No Aplica</t>
        </r>
      </text>
    </comment>
    <comment ref="AD460" authorId="0">
      <text>
        <r>
          <rPr>
            <b/>
            <sz val="9"/>
            <color indexed="81"/>
            <rFont val="Tahoma"/>
            <family val="2"/>
          </rPr>
          <t>0 No
1 Sí</t>
        </r>
      </text>
    </comment>
    <comment ref="AE460" authorId="0">
      <text>
        <r>
          <rPr>
            <sz val="9"/>
            <color indexed="81"/>
            <rFont val="Tahoma"/>
            <family val="2"/>
          </rPr>
          <t xml:space="preserve">
0 NA
1 No solicitadas
2 Solicitadas
3 Aprobadas</t>
        </r>
      </text>
    </comment>
    <comment ref="V461" authorId="0">
      <text>
        <r>
          <rPr>
            <b/>
            <sz val="9"/>
            <color indexed="81"/>
            <rFont val="Tahoma"/>
            <family val="2"/>
          </rPr>
          <t>0 Día(s)
1 Mes (s)
2 Año(s)</t>
        </r>
      </text>
    </comment>
    <comment ref="Y461" authorId="0">
      <text>
        <r>
          <rPr>
            <sz val="9"/>
            <color indexed="81"/>
            <rFont val="Tahoma"/>
            <family val="2"/>
          </rPr>
          <t>0 Recursos propios 
1 Presupuesto de entidad nacional
2 Regalías
3 Recursos de crédito
4 SGP
5 No Aplica</t>
        </r>
      </text>
    </comment>
    <comment ref="AD461" authorId="0">
      <text>
        <r>
          <rPr>
            <b/>
            <sz val="9"/>
            <color indexed="81"/>
            <rFont val="Tahoma"/>
            <family val="2"/>
          </rPr>
          <t>0 No
1 Sí</t>
        </r>
      </text>
    </comment>
    <comment ref="AE461" authorId="0">
      <text>
        <r>
          <rPr>
            <sz val="9"/>
            <color indexed="81"/>
            <rFont val="Tahoma"/>
            <family val="2"/>
          </rPr>
          <t xml:space="preserve">
0 NA
1 No solicitadas
2 Solicitadas
3 Aprobadas</t>
        </r>
      </text>
    </comment>
    <comment ref="V462" authorId="0">
      <text>
        <r>
          <rPr>
            <b/>
            <sz val="9"/>
            <color indexed="81"/>
            <rFont val="Tahoma"/>
            <family val="2"/>
          </rPr>
          <t>0 Día(s)
1 Mes (s)
2 Año(s)</t>
        </r>
      </text>
    </comment>
    <comment ref="Y462" authorId="0">
      <text>
        <r>
          <rPr>
            <sz val="9"/>
            <color indexed="81"/>
            <rFont val="Tahoma"/>
            <family val="2"/>
          </rPr>
          <t>0 Recursos propios 
1 Presupuesto de entidad nacional
2 Regalías
3 Recursos de crédito
4 SGP
5 No Aplica</t>
        </r>
      </text>
    </comment>
    <comment ref="AD462" authorId="0">
      <text>
        <r>
          <rPr>
            <b/>
            <sz val="9"/>
            <color indexed="81"/>
            <rFont val="Tahoma"/>
            <family val="2"/>
          </rPr>
          <t>0 No
1 Sí</t>
        </r>
      </text>
    </comment>
    <comment ref="AE462" authorId="0">
      <text>
        <r>
          <rPr>
            <sz val="9"/>
            <color indexed="81"/>
            <rFont val="Tahoma"/>
            <family val="2"/>
          </rPr>
          <t xml:space="preserve">
0 NA
1 No solicitadas
2 Solicitadas
3 Aprobadas</t>
        </r>
      </text>
    </comment>
    <comment ref="V463" authorId="0">
      <text>
        <r>
          <rPr>
            <b/>
            <sz val="9"/>
            <color indexed="81"/>
            <rFont val="Tahoma"/>
            <family val="2"/>
          </rPr>
          <t>0 Día(s)
1 Mes (s)
2 Año(s)</t>
        </r>
      </text>
    </comment>
    <comment ref="Y463" authorId="0">
      <text>
        <r>
          <rPr>
            <sz val="9"/>
            <color indexed="81"/>
            <rFont val="Tahoma"/>
            <family val="2"/>
          </rPr>
          <t>0 Recursos propios 
1 Presupuesto de entidad nacional
2 Regalías
3 Recursos de crédito
4 SGP
5 No Aplica</t>
        </r>
      </text>
    </comment>
    <comment ref="AD463" authorId="0">
      <text>
        <r>
          <rPr>
            <b/>
            <sz val="9"/>
            <color indexed="81"/>
            <rFont val="Tahoma"/>
            <family val="2"/>
          </rPr>
          <t>0 No
1 Sí</t>
        </r>
      </text>
    </comment>
    <comment ref="AE463" authorId="0">
      <text>
        <r>
          <rPr>
            <sz val="9"/>
            <color indexed="81"/>
            <rFont val="Tahoma"/>
            <family val="2"/>
          </rPr>
          <t xml:space="preserve">
0 NA
1 No solicitadas
2 Solicitadas
3 Aprobadas</t>
        </r>
      </text>
    </comment>
    <comment ref="V464" authorId="0">
      <text>
        <r>
          <rPr>
            <b/>
            <sz val="9"/>
            <color indexed="81"/>
            <rFont val="Tahoma"/>
            <family val="2"/>
          </rPr>
          <t>0 Día(s)
1 Mes (s)
2 Año(s)</t>
        </r>
      </text>
    </comment>
    <comment ref="Y464" authorId="0">
      <text>
        <r>
          <rPr>
            <sz val="9"/>
            <color indexed="81"/>
            <rFont val="Tahoma"/>
            <family val="2"/>
          </rPr>
          <t>0 Recursos propios 
1 Presupuesto de entidad nacional
2 Regalías
3 Recursos de crédito
4 SGP
5 No Aplica</t>
        </r>
      </text>
    </comment>
    <comment ref="AD464" authorId="0">
      <text>
        <r>
          <rPr>
            <b/>
            <sz val="9"/>
            <color indexed="81"/>
            <rFont val="Tahoma"/>
            <family val="2"/>
          </rPr>
          <t>0 No
1 Sí</t>
        </r>
      </text>
    </comment>
    <comment ref="AE464" authorId="0">
      <text>
        <r>
          <rPr>
            <sz val="9"/>
            <color indexed="81"/>
            <rFont val="Tahoma"/>
            <family val="2"/>
          </rPr>
          <t xml:space="preserve">
0 NA
1 No solicitadas
2 Solicitadas
3 Aprobadas</t>
        </r>
      </text>
    </comment>
    <comment ref="V465" authorId="0">
      <text>
        <r>
          <rPr>
            <b/>
            <sz val="9"/>
            <color indexed="81"/>
            <rFont val="Tahoma"/>
            <family val="2"/>
          </rPr>
          <t>0 Día(s)
1 Mes (s)
2 Año(s)</t>
        </r>
      </text>
    </comment>
    <comment ref="Y465" authorId="0">
      <text>
        <r>
          <rPr>
            <sz val="9"/>
            <color indexed="81"/>
            <rFont val="Tahoma"/>
            <family val="2"/>
          </rPr>
          <t>0 Recursos propios 
1 Presupuesto de entidad nacional
2 Regalías
3 Recursos de crédito
4 SGP
5 No Aplica</t>
        </r>
      </text>
    </comment>
    <comment ref="AD465" authorId="0">
      <text>
        <r>
          <rPr>
            <b/>
            <sz val="9"/>
            <color indexed="81"/>
            <rFont val="Tahoma"/>
            <family val="2"/>
          </rPr>
          <t>0 No
1 Sí</t>
        </r>
      </text>
    </comment>
    <comment ref="AE465" authorId="0">
      <text>
        <r>
          <rPr>
            <sz val="9"/>
            <color indexed="81"/>
            <rFont val="Tahoma"/>
            <family val="2"/>
          </rPr>
          <t xml:space="preserve">
0 NA
1 No solicitadas
2 Solicitadas
3 Aprobadas</t>
        </r>
      </text>
    </comment>
    <comment ref="V466" authorId="0">
      <text>
        <r>
          <rPr>
            <b/>
            <sz val="9"/>
            <color indexed="81"/>
            <rFont val="Tahoma"/>
            <family val="2"/>
          </rPr>
          <t>0 Día(s)
1 Mes (s)
2 Año(s)</t>
        </r>
      </text>
    </comment>
    <comment ref="Y466" authorId="0">
      <text>
        <r>
          <rPr>
            <sz val="9"/>
            <color indexed="81"/>
            <rFont val="Tahoma"/>
            <family val="2"/>
          </rPr>
          <t>0 Recursos propios 
1 Presupuesto de entidad nacional
2 Regalías
3 Recursos de crédito
4 SGP
5 No Aplica</t>
        </r>
      </text>
    </comment>
    <comment ref="AD466" authorId="0">
      <text>
        <r>
          <rPr>
            <b/>
            <sz val="9"/>
            <color indexed="81"/>
            <rFont val="Tahoma"/>
            <family val="2"/>
          </rPr>
          <t>0 No
1 Sí</t>
        </r>
      </text>
    </comment>
    <comment ref="AE466" authorId="0">
      <text>
        <r>
          <rPr>
            <sz val="9"/>
            <color indexed="81"/>
            <rFont val="Tahoma"/>
            <family val="2"/>
          </rPr>
          <t xml:space="preserve">
0 NA
1 No solicitadas
2 Solicitadas
3 Aprobadas</t>
        </r>
      </text>
    </comment>
    <comment ref="V467" authorId="0">
      <text>
        <r>
          <rPr>
            <b/>
            <sz val="9"/>
            <color indexed="81"/>
            <rFont val="Tahoma"/>
            <family val="2"/>
          </rPr>
          <t>0 Día(s)
1 Mes (s)
2 Año(s)</t>
        </r>
      </text>
    </comment>
    <comment ref="Y467" authorId="0">
      <text>
        <r>
          <rPr>
            <sz val="9"/>
            <color indexed="81"/>
            <rFont val="Tahoma"/>
            <family val="2"/>
          </rPr>
          <t>0 Recursos propios 
1 Presupuesto de entidad nacional
2 Regalías
3 Recursos de crédito
4 SGP
5 No Aplica</t>
        </r>
      </text>
    </comment>
    <comment ref="AD467" authorId="0">
      <text>
        <r>
          <rPr>
            <b/>
            <sz val="9"/>
            <color indexed="81"/>
            <rFont val="Tahoma"/>
            <family val="2"/>
          </rPr>
          <t>0 No
1 Sí</t>
        </r>
      </text>
    </comment>
    <comment ref="AE467" authorId="0">
      <text>
        <r>
          <rPr>
            <sz val="9"/>
            <color indexed="81"/>
            <rFont val="Tahoma"/>
            <family val="2"/>
          </rPr>
          <t xml:space="preserve">
0 NA
1 No solicitadas
2 Solicitadas
3 Aprobadas</t>
        </r>
      </text>
    </comment>
    <comment ref="V468" authorId="0">
      <text>
        <r>
          <rPr>
            <b/>
            <sz val="9"/>
            <color indexed="81"/>
            <rFont val="Tahoma"/>
            <family val="2"/>
          </rPr>
          <t>0 Día(s)
1 Mes (s)
2 Año(s)</t>
        </r>
      </text>
    </comment>
    <comment ref="Y468" authorId="0">
      <text>
        <r>
          <rPr>
            <sz val="9"/>
            <color indexed="81"/>
            <rFont val="Tahoma"/>
            <family val="2"/>
          </rPr>
          <t>0 Recursos propios 
1 Presupuesto de entidad nacional
2 Regalías
3 Recursos de crédito
4 SGP
5 No Aplica</t>
        </r>
      </text>
    </comment>
    <comment ref="AD468" authorId="0">
      <text>
        <r>
          <rPr>
            <b/>
            <sz val="9"/>
            <color indexed="81"/>
            <rFont val="Tahoma"/>
            <family val="2"/>
          </rPr>
          <t>0 No
1 Sí</t>
        </r>
      </text>
    </comment>
    <comment ref="AE468" authorId="0">
      <text>
        <r>
          <rPr>
            <sz val="9"/>
            <color indexed="81"/>
            <rFont val="Tahoma"/>
            <family val="2"/>
          </rPr>
          <t xml:space="preserve">
0 NA
1 No solicitadas
2 Solicitadas
3 Aprobadas</t>
        </r>
      </text>
    </comment>
    <comment ref="V469" authorId="0">
      <text>
        <r>
          <rPr>
            <b/>
            <sz val="9"/>
            <color indexed="81"/>
            <rFont val="Tahoma"/>
            <family val="2"/>
          </rPr>
          <t>0 Día(s)
1 Mes (s)
2 Año(s)</t>
        </r>
      </text>
    </comment>
    <comment ref="Y469" authorId="0">
      <text>
        <r>
          <rPr>
            <sz val="9"/>
            <color indexed="81"/>
            <rFont val="Tahoma"/>
            <family val="2"/>
          </rPr>
          <t>0 Recursos propios 
1 Presupuesto de entidad nacional
2 Regalías
3 Recursos de crédito
4 SGP
5 No Aplica</t>
        </r>
      </text>
    </comment>
    <comment ref="AD469" authorId="0">
      <text>
        <r>
          <rPr>
            <b/>
            <sz val="9"/>
            <color indexed="81"/>
            <rFont val="Tahoma"/>
            <family val="2"/>
          </rPr>
          <t>0 No
1 Sí</t>
        </r>
      </text>
    </comment>
    <comment ref="AE469" authorId="0">
      <text>
        <r>
          <rPr>
            <sz val="9"/>
            <color indexed="81"/>
            <rFont val="Tahoma"/>
            <family val="2"/>
          </rPr>
          <t xml:space="preserve">
0 NA
1 No solicitadas
2 Solicitadas
3 Aprobadas</t>
        </r>
      </text>
    </comment>
    <comment ref="V470" authorId="0">
      <text>
        <r>
          <rPr>
            <b/>
            <sz val="9"/>
            <color indexed="81"/>
            <rFont val="Tahoma"/>
            <family val="2"/>
          </rPr>
          <t>0 Día(s)
1 Mes (s)
2 Año(s)</t>
        </r>
      </text>
    </comment>
    <comment ref="Y470" authorId="0">
      <text>
        <r>
          <rPr>
            <sz val="9"/>
            <color indexed="81"/>
            <rFont val="Tahoma"/>
            <family val="2"/>
          </rPr>
          <t>0 Recursos propios 
1 Presupuesto de entidad nacional
2 Regalías
3 Recursos de crédito
4 SGP
5 No Aplica</t>
        </r>
      </text>
    </comment>
    <comment ref="AD470" authorId="0">
      <text>
        <r>
          <rPr>
            <b/>
            <sz val="9"/>
            <color indexed="81"/>
            <rFont val="Tahoma"/>
            <family val="2"/>
          </rPr>
          <t>0 No
1 Sí</t>
        </r>
      </text>
    </comment>
    <comment ref="AE470" authorId="0">
      <text>
        <r>
          <rPr>
            <sz val="9"/>
            <color indexed="81"/>
            <rFont val="Tahoma"/>
            <family val="2"/>
          </rPr>
          <t xml:space="preserve">
0 NA
1 No solicitadas
2 Solicitadas
3 Aprobadas</t>
        </r>
      </text>
    </comment>
    <comment ref="V471" authorId="0">
      <text>
        <r>
          <rPr>
            <b/>
            <sz val="9"/>
            <color indexed="81"/>
            <rFont val="Tahoma"/>
            <family val="2"/>
          </rPr>
          <t>0 Día(s)
1 Mes (s)
2 Año(s)</t>
        </r>
      </text>
    </comment>
    <comment ref="Y471" authorId="0">
      <text>
        <r>
          <rPr>
            <sz val="9"/>
            <color indexed="81"/>
            <rFont val="Tahoma"/>
            <family val="2"/>
          </rPr>
          <t>0 Recursos propios 
1 Presupuesto de entidad nacional
2 Regalías
3 Recursos de crédito
4 SGP
5 No Aplica</t>
        </r>
      </text>
    </comment>
    <comment ref="AD471" authorId="0">
      <text>
        <r>
          <rPr>
            <b/>
            <sz val="9"/>
            <color indexed="81"/>
            <rFont val="Tahoma"/>
            <family val="2"/>
          </rPr>
          <t>0 No
1 Sí</t>
        </r>
      </text>
    </comment>
    <comment ref="AE471" authorId="0">
      <text>
        <r>
          <rPr>
            <sz val="9"/>
            <color indexed="81"/>
            <rFont val="Tahoma"/>
            <family val="2"/>
          </rPr>
          <t xml:space="preserve">
0 NA
1 No solicitadas
2 Solicitadas
3 Aprobadas</t>
        </r>
      </text>
    </comment>
    <comment ref="V472" authorId="0">
      <text>
        <r>
          <rPr>
            <b/>
            <sz val="9"/>
            <color indexed="81"/>
            <rFont val="Tahoma"/>
            <family val="2"/>
          </rPr>
          <t>0 Día(s)
1 Mes (s)
2 Año(s)</t>
        </r>
      </text>
    </comment>
    <comment ref="Y472" authorId="0">
      <text>
        <r>
          <rPr>
            <sz val="9"/>
            <color indexed="81"/>
            <rFont val="Tahoma"/>
            <family val="2"/>
          </rPr>
          <t>0 Recursos propios 
1 Presupuesto de entidad nacional
2 Regalías
3 Recursos de crédito
4 SGP
5 No Aplica</t>
        </r>
      </text>
    </comment>
    <comment ref="AD472" authorId="0">
      <text>
        <r>
          <rPr>
            <b/>
            <sz val="9"/>
            <color indexed="81"/>
            <rFont val="Tahoma"/>
            <family val="2"/>
          </rPr>
          <t>0 No
1 Sí</t>
        </r>
      </text>
    </comment>
    <comment ref="AE472" authorId="0">
      <text>
        <r>
          <rPr>
            <sz val="9"/>
            <color indexed="81"/>
            <rFont val="Tahoma"/>
            <family val="2"/>
          </rPr>
          <t xml:space="preserve">
0 NA
1 No solicitadas
2 Solicitadas
3 Aprobadas</t>
        </r>
      </text>
    </comment>
    <comment ref="V473" authorId="0">
      <text>
        <r>
          <rPr>
            <b/>
            <sz val="9"/>
            <color indexed="81"/>
            <rFont val="Tahoma"/>
            <family val="2"/>
          </rPr>
          <t>0 Día(s)
1 Mes (s)
2 Año(s)</t>
        </r>
      </text>
    </comment>
    <comment ref="Y473" authorId="0">
      <text>
        <r>
          <rPr>
            <sz val="9"/>
            <color indexed="81"/>
            <rFont val="Tahoma"/>
            <family val="2"/>
          </rPr>
          <t>0 Recursos propios 
1 Presupuesto de entidad nacional
2 Regalías
3 Recursos de crédito
4 SGP
5 No Aplica</t>
        </r>
      </text>
    </comment>
    <comment ref="AD473" authorId="0">
      <text>
        <r>
          <rPr>
            <b/>
            <sz val="9"/>
            <color indexed="81"/>
            <rFont val="Tahoma"/>
            <family val="2"/>
          </rPr>
          <t>0 No
1 Sí</t>
        </r>
      </text>
    </comment>
    <comment ref="AE473" authorId="0">
      <text>
        <r>
          <rPr>
            <sz val="9"/>
            <color indexed="81"/>
            <rFont val="Tahoma"/>
            <family val="2"/>
          </rPr>
          <t xml:space="preserve">
0 NA
1 No solicitadas
2 Solicitadas
3 Aprobadas</t>
        </r>
      </text>
    </comment>
    <comment ref="V474" authorId="0">
      <text>
        <r>
          <rPr>
            <b/>
            <sz val="9"/>
            <color indexed="81"/>
            <rFont val="Tahoma"/>
            <family val="2"/>
          </rPr>
          <t>0 Día(s)
1 Mes (s)
2 Año(s)</t>
        </r>
      </text>
    </comment>
    <comment ref="Y474" authorId="0">
      <text>
        <r>
          <rPr>
            <sz val="9"/>
            <color indexed="81"/>
            <rFont val="Tahoma"/>
            <family val="2"/>
          </rPr>
          <t>0 Recursos propios 
1 Presupuesto de entidad nacional
2 Regalías
3 Recursos de crédito
4 SGP
5 No Aplica</t>
        </r>
      </text>
    </comment>
    <comment ref="AD474" authorId="0">
      <text>
        <r>
          <rPr>
            <b/>
            <sz val="9"/>
            <color indexed="81"/>
            <rFont val="Tahoma"/>
            <family val="2"/>
          </rPr>
          <t>0 No
1 Sí</t>
        </r>
      </text>
    </comment>
    <comment ref="AE474" authorId="0">
      <text>
        <r>
          <rPr>
            <sz val="9"/>
            <color indexed="81"/>
            <rFont val="Tahoma"/>
            <family val="2"/>
          </rPr>
          <t xml:space="preserve">
0 NA
1 No solicitadas
2 Solicitadas
3 Aprobadas</t>
        </r>
      </text>
    </comment>
    <comment ref="V475" authorId="0">
      <text>
        <r>
          <rPr>
            <b/>
            <sz val="9"/>
            <color indexed="81"/>
            <rFont val="Tahoma"/>
            <family val="2"/>
          </rPr>
          <t>0 Día(s)
1 Mes (s)
2 Año(s)</t>
        </r>
      </text>
    </comment>
    <comment ref="Y475" authorId="0">
      <text>
        <r>
          <rPr>
            <sz val="9"/>
            <color indexed="81"/>
            <rFont val="Tahoma"/>
            <family val="2"/>
          </rPr>
          <t>0 Recursos propios 
1 Presupuesto de entidad nacional
2 Regalías
3 Recursos de crédito
4 SGP
5 No Aplica</t>
        </r>
      </text>
    </comment>
    <comment ref="AD475" authorId="0">
      <text>
        <r>
          <rPr>
            <b/>
            <sz val="9"/>
            <color indexed="81"/>
            <rFont val="Tahoma"/>
            <family val="2"/>
          </rPr>
          <t>0 No
1 Sí</t>
        </r>
      </text>
    </comment>
    <comment ref="AE475" authorId="0">
      <text>
        <r>
          <rPr>
            <sz val="9"/>
            <color indexed="81"/>
            <rFont val="Tahoma"/>
            <family val="2"/>
          </rPr>
          <t xml:space="preserve">
0 NA
1 No solicitadas
2 Solicitadas
3 Aprobadas</t>
        </r>
      </text>
    </comment>
    <comment ref="V476" authorId="0">
      <text>
        <r>
          <rPr>
            <b/>
            <sz val="9"/>
            <color indexed="81"/>
            <rFont val="Tahoma"/>
            <family val="2"/>
          </rPr>
          <t>0 Día(s)
1 Mes (s)
2 Año(s)</t>
        </r>
      </text>
    </comment>
    <comment ref="Y476" authorId="0">
      <text>
        <r>
          <rPr>
            <sz val="9"/>
            <color indexed="81"/>
            <rFont val="Tahoma"/>
            <family val="2"/>
          </rPr>
          <t>0 Recursos propios 
1 Presupuesto de entidad nacional
2 Regalías
3 Recursos de crédito
4 SGP
5 No Aplica</t>
        </r>
      </text>
    </comment>
    <comment ref="AD476" authorId="0">
      <text>
        <r>
          <rPr>
            <b/>
            <sz val="9"/>
            <color indexed="81"/>
            <rFont val="Tahoma"/>
            <family val="2"/>
          </rPr>
          <t>0 No
1 Sí</t>
        </r>
      </text>
    </comment>
    <comment ref="AE476" authorId="0">
      <text>
        <r>
          <rPr>
            <sz val="9"/>
            <color indexed="81"/>
            <rFont val="Tahoma"/>
            <family val="2"/>
          </rPr>
          <t xml:space="preserve">
0 NA
1 No solicitadas
2 Solicitadas
3 Aprobadas</t>
        </r>
      </text>
    </comment>
    <comment ref="V477" authorId="0">
      <text>
        <r>
          <rPr>
            <b/>
            <sz val="9"/>
            <color indexed="81"/>
            <rFont val="Tahoma"/>
            <family val="2"/>
          </rPr>
          <t>0 Día(s)
1 Mes (s)
2 Año(s)</t>
        </r>
      </text>
    </comment>
    <comment ref="Y477" authorId="0">
      <text>
        <r>
          <rPr>
            <sz val="9"/>
            <color indexed="81"/>
            <rFont val="Tahoma"/>
            <family val="2"/>
          </rPr>
          <t>0 Recursos propios 
1 Presupuesto de entidad nacional
2 Regalías
3 Recursos de crédito
4 SGP
5 No Aplica</t>
        </r>
      </text>
    </comment>
    <comment ref="AD477" authorId="0">
      <text>
        <r>
          <rPr>
            <b/>
            <sz val="9"/>
            <color indexed="81"/>
            <rFont val="Tahoma"/>
            <family val="2"/>
          </rPr>
          <t>0 No
1 Sí</t>
        </r>
      </text>
    </comment>
    <comment ref="AE477" authorId="0">
      <text>
        <r>
          <rPr>
            <sz val="9"/>
            <color indexed="81"/>
            <rFont val="Tahoma"/>
            <family val="2"/>
          </rPr>
          <t xml:space="preserve">
0 NA
1 No solicitadas
2 Solicitadas
3 Aprobadas</t>
        </r>
      </text>
    </comment>
    <comment ref="V478" authorId="0">
      <text>
        <r>
          <rPr>
            <b/>
            <sz val="9"/>
            <color indexed="81"/>
            <rFont val="Tahoma"/>
            <family val="2"/>
          </rPr>
          <t>0 Día(s)
1 Mes (s)
2 Año(s)</t>
        </r>
      </text>
    </comment>
    <comment ref="Y478" authorId="0">
      <text>
        <r>
          <rPr>
            <sz val="9"/>
            <color indexed="81"/>
            <rFont val="Tahoma"/>
            <family val="2"/>
          </rPr>
          <t>0 Recursos propios 
1 Presupuesto de entidad nacional
2 Regalías
3 Recursos de crédito
4 SGP
5 No Aplica</t>
        </r>
      </text>
    </comment>
    <comment ref="AD478" authorId="0">
      <text>
        <r>
          <rPr>
            <b/>
            <sz val="9"/>
            <color indexed="81"/>
            <rFont val="Tahoma"/>
            <family val="2"/>
          </rPr>
          <t>0 No
1 Sí</t>
        </r>
      </text>
    </comment>
    <comment ref="AE478" authorId="0">
      <text>
        <r>
          <rPr>
            <sz val="9"/>
            <color indexed="81"/>
            <rFont val="Tahoma"/>
            <family val="2"/>
          </rPr>
          <t xml:space="preserve">
0 NA
1 No solicitadas
2 Solicitadas
3 Aprobadas</t>
        </r>
      </text>
    </comment>
    <comment ref="V479" authorId="0">
      <text>
        <r>
          <rPr>
            <b/>
            <sz val="9"/>
            <color indexed="81"/>
            <rFont val="Tahoma"/>
            <family val="2"/>
          </rPr>
          <t>0 Día(s)
1 Mes (s)
2 Año(s)</t>
        </r>
      </text>
    </comment>
    <comment ref="Y479" authorId="0">
      <text>
        <r>
          <rPr>
            <sz val="9"/>
            <color indexed="81"/>
            <rFont val="Tahoma"/>
            <family val="2"/>
          </rPr>
          <t>0 Recursos propios 
1 Presupuesto de entidad nacional
2 Regalías
3 Recursos de crédito
4 SGP
5 No Aplica</t>
        </r>
      </text>
    </comment>
    <comment ref="AD479" authorId="0">
      <text>
        <r>
          <rPr>
            <b/>
            <sz val="9"/>
            <color indexed="81"/>
            <rFont val="Tahoma"/>
            <family val="2"/>
          </rPr>
          <t>0 No
1 Sí</t>
        </r>
      </text>
    </comment>
    <comment ref="AE479" authorId="0">
      <text>
        <r>
          <rPr>
            <sz val="9"/>
            <color indexed="81"/>
            <rFont val="Tahoma"/>
            <family val="2"/>
          </rPr>
          <t xml:space="preserve">
0 NA
1 No solicitadas
2 Solicitadas
3 Aprobadas</t>
        </r>
      </text>
    </comment>
    <comment ref="V482" authorId="0">
      <text>
        <r>
          <rPr>
            <b/>
            <sz val="9"/>
            <color indexed="81"/>
            <rFont val="Tahoma"/>
            <family val="2"/>
          </rPr>
          <t>0 Día(s)
1 Mes (s)
2 Año(s)</t>
        </r>
      </text>
    </comment>
    <comment ref="Y482" authorId="0">
      <text>
        <r>
          <rPr>
            <sz val="9"/>
            <color indexed="81"/>
            <rFont val="Tahoma"/>
            <family val="2"/>
          </rPr>
          <t>0 Recursos propios 
1 Presupuesto de entidad nacional
2 Regalías
3 Recursos de crédito
4 SGP
5 No Aplica</t>
        </r>
      </text>
    </comment>
    <comment ref="AD482" authorId="0">
      <text>
        <r>
          <rPr>
            <b/>
            <sz val="9"/>
            <color indexed="81"/>
            <rFont val="Tahoma"/>
            <family val="2"/>
          </rPr>
          <t>0 No
1 Sí</t>
        </r>
      </text>
    </comment>
    <comment ref="AE482" authorId="0">
      <text>
        <r>
          <rPr>
            <sz val="9"/>
            <color indexed="81"/>
            <rFont val="Tahoma"/>
            <family val="2"/>
          </rPr>
          <t xml:space="preserve">
0 NA
1 No solicitadas
2 Solicitadas
3 Aprobadas</t>
        </r>
      </text>
    </comment>
    <comment ref="V483" authorId="0">
      <text>
        <r>
          <rPr>
            <b/>
            <sz val="9"/>
            <color indexed="81"/>
            <rFont val="Tahoma"/>
            <family val="2"/>
          </rPr>
          <t>0 Día(s)
1 Mes (s)
2 Año(s)</t>
        </r>
      </text>
    </comment>
    <comment ref="Y483" authorId="0">
      <text>
        <r>
          <rPr>
            <sz val="9"/>
            <color indexed="81"/>
            <rFont val="Tahoma"/>
            <family val="2"/>
          </rPr>
          <t>0 Recursos propios 
1 Presupuesto de entidad nacional
2 Regalías
3 Recursos de crédito
4 SGP
5 No Aplica</t>
        </r>
      </text>
    </comment>
    <comment ref="AD483" authorId="0">
      <text>
        <r>
          <rPr>
            <b/>
            <sz val="9"/>
            <color indexed="81"/>
            <rFont val="Tahoma"/>
            <family val="2"/>
          </rPr>
          <t>0 No
1 Sí</t>
        </r>
      </text>
    </comment>
    <comment ref="AE483" authorId="0">
      <text>
        <r>
          <rPr>
            <sz val="9"/>
            <color indexed="81"/>
            <rFont val="Tahoma"/>
            <family val="2"/>
          </rPr>
          <t xml:space="preserve">
0 NA
1 No solicitadas
2 Solicitadas
3 Aprobadas</t>
        </r>
      </text>
    </comment>
    <comment ref="V484" authorId="0">
      <text>
        <r>
          <rPr>
            <b/>
            <sz val="9"/>
            <color indexed="81"/>
            <rFont val="Tahoma"/>
            <family val="2"/>
          </rPr>
          <t>0 Día(s)
1 Mes (s)
2 Año(s)</t>
        </r>
      </text>
    </comment>
    <comment ref="Y484" authorId="0">
      <text>
        <r>
          <rPr>
            <sz val="9"/>
            <color indexed="81"/>
            <rFont val="Tahoma"/>
            <family val="2"/>
          </rPr>
          <t>0 Recursos propios 
1 Presupuesto de entidad nacional
2 Regalías
3 Recursos de crédito
4 SGP
5 No Aplica</t>
        </r>
      </text>
    </comment>
    <comment ref="AD484" authorId="0">
      <text>
        <r>
          <rPr>
            <b/>
            <sz val="9"/>
            <color indexed="81"/>
            <rFont val="Tahoma"/>
            <family val="2"/>
          </rPr>
          <t>0 No
1 Sí</t>
        </r>
      </text>
    </comment>
    <comment ref="AE484" authorId="0">
      <text>
        <r>
          <rPr>
            <sz val="9"/>
            <color indexed="81"/>
            <rFont val="Tahoma"/>
            <family val="2"/>
          </rPr>
          <t xml:space="preserve">
0 NA
1 No solicitadas
2 Solicitadas
3 Aprobadas</t>
        </r>
      </text>
    </comment>
    <comment ref="V485" authorId="0">
      <text>
        <r>
          <rPr>
            <b/>
            <sz val="9"/>
            <color indexed="81"/>
            <rFont val="Tahoma"/>
            <family val="2"/>
          </rPr>
          <t>0 Día(s)
1 Mes (s)
2 Año(s)</t>
        </r>
      </text>
    </comment>
    <comment ref="Y485" authorId="0">
      <text>
        <r>
          <rPr>
            <sz val="9"/>
            <color indexed="81"/>
            <rFont val="Tahoma"/>
            <family val="2"/>
          </rPr>
          <t>0 Recursos propios 
1 Presupuesto de entidad nacional
2 Regalías
3 Recursos de crédito
4 SGP
5 No Aplica</t>
        </r>
      </text>
    </comment>
    <comment ref="AD485" authorId="0">
      <text>
        <r>
          <rPr>
            <b/>
            <sz val="9"/>
            <color indexed="81"/>
            <rFont val="Tahoma"/>
            <family val="2"/>
          </rPr>
          <t>0 No
1 Sí</t>
        </r>
      </text>
    </comment>
    <comment ref="AE485" authorId="0">
      <text>
        <r>
          <rPr>
            <sz val="9"/>
            <color indexed="81"/>
            <rFont val="Tahoma"/>
            <family val="2"/>
          </rPr>
          <t xml:space="preserve">
0 NA
1 No solicitadas
2 Solicitadas
3 Aprobadas</t>
        </r>
      </text>
    </comment>
    <comment ref="V486" authorId="0">
      <text>
        <r>
          <rPr>
            <b/>
            <sz val="9"/>
            <color indexed="81"/>
            <rFont val="Tahoma"/>
            <family val="2"/>
          </rPr>
          <t>0 Día(s)
1 Mes (s)
2 Año(s)</t>
        </r>
      </text>
    </comment>
    <comment ref="Y486" authorId="0">
      <text>
        <r>
          <rPr>
            <sz val="9"/>
            <color indexed="81"/>
            <rFont val="Tahoma"/>
            <family val="2"/>
          </rPr>
          <t>0 Recursos propios 
1 Presupuesto de entidad nacional
2 Regalías
3 Recursos de crédito
4 SGP
5 No Aplica</t>
        </r>
      </text>
    </comment>
    <comment ref="AD486" authorId="0">
      <text>
        <r>
          <rPr>
            <b/>
            <sz val="9"/>
            <color indexed="81"/>
            <rFont val="Tahoma"/>
            <family val="2"/>
          </rPr>
          <t>0 No
1 Sí</t>
        </r>
      </text>
    </comment>
    <comment ref="AE486" authorId="0">
      <text>
        <r>
          <rPr>
            <sz val="9"/>
            <color indexed="81"/>
            <rFont val="Tahoma"/>
            <family val="2"/>
          </rPr>
          <t xml:space="preserve">
0 NA
1 No solicitadas
2 Solicitadas
3 Aprobadas</t>
        </r>
      </text>
    </comment>
    <comment ref="V487" authorId="0">
      <text>
        <r>
          <rPr>
            <b/>
            <sz val="9"/>
            <color indexed="81"/>
            <rFont val="Tahoma"/>
            <family val="2"/>
          </rPr>
          <t>0 Día(s)
1 Mes (s)
2 Año(s)</t>
        </r>
      </text>
    </comment>
    <comment ref="Y487" authorId="0">
      <text>
        <r>
          <rPr>
            <sz val="9"/>
            <color indexed="81"/>
            <rFont val="Tahoma"/>
            <family val="2"/>
          </rPr>
          <t>0 Recursos propios 
1 Presupuesto de entidad nacional
2 Regalías
3 Recursos de crédito
4 SGP
5 No Aplica</t>
        </r>
      </text>
    </comment>
    <comment ref="AD487" authorId="0">
      <text>
        <r>
          <rPr>
            <b/>
            <sz val="9"/>
            <color indexed="81"/>
            <rFont val="Tahoma"/>
            <family val="2"/>
          </rPr>
          <t>0 No
1 Sí</t>
        </r>
      </text>
    </comment>
    <comment ref="AE487" authorId="0">
      <text>
        <r>
          <rPr>
            <sz val="9"/>
            <color indexed="81"/>
            <rFont val="Tahoma"/>
            <family val="2"/>
          </rPr>
          <t xml:space="preserve">
0 NA
1 No solicitadas
2 Solicitadas
3 Aprobadas</t>
        </r>
      </text>
    </comment>
    <comment ref="V488" authorId="0">
      <text>
        <r>
          <rPr>
            <b/>
            <sz val="9"/>
            <color indexed="81"/>
            <rFont val="Tahoma"/>
            <family val="2"/>
          </rPr>
          <t>0 Día(s)
1 Mes (s)
2 Año(s)</t>
        </r>
      </text>
    </comment>
    <comment ref="Y488" authorId="0">
      <text>
        <r>
          <rPr>
            <sz val="9"/>
            <color indexed="81"/>
            <rFont val="Tahoma"/>
            <family val="2"/>
          </rPr>
          <t>0 Recursos propios 
1 Presupuesto de entidad nacional
2 Regalías
3 Recursos de crédito
4 SGP
5 No Aplica</t>
        </r>
      </text>
    </comment>
    <comment ref="AD488" authorId="0">
      <text>
        <r>
          <rPr>
            <b/>
            <sz val="9"/>
            <color indexed="81"/>
            <rFont val="Tahoma"/>
            <family val="2"/>
          </rPr>
          <t>0 No
1 Sí</t>
        </r>
      </text>
    </comment>
    <comment ref="AE488" authorId="0">
      <text>
        <r>
          <rPr>
            <sz val="9"/>
            <color indexed="81"/>
            <rFont val="Tahoma"/>
            <family val="2"/>
          </rPr>
          <t xml:space="preserve">
0 NA
1 No solicitadas
2 Solicitadas
3 Aprobadas</t>
        </r>
      </text>
    </comment>
    <comment ref="V489" authorId="0">
      <text>
        <r>
          <rPr>
            <b/>
            <sz val="9"/>
            <color indexed="81"/>
            <rFont val="Tahoma"/>
            <family val="2"/>
          </rPr>
          <t>0 Día(s)
1 Mes (s)
2 Año(s)</t>
        </r>
      </text>
    </comment>
    <comment ref="Y489" authorId="0">
      <text>
        <r>
          <rPr>
            <sz val="9"/>
            <color indexed="81"/>
            <rFont val="Tahoma"/>
            <family val="2"/>
          </rPr>
          <t>0 Recursos propios 
1 Presupuesto de entidad nacional
2 Regalías
3 Recursos de crédito
4 SGP
5 No Aplica</t>
        </r>
      </text>
    </comment>
    <comment ref="AD489" authorId="0">
      <text>
        <r>
          <rPr>
            <b/>
            <sz val="9"/>
            <color indexed="81"/>
            <rFont val="Tahoma"/>
            <family val="2"/>
          </rPr>
          <t>0 No
1 Sí</t>
        </r>
      </text>
    </comment>
    <comment ref="AE489" authorId="0">
      <text>
        <r>
          <rPr>
            <sz val="9"/>
            <color indexed="81"/>
            <rFont val="Tahoma"/>
            <family val="2"/>
          </rPr>
          <t xml:space="preserve">
0 NA
1 No solicitadas
2 Solicitadas
3 Aprobadas</t>
        </r>
      </text>
    </comment>
    <comment ref="V490" authorId="0">
      <text>
        <r>
          <rPr>
            <b/>
            <sz val="9"/>
            <color indexed="81"/>
            <rFont val="Tahoma"/>
            <family val="2"/>
          </rPr>
          <t>0 Día(s)
1 Mes (s)
2 Año(s)</t>
        </r>
      </text>
    </comment>
    <comment ref="Y490" authorId="0">
      <text>
        <r>
          <rPr>
            <sz val="9"/>
            <color indexed="81"/>
            <rFont val="Tahoma"/>
            <family val="2"/>
          </rPr>
          <t>0 Recursos propios 
1 Presupuesto de entidad nacional
2 Regalías
3 Recursos de crédito
4 SGP
5 No Aplica</t>
        </r>
      </text>
    </comment>
    <comment ref="AD490" authorId="0">
      <text>
        <r>
          <rPr>
            <b/>
            <sz val="9"/>
            <color indexed="81"/>
            <rFont val="Tahoma"/>
            <family val="2"/>
          </rPr>
          <t>0 No
1 Sí</t>
        </r>
      </text>
    </comment>
    <comment ref="AE490" authorId="0">
      <text>
        <r>
          <rPr>
            <sz val="9"/>
            <color indexed="81"/>
            <rFont val="Tahoma"/>
            <family val="2"/>
          </rPr>
          <t xml:space="preserve">
0 NA
1 No solicitadas
2 Solicitadas
3 Aprobadas</t>
        </r>
      </text>
    </comment>
    <comment ref="V491" authorId="0">
      <text>
        <r>
          <rPr>
            <b/>
            <sz val="9"/>
            <color indexed="81"/>
            <rFont val="Tahoma"/>
            <family val="2"/>
          </rPr>
          <t>0 Día(s)
1 Mes (s)
2 Año(s)</t>
        </r>
      </text>
    </comment>
    <comment ref="Y491" authorId="0">
      <text>
        <r>
          <rPr>
            <sz val="9"/>
            <color indexed="81"/>
            <rFont val="Tahoma"/>
            <family val="2"/>
          </rPr>
          <t>0 Recursos propios 
1 Presupuesto de entidad nacional
2 Regalías
3 Recursos de crédito
4 SGP
5 No Aplica</t>
        </r>
      </text>
    </comment>
    <comment ref="AD491" authorId="0">
      <text>
        <r>
          <rPr>
            <b/>
            <sz val="9"/>
            <color indexed="81"/>
            <rFont val="Tahoma"/>
            <family val="2"/>
          </rPr>
          <t>0 No
1 Sí</t>
        </r>
      </text>
    </comment>
    <comment ref="AE491" authorId="0">
      <text>
        <r>
          <rPr>
            <sz val="9"/>
            <color indexed="81"/>
            <rFont val="Tahoma"/>
            <family val="2"/>
          </rPr>
          <t xml:space="preserve">
0 NA
1 No solicitadas
2 Solicitadas
3 Aprobadas</t>
        </r>
      </text>
    </comment>
    <comment ref="V492" authorId="0">
      <text>
        <r>
          <rPr>
            <b/>
            <sz val="9"/>
            <color indexed="81"/>
            <rFont val="Tahoma"/>
            <family val="2"/>
          </rPr>
          <t>0 Día(s)
1 Mes (s)
2 Año(s)</t>
        </r>
      </text>
    </comment>
    <comment ref="Y492" authorId="0">
      <text>
        <r>
          <rPr>
            <sz val="9"/>
            <color indexed="81"/>
            <rFont val="Tahoma"/>
            <family val="2"/>
          </rPr>
          <t>0 Recursos propios 
1 Presupuesto de entidad nacional
2 Regalías
3 Recursos de crédito
4 SGP
5 No Aplica</t>
        </r>
      </text>
    </comment>
    <comment ref="AD492" authorId="0">
      <text>
        <r>
          <rPr>
            <b/>
            <sz val="9"/>
            <color indexed="81"/>
            <rFont val="Tahoma"/>
            <family val="2"/>
          </rPr>
          <t>0 No
1 Sí</t>
        </r>
      </text>
    </comment>
    <comment ref="AE492" authorId="0">
      <text>
        <r>
          <rPr>
            <sz val="9"/>
            <color indexed="81"/>
            <rFont val="Tahoma"/>
            <family val="2"/>
          </rPr>
          <t xml:space="preserve">
0 NA
1 No solicitadas
2 Solicitadas
3 Aprobadas</t>
        </r>
      </text>
    </comment>
    <comment ref="V493" authorId="0">
      <text>
        <r>
          <rPr>
            <b/>
            <sz val="9"/>
            <color indexed="81"/>
            <rFont val="Tahoma"/>
            <family val="2"/>
          </rPr>
          <t>0 Día(s)
1 Mes (s)
2 Año(s)</t>
        </r>
      </text>
    </comment>
    <comment ref="Y493" authorId="0">
      <text>
        <r>
          <rPr>
            <sz val="9"/>
            <color indexed="81"/>
            <rFont val="Tahoma"/>
            <family val="2"/>
          </rPr>
          <t>0 Recursos propios 
1 Presupuesto de entidad nacional
2 Regalías
3 Recursos de crédito
4 SGP
5 No Aplica</t>
        </r>
      </text>
    </comment>
    <comment ref="AD493" authorId="0">
      <text>
        <r>
          <rPr>
            <b/>
            <sz val="9"/>
            <color indexed="81"/>
            <rFont val="Tahoma"/>
            <family val="2"/>
          </rPr>
          <t>0 No
1 Sí</t>
        </r>
      </text>
    </comment>
    <comment ref="AE493" authorId="0">
      <text>
        <r>
          <rPr>
            <sz val="9"/>
            <color indexed="81"/>
            <rFont val="Tahoma"/>
            <family val="2"/>
          </rPr>
          <t xml:space="preserve">
0 NA
1 No solicitadas
2 Solicitadas
3 Aprobadas</t>
        </r>
      </text>
    </comment>
    <comment ref="V494" authorId="0">
      <text>
        <r>
          <rPr>
            <b/>
            <sz val="9"/>
            <color indexed="81"/>
            <rFont val="Tahoma"/>
            <family val="2"/>
          </rPr>
          <t>0 Día(s)
1 Mes (s)
2 Año(s)</t>
        </r>
      </text>
    </comment>
    <comment ref="Y494" authorId="0">
      <text>
        <r>
          <rPr>
            <sz val="9"/>
            <color indexed="81"/>
            <rFont val="Tahoma"/>
            <family val="2"/>
          </rPr>
          <t>0 Recursos propios 
1 Presupuesto de entidad nacional
2 Regalías
3 Recursos de crédito
4 SGP
5 No Aplica</t>
        </r>
      </text>
    </comment>
    <comment ref="AD494" authorId="0">
      <text>
        <r>
          <rPr>
            <b/>
            <sz val="9"/>
            <color indexed="81"/>
            <rFont val="Tahoma"/>
            <family val="2"/>
          </rPr>
          <t>0 No
1 Sí</t>
        </r>
      </text>
    </comment>
    <comment ref="AE494" authorId="0">
      <text>
        <r>
          <rPr>
            <sz val="9"/>
            <color indexed="81"/>
            <rFont val="Tahoma"/>
            <family val="2"/>
          </rPr>
          <t xml:space="preserve">
0 NA
1 No solicitadas
2 Solicitadas
3 Aprobadas</t>
        </r>
      </text>
    </comment>
    <comment ref="V495" authorId="0">
      <text>
        <r>
          <rPr>
            <b/>
            <sz val="9"/>
            <color indexed="81"/>
            <rFont val="Tahoma"/>
            <family val="2"/>
          </rPr>
          <t>0 Día(s)
1 Mes (s)
2 Año(s)</t>
        </r>
      </text>
    </comment>
    <comment ref="Y495" authorId="0">
      <text>
        <r>
          <rPr>
            <sz val="9"/>
            <color indexed="81"/>
            <rFont val="Tahoma"/>
            <family val="2"/>
          </rPr>
          <t>0 Recursos propios 
1 Presupuesto de entidad nacional
2 Regalías
3 Recursos de crédito
4 SGP
5 No Aplica</t>
        </r>
      </text>
    </comment>
    <comment ref="AD495" authorId="0">
      <text>
        <r>
          <rPr>
            <b/>
            <sz val="9"/>
            <color indexed="81"/>
            <rFont val="Tahoma"/>
            <family val="2"/>
          </rPr>
          <t>0 No
1 Sí</t>
        </r>
      </text>
    </comment>
    <comment ref="AE495" authorId="0">
      <text>
        <r>
          <rPr>
            <sz val="9"/>
            <color indexed="81"/>
            <rFont val="Tahoma"/>
            <family val="2"/>
          </rPr>
          <t xml:space="preserve">
0 NA
1 No solicitadas
2 Solicitadas
3 Aprobadas</t>
        </r>
      </text>
    </comment>
    <comment ref="V496" authorId="0">
      <text>
        <r>
          <rPr>
            <b/>
            <sz val="9"/>
            <color indexed="81"/>
            <rFont val="Tahoma"/>
            <family val="2"/>
          </rPr>
          <t>0 Día(s)
1 Mes (s)
2 Año(s)</t>
        </r>
      </text>
    </comment>
    <comment ref="Y496" authorId="0">
      <text>
        <r>
          <rPr>
            <sz val="9"/>
            <color indexed="81"/>
            <rFont val="Tahoma"/>
            <family val="2"/>
          </rPr>
          <t>0 Recursos propios 
1 Presupuesto de entidad nacional
2 Regalías
3 Recursos de crédito
4 SGP
5 No Aplica</t>
        </r>
      </text>
    </comment>
    <comment ref="AD496" authorId="0">
      <text>
        <r>
          <rPr>
            <b/>
            <sz val="9"/>
            <color indexed="81"/>
            <rFont val="Tahoma"/>
            <family val="2"/>
          </rPr>
          <t>0 No
1 Sí</t>
        </r>
      </text>
    </comment>
    <comment ref="AE496" authorId="0">
      <text>
        <r>
          <rPr>
            <sz val="9"/>
            <color indexed="81"/>
            <rFont val="Tahoma"/>
            <family val="2"/>
          </rPr>
          <t xml:space="preserve">
0 NA
1 No solicitadas
2 Solicitadas
3 Aprobadas</t>
        </r>
      </text>
    </comment>
    <comment ref="V497" authorId="0">
      <text>
        <r>
          <rPr>
            <b/>
            <sz val="9"/>
            <color indexed="81"/>
            <rFont val="Tahoma"/>
            <family val="2"/>
          </rPr>
          <t>0 Día(s)
1 Mes (s)
2 Año(s)</t>
        </r>
      </text>
    </comment>
    <comment ref="Y497" authorId="0">
      <text>
        <r>
          <rPr>
            <sz val="9"/>
            <color indexed="81"/>
            <rFont val="Tahoma"/>
            <family val="2"/>
          </rPr>
          <t>0 Recursos propios 
1 Presupuesto de entidad nacional
2 Regalías
3 Recursos de crédito
4 SGP
5 No Aplica</t>
        </r>
      </text>
    </comment>
    <comment ref="AD497" authorId="0">
      <text>
        <r>
          <rPr>
            <b/>
            <sz val="9"/>
            <color indexed="81"/>
            <rFont val="Tahoma"/>
            <family val="2"/>
          </rPr>
          <t>0 No
1 Sí</t>
        </r>
      </text>
    </comment>
    <comment ref="AE497" authorId="0">
      <text>
        <r>
          <rPr>
            <sz val="9"/>
            <color indexed="81"/>
            <rFont val="Tahoma"/>
            <family val="2"/>
          </rPr>
          <t xml:space="preserve">
0 NA
1 No solicitadas
2 Solicitadas
3 Aprobadas</t>
        </r>
      </text>
    </comment>
    <comment ref="V498" authorId="0">
      <text>
        <r>
          <rPr>
            <b/>
            <sz val="9"/>
            <color indexed="81"/>
            <rFont val="Tahoma"/>
            <family val="2"/>
          </rPr>
          <t>0 Día(s)
1 Mes (s)
2 Año(s)</t>
        </r>
      </text>
    </comment>
    <comment ref="Y498" authorId="0">
      <text>
        <r>
          <rPr>
            <sz val="9"/>
            <color indexed="81"/>
            <rFont val="Tahoma"/>
            <family val="2"/>
          </rPr>
          <t>0 Recursos propios 
1 Presupuesto de entidad nacional
2 Regalías
3 Recursos de crédito
4 SGP
5 No Aplica</t>
        </r>
      </text>
    </comment>
    <comment ref="AD498" authorId="0">
      <text>
        <r>
          <rPr>
            <b/>
            <sz val="9"/>
            <color indexed="81"/>
            <rFont val="Tahoma"/>
            <family val="2"/>
          </rPr>
          <t>0 No
1 Sí</t>
        </r>
      </text>
    </comment>
    <comment ref="AE498" authorId="0">
      <text>
        <r>
          <rPr>
            <sz val="9"/>
            <color indexed="81"/>
            <rFont val="Tahoma"/>
            <family val="2"/>
          </rPr>
          <t xml:space="preserve">
0 NA
1 No solicitadas
2 Solicitadas
3 Aprobadas</t>
        </r>
      </text>
    </comment>
    <comment ref="V499" authorId="0">
      <text>
        <r>
          <rPr>
            <b/>
            <sz val="9"/>
            <color indexed="81"/>
            <rFont val="Tahoma"/>
            <family val="2"/>
          </rPr>
          <t>0 Día(s)
1 Mes (s)
2 Año(s)</t>
        </r>
      </text>
    </comment>
    <comment ref="Y499" authorId="0">
      <text>
        <r>
          <rPr>
            <sz val="9"/>
            <color indexed="81"/>
            <rFont val="Tahoma"/>
            <family val="2"/>
          </rPr>
          <t>0 Recursos propios 
1 Presupuesto de entidad nacional
2 Regalías
3 Recursos de crédito
4 SGP
5 No Aplica</t>
        </r>
      </text>
    </comment>
    <comment ref="AD499" authorId="0">
      <text>
        <r>
          <rPr>
            <b/>
            <sz val="9"/>
            <color indexed="81"/>
            <rFont val="Tahoma"/>
            <family val="2"/>
          </rPr>
          <t>0 No
1 Sí</t>
        </r>
      </text>
    </comment>
    <comment ref="AE499" authorId="0">
      <text>
        <r>
          <rPr>
            <sz val="9"/>
            <color indexed="81"/>
            <rFont val="Tahoma"/>
            <family val="2"/>
          </rPr>
          <t xml:space="preserve">
0 NA
1 No solicitadas
2 Solicitadas
3 Aprobadas</t>
        </r>
      </text>
    </comment>
    <comment ref="V500" authorId="0">
      <text>
        <r>
          <rPr>
            <b/>
            <sz val="9"/>
            <color indexed="81"/>
            <rFont val="Tahoma"/>
            <family val="2"/>
          </rPr>
          <t>0 Día(s)
1 Mes (s)
2 Año(s)</t>
        </r>
      </text>
    </comment>
    <comment ref="Y500" authorId="0">
      <text>
        <r>
          <rPr>
            <sz val="9"/>
            <color indexed="81"/>
            <rFont val="Tahoma"/>
            <family val="2"/>
          </rPr>
          <t>0 Recursos propios 
1 Presupuesto de entidad nacional
2 Regalías
3 Recursos de crédito
4 SGP
5 No Aplica</t>
        </r>
      </text>
    </comment>
    <comment ref="AD500" authorId="0">
      <text>
        <r>
          <rPr>
            <b/>
            <sz val="9"/>
            <color indexed="81"/>
            <rFont val="Tahoma"/>
            <family val="2"/>
          </rPr>
          <t>0 No
1 Sí</t>
        </r>
      </text>
    </comment>
    <comment ref="AE500" authorId="0">
      <text>
        <r>
          <rPr>
            <sz val="9"/>
            <color indexed="81"/>
            <rFont val="Tahoma"/>
            <family val="2"/>
          </rPr>
          <t xml:space="preserve">
0 NA
1 No solicitadas
2 Solicitadas
3 Aprobadas</t>
        </r>
      </text>
    </comment>
    <comment ref="V501" authorId="0">
      <text>
        <r>
          <rPr>
            <b/>
            <sz val="9"/>
            <color indexed="81"/>
            <rFont val="Tahoma"/>
            <family val="2"/>
          </rPr>
          <t>0 Día(s)
1 Mes (s)
2 Año(s)</t>
        </r>
      </text>
    </comment>
    <comment ref="Y501" authorId="0">
      <text>
        <r>
          <rPr>
            <sz val="9"/>
            <color indexed="81"/>
            <rFont val="Tahoma"/>
            <family val="2"/>
          </rPr>
          <t>0 Recursos propios 
1 Presupuesto de entidad nacional
2 Regalías
3 Recursos de crédito
4 SGP
5 No Aplica</t>
        </r>
      </text>
    </comment>
    <comment ref="AD501" authorId="0">
      <text>
        <r>
          <rPr>
            <b/>
            <sz val="9"/>
            <color indexed="81"/>
            <rFont val="Tahoma"/>
            <family val="2"/>
          </rPr>
          <t>0 No
1 Sí</t>
        </r>
      </text>
    </comment>
    <comment ref="AE501" authorId="0">
      <text>
        <r>
          <rPr>
            <sz val="9"/>
            <color indexed="81"/>
            <rFont val="Tahoma"/>
            <family val="2"/>
          </rPr>
          <t xml:space="preserve">
0 NA
1 No solicitadas
2 Solicitadas
3 Aprobadas</t>
        </r>
      </text>
    </comment>
    <comment ref="V502" authorId="0">
      <text>
        <r>
          <rPr>
            <b/>
            <sz val="9"/>
            <color indexed="81"/>
            <rFont val="Tahoma"/>
            <family val="2"/>
          </rPr>
          <t>0 Día(s)
1 Mes (s)
2 Año(s)</t>
        </r>
      </text>
    </comment>
    <comment ref="Y502" authorId="0">
      <text>
        <r>
          <rPr>
            <sz val="9"/>
            <color indexed="81"/>
            <rFont val="Tahoma"/>
            <family val="2"/>
          </rPr>
          <t>0 Recursos propios 
1 Presupuesto de entidad nacional
2 Regalías
3 Recursos de crédito
4 SGP
5 No Aplica</t>
        </r>
      </text>
    </comment>
    <comment ref="AD502" authorId="0">
      <text>
        <r>
          <rPr>
            <b/>
            <sz val="9"/>
            <color indexed="81"/>
            <rFont val="Tahoma"/>
            <family val="2"/>
          </rPr>
          <t>0 No
1 Sí</t>
        </r>
      </text>
    </comment>
    <comment ref="AE502" authorId="0">
      <text>
        <r>
          <rPr>
            <sz val="9"/>
            <color indexed="81"/>
            <rFont val="Tahoma"/>
            <family val="2"/>
          </rPr>
          <t xml:space="preserve">
0 NA
1 No solicitadas
2 Solicitadas
3 Aprobadas</t>
        </r>
      </text>
    </comment>
    <comment ref="V503" authorId="0">
      <text>
        <r>
          <rPr>
            <b/>
            <sz val="9"/>
            <color indexed="81"/>
            <rFont val="Tahoma"/>
            <family val="2"/>
          </rPr>
          <t>0 Día(s)
1 Mes (s)
2 Año(s)</t>
        </r>
      </text>
    </comment>
    <comment ref="Y503" authorId="0">
      <text>
        <r>
          <rPr>
            <sz val="9"/>
            <color indexed="81"/>
            <rFont val="Tahoma"/>
            <family val="2"/>
          </rPr>
          <t>0 Recursos propios 
1 Presupuesto de entidad nacional
2 Regalías
3 Recursos de crédito
4 SGP
5 No Aplica</t>
        </r>
      </text>
    </comment>
    <comment ref="AD503" authorId="0">
      <text>
        <r>
          <rPr>
            <b/>
            <sz val="9"/>
            <color indexed="81"/>
            <rFont val="Tahoma"/>
            <family val="2"/>
          </rPr>
          <t>0 No
1 Sí</t>
        </r>
      </text>
    </comment>
    <comment ref="AE503" authorId="0">
      <text>
        <r>
          <rPr>
            <sz val="9"/>
            <color indexed="81"/>
            <rFont val="Tahoma"/>
            <family val="2"/>
          </rPr>
          <t xml:space="preserve">
0 NA
1 No solicitadas
2 Solicitadas
3 Aprobadas</t>
        </r>
      </text>
    </comment>
    <comment ref="V504" authorId="0">
      <text>
        <r>
          <rPr>
            <b/>
            <sz val="9"/>
            <color indexed="81"/>
            <rFont val="Tahoma"/>
            <family val="2"/>
          </rPr>
          <t>0 Día(s)
1 Mes (s)
2 Año(s)</t>
        </r>
      </text>
    </comment>
    <comment ref="Y504" authorId="0">
      <text>
        <r>
          <rPr>
            <sz val="9"/>
            <color indexed="81"/>
            <rFont val="Tahoma"/>
            <family val="2"/>
          </rPr>
          <t>0 Recursos propios 
1 Presupuesto de entidad nacional
2 Regalías
3 Recursos de crédito
4 SGP
5 No Aplica</t>
        </r>
      </text>
    </comment>
    <comment ref="AD504" authorId="0">
      <text>
        <r>
          <rPr>
            <b/>
            <sz val="9"/>
            <color indexed="81"/>
            <rFont val="Tahoma"/>
            <family val="2"/>
          </rPr>
          <t>0 No
1 Sí</t>
        </r>
      </text>
    </comment>
    <comment ref="AE504" authorId="0">
      <text>
        <r>
          <rPr>
            <sz val="9"/>
            <color indexed="81"/>
            <rFont val="Tahoma"/>
            <family val="2"/>
          </rPr>
          <t xml:space="preserve">
0 NA
1 No solicitadas
2 Solicitadas
3 Aprobadas</t>
        </r>
      </text>
    </comment>
    <comment ref="V505" authorId="0">
      <text>
        <r>
          <rPr>
            <b/>
            <sz val="9"/>
            <color indexed="81"/>
            <rFont val="Tahoma"/>
            <family val="2"/>
          </rPr>
          <t>0 Día(s)
1 Mes (s)
2 Año(s)</t>
        </r>
      </text>
    </comment>
    <comment ref="Y505" authorId="0">
      <text>
        <r>
          <rPr>
            <sz val="9"/>
            <color indexed="81"/>
            <rFont val="Tahoma"/>
            <family val="2"/>
          </rPr>
          <t>0 Recursos propios 
1 Presupuesto de entidad nacional
2 Regalías
3 Recursos de crédito
4 SGP
5 No Aplica</t>
        </r>
      </text>
    </comment>
    <comment ref="AD505" authorId="0">
      <text>
        <r>
          <rPr>
            <b/>
            <sz val="9"/>
            <color indexed="81"/>
            <rFont val="Tahoma"/>
            <family val="2"/>
          </rPr>
          <t>0 No
1 Sí</t>
        </r>
      </text>
    </comment>
    <comment ref="AE505" authorId="0">
      <text>
        <r>
          <rPr>
            <sz val="9"/>
            <color indexed="81"/>
            <rFont val="Tahoma"/>
            <family val="2"/>
          </rPr>
          <t xml:space="preserve">
0 NA
1 No solicitadas
2 Solicitadas
3 Aprobadas</t>
        </r>
      </text>
    </comment>
    <comment ref="V506" authorId="0">
      <text>
        <r>
          <rPr>
            <b/>
            <sz val="9"/>
            <color indexed="81"/>
            <rFont val="Tahoma"/>
            <family val="2"/>
          </rPr>
          <t>0 Día(s)
1 Mes (s)
2 Año(s)</t>
        </r>
      </text>
    </comment>
    <comment ref="Y506" authorId="0">
      <text>
        <r>
          <rPr>
            <sz val="9"/>
            <color indexed="81"/>
            <rFont val="Tahoma"/>
            <family val="2"/>
          </rPr>
          <t>0 Recursos propios 
1 Presupuesto de entidad nacional
2 Regalías
3 Recursos de crédito
4 SGP
5 No Aplica</t>
        </r>
      </text>
    </comment>
    <comment ref="AD506" authorId="0">
      <text>
        <r>
          <rPr>
            <b/>
            <sz val="9"/>
            <color indexed="81"/>
            <rFont val="Tahoma"/>
            <family val="2"/>
          </rPr>
          <t>0 No
1 Sí</t>
        </r>
      </text>
    </comment>
    <comment ref="AE506" authorId="0">
      <text>
        <r>
          <rPr>
            <sz val="9"/>
            <color indexed="81"/>
            <rFont val="Tahoma"/>
            <family val="2"/>
          </rPr>
          <t xml:space="preserve">
0 NA
1 No solicitadas
2 Solicitadas
3 Aprobadas</t>
        </r>
      </text>
    </comment>
    <comment ref="V507" authorId="0">
      <text>
        <r>
          <rPr>
            <b/>
            <sz val="9"/>
            <color indexed="81"/>
            <rFont val="Tahoma"/>
            <family val="2"/>
          </rPr>
          <t>0 Día(s)
1 Mes (s)
2 Año(s)</t>
        </r>
      </text>
    </comment>
    <comment ref="Y507" authorId="0">
      <text>
        <r>
          <rPr>
            <sz val="9"/>
            <color indexed="81"/>
            <rFont val="Tahoma"/>
            <family val="2"/>
          </rPr>
          <t>0 Recursos propios 
1 Presupuesto de entidad nacional
2 Regalías
3 Recursos de crédito
4 SGP
5 No Aplica</t>
        </r>
      </text>
    </comment>
    <comment ref="AD507" authorId="0">
      <text>
        <r>
          <rPr>
            <b/>
            <sz val="9"/>
            <color indexed="81"/>
            <rFont val="Tahoma"/>
            <family val="2"/>
          </rPr>
          <t>0 No
1 Sí</t>
        </r>
      </text>
    </comment>
    <comment ref="AE507" authorId="0">
      <text>
        <r>
          <rPr>
            <sz val="9"/>
            <color indexed="81"/>
            <rFont val="Tahoma"/>
            <family val="2"/>
          </rPr>
          <t xml:space="preserve">
0 NA
1 No solicitadas
2 Solicitadas
3 Aprobadas</t>
        </r>
      </text>
    </comment>
    <comment ref="V508" authorId="0">
      <text>
        <r>
          <rPr>
            <b/>
            <sz val="9"/>
            <color indexed="81"/>
            <rFont val="Tahoma"/>
            <family val="2"/>
          </rPr>
          <t>0 Día(s)
1 Mes (s)
2 Año(s)</t>
        </r>
      </text>
    </comment>
    <comment ref="Y508" authorId="0">
      <text>
        <r>
          <rPr>
            <sz val="9"/>
            <color indexed="81"/>
            <rFont val="Tahoma"/>
            <family val="2"/>
          </rPr>
          <t>0 Recursos propios 
1 Presupuesto de entidad nacional
2 Regalías
3 Recursos de crédito
4 SGP
5 No Aplica</t>
        </r>
      </text>
    </comment>
    <comment ref="AD508" authorId="0">
      <text>
        <r>
          <rPr>
            <b/>
            <sz val="9"/>
            <color indexed="81"/>
            <rFont val="Tahoma"/>
            <family val="2"/>
          </rPr>
          <t>0 No
1 Sí</t>
        </r>
      </text>
    </comment>
    <comment ref="AE508" authorId="0">
      <text>
        <r>
          <rPr>
            <sz val="9"/>
            <color indexed="81"/>
            <rFont val="Tahoma"/>
            <family val="2"/>
          </rPr>
          <t xml:space="preserve">
0 NA
1 No solicitadas
2 Solicitadas
3 Aprobadas</t>
        </r>
      </text>
    </comment>
    <comment ref="V509" authorId="0">
      <text>
        <r>
          <rPr>
            <b/>
            <sz val="9"/>
            <color indexed="81"/>
            <rFont val="Tahoma"/>
            <family val="2"/>
          </rPr>
          <t>0 Día(s)
1 Mes (s)
2 Año(s)</t>
        </r>
      </text>
    </comment>
    <comment ref="Y509" authorId="0">
      <text>
        <r>
          <rPr>
            <sz val="9"/>
            <color indexed="81"/>
            <rFont val="Tahoma"/>
            <family val="2"/>
          </rPr>
          <t>0 Recursos propios 
1 Presupuesto de entidad nacional
2 Regalías
3 Recursos de crédito
4 SGP
5 No Aplica</t>
        </r>
      </text>
    </comment>
    <comment ref="AD509" authorId="0">
      <text>
        <r>
          <rPr>
            <b/>
            <sz val="9"/>
            <color indexed="81"/>
            <rFont val="Tahoma"/>
            <family val="2"/>
          </rPr>
          <t>0 No
1 Sí</t>
        </r>
      </text>
    </comment>
    <comment ref="AE509" authorId="0">
      <text>
        <r>
          <rPr>
            <sz val="9"/>
            <color indexed="81"/>
            <rFont val="Tahoma"/>
            <family val="2"/>
          </rPr>
          <t xml:space="preserve">
0 NA
1 No solicitadas
2 Solicitadas
3 Aprobadas</t>
        </r>
      </text>
    </comment>
    <comment ref="V510" authorId="0">
      <text>
        <r>
          <rPr>
            <b/>
            <sz val="9"/>
            <color indexed="81"/>
            <rFont val="Tahoma"/>
            <family val="2"/>
          </rPr>
          <t>0 Día(s)
1 Mes (s)
2 Año(s)</t>
        </r>
      </text>
    </comment>
    <comment ref="Y510" authorId="0">
      <text>
        <r>
          <rPr>
            <sz val="9"/>
            <color indexed="81"/>
            <rFont val="Tahoma"/>
            <family val="2"/>
          </rPr>
          <t>0 Recursos propios 
1 Presupuesto de entidad nacional
2 Regalías
3 Recursos de crédito
4 SGP
5 No Aplica</t>
        </r>
      </text>
    </comment>
    <comment ref="AD510" authorId="0">
      <text>
        <r>
          <rPr>
            <b/>
            <sz val="9"/>
            <color indexed="81"/>
            <rFont val="Tahoma"/>
            <family val="2"/>
          </rPr>
          <t>0 No
1 Sí</t>
        </r>
      </text>
    </comment>
    <comment ref="AE510" authorId="0">
      <text>
        <r>
          <rPr>
            <sz val="9"/>
            <color indexed="81"/>
            <rFont val="Tahoma"/>
            <family val="2"/>
          </rPr>
          <t xml:space="preserve">
0 NA
1 No solicitadas
2 Solicitadas
3 Aprobadas</t>
        </r>
      </text>
    </comment>
    <comment ref="V511" authorId="0">
      <text>
        <r>
          <rPr>
            <b/>
            <sz val="9"/>
            <color indexed="81"/>
            <rFont val="Tahoma"/>
            <family val="2"/>
          </rPr>
          <t>0 Día(s)
1 Mes (s)
2 Año(s)</t>
        </r>
      </text>
    </comment>
    <comment ref="Y511" authorId="0">
      <text>
        <r>
          <rPr>
            <sz val="9"/>
            <color indexed="81"/>
            <rFont val="Tahoma"/>
            <family val="2"/>
          </rPr>
          <t>0 Recursos propios 
1 Presupuesto de entidad nacional
2 Regalías
3 Recursos de crédito
4 SGP
5 No Aplica</t>
        </r>
      </text>
    </comment>
    <comment ref="AD511" authorId="0">
      <text>
        <r>
          <rPr>
            <b/>
            <sz val="9"/>
            <color indexed="81"/>
            <rFont val="Tahoma"/>
            <family val="2"/>
          </rPr>
          <t>0 No
1 Sí</t>
        </r>
      </text>
    </comment>
    <comment ref="AE511" authorId="0">
      <text>
        <r>
          <rPr>
            <sz val="9"/>
            <color indexed="81"/>
            <rFont val="Tahoma"/>
            <family val="2"/>
          </rPr>
          <t xml:space="preserve">
0 NA
1 No solicitadas
2 Solicitadas
3 Aprobadas</t>
        </r>
      </text>
    </comment>
    <comment ref="V512" authorId="0">
      <text>
        <r>
          <rPr>
            <b/>
            <sz val="9"/>
            <color indexed="81"/>
            <rFont val="Tahoma"/>
            <family val="2"/>
          </rPr>
          <t>0 Día(s)
1 Mes (s)
2 Año(s)</t>
        </r>
      </text>
    </comment>
    <comment ref="Y512" authorId="0">
      <text>
        <r>
          <rPr>
            <sz val="9"/>
            <color indexed="81"/>
            <rFont val="Tahoma"/>
            <family val="2"/>
          </rPr>
          <t>0 Recursos propios 
1 Presupuesto de entidad nacional
2 Regalías
3 Recursos de crédito
4 SGP
5 No Aplica</t>
        </r>
      </text>
    </comment>
    <comment ref="AD512" authorId="0">
      <text>
        <r>
          <rPr>
            <b/>
            <sz val="9"/>
            <color indexed="81"/>
            <rFont val="Tahoma"/>
            <family val="2"/>
          </rPr>
          <t>0 No
1 Sí</t>
        </r>
      </text>
    </comment>
    <comment ref="AE512" authorId="0">
      <text>
        <r>
          <rPr>
            <sz val="9"/>
            <color indexed="81"/>
            <rFont val="Tahoma"/>
            <family val="2"/>
          </rPr>
          <t xml:space="preserve">
0 NA
1 No solicitadas
2 Solicitadas
3 Aprobadas</t>
        </r>
      </text>
    </comment>
    <comment ref="V513" authorId="0">
      <text>
        <r>
          <rPr>
            <b/>
            <sz val="9"/>
            <color indexed="81"/>
            <rFont val="Tahoma"/>
            <family val="2"/>
          </rPr>
          <t>0 Día(s)
1 Mes (s)
2 Año(s)</t>
        </r>
      </text>
    </comment>
    <comment ref="Y513" authorId="0">
      <text>
        <r>
          <rPr>
            <sz val="9"/>
            <color indexed="81"/>
            <rFont val="Tahoma"/>
            <family val="2"/>
          </rPr>
          <t>0 Recursos propios 
1 Presupuesto de entidad nacional
2 Regalías
3 Recursos de crédito
4 SGP
5 No Aplica</t>
        </r>
      </text>
    </comment>
    <comment ref="AD513" authorId="0">
      <text>
        <r>
          <rPr>
            <b/>
            <sz val="9"/>
            <color indexed="81"/>
            <rFont val="Tahoma"/>
            <family val="2"/>
          </rPr>
          <t>0 No
1 Sí</t>
        </r>
      </text>
    </comment>
    <comment ref="AE513" authorId="0">
      <text>
        <r>
          <rPr>
            <sz val="9"/>
            <color indexed="81"/>
            <rFont val="Tahoma"/>
            <family val="2"/>
          </rPr>
          <t xml:space="preserve">
0 NA
1 No solicitadas
2 Solicitadas
3 Aprobadas</t>
        </r>
      </text>
    </comment>
    <comment ref="V514" authorId="0">
      <text>
        <r>
          <rPr>
            <b/>
            <sz val="9"/>
            <color indexed="81"/>
            <rFont val="Tahoma"/>
            <family val="2"/>
          </rPr>
          <t>0 Día(s)
1 Mes (s)
2 Año(s)</t>
        </r>
      </text>
    </comment>
    <comment ref="Y514" authorId="0">
      <text>
        <r>
          <rPr>
            <sz val="9"/>
            <color indexed="81"/>
            <rFont val="Tahoma"/>
            <family val="2"/>
          </rPr>
          <t>0 Recursos propios 
1 Presupuesto de entidad nacional
2 Regalías
3 Recursos de crédito
4 SGP
5 No Aplica</t>
        </r>
      </text>
    </comment>
    <comment ref="AD514" authorId="0">
      <text>
        <r>
          <rPr>
            <b/>
            <sz val="9"/>
            <color indexed="81"/>
            <rFont val="Tahoma"/>
            <family val="2"/>
          </rPr>
          <t>0 No
1 Sí</t>
        </r>
      </text>
    </comment>
    <comment ref="AE514" authorId="0">
      <text>
        <r>
          <rPr>
            <sz val="9"/>
            <color indexed="81"/>
            <rFont val="Tahoma"/>
            <family val="2"/>
          </rPr>
          <t xml:space="preserve">
0 NA
1 No solicitadas
2 Solicitadas
3 Aprobadas</t>
        </r>
      </text>
    </comment>
    <comment ref="V515" authorId="0">
      <text>
        <r>
          <rPr>
            <b/>
            <sz val="9"/>
            <color indexed="81"/>
            <rFont val="Tahoma"/>
            <family val="2"/>
          </rPr>
          <t>0 Día(s)
1 Mes (s)
2 Año(s)</t>
        </r>
      </text>
    </comment>
    <comment ref="Y515" authorId="0">
      <text>
        <r>
          <rPr>
            <sz val="9"/>
            <color indexed="81"/>
            <rFont val="Tahoma"/>
            <family val="2"/>
          </rPr>
          <t>0 Recursos propios 
1 Presupuesto de entidad nacional
2 Regalías
3 Recursos de crédito
4 SGP
5 No Aplica</t>
        </r>
      </text>
    </comment>
    <comment ref="AD515" authorId="0">
      <text>
        <r>
          <rPr>
            <b/>
            <sz val="9"/>
            <color indexed="81"/>
            <rFont val="Tahoma"/>
            <family val="2"/>
          </rPr>
          <t>0 No
1 Sí</t>
        </r>
      </text>
    </comment>
    <comment ref="AE515" authorId="0">
      <text>
        <r>
          <rPr>
            <sz val="9"/>
            <color indexed="81"/>
            <rFont val="Tahoma"/>
            <family val="2"/>
          </rPr>
          <t xml:space="preserve">
0 NA
1 No solicitadas
2 Solicitadas
3 Aprobadas</t>
        </r>
      </text>
    </comment>
    <comment ref="V516" authorId="0">
      <text>
        <r>
          <rPr>
            <b/>
            <sz val="9"/>
            <color indexed="81"/>
            <rFont val="Tahoma"/>
            <family val="2"/>
          </rPr>
          <t>0 Día(s)
1 Mes (s)
2 Año(s)</t>
        </r>
      </text>
    </comment>
    <comment ref="Y516" authorId="0">
      <text>
        <r>
          <rPr>
            <sz val="9"/>
            <color indexed="81"/>
            <rFont val="Tahoma"/>
            <family val="2"/>
          </rPr>
          <t>0 Recursos propios 
1 Presupuesto de entidad nacional
2 Regalías
3 Recursos de crédito
4 SGP
5 No Aplica</t>
        </r>
      </text>
    </comment>
    <comment ref="AD516" authorId="0">
      <text>
        <r>
          <rPr>
            <b/>
            <sz val="9"/>
            <color indexed="81"/>
            <rFont val="Tahoma"/>
            <family val="2"/>
          </rPr>
          <t>0 No
1 Sí</t>
        </r>
      </text>
    </comment>
    <comment ref="AE516" authorId="0">
      <text>
        <r>
          <rPr>
            <sz val="9"/>
            <color indexed="81"/>
            <rFont val="Tahoma"/>
            <family val="2"/>
          </rPr>
          <t xml:space="preserve">
0 NA
1 No solicitadas
2 Solicitadas
3 Aprobadas</t>
        </r>
      </text>
    </comment>
    <comment ref="V517" authorId="0">
      <text>
        <r>
          <rPr>
            <b/>
            <sz val="9"/>
            <color indexed="81"/>
            <rFont val="Tahoma"/>
            <family val="2"/>
          </rPr>
          <t>0 Día(s)
1 Mes (s)
2 Año(s)</t>
        </r>
      </text>
    </comment>
    <comment ref="Y517" authorId="0">
      <text>
        <r>
          <rPr>
            <sz val="9"/>
            <color indexed="81"/>
            <rFont val="Tahoma"/>
            <family val="2"/>
          </rPr>
          <t>0 Recursos propios 
1 Presupuesto de entidad nacional
2 Regalías
3 Recursos de crédito
4 SGP
5 No Aplica</t>
        </r>
      </text>
    </comment>
    <comment ref="AD517" authorId="0">
      <text>
        <r>
          <rPr>
            <b/>
            <sz val="9"/>
            <color indexed="81"/>
            <rFont val="Tahoma"/>
            <family val="2"/>
          </rPr>
          <t>0 No
1 Sí</t>
        </r>
      </text>
    </comment>
    <comment ref="AE517" authorId="0">
      <text>
        <r>
          <rPr>
            <sz val="9"/>
            <color indexed="81"/>
            <rFont val="Tahoma"/>
            <family val="2"/>
          </rPr>
          <t xml:space="preserve">
0 NA
1 No solicitadas
2 Solicitadas
3 Aprobadas</t>
        </r>
      </text>
    </comment>
    <comment ref="V518" authorId="0">
      <text>
        <r>
          <rPr>
            <b/>
            <sz val="9"/>
            <color indexed="81"/>
            <rFont val="Tahoma"/>
            <family val="2"/>
          </rPr>
          <t>0 Día(s)
1 Mes (s)
2 Año(s)</t>
        </r>
      </text>
    </comment>
    <comment ref="Y518" authorId="0">
      <text>
        <r>
          <rPr>
            <sz val="9"/>
            <color indexed="81"/>
            <rFont val="Tahoma"/>
            <family val="2"/>
          </rPr>
          <t>0 Recursos propios 
1 Presupuesto de entidad nacional
2 Regalías
3 Recursos de crédito
4 SGP
5 No Aplica</t>
        </r>
      </text>
    </comment>
    <comment ref="AD518" authorId="0">
      <text>
        <r>
          <rPr>
            <b/>
            <sz val="9"/>
            <color indexed="81"/>
            <rFont val="Tahoma"/>
            <family val="2"/>
          </rPr>
          <t>0 No
1 Sí</t>
        </r>
      </text>
    </comment>
    <comment ref="AE518" authorId="0">
      <text>
        <r>
          <rPr>
            <sz val="9"/>
            <color indexed="81"/>
            <rFont val="Tahoma"/>
            <family val="2"/>
          </rPr>
          <t xml:space="preserve">
0 NA
1 No solicitadas
2 Solicitadas
3 Aprobadas</t>
        </r>
      </text>
    </comment>
    <comment ref="V519" authorId="0">
      <text>
        <r>
          <rPr>
            <b/>
            <sz val="9"/>
            <color indexed="81"/>
            <rFont val="Tahoma"/>
            <family val="2"/>
          </rPr>
          <t>0 Día(s)
1 Mes (s)
2 Año(s)</t>
        </r>
      </text>
    </comment>
    <comment ref="Y519" authorId="0">
      <text>
        <r>
          <rPr>
            <sz val="9"/>
            <color indexed="81"/>
            <rFont val="Tahoma"/>
            <family val="2"/>
          </rPr>
          <t>0 Recursos propios 
1 Presupuesto de entidad nacional
2 Regalías
3 Recursos de crédito
4 SGP
5 No Aplica</t>
        </r>
      </text>
    </comment>
    <comment ref="AD519" authorId="0">
      <text>
        <r>
          <rPr>
            <b/>
            <sz val="9"/>
            <color indexed="81"/>
            <rFont val="Tahoma"/>
            <family val="2"/>
          </rPr>
          <t>0 No
1 Sí</t>
        </r>
      </text>
    </comment>
    <comment ref="AE519" authorId="0">
      <text>
        <r>
          <rPr>
            <sz val="9"/>
            <color indexed="81"/>
            <rFont val="Tahoma"/>
            <family val="2"/>
          </rPr>
          <t xml:space="preserve">
0 NA
1 No solicitadas
2 Solicitadas
3 Aprobadas</t>
        </r>
      </text>
    </comment>
    <comment ref="V520" authorId="0">
      <text>
        <r>
          <rPr>
            <b/>
            <sz val="9"/>
            <color indexed="81"/>
            <rFont val="Tahoma"/>
            <family val="2"/>
          </rPr>
          <t>0 Día(s)
1 Mes (s)
2 Año(s)</t>
        </r>
      </text>
    </comment>
    <comment ref="Y520" authorId="0">
      <text>
        <r>
          <rPr>
            <sz val="9"/>
            <color indexed="81"/>
            <rFont val="Tahoma"/>
            <family val="2"/>
          </rPr>
          <t>0 Recursos propios 
1 Presupuesto de entidad nacional
2 Regalías
3 Recursos de crédito
4 SGP
5 No Aplica</t>
        </r>
      </text>
    </comment>
    <comment ref="AD520" authorId="0">
      <text>
        <r>
          <rPr>
            <b/>
            <sz val="9"/>
            <color indexed="81"/>
            <rFont val="Tahoma"/>
            <family val="2"/>
          </rPr>
          <t>0 No
1 Sí</t>
        </r>
      </text>
    </comment>
    <comment ref="AE520" authorId="0">
      <text>
        <r>
          <rPr>
            <sz val="9"/>
            <color indexed="81"/>
            <rFont val="Tahoma"/>
            <family val="2"/>
          </rPr>
          <t xml:space="preserve">
0 NA
1 No solicitadas
2 Solicitadas
3 Aprobadas</t>
        </r>
      </text>
    </comment>
    <comment ref="V521" authorId="0">
      <text>
        <r>
          <rPr>
            <b/>
            <sz val="9"/>
            <color indexed="81"/>
            <rFont val="Tahoma"/>
            <family val="2"/>
          </rPr>
          <t>0 Día(s)
1 Mes (s)
2 Año(s)</t>
        </r>
      </text>
    </comment>
    <comment ref="Y521" authorId="0">
      <text>
        <r>
          <rPr>
            <sz val="9"/>
            <color indexed="81"/>
            <rFont val="Tahoma"/>
            <family val="2"/>
          </rPr>
          <t>0 Recursos propios 
1 Presupuesto de entidad nacional
2 Regalías
3 Recursos de crédito
4 SGP
5 No Aplica</t>
        </r>
      </text>
    </comment>
    <comment ref="AD521" authorId="0">
      <text>
        <r>
          <rPr>
            <b/>
            <sz val="9"/>
            <color indexed="81"/>
            <rFont val="Tahoma"/>
            <family val="2"/>
          </rPr>
          <t>0 No
1 Sí</t>
        </r>
      </text>
    </comment>
    <comment ref="AE521" authorId="0">
      <text>
        <r>
          <rPr>
            <sz val="9"/>
            <color indexed="81"/>
            <rFont val="Tahoma"/>
            <family val="2"/>
          </rPr>
          <t xml:space="preserve">
0 NA
1 No solicitadas
2 Solicitadas
3 Aprobadas</t>
        </r>
      </text>
    </comment>
    <comment ref="V522" authorId="0">
      <text>
        <r>
          <rPr>
            <b/>
            <sz val="9"/>
            <color indexed="81"/>
            <rFont val="Tahoma"/>
            <family val="2"/>
          </rPr>
          <t>0 Día(s)
1 Mes (s)
2 Año(s)</t>
        </r>
      </text>
    </comment>
    <comment ref="Y522" authorId="0">
      <text>
        <r>
          <rPr>
            <sz val="9"/>
            <color indexed="81"/>
            <rFont val="Tahoma"/>
            <family val="2"/>
          </rPr>
          <t>0 Recursos propios 
1 Presupuesto de entidad nacional
2 Regalías
3 Recursos de crédito
4 SGP
5 No Aplica</t>
        </r>
      </text>
    </comment>
    <comment ref="AD522" authorId="0">
      <text>
        <r>
          <rPr>
            <b/>
            <sz val="9"/>
            <color indexed="81"/>
            <rFont val="Tahoma"/>
            <family val="2"/>
          </rPr>
          <t>0 No
1 Sí</t>
        </r>
      </text>
    </comment>
    <comment ref="AE522" authorId="0">
      <text>
        <r>
          <rPr>
            <sz val="9"/>
            <color indexed="81"/>
            <rFont val="Tahoma"/>
            <family val="2"/>
          </rPr>
          <t xml:space="preserve">
0 NA
1 No solicitadas
2 Solicitadas
3 Aprobadas</t>
        </r>
      </text>
    </comment>
    <comment ref="V523" authorId="0">
      <text>
        <r>
          <rPr>
            <b/>
            <sz val="9"/>
            <color indexed="81"/>
            <rFont val="Tahoma"/>
            <family val="2"/>
          </rPr>
          <t>0 Día(s)
1 Mes (s)
2 Año(s)</t>
        </r>
      </text>
    </comment>
    <comment ref="Y523" authorId="0">
      <text>
        <r>
          <rPr>
            <sz val="9"/>
            <color indexed="81"/>
            <rFont val="Tahoma"/>
            <family val="2"/>
          </rPr>
          <t>0 Recursos propios 
1 Presupuesto de entidad nacional
2 Regalías
3 Recursos de crédito
4 SGP
5 No Aplica</t>
        </r>
      </text>
    </comment>
    <comment ref="AD523" authorId="0">
      <text>
        <r>
          <rPr>
            <b/>
            <sz val="9"/>
            <color indexed="81"/>
            <rFont val="Tahoma"/>
            <family val="2"/>
          </rPr>
          <t>0 No
1 Sí</t>
        </r>
      </text>
    </comment>
    <comment ref="AE523" authorId="0">
      <text>
        <r>
          <rPr>
            <sz val="9"/>
            <color indexed="81"/>
            <rFont val="Tahoma"/>
            <family val="2"/>
          </rPr>
          <t xml:space="preserve">
0 NA
1 No solicitadas
2 Solicitadas
3 Aprobadas</t>
        </r>
      </text>
    </comment>
    <comment ref="V524" authorId="0">
      <text>
        <r>
          <rPr>
            <b/>
            <sz val="9"/>
            <color indexed="81"/>
            <rFont val="Tahoma"/>
            <family val="2"/>
          </rPr>
          <t>0 Día(s)
1 Mes (s)
2 Año(s)</t>
        </r>
      </text>
    </comment>
    <comment ref="Y524" authorId="0">
      <text>
        <r>
          <rPr>
            <sz val="9"/>
            <color indexed="81"/>
            <rFont val="Tahoma"/>
            <family val="2"/>
          </rPr>
          <t>0 Recursos propios 
1 Presupuesto de entidad nacional
2 Regalías
3 Recursos de crédito
4 SGP
5 No Aplica</t>
        </r>
      </text>
    </comment>
    <comment ref="AD524" authorId="0">
      <text>
        <r>
          <rPr>
            <b/>
            <sz val="9"/>
            <color indexed="81"/>
            <rFont val="Tahoma"/>
            <family val="2"/>
          </rPr>
          <t>0 No
1 Sí</t>
        </r>
      </text>
    </comment>
    <comment ref="AE524" authorId="0">
      <text>
        <r>
          <rPr>
            <sz val="9"/>
            <color indexed="81"/>
            <rFont val="Tahoma"/>
            <family val="2"/>
          </rPr>
          <t xml:space="preserve">
0 NA
1 No solicitadas
2 Solicitadas
3 Aprobadas</t>
        </r>
      </text>
    </comment>
    <comment ref="V525" authorId="0">
      <text>
        <r>
          <rPr>
            <b/>
            <sz val="9"/>
            <color indexed="81"/>
            <rFont val="Tahoma"/>
            <family val="2"/>
          </rPr>
          <t>0 Día(s)
1 Mes (s)
2 Año(s)</t>
        </r>
      </text>
    </comment>
    <comment ref="Y525" authorId="0">
      <text>
        <r>
          <rPr>
            <sz val="9"/>
            <color indexed="81"/>
            <rFont val="Tahoma"/>
            <family val="2"/>
          </rPr>
          <t>0 Recursos propios 
1 Presupuesto de entidad nacional
2 Regalías
3 Recursos de crédito
4 SGP
5 No Aplica</t>
        </r>
      </text>
    </comment>
    <comment ref="AD525" authorId="0">
      <text>
        <r>
          <rPr>
            <b/>
            <sz val="9"/>
            <color indexed="81"/>
            <rFont val="Tahoma"/>
            <family val="2"/>
          </rPr>
          <t>0 No
1 Sí</t>
        </r>
      </text>
    </comment>
    <comment ref="AE525" authorId="0">
      <text>
        <r>
          <rPr>
            <sz val="9"/>
            <color indexed="81"/>
            <rFont val="Tahoma"/>
            <family val="2"/>
          </rPr>
          <t xml:space="preserve">
0 NA
1 No solicitadas
2 Solicitadas
3 Aprobadas</t>
        </r>
      </text>
    </comment>
    <comment ref="V526" authorId="0">
      <text>
        <r>
          <rPr>
            <b/>
            <sz val="9"/>
            <color indexed="81"/>
            <rFont val="Tahoma"/>
            <family val="2"/>
          </rPr>
          <t>0 Día(s)
1 Mes (s)
2 Año(s)</t>
        </r>
      </text>
    </comment>
    <comment ref="Y526" authorId="0">
      <text>
        <r>
          <rPr>
            <sz val="9"/>
            <color indexed="81"/>
            <rFont val="Tahoma"/>
            <family val="2"/>
          </rPr>
          <t>0 Recursos propios 
1 Presupuesto de entidad nacional
2 Regalías
3 Recursos de crédito
4 SGP
5 No Aplica</t>
        </r>
      </text>
    </comment>
    <comment ref="AD526" authorId="0">
      <text>
        <r>
          <rPr>
            <b/>
            <sz val="9"/>
            <color indexed="81"/>
            <rFont val="Tahoma"/>
            <family val="2"/>
          </rPr>
          <t>0 No
1 Sí</t>
        </r>
      </text>
    </comment>
    <comment ref="AE526" authorId="0">
      <text>
        <r>
          <rPr>
            <sz val="9"/>
            <color indexed="81"/>
            <rFont val="Tahoma"/>
            <family val="2"/>
          </rPr>
          <t xml:space="preserve">
0 NA
1 No solicitadas
2 Solicitadas
3 Aprobadas</t>
        </r>
      </text>
    </comment>
    <comment ref="V527" authorId="0">
      <text>
        <r>
          <rPr>
            <b/>
            <sz val="9"/>
            <color indexed="81"/>
            <rFont val="Tahoma"/>
            <family val="2"/>
          </rPr>
          <t>0 Día(s)
1 Mes (s)
2 Año(s)</t>
        </r>
      </text>
    </comment>
    <comment ref="Y527" authorId="0">
      <text>
        <r>
          <rPr>
            <sz val="9"/>
            <color indexed="81"/>
            <rFont val="Tahoma"/>
            <family val="2"/>
          </rPr>
          <t>0 Recursos propios 
1 Presupuesto de entidad nacional
2 Regalías
3 Recursos de crédito
4 SGP
5 No Aplica</t>
        </r>
      </text>
    </comment>
    <comment ref="AD527" authorId="0">
      <text>
        <r>
          <rPr>
            <b/>
            <sz val="9"/>
            <color indexed="81"/>
            <rFont val="Tahoma"/>
            <family val="2"/>
          </rPr>
          <t>0 No
1 Sí</t>
        </r>
      </text>
    </comment>
    <comment ref="AE527" authorId="0">
      <text>
        <r>
          <rPr>
            <sz val="9"/>
            <color indexed="81"/>
            <rFont val="Tahoma"/>
            <family val="2"/>
          </rPr>
          <t xml:space="preserve">
0 NA
1 No solicitadas
2 Solicitadas
3 Aprobadas</t>
        </r>
      </text>
    </comment>
    <comment ref="V528" authorId="0">
      <text>
        <r>
          <rPr>
            <b/>
            <sz val="9"/>
            <color indexed="81"/>
            <rFont val="Tahoma"/>
            <family val="2"/>
          </rPr>
          <t>0 Día(s)
1 Mes (s)
2 Año(s)</t>
        </r>
      </text>
    </comment>
    <comment ref="Y528" authorId="0">
      <text>
        <r>
          <rPr>
            <sz val="9"/>
            <color indexed="81"/>
            <rFont val="Tahoma"/>
            <family val="2"/>
          </rPr>
          <t>0 Recursos propios 
1 Presupuesto de entidad nacional
2 Regalías
3 Recursos de crédito
4 SGP
5 No Aplica</t>
        </r>
      </text>
    </comment>
    <comment ref="AD528" authorId="0">
      <text>
        <r>
          <rPr>
            <b/>
            <sz val="9"/>
            <color indexed="81"/>
            <rFont val="Tahoma"/>
            <family val="2"/>
          </rPr>
          <t>0 No
1 Sí</t>
        </r>
      </text>
    </comment>
    <comment ref="AE528" authorId="0">
      <text>
        <r>
          <rPr>
            <sz val="9"/>
            <color indexed="81"/>
            <rFont val="Tahoma"/>
            <family val="2"/>
          </rPr>
          <t xml:space="preserve">
0 NA
1 No solicitadas
2 Solicitadas
3 Aprobadas</t>
        </r>
      </text>
    </comment>
    <comment ref="V529" authorId="0">
      <text>
        <r>
          <rPr>
            <b/>
            <sz val="9"/>
            <color indexed="81"/>
            <rFont val="Tahoma"/>
            <family val="2"/>
          </rPr>
          <t>0 Día(s)
1 Mes (s)
2 Año(s)</t>
        </r>
      </text>
    </comment>
    <comment ref="Y529" authorId="0">
      <text>
        <r>
          <rPr>
            <sz val="9"/>
            <color indexed="81"/>
            <rFont val="Tahoma"/>
            <family val="2"/>
          </rPr>
          <t>0 Recursos propios 
1 Presupuesto de entidad nacional
2 Regalías
3 Recursos de crédito
4 SGP
5 No Aplica</t>
        </r>
      </text>
    </comment>
    <comment ref="AD529" authorId="0">
      <text>
        <r>
          <rPr>
            <b/>
            <sz val="9"/>
            <color indexed="81"/>
            <rFont val="Tahoma"/>
            <family val="2"/>
          </rPr>
          <t>0 No
1 Sí</t>
        </r>
      </text>
    </comment>
    <comment ref="AE529" authorId="0">
      <text>
        <r>
          <rPr>
            <sz val="9"/>
            <color indexed="81"/>
            <rFont val="Tahoma"/>
            <family val="2"/>
          </rPr>
          <t xml:space="preserve">
0 NA
1 No solicitadas
2 Solicitadas
3 Aprobadas</t>
        </r>
      </text>
    </comment>
    <comment ref="V530" authorId="0">
      <text>
        <r>
          <rPr>
            <b/>
            <sz val="9"/>
            <color indexed="81"/>
            <rFont val="Tahoma"/>
            <family val="2"/>
          </rPr>
          <t>0 Día(s)
1 Mes (s)
2 Año(s)</t>
        </r>
      </text>
    </comment>
    <comment ref="Y530" authorId="0">
      <text>
        <r>
          <rPr>
            <sz val="9"/>
            <color indexed="81"/>
            <rFont val="Tahoma"/>
            <family val="2"/>
          </rPr>
          <t>0 Recursos propios 
1 Presupuesto de entidad nacional
2 Regalías
3 Recursos de crédito
4 SGP
5 No Aplica</t>
        </r>
      </text>
    </comment>
    <comment ref="AD530" authorId="0">
      <text>
        <r>
          <rPr>
            <b/>
            <sz val="9"/>
            <color indexed="81"/>
            <rFont val="Tahoma"/>
            <family val="2"/>
          </rPr>
          <t>0 No
1 Sí</t>
        </r>
      </text>
    </comment>
    <comment ref="AE530" authorId="0">
      <text>
        <r>
          <rPr>
            <sz val="9"/>
            <color indexed="81"/>
            <rFont val="Tahoma"/>
            <family val="2"/>
          </rPr>
          <t xml:space="preserve">
0 NA
1 No solicitadas
2 Solicitadas
3 Aprobadas</t>
        </r>
      </text>
    </comment>
    <comment ref="V531" authorId="0">
      <text>
        <r>
          <rPr>
            <b/>
            <sz val="9"/>
            <color indexed="81"/>
            <rFont val="Tahoma"/>
            <family val="2"/>
          </rPr>
          <t>0 Día(s)
1 Mes (s)
2 Año(s)</t>
        </r>
      </text>
    </comment>
    <comment ref="Y531" authorId="0">
      <text>
        <r>
          <rPr>
            <sz val="9"/>
            <color indexed="81"/>
            <rFont val="Tahoma"/>
            <family val="2"/>
          </rPr>
          <t>0 Recursos propios 
1 Presupuesto de entidad nacional
2 Regalías
3 Recursos de crédito
4 SGP
5 No Aplica</t>
        </r>
      </text>
    </comment>
    <comment ref="AD531" authorId="0">
      <text>
        <r>
          <rPr>
            <b/>
            <sz val="9"/>
            <color indexed="81"/>
            <rFont val="Tahoma"/>
            <family val="2"/>
          </rPr>
          <t>0 No
1 Sí</t>
        </r>
      </text>
    </comment>
    <comment ref="AE531" authorId="0">
      <text>
        <r>
          <rPr>
            <sz val="9"/>
            <color indexed="81"/>
            <rFont val="Tahoma"/>
            <family val="2"/>
          </rPr>
          <t xml:space="preserve">
0 NA
1 No solicitadas
2 Solicitadas
3 Aprobadas</t>
        </r>
      </text>
    </comment>
    <comment ref="V532" authorId="0">
      <text>
        <r>
          <rPr>
            <b/>
            <sz val="9"/>
            <color indexed="81"/>
            <rFont val="Tahoma"/>
            <family val="2"/>
          </rPr>
          <t>0 Día(s)
1 Mes (s)
2 Año(s)</t>
        </r>
      </text>
    </comment>
    <comment ref="Y532" authorId="0">
      <text>
        <r>
          <rPr>
            <sz val="9"/>
            <color indexed="81"/>
            <rFont val="Tahoma"/>
            <family val="2"/>
          </rPr>
          <t>0 Recursos propios 
1 Presupuesto de entidad nacional
2 Regalías
3 Recursos de crédito
4 SGP
5 No Aplica</t>
        </r>
      </text>
    </comment>
    <comment ref="AD532" authorId="0">
      <text>
        <r>
          <rPr>
            <b/>
            <sz val="9"/>
            <color indexed="81"/>
            <rFont val="Tahoma"/>
            <family val="2"/>
          </rPr>
          <t>0 No
1 Sí</t>
        </r>
      </text>
    </comment>
    <comment ref="AE532" authorId="0">
      <text>
        <r>
          <rPr>
            <sz val="9"/>
            <color indexed="81"/>
            <rFont val="Tahoma"/>
            <family val="2"/>
          </rPr>
          <t xml:space="preserve">
0 NA
1 No solicitadas
2 Solicitadas
3 Aprobadas</t>
        </r>
      </text>
    </comment>
    <comment ref="V533" authorId="0">
      <text>
        <r>
          <rPr>
            <b/>
            <sz val="9"/>
            <color indexed="81"/>
            <rFont val="Tahoma"/>
            <family val="2"/>
          </rPr>
          <t>0 Día(s)
1 Mes (s)
2 Año(s)</t>
        </r>
      </text>
    </comment>
    <comment ref="Y533" authorId="0">
      <text>
        <r>
          <rPr>
            <sz val="9"/>
            <color indexed="81"/>
            <rFont val="Tahoma"/>
            <family val="2"/>
          </rPr>
          <t>0 Recursos propios 
1 Presupuesto de entidad nacional
2 Regalías
3 Recursos de crédito
4 SGP
5 No Aplica</t>
        </r>
      </text>
    </comment>
    <comment ref="AD533" authorId="0">
      <text>
        <r>
          <rPr>
            <b/>
            <sz val="9"/>
            <color indexed="81"/>
            <rFont val="Tahoma"/>
            <family val="2"/>
          </rPr>
          <t>0 No
1 Sí</t>
        </r>
      </text>
    </comment>
    <comment ref="AE533" authorId="0">
      <text>
        <r>
          <rPr>
            <sz val="9"/>
            <color indexed="81"/>
            <rFont val="Tahoma"/>
            <family val="2"/>
          </rPr>
          <t xml:space="preserve">
0 NA
1 No solicitadas
2 Solicitadas
3 Aprobadas</t>
        </r>
      </text>
    </comment>
    <comment ref="V534" authorId="0">
      <text>
        <r>
          <rPr>
            <b/>
            <sz val="9"/>
            <color indexed="81"/>
            <rFont val="Tahoma"/>
            <family val="2"/>
          </rPr>
          <t>0 Día(s)
1 Mes (s)
2 Año(s)</t>
        </r>
      </text>
    </comment>
    <comment ref="Y534" authorId="0">
      <text>
        <r>
          <rPr>
            <sz val="9"/>
            <color indexed="81"/>
            <rFont val="Tahoma"/>
            <family val="2"/>
          </rPr>
          <t>0 Recursos propios 
1 Presupuesto de entidad nacional
2 Regalías
3 Recursos de crédito
4 SGP
5 No Aplica</t>
        </r>
      </text>
    </comment>
    <comment ref="AD534" authorId="0">
      <text>
        <r>
          <rPr>
            <b/>
            <sz val="9"/>
            <color indexed="81"/>
            <rFont val="Tahoma"/>
            <family val="2"/>
          </rPr>
          <t>0 No
1 Sí</t>
        </r>
      </text>
    </comment>
    <comment ref="AE534" authorId="0">
      <text>
        <r>
          <rPr>
            <sz val="9"/>
            <color indexed="81"/>
            <rFont val="Tahoma"/>
            <family val="2"/>
          </rPr>
          <t xml:space="preserve">
0 NA
1 No solicitadas
2 Solicitadas
3 Aprobadas</t>
        </r>
      </text>
    </comment>
    <comment ref="V535" authorId="0">
      <text>
        <r>
          <rPr>
            <b/>
            <sz val="9"/>
            <color indexed="81"/>
            <rFont val="Tahoma"/>
            <family val="2"/>
          </rPr>
          <t>0 Día(s)
1 Mes (s)
2 Año(s)</t>
        </r>
      </text>
    </comment>
    <comment ref="Y535" authorId="0">
      <text>
        <r>
          <rPr>
            <sz val="9"/>
            <color indexed="81"/>
            <rFont val="Tahoma"/>
            <family val="2"/>
          </rPr>
          <t>0 Recursos propios 
1 Presupuesto de entidad nacional
2 Regalías
3 Recursos de crédito
4 SGP
5 No Aplica</t>
        </r>
      </text>
    </comment>
    <comment ref="AD535" authorId="0">
      <text>
        <r>
          <rPr>
            <b/>
            <sz val="9"/>
            <color indexed="81"/>
            <rFont val="Tahoma"/>
            <family val="2"/>
          </rPr>
          <t>0 No
1 Sí</t>
        </r>
      </text>
    </comment>
    <comment ref="AE535" authorId="0">
      <text>
        <r>
          <rPr>
            <sz val="9"/>
            <color indexed="81"/>
            <rFont val="Tahoma"/>
            <family val="2"/>
          </rPr>
          <t xml:space="preserve">
0 NA
1 No solicitadas
2 Solicitadas
3 Aprobadas</t>
        </r>
      </text>
    </comment>
    <comment ref="V536" authorId="0">
      <text>
        <r>
          <rPr>
            <b/>
            <sz val="9"/>
            <color indexed="81"/>
            <rFont val="Tahoma"/>
            <family val="2"/>
          </rPr>
          <t>0 Día(s)
1 Mes (s)
2 Año(s)</t>
        </r>
      </text>
    </comment>
    <comment ref="Y536" authorId="0">
      <text>
        <r>
          <rPr>
            <sz val="9"/>
            <color indexed="81"/>
            <rFont val="Tahoma"/>
            <family val="2"/>
          </rPr>
          <t>0 Recursos propios 
1 Presupuesto de entidad nacional
2 Regalías
3 Recursos de crédito
4 SGP
5 No Aplica</t>
        </r>
      </text>
    </comment>
    <comment ref="AD536" authorId="0">
      <text>
        <r>
          <rPr>
            <b/>
            <sz val="9"/>
            <color indexed="81"/>
            <rFont val="Tahoma"/>
            <family val="2"/>
          </rPr>
          <t>0 No
1 Sí</t>
        </r>
      </text>
    </comment>
    <comment ref="AE536" authorId="0">
      <text>
        <r>
          <rPr>
            <sz val="9"/>
            <color indexed="81"/>
            <rFont val="Tahoma"/>
            <family val="2"/>
          </rPr>
          <t xml:space="preserve">
0 NA
1 No solicitadas
2 Solicitadas
3 Aprobadas</t>
        </r>
      </text>
    </comment>
    <comment ref="V537" authorId="0">
      <text>
        <r>
          <rPr>
            <b/>
            <sz val="9"/>
            <color indexed="81"/>
            <rFont val="Tahoma"/>
            <family val="2"/>
          </rPr>
          <t>0 Día(s)
1 Mes (s)
2 Año(s)</t>
        </r>
      </text>
    </comment>
    <comment ref="Y537" authorId="0">
      <text>
        <r>
          <rPr>
            <sz val="9"/>
            <color indexed="81"/>
            <rFont val="Tahoma"/>
            <family val="2"/>
          </rPr>
          <t>0 Recursos propios 
1 Presupuesto de entidad nacional
2 Regalías
3 Recursos de crédito
4 SGP
5 No Aplica</t>
        </r>
      </text>
    </comment>
    <comment ref="AD537" authorId="0">
      <text>
        <r>
          <rPr>
            <b/>
            <sz val="9"/>
            <color indexed="81"/>
            <rFont val="Tahoma"/>
            <family val="2"/>
          </rPr>
          <t>0 No
1 Sí</t>
        </r>
      </text>
    </comment>
    <comment ref="AE537" authorId="0">
      <text>
        <r>
          <rPr>
            <sz val="9"/>
            <color indexed="81"/>
            <rFont val="Tahoma"/>
            <family val="2"/>
          </rPr>
          <t xml:space="preserve">
0 NA
1 No solicitadas
2 Solicitadas
3 Aprobadas</t>
        </r>
      </text>
    </comment>
    <comment ref="V538" authorId="0">
      <text>
        <r>
          <rPr>
            <b/>
            <sz val="9"/>
            <color indexed="81"/>
            <rFont val="Tahoma"/>
            <family val="2"/>
          </rPr>
          <t>0 Día(s)
1 Mes (s)
2 Año(s)</t>
        </r>
      </text>
    </comment>
    <comment ref="Y538" authorId="0">
      <text>
        <r>
          <rPr>
            <sz val="9"/>
            <color indexed="81"/>
            <rFont val="Tahoma"/>
            <family val="2"/>
          </rPr>
          <t>0 Recursos propios 
1 Presupuesto de entidad nacional
2 Regalías
3 Recursos de crédito
4 SGP
5 No Aplica</t>
        </r>
      </text>
    </comment>
    <comment ref="AD538" authorId="0">
      <text>
        <r>
          <rPr>
            <b/>
            <sz val="9"/>
            <color indexed="81"/>
            <rFont val="Tahoma"/>
            <family val="2"/>
          </rPr>
          <t>0 No
1 Sí</t>
        </r>
      </text>
    </comment>
    <comment ref="AE538" authorId="0">
      <text>
        <r>
          <rPr>
            <sz val="9"/>
            <color indexed="81"/>
            <rFont val="Tahoma"/>
            <family val="2"/>
          </rPr>
          <t xml:space="preserve">
0 NA
1 No solicitadas
2 Solicitadas
3 Aprobadas</t>
        </r>
      </text>
    </comment>
    <comment ref="V539" authorId="0">
      <text>
        <r>
          <rPr>
            <b/>
            <sz val="9"/>
            <color indexed="81"/>
            <rFont val="Tahoma"/>
            <family val="2"/>
          </rPr>
          <t>0 Día(s)
1 Mes (s)
2 Año(s)</t>
        </r>
      </text>
    </comment>
    <comment ref="Y539" authorId="0">
      <text>
        <r>
          <rPr>
            <sz val="9"/>
            <color indexed="81"/>
            <rFont val="Tahoma"/>
            <family val="2"/>
          </rPr>
          <t>0 Recursos propios 
1 Presupuesto de entidad nacional
2 Regalías
3 Recursos de crédito
4 SGP
5 No Aplica</t>
        </r>
      </text>
    </comment>
    <comment ref="AD539" authorId="0">
      <text>
        <r>
          <rPr>
            <b/>
            <sz val="9"/>
            <color indexed="81"/>
            <rFont val="Tahoma"/>
            <family val="2"/>
          </rPr>
          <t>0 No
1 Sí</t>
        </r>
      </text>
    </comment>
    <comment ref="AE539" authorId="0">
      <text>
        <r>
          <rPr>
            <sz val="9"/>
            <color indexed="81"/>
            <rFont val="Tahoma"/>
            <family val="2"/>
          </rPr>
          <t xml:space="preserve">
0 NA
1 No solicitadas
2 Solicitadas
3 Aprobadas</t>
        </r>
      </text>
    </comment>
    <comment ref="V540" authorId="0">
      <text>
        <r>
          <rPr>
            <b/>
            <sz val="9"/>
            <color indexed="81"/>
            <rFont val="Tahoma"/>
            <family val="2"/>
          </rPr>
          <t>0 Día(s)
1 Mes (s)
2 Año(s)</t>
        </r>
      </text>
    </comment>
    <comment ref="Y540" authorId="0">
      <text>
        <r>
          <rPr>
            <sz val="9"/>
            <color indexed="81"/>
            <rFont val="Tahoma"/>
            <family val="2"/>
          </rPr>
          <t>0 Recursos propios 
1 Presupuesto de entidad nacional
2 Regalías
3 Recursos de crédito
4 SGP
5 No Aplica</t>
        </r>
      </text>
    </comment>
    <comment ref="AD540" authorId="0">
      <text>
        <r>
          <rPr>
            <b/>
            <sz val="9"/>
            <color indexed="81"/>
            <rFont val="Tahoma"/>
            <family val="2"/>
          </rPr>
          <t>0 No
1 Sí</t>
        </r>
      </text>
    </comment>
    <comment ref="AE540" authorId="0">
      <text>
        <r>
          <rPr>
            <sz val="9"/>
            <color indexed="81"/>
            <rFont val="Tahoma"/>
            <family val="2"/>
          </rPr>
          <t xml:space="preserve">
0 NA
1 No solicitadas
2 Solicitadas
3 Aprobadas</t>
        </r>
      </text>
    </comment>
    <comment ref="V541" authorId="0">
      <text>
        <r>
          <rPr>
            <b/>
            <sz val="9"/>
            <color indexed="81"/>
            <rFont val="Tahoma"/>
            <family val="2"/>
          </rPr>
          <t>0 Día(s)
1 Mes (s)
2 Año(s)</t>
        </r>
      </text>
    </comment>
    <comment ref="Y541" authorId="0">
      <text>
        <r>
          <rPr>
            <sz val="9"/>
            <color indexed="81"/>
            <rFont val="Tahoma"/>
            <family val="2"/>
          </rPr>
          <t>0 Recursos propios 
1 Presupuesto de entidad nacional
2 Regalías
3 Recursos de crédito
4 SGP
5 No Aplica</t>
        </r>
      </text>
    </comment>
    <comment ref="AD541" authorId="0">
      <text>
        <r>
          <rPr>
            <b/>
            <sz val="9"/>
            <color indexed="81"/>
            <rFont val="Tahoma"/>
            <family val="2"/>
          </rPr>
          <t>0 No
1 Sí</t>
        </r>
      </text>
    </comment>
    <comment ref="AE541" authorId="0">
      <text>
        <r>
          <rPr>
            <sz val="9"/>
            <color indexed="81"/>
            <rFont val="Tahoma"/>
            <family val="2"/>
          </rPr>
          <t xml:space="preserve">
0 NA
1 No solicitadas
2 Solicitadas
3 Aprobadas</t>
        </r>
      </text>
    </comment>
    <comment ref="V542" authorId="0">
      <text>
        <r>
          <rPr>
            <b/>
            <sz val="9"/>
            <color indexed="81"/>
            <rFont val="Tahoma"/>
            <family val="2"/>
          </rPr>
          <t>0 Día(s)
1 Mes (s)
2 Año(s)</t>
        </r>
      </text>
    </comment>
    <comment ref="Y542" authorId="0">
      <text>
        <r>
          <rPr>
            <sz val="9"/>
            <color indexed="81"/>
            <rFont val="Tahoma"/>
            <family val="2"/>
          </rPr>
          <t>0 Recursos propios 
1 Presupuesto de entidad nacional
2 Regalías
3 Recursos de crédito
4 SGP
5 No Aplica</t>
        </r>
      </text>
    </comment>
    <comment ref="AD542" authorId="0">
      <text>
        <r>
          <rPr>
            <b/>
            <sz val="9"/>
            <color indexed="81"/>
            <rFont val="Tahoma"/>
            <family val="2"/>
          </rPr>
          <t>0 No
1 Sí</t>
        </r>
      </text>
    </comment>
    <comment ref="AE542" authorId="0">
      <text>
        <r>
          <rPr>
            <sz val="9"/>
            <color indexed="81"/>
            <rFont val="Tahoma"/>
            <family val="2"/>
          </rPr>
          <t xml:space="preserve">
0 NA
1 No solicitadas
2 Solicitadas
3 Aprobadas</t>
        </r>
      </text>
    </comment>
    <comment ref="V543" authorId="0">
      <text>
        <r>
          <rPr>
            <b/>
            <sz val="9"/>
            <color indexed="81"/>
            <rFont val="Tahoma"/>
            <family val="2"/>
          </rPr>
          <t>0 Día(s)
1 Mes (s)
2 Año(s)</t>
        </r>
      </text>
    </comment>
    <comment ref="Y543" authorId="0">
      <text>
        <r>
          <rPr>
            <sz val="9"/>
            <color indexed="81"/>
            <rFont val="Tahoma"/>
            <family val="2"/>
          </rPr>
          <t>0 Recursos propios 
1 Presupuesto de entidad nacional
2 Regalías
3 Recursos de crédito
4 SGP
5 No Aplica</t>
        </r>
      </text>
    </comment>
    <comment ref="AD543" authorId="0">
      <text>
        <r>
          <rPr>
            <b/>
            <sz val="9"/>
            <color indexed="81"/>
            <rFont val="Tahoma"/>
            <family val="2"/>
          </rPr>
          <t>0 No
1 Sí</t>
        </r>
      </text>
    </comment>
    <comment ref="AE543" authorId="0">
      <text>
        <r>
          <rPr>
            <sz val="9"/>
            <color indexed="81"/>
            <rFont val="Tahoma"/>
            <family val="2"/>
          </rPr>
          <t xml:space="preserve">
0 NA
1 No solicitadas
2 Solicitadas
3 Aprobadas</t>
        </r>
      </text>
    </comment>
    <comment ref="V544" authorId="0">
      <text>
        <r>
          <rPr>
            <b/>
            <sz val="9"/>
            <color indexed="81"/>
            <rFont val="Tahoma"/>
            <family val="2"/>
          </rPr>
          <t>0 Día(s)
1 Mes (s)
2 Año(s)</t>
        </r>
      </text>
    </comment>
    <comment ref="Y544" authorId="0">
      <text>
        <r>
          <rPr>
            <sz val="9"/>
            <color indexed="81"/>
            <rFont val="Tahoma"/>
            <family val="2"/>
          </rPr>
          <t>0 Recursos propios 
1 Presupuesto de entidad nacional
2 Regalías
3 Recursos de crédito
4 SGP
5 No Aplica</t>
        </r>
      </text>
    </comment>
    <comment ref="AD544" authorId="0">
      <text>
        <r>
          <rPr>
            <b/>
            <sz val="9"/>
            <color indexed="81"/>
            <rFont val="Tahoma"/>
            <family val="2"/>
          </rPr>
          <t>0 No
1 Sí</t>
        </r>
      </text>
    </comment>
    <comment ref="AE544" authorId="0">
      <text>
        <r>
          <rPr>
            <sz val="9"/>
            <color indexed="81"/>
            <rFont val="Tahoma"/>
            <family val="2"/>
          </rPr>
          <t xml:space="preserve">
0 NA
1 No solicitadas
2 Solicitadas
3 Aprobadas</t>
        </r>
      </text>
    </comment>
    <comment ref="V545" authorId="0">
      <text>
        <r>
          <rPr>
            <b/>
            <sz val="9"/>
            <color indexed="81"/>
            <rFont val="Tahoma"/>
            <family val="2"/>
          </rPr>
          <t>0 Día(s)
1 Mes (s)
2 Año(s)</t>
        </r>
      </text>
    </comment>
    <comment ref="Y545" authorId="0">
      <text>
        <r>
          <rPr>
            <sz val="9"/>
            <color indexed="81"/>
            <rFont val="Tahoma"/>
            <family val="2"/>
          </rPr>
          <t>0 Recursos propios 
1 Presupuesto de entidad nacional
2 Regalías
3 Recursos de crédito
4 SGP
5 No Aplica</t>
        </r>
      </text>
    </comment>
    <comment ref="AD545" authorId="0">
      <text>
        <r>
          <rPr>
            <b/>
            <sz val="9"/>
            <color indexed="81"/>
            <rFont val="Tahoma"/>
            <family val="2"/>
          </rPr>
          <t>0 No
1 Sí</t>
        </r>
      </text>
    </comment>
    <comment ref="AE545" authorId="0">
      <text>
        <r>
          <rPr>
            <sz val="9"/>
            <color indexed="81"/>
            <rFont val="Tahoma"/>
            <family val="2"/>
          </rPr>
          <t xml:space="preserve">
0 NA
1 No solicitadas
2 Solicitadas
3 Aprobadas</t>
        </r>
      </text>
    </comment>
    <comment ref="V546" authorId="0">
      <text>
        <r>
          <rPr>
            <b/>
            <sz val="9"/>
            <color indexed="81"/>
            <rFont val="Tahoma"/>
            <family val="2"/>
          </rPr>
          <t>0 Día(s)
1 Mes (s)
2 Año(s)</t>
        </r>
      </text>
    </comment>
    <comment ref="Y546" authorId="0">
      <text>
        <r>
          <rPr>
            <sz val="9"/>
            <color indexed="81"/>
            <rFont val="Tahoma"/>
            <family val="2"/>
          </rPr>
          <t>0 Recursos propios 
1 Presupuesto de entidad nacional
2 Regalías
3 Recursos de crédito
4 SGP
5 No Aplica</t>
        </r>
      </text>
    </comment>
    <comment ref="AD546" authorId="0">
      <text>
        <r>
          <rPr>
            <b/>
            <sz val="9"/>
            <color indexed="81"/>
            <rFont val="Tahoma"/>
            <family val="2"/>
          </rPr>
          <t>0 No
1 Sí</t>
        </r>
      </text>
    </comment>
    <comment ref="AE546" authorId="0">
      <text>
        <r>
          <rPr>
            <sz val="9"/>
            <color indexed="81"/>
            <rFont val="Tahoma"/>
            <family val="2"/>
          </rPr>
          <t xml:space="preserve">
0 NA
1 No solicitadas
2 Solicitadas
3 Aprobadas</t>
        </r>
      </text>
    </comment>
    <comment ref="V547" authorId="0">
      <text>
        <r>
          <rPr>
            <b/>
            <sz val="9"/>
            <color indexed="81"/>
            <rFont val="Tahoma"/>
            <family val="2"/>
          </rPr>
          <t>0 Día(s)
1 Mes (s)
2 Año(s)</t>
        </r>
      </text>
    </comment>
    <comment ref="Y547" authorId="0">
      <text>
        <r>
          <rPr>
            <sz val="9"/>
            <color indexed="81"/>
            <rFont val="Tahoma"/>
            <family val="2"/>
          </rPr>
          <t>0 Recursos propios 
1 Presupuesto de entidad nacional
2 Regalías
3 Recursos de crédito
4 SGP
5 No Aplica</t>
        </r>
      </text>
    </comment>
    <comment ref="AD547" authorId="0">
      <text>
        <r>
          <rPr>
            <b/>
            <sz val="9"/>
            <color indexed="81"/>
            <rFont val="Tahoma"/>
            <family val="2"/>
          </rPr>
          <t>0 No
1 Sí</t>
        </r>
      </text>
    </comment>
    <comment ref="AE547" authorId="0">
      <text>
        <r>
          <rPr>
            <sz val="9"/>
            <color indexed="81"/>
            <rFont val="Tahoma"/>
            <family val="2"/>
          </rPr>
          <t xml:space="preserve">
0 NA
1 No solicitadas
2 Solicitadas
3 Aprobadas</t>
        </r>
      </text>
    </comment>
    <comment ref="V548" authorId="0">
      <text>
        <r>
          <rPr>
            <b/>
            <sz val="9"/>
            <color indexed="81"/>
            <rFont val="Tahoma"/>
            <family val="2"/>
          </rPr>
          <t>0 Día(s)
1 Mes (s)
2 Año(s)</t>
        </r>
      </text>
    </comment>
    <comment ref="Y548" authorId="0">
      <text>
        <r>
          <rPr>
            <sz val="9"/>
            <color indexed="81"/>
            <rFont val="Tahoma"/>
            <family val="2"/>
          </rPr>
          <t>0 Recursos propios 
1 Presupuesto de entidad nacional
2 Regalías
3 Recursos de crédito
4 SGP
5 No Aplica</t>
        </r>
      </text>
    </comment>
    <comment ref="AD548" authorId="0">
      <text>
        <r>
          <rPr>
            <b/>
            <sz val="9"/>
            <color indexed="81"/>
            <rFont val="Tahoma"/>
            <family val="2"/>
          </rPr>
          <t>0 No
1 Sí</t>
        </r>
      </text>
    </comment>
    <comment ref="AE548" authorId="0">
      <text>
        <r>
          <rPr>
            <sz val="9"/>
            <color indexed="81"/>
            <rFont val="Tahoma"/>
            <family val="2"/>
          </rPr>
          <t xml:space="preserve">
0 NA
1 No solicitadas
2 Solicitadas
3 Aprobadas</t>
        </r>
      </text>
    </comment>
    <comment ref="V549" authorId="0">
      <text>
        <r>
          <rPr>
            <b/>
            <sz val="9"/>
            <color indexed="81"/>
            <rFont val="Tahoma"/>
            <family val="2"/>
          </rPr>
          <t>0 Día(s)
1 Mes (s)
2 Año(s)</t>
        </r>
      </text>
    </comment>
    <comment ref="Y549" authorId="0">
      <text>
        <r>
          <rPr>
            <sz val="9"/>
            <color indexed="81"/>
            <rFont val="Tahoma"/>
            <family val="2"/>
          </rPr>
          <t>0 Recursos propios 
1 Presupuesto de entidad nacional
2 Regalías
3 Recursos de crédito
4 SGP
5 No Aplica</t>
        </r>
      </text>
    </comment>
    <comment ref="AD549" authorId="0">
      <text>
        <r>
          <rPr>
            <b/>
            <sz val="9"/>
            <color indexed="81"/>
            <rFont val="Tahoma"/>
            <family val="2"/>
          </rPr>
          <t>0 No
1 Sí</t>
        </r>
      </text>
    </comment>
    <comment ref="AE549" authorId="0">
      <text>
        <r>
          <rPr>
            <sz val="9"/>
            <color indexed="81"/>
            <rFont val="Tahoma"/>
            <family val="2"/>
          </rPr>
          <t xml:space="preserve">
0 NA
1 No solicitadas
2 Solicitadas
3 Aprobadas</t>
        </r>
      </text>
    </comment>
    <comment ref="V550" authorId="0">
      <text>
        <r>
          <rPr>
            <b/>
            <sz val="9"/>
            <color indexed="81"/>
            <rFont val="Tahoma"/>
            <family val="2"/>
          </rPr>
          <t>0 Día(s)
1 Mes (s)
2 Año(s)</t>
        </r>
      </text>
    </comment>
    <comment ref="Y550" authorId="0">
      <text>
        <r>
          <rPr>
            <sz val="9"/>
            <color indexed="81"/>
            <rFont val="Tahoma"/>
            <family val="2"/>
          </rPr>
          <t>0 Recursos propios 
1 Presupuesto de entidad nacional
2 Regalías
3 Recursos de crédito
4 SGP
5 No Aplica</t>
        </r>
      </text>
    </comment>
    <comment ref="AD550" authorId="0">
      <text>
        <r>
          <rPr>
            <b/>
            <sz val="9"/>
            <color indexed="81"/>
            <rFont val="Tahoma"/>
            <family val="2"/>
          </rPr>
          <t>0 No
1 Sí</t>
        </r>
      </text>
    </comment>
    <comment ref="AE550" authorId="0">
      <text>
        <r>
          <rPr>
            <sz val="9"/>
            <color indexed="81"/>
            <rFont val="Tahoma"/>
            <family val="2"/>
          </rPr>
          <t xml:space="preserve">
0 NA
1 No solicitadas
2 Solicitadas
3 Aprobadas</t>
        </r>
      </text>
    </comment>
    <comment ref="V551" authorId="0">
      <text>
        <r>
          <rPr>
            <b/>
            <sz val="9"/>
            <color indexed="81"/>
            <rFont val="Tahoma"/>
            <family val="2"/>
          </rPr>
          <t>0 Día(s)
1 Mes (s)
2 Año(s)</t>
        </r>
      </text>
    </comment>
    <comment ref="Y551" authorId="0">
      <text>
        <r>
          <rPr>
            <sz val="9"/>
            <color indexed="81"/>
            <rFont val="Tahoma"/>
            <family val="2"/>
          </rPr>
          <t>0 Recursos propios 
1 Presupuesto de entidad nacional
2 Regalías
3 Recursos de crédito
4 SGP
5 No Aplica</t>
        </r>
      </text>
    </comment>
    <comment ref="AD551" authorId="0">
      <text>
        <r>
          <rPr>
            <b/>
            <sz val="9"/>
            <color indexed="81"/>
            <rFont val="Tahoma"/>
            <family val="2"/>
          </rPr>
          <t>0 No
1 Sí</t>
        </r>
      </text>
    </comment>
    <comment ref="AE551" authorId="0">
      <text>
        <r>
          <rPr>
            <sz val="9"/>
            <color indexed="81"/>
            <rFont val="Tahoma"/>
            <family val="2"/>
          </rPr>
          <t xml:space="preserve">
0 NA
1 No solicitadas
2 Solicitadas
3 Aprobadas</t>
        </r>
      </text>
    </comment>
    <comment ref="V552" authorId="0">
      <text>
        <r>
          <rPr>
            <b/>
            <sz val="9"/>
            <color indexed="81"/>
            <rFont val="Tahoma"/>
            <family val="2"/>
          </rPr>
          <t>0 Día(s)
1 Mes (s)
2 Año(s)</t>
        </r>
      </text>
    </comment>
    <comment ref="Y552" authorId="0">
      <text>
        <r>
          <rPr>
            <sz val="9"/>
            <color indexed="81"/>
            <rFont val="Tahoma"/>
            <family val="2"/>
          </rPr>
          <t>0 Recursos propios 
1 Presupuesto de entidad nacional
2 Regalías
3 Recursos de crédito
4 SGP
5 No Aplica</t>
        </r>
      </text>
    </comment>
    <comment ref="AD552" authorId="0">
      <text>
        <r>
          <rPr>
            <b/>
            <sz val="9"/>
            <color indexed="81"/>
            <rFont val="Tahoma"/>
            <family val="2"/>
          </rPr>
          <t>0 No
1 Sí</t>
        </r>
      </text>
    </comment>
    <comment ref="AE552" authorId="0">
      <text>
        <r>
          <rPr>
            <sz val="9"/>
            <color indexed="81"/>
            <rFont val="Tahoma"/>
            <family val="2"/>
          </rPr>
          <t xml:space="preserve">
0 NA
1 No solicitadas
2 Solicitadas
3 Aprobadas</t>
        </r>
      </text>
    </comment>
    <comment ref="V553" authorId="0">
      <text>
        <r>
          <rPr>
            <b/>
            <sz val="9"/>
            <color indexed="81"/>
            <rFont val="Tahoma"/>
            <family val="2"/>
          </rPr>
          <t>0 Día(s)
1 Mes (s)
2 Año(s)</t>
        </r>
      </text>
    </comment>
    <comment ref="Y553" authorId="0">
      <text>
        <r>
          <rPr>
            <sz val="9"/>
            <color indexed="81"/>
            <rFont val="Tahoma"/>
            <family val="2"/>
          </rPr>
          <t>0 Recursos propios 
1 Presupuesto de entidad nacional
2 Regalías
3 Recursos de crédito
4 SGP
5 No Aplica</t>
        </r>
      </text>
    </comment>
    <comment ref="AD553" authorId="0">
      <text>
        <r>
          <rPr>
            <b/>
            <sz val="9"/>
            <color indexed="81"/>
            <rFont val="Tahoma"/>
            <family val="2"/>
          </rPr>
          <t>0 No
1 Sí</t>
        </r>
      </text>
    </comment>
    <comment ref="AE553" authorId="0">
      <text>
        <r>
          <rPr>
            <sz val="9"/>
            <color indexed="81"/>
            <rFont val="Tahoma"/>
            <family val="2"/>
          </rPr>
          <t xml:space="preserve">
0 NA
1 No solicitadas
2 Solicitadas
3 Aprobadas</t>
        </r>
      </text>
    </comment>
    <comment ref="V554" authorId="0">
      <text>
        <r>
          <rPr>
            <b/>
            <sz val="9"/>
            <color indexed="81"/>
            <rFont val="Tahoma"/>
            <family val="2"/>
          </rPr>
          <t>0 Día(s)
1 Mes (s)
2 Año(s)</t>
        </r>
      </text>
    </comment>
    <comment ref="Y554" authorId="0">
      <text>
        <r>
          <rPr>
            <sz val="9"/>
            <color indexed="81"/>
            <rFont val="Tahoma"/>
            <family val="2"/>
          </rPr>
          <t>0 Recursos propios 
1 Presupuesto de entidad nacional
2 Regalías
3 Recursos de crédito
4 SGP
5 No Aplica</t>
        </r>
      </text>
    </comment>
    <comment ref="AD554" authorId="0">
      <text>
        <r>
          <rPr>
            <b/>
            <sz val="9"/>
            <color indexed="81"/>
            <rFont val="Tahoma"/>
            <family val="2"/>
          </rPr>
          <t>0 No
1 Sí</t>
        </r>
      </text>
    </comment>
    <comment ref="AE554" authorId="0">
      <text>
        <r>
          <rPr>
            <sz val="9"/>
            <color indexed="81"/>
            <rFont val="Tahoma"/>
            <family val="2"/>
          </rPr>
          <t xml:space="preserve">
0 NA
1 No solicitadas
2 Solicitadas
3 Aprobadas</t>
        </r>
      </text>
    </comment>
    <comment ref="V555" authorId="0">
      <text>
        <r>
          <rPr>
            <b/>
            <sz val="9"/>
            <color indexed="81"/>
            <rFont val="Tahoma"/>
            <family val="2"/>
          </rPr>
          <t>0 Día(s)
1 Mes (s)
2 Año(s)</t>
        </r>
      </text>
    </comment>
    <comment ref="Y555" authorId="0">
      <text>
        <r>
          <rPr>
            <sz val="9"/>
            <color indexed="81"/>
            <rFont val="Tahoma"/>
            <family val="2"/>
          </rPr>
          <t>0 Recursos propios 
1 Presupuesto de entidad nacional
2 Regalías
3 Recursos de crédito
4 SGP
5 No Aplica</t>
        </r>
      </text>
    </comment>
    <comment ref="AD555" authorId="0">
      <text>
        <r>
          <rPr>
            <b/>
            <sz val="9"/>
            <color indexed="81"/>
            <rFont val="Tahoma"/>
            <family val="2"/>
          </rPr>
          <t>0 No
1 Sí</t>
        </r>
      </text>
    </comment>
    <comment ref="AE555" authorId="0">
      <text>
        <r>
          <rPr>
            <sz val="9"/>
            <color indexed="81"/>
            <rFont val="Tahoma"/>
            <family val="2"/>
          </rPr>
          <t xml:space="preserve">
0 NA
1 No solicitadas
2 Solicitadas
3 Aprobadas</t>
        </r>
      </text>
    </comment>
    <comment ref="V556" authorId="0">
      <text>
        <r>
          <rPr>
            <b/>
            <sz val="9"/>
            <color indexed="81"/>
            <rFont val="Tahoma"/>
            <family val="2"/>
          </rPr>
          <t>0 Día(s)
1 Mes (s)
2 Año(s)</t>
        </r>
      </text>
    </comment>
    <comment ref="Y556" authorId="0">
      <text>
        <r>
          <rPr>
            <sz val="9"/>
            <color indexed="81"/>
            <rFont val="Tahoma"/>
            <family val="2"/>
          </rPr>
          <t>0 Recursos propios 
1 Presupuesto de entidad nacional
2 Regalías
3 Recursos de crédito
4 SGP
5 No Aplica</t>
        </r>
      </text>
    </comment>
    <comment ref="AD556" authorId="0">
      <text>
        <r>
          <rPr>
            <b/>
            <sz val="9"/>
            <color indexed="81"/>
            <rFont val="Tahoma"/>
            <family val="2"/>
          </rPr>
          <t>0 No
1 Sí</t>
        </r>
      </text>
    </comment>
    <comment ref="AE556" authorId="0">
      <text>
        <r>
          <rPr>
            <sz val="9"/>
            <color indexed="81"/>
            <rFont val="Tahoma"/>
            <family val="2"/>
          </rPr>
          <t xml:space="preserve">
0 NA
1 No solicitadas
2 Solicitadas
3 Aprobadas</t>
        </r>
      </text>
    </comment>
    <comment ref="V557" authorId="0">
      <text>
        <r>
          <rPr>
            <b/>
            <sz val="9"/>
            <color indexed="81"/>
            <rFont val="Tahoma"/>
            <family val="2"/>
          </rPr>
          <t>0 Día(s)
1 Mes (s)
2 Año(s)</t>
        </r>
      </text>
    </comment>
    <comment ref="Y557" authorId="0">
      <text>
        <r>
          <rPr>
            <sz val="9"/>
            <color indexed="81"/>
            <rFont val="Tahoma"/>
            <family val="2"/>
          </rPr>
          <t>0 Recursos propios 
1 Presupuesto de entidad nacional
2 Regalías
3 Recursos de crédito
4 SGP
5 No Aplica</t>
        </r>
      </text>
    </comment>
    <comment ref="AD557" authorId="0">
      <text>
        <r>
          <rPr>
            <b/>
            <sz val="9"/>
            <color indexed="81"/>
            <rFont val="Tahoma"/>
            <family val="2"/>
          </rPr>
          <t>0 No
1 Sí</t>
        </r>
      </text>
    </comment>
    <comment ref="AE557" authorId="0">
      <text>
        <r>
          <rPr>
            <sz val="9"/>
            <color indexed="81"/>
            <rFont val="Tahoma"/>
            <family val="2"/>
          </rPr>
          <t xml:space="preserve">
0 NA
1 No solicitadas
2 Solicitadas
3 Aprobadas</t>
        </r>
      </text>
    </comment>
    <comment ref="V558" authorId="0">
      <text>
        <r>
          <rPr>
            <b/>
            <sz val="9"/>
            <color indexed="81"/>
            <rFont val="Tahoma"/>
            <family val="2"/>
          </rPr>
          <t>0 Día(s)
1 Mes (s)
2 Año(s)</t>
        </r>
      </text>
    </comment>
    <comment ref="Y558" authorId="0">
      <text>
        <r>
          <rPr>
            <sz val="9"/>
            <color indexed="81"/>
            <rFont val="Tahoma"/>
            <family val="2"/>
          </rPr>
          <t>0 Recursos propios 
1 Presupuesto de entidad nacional
2 Regalías
3 Recursos de crédito
4 SGP
5 No Aplica</t>
        </r>
      </text>
    </comment>
    <comment ref="AD558" authorId="0">
      <text>
        <r>
          <rPr>
            <b/>
            <sz val="9"/>
            <color indexed="81"/>
            <rFont val="Tahoma"/>
            <family val="2"/>
          </rPr>
          <t>0 No
1 Sí</t>
        </r>
      </text>
    </comment>
    <comment ref="AE558" authorId="0">
      <text>
        <r>
          <rPr>
            <sz val="9"/>
            <color indexed="81"/>
            <rFont val="Tahoma"/>
            <family val="2"/>
          </rPr>
          <t xml:space="preserve">
0 NA
1 No solicitadas
2 Solicitadas
3 Aprobadas</t>
        </r>
      </text>
    </comment>
    <comment ref="V559" authorId="0">
      <text>
        <r>
          <rPr>
            <b/>
            <sz val="9"/>
            <color indexed="81"/>
            <rFont val="Tahoma"/>
            <family val="2"/>
          </rPr>
          <t>0 Día(s)
1 Mes (s)
2 Año(s)</t>
        </r>
      </text>
    </comment>
    <comment ref="Y559" authorId="0">
      <text>
        <r>
          <rPr>
            <sz val="9"/>
            <color indexed="81"/>
            <rFont val="Tahoma"/>
            <family val="2"/>
          </rPr>
          <t>0 Recursos propios 
1 Presupuesto de entidad nacional
2 Regalías
3 Recursos de crédito
4 SGP
5 No Aplica</t>
        </r>
      </text>
    </comment>
    <comment ref="AD559" authorId="0">
      <text>
        <r>
          <rPr>
            <b/>
            <sz val="9"/>
            <color indexed="81"/>
            <rFont val="Tahoma"/>
            <family val="2"/>
          </rPr>
          <t>0 No
1 Sí</t>
        </r>
      </text>
    </comment>
    <comment ref="AE559" authorId="0">
      <text>
        <r>
          <rPr>
            <sz val="9"/>
            <color indexed="81"/>
            <rFont val="Tahoma"/>
            <family val="2"/>
          </rPr>
          <t xml:space="preserve">
0 NA
1 No solicitadas
2 Solicitadas
3 Aprobadas</t>
        </r>
      </text>
    </comment>
    <comment ref="V560" authorId="0">
      <text>
        <r>
          <rPr>
            <b/>
            <sz val="9"/>
            <color indexed="81"/>
            <rFont val="Tahoma"/>
            <family val="2"/>
          </rPr>
          <t>0 Día(s)
1 Mes (s)
2 Año(s)</t>
        </r>
      </text>
    </comment>
    <comment ref="Y560" authorId="0">
      <text>
        <r>
          <rPr>
            <sz val="9"/>
            <color indexed="81"/>
            <rFont val="Tahoma"/>
            <family val="2"/>
          </rPr>
          <t>0 Recursos propios 
1 Presupuesto de entidad nacional
2 Regalías
3 Recursos de crédito
4 SGP
5 No Aplica</t>
        </r>
      </text>
    </comment>
    <comment ref="AD560" authorId="0">
      <text>
        <r>
          <rPr>
            <b/>
            <sz val="9"/>
            <color indexed="81"/>
            <rFont val="Tahoma"/>
            <family val="2"/>
          </rPr>
          <t>0 No
1 Sí</t>
        </r>
      </text>
    </comment>
    <comment ref="AE560" authorId="0">
      <text>
        <r>
          <rPr>
            <sz val="9"/>
            <color indexed="81"/>
            <rFont val="Tahoma"/>
            <family val="2"/>
          </rPr>
          <t xml:space="preserve">
0 NA
1 No solicitadas
2 Solicitadas
3 Aprobadas</t>
        </r>
      </text>
    </comment>
    <comment ref="V561" authorId="0">
      <text>
        <r>
          <rPr>
            <b/>
            <sz val="9"/>
            <color indexed="81"/>
            <rFont val="Tahoma"/>
            <family val="2"/>
          </rPr>
          <t>0 Día(s)
1 Mes (s)
2 Año(s)</t>
        </r>
      </text>
    </comment>
    <comment ref="Y561" authorId="0">
      <text>
        <r>
          <rPr>
            <sz val="9"/>
            <color indexed="81"/>
            <rFont val="Tahoma"/>
            <family val="2"/>
          </rPr>
          <t>0 Recursos propios 
1 Presupuesto de entidad nacional
2 Regalías
3 Recursos de crédito
4 SGP
5 No Aplica</t>
        </r>
      </text>
    </comment>
    <comment ref="AD561" authorId="0">
      <text>
        <r>
          <rPr>
            <b/>
            <sz val="9"/>
            <color indexed="81"/>
            <rFont val="Tahoma"/>
            <family val="2"/>
          </rPr>
          <t>0 No
1 Sí</t>
        </r>
      </text>
    </comment>
    <comment ref="AE561" authorId="0">
      <text>
        <r>
          <rPr>
            <sz val="9"/>
            <color indexed="81"/>
            <rFont val="Tahoma"/>
            <family val="2"/>
          </rPr>
          <t xml:space="preserve">
0 NA
1 No solicitadas
2 Solicitadas
3 Aprobadas</t>
        </r>
      </text>
    </comment>
    <comment ref="V562" authorId="0">
      <text>
        <r>
          <rPr>
            <b/>
            <sz val="9"/>
            <color indexed="81"/>
            <rFont val="Tahoma"/>
            <family val="2"/>
          </rPr>
          <t>0 Día(s)
1 Mes (s)
2 Año(s)</t>
        </r>
      </text>
    </comment>
    <comment ref="Y562" authorId="0">
      <text>
        <r>
          <rPr>
            <sz val="9"/>
            <color indexed="81"/>
            <rFont val="Tahoma"/>
            <family val="2"/>
          </rPr>
          <t>0 Recursos propios 
1 Presupuesto de entidad nacional
2 Regalías
3 Recursos de crédito
4 SGP
5 No Aplica</t>
        </r>
      </text>
    </comment>
    <comment ref="AD562" authorId="0">
      <text>
        <r>
          <rPr>
            <b/>
            <sz val="9"/>
            <color indexed="81"/>
            <rFont val="Tahoma"/>
            <family val="2"/>
          </rPr>
          <t>0 No
1 Sí</t>
        </r>
      </text>
    </comment>
    <comment ref="AE562" authorId="0">
      <text>
        <r>
          <rPr>
            <sz val="9"/>
            <color indexed="81"/>
            <rFont val="Tahoma"/>
            <family val="2"/>
          </rPr>
          <t xml:space="preserve">
0 NA
1 No solicitadas
2 Solicitadas
3 Aprobadas</t>
        </r>
      </text>
    </comment>
    <comment ref="V563" authorId="0">
      <text>
        <r>
          <rPr>
            <b/>
            <sz val="9"/>
            <color indexed="81"/>
            <rFont val="Tahoma"/>
            <family val="2"/>
          </rPr>
          <t>0 Día(s)
1 Mes (s)
2 Año(s)</t>
        </r>
      </text>
    </comment>
    <comment ref="Y563" authorId="0">
      <text>
        <r>
          <rPr>
            <sz val="9"/>
            <color indexed="81"/>
            <rFont val="Tahoma"/>
            <family val="2"/>
          </rPr>
          <t>0 Recursos propios 
1 Presupuesto de entidad nacional
2 Regalías
3 Recursos de crédito
4 SGP
5 No Aplica</t>
        </r>
      </text>
    </comment>
    <comment ref="AD563" authorId="0">
      <text>
        <r>
          <rPr>
            <b/>
            <sz val="9"/>
            <color indexed="81"/>
            <rFont val="Tahoma"/>
            <family val="2"/>
          </rPr>
          <t>0 No
1 Sí</t>
        </r>
      </text>
    </comment>
    <comment ref="AE563" authorId="0">
      <text>
        <r>
          <rPr>
            <sz val="9"/>
            <color indexed="81"/>
            <rFont val="Tahoma"/>
            <family val="2"/>
          </rPr>
          <t xml:space="preserve">
0 NA
1 No solicitadas
2 Solicitadas
3 Aprobadas</t>
        </r>
      </text>
    </comment>
    <comment ref="V564" authorId="0">
      <text>
        <r>
          <rPr>
            <b/>
            <sz val="9"/>
            <color indexed="81"/>
            <rFont val="Tahoma"/>
            <family val="2"/>
          </rPr>
          <t>0 Día(s)
1 Mes (s)
2 Año(s)</t>
        </r>
      </text>
    </comment>
    <comment ref="Y564" authorId="0">
      <text>
        <r>
          <rPr>
            <sz val="9"/>
            <color indexed="81"/>
            <rFont val="Tahoma"/>
            <family val="2"/>
          </rPr>
          <t>0 Recursos propios 
1 Presupuesto de entidad nacional
2 Regalías
3 Recursos de crédito
4 SGP
5 No Aplica</t>
        </r>
      </text>
    </comment>
    <comment ref="AD564" authorId="0">
      <text>
        <r>
          <rPr>
            <b/>
            <sz val="9"/>
            <color indexed="81"/>
            <rFont val="Tahoma"/>
            <family val="2"/>
          </rPr>
          <t>0 No
1 Sí</t>
        </r>
      </text>
    </comment>
    <comment ref="AE564" authorId="0">
      <text>
        <r>
          <rPr>
            <sz val="9"/>
            <color indexed="81"/>
            <rFont val="Tahoma"/>
            <family val="2"/>
          </rPr>
          <t xml:space="preserve">
0 NA
1 No solicitadas
2 Solicitadas
3 Aprobadas</t>
        </r>
      </text>
    </comment>
    <comment ref="V565" authorId="0">
      <text>
        <r>
          <rPr>
            <b/>
            <sz val="9"/>
            <color indexed="81"/>
            <rFont val="Tahoma"/>
            <family val="2"/>
          </rPr>
          <t>0 Día(s)
1 Mes (s)
2 Año(s)</t>
        </r>
      </text>
    </comment>
    <comment ref="Y565" authorId="0">
      <text>
        <r>
          <rPr>
            <sz val="9"/>
            <color indexed="81"/>
            <rFont val="Tahoma"/>
            <family val="2"/>
          </rPr>
          <t>0 Recursos propios 
1 Presupuesto de entidad nacional
2 Regalías
3 Recursos de crédito
4 SGP
5 No Aplica</t>
        </r>
      </text>
    </comment>
    <comment ref="AD565" authorId="0">
      <text>
        <r>
          <rPr>
            <b/>
            <sz val="9"/>
            <color indexed="81"/>
            <rFont val="Tahoma"/>
            <family val="2"/>
          </rPr>
          <t>0 No
1 Sí</t>
        </r>
      </text>
    </comment>
    <comment ref="AE565" authorId="0">
      <text>
        <r>
          <rPr>
            <sz val="9"/>
            <color indexed="81"/>
            <rFont val="Tahoma"/>
            <family val="2"/>
          </rPr>
          <t xml:space="preserve">
0 NA
1 No solicitadas
2 Solicitadas
3 Aprobadas</t>
        </r>
      </text>
    </comment>
    <comment ref="V566" authorId="0">
      <text>
        <r>
          <rPr>
            <b/>
            <sz val="9"/>
            <color indexed="81"/>
            <rFont val="Tahoma"/>
            <family val="2"/>
          </rPr>
          <t>0 Día(s)
1 Mes (s)
2 Año(s)</t>
        </r>
      </text>
    </comment>
    <comment ref="Y566" authorId="0">
      <text>
        <r>
          <rPr>
            <sz val="9"/>
            <color indexed="81"/>
            <rFont val="Tahoma"/>
            <family val="2"/>
          </rPr>
          <t>0 Recursos propios 
1 Presupuesto de entidad nacional
2 Regalías
3 Recursos de crédito
4 SGP
5 No Aplica</t>
        </r>
      </text>
    </comment>
    <comment ref="AD566" authorId="0">
      <text>
        <r>
          <rPr>
            <b/>
            <sz val="9"/>
            <color indexed="81"/>
            <rFont val="Tahoma"/>
            <family val="2"/>
          </rPr>
          <t>0 No
1 Sí</t>
        </r>
      </text>
    </comment>
    <comment ref="AE566" authorId="0">
      <text>
        <r>
          <rPr>
            <sz val="9"/>
            <color indexed="81"/>
            <rFont val="Tahoma"/>
            <family val="2"/>
          </rPr>
          <t xml:space="preserve">
0 NA
1 No solicitadas
2 Solicitadas
3 Aprobadas</t>
        </r>
      </text>
    </comment>
    <comment ref="V567" authorId="0">
      <text>
        <r>
          <rPr>
            <b/>
            <sz val="9"/>
            <color indexed="81"/>
            <rFont val="Tahoma"/>
            <family val="2"/>
          </rPr>
          <t>0 Día(s)
1 Mes (s)
2 Año(s)</t>
        </r>
      </text>
    </comment>
    <comment ref="Y567" authorId="0">
      <text>
        <r>
          <rPr>
            <sz val="9"/>
            <color indexed="81"/>
            <rFont val="Tahoma"/>
            <family val="2"/>
          </rPr>
          <t>0 Recursos propios 
1 Presupuesto de entidad nacional
2 Regalías
3 Recursos de crédito
4 SGP
5 No Aplica</t>
        </r>
      </text>
    </comment>
    <comment ref="AD567" authorId="0">
      <text>
        <r>
          <rPr>
            <b/>
            <sz val="9"/>
            <color indexed="81"/>
            <rFont val="Tahoma"/>
            <family val="2"/>
          </rPr>
          <t>0 No
1 Sí</t>
        </r>
      </text>
    </comment>
    <comment ref="AE567" authorId="0">
      <text>
        <r>
          <rPr>
            <sz val="9"/>
            <color indexed="81"/>
            <rFont val="Tahoma"/>
            <family val="2"/>
          </rPr>
          <t xml:space="preserve">
0 NA
1 No solicitadas
2 Solicitadas
3 Aprobadas</t>
        </r>
      </text>
    </comment>
    <comment ref="V568" authorId="0">
      <text>
        <r>
          <rPr>
            <b/>
            <sz val="9"/>
            <color indexed="81"/>
            <rFont val="Tahoma"/>
            <family val="2"/>
          </rPr>
          <t>0 Día(s)
1 Mes (s)
2 Año(s)</t>
        </r>
      </text>
    </comment>
    <comment ref="Y568" authorId="0">
      <text>
        <r>
          <rPr>
            <sz val="9"/>
            <color indexed="81"/>
            <rFont val="Tahoma"/>
            <family val="2"/>
          </rPr>
          <t>0 Recursos propios 
1 Presupuesto de entidad nacional
2 Regalías
3 Recursos de crédito
4 SGP
5 No Aplica</t>
        </r>
      </text>
    </comment>
    <comment ref="AD568" authorId="0">
      <text>
        <r>
          <rPr>
            <b/>
            <sz val="9"/>
            <color indexed="81"/>
            <rFont val="Tahoma"/>
            <family val="2"/>
          </rPr>
          <t>0 No
1 Sí</t>
        </r>
      </text>
    </comment>
    <comment ref="AE568" authorId="0">
      <text>
        <r>
          <rPr>
            <sz val="9"/>
            <color indexed="81"/>
            <rFont val="Tahoma"/>
            <family val="2"/>
          </rPr>
          <t xml:space="preserve">
0 NA
1 No solicitadas
2 Solicitadas
3 Aprobadas</t>
        </r>
      </text>
    </comment>
    <comment ref="V569" authorId="0">
      <text>
        <r>
          <rPr>
            <b/>
            <sz val="9"/>
            <color indexed="81"/>
            <rFont val="Tahoma"/>
            <family val="2"/>
          </rPr>
          <t>0 Día(s)
1 Mes (s)
2 Año(s)</t>
        </r>
      </text>
    </comment>
    <comment ref="Y569" authorId="0">
      <text>
        <r>
          <rPr>
            <sz val="9"/>
            <color indexed="81"/>
            <rFont val="Tahoma"/>
            <family val="2"/>
          </rPr>
          <t>0 Recursos propios 
1 Presupuesto de entidad nacional
2 Regalías
3 Recursos de crédito
4 SGP
5 No Aplica</t>
        </r>
      </text>
    </comment>
    <comment ref="AD569" authorId="0">
      <text>
        <r>
          <rPr>
            <b/>
            <sz val="9"/>
            <color indexed="81"/>
            <rFont val="Tahoma"/>
            <family val="2"/>
          </rPr>
          <t>0 No
1 Sí</t>
        </r>
      </text>
    </comment>
    <comment ref="AE569" authorId="0">
      <text>
        <r>
          <rPr>
            <sz val="9"/>
            <color indexed="81"/>
            <rFont val="Tahoma"/>
            <family val="2"/>
          </rPr>
          <t xml:space="preserve">
0 NA
1 No solicitadas
2 Solicitadas
3 Aprobadas</t>
        </r>
      </text>
    </comment>
    <comment ref="V570" authorId="0">
      <text>
        <r>
          <rPr>
            <b/>
            <sz val="9"/>
            <color indexed="81"/>
            <rFont val="Tahoma"/>
            <family val="2"/>
          </rPr>
          <t>0 Día(s)
1 Mes (s)
2 Año(s)</t>
        </r>
      </text>
    </comment>
    <comment ref="Y570" authorId="0">
      <text>
        <r>
          <rPr>
            <sz val="9"/>
            <color indexed="81"/>
            <rFont val="Tahoma"/>
            <family val="2"/>
          </rPr>
          <t>0 Recursos propios 
1 Presupuesto de entidad nacional
2 Regalías
3 Recursos de crédito
4 SGP
5 No Aplica</t>
        </r>
      </text>
    </comment>
    <comment ref="AD570" authorId="0">
      <text>
        <r>
          <rPr>
            <b/>
            <sz val="9"/>
            <color indexed="81"/>
            <rFont val="Tahoma"/>
            <family val="2"/>
          </rPr>
          <t>0 No
1 Sí</t>
        </r>
      </text>
    </comment>
    <comment ref="AE570" authorId="0">
      <text>
        <r>
          <rPr>
            <sz val="9"/>
            <color indexed="81"/>
            <rFont val="Tahoma"/>
            <family val="2"/>
          </rPr>
          <t xml:space="preserve">
0 NA
1 No solicitadas
2 Solicitadas
3 Aprobadas</t>
        </r>
      </text>
    </comment>
    <comment ref="V571" authorId="0">
      <text>
        <r>
          <rPr>
            <b/>
            <sz val="9"/>
            <color indexed="81"/>
            <rFont val="Tahoma"/>
            <family val="2"/>
          </rPr>
          <t>0 Día(s)
1 Mes (s)
2 Año(s)</t>
        </r>
      </text>
    </comment>
    <comment ref="Y571" authorId="0">
      <text>
        <r>
          <rPr>
            <sz val="9"/>
            <color indexed="81"/>
            <rFont val="Tahoma"/>
            <family val="2"/>
          </rPr>
          <t>0 Recursos propios 
1 Presupuesto de entidad nacional
2 Regalías
3 Recursos de crédito
4 SGP
5 No Aplica</t>
        </r>
      </text>
    </comment>
    <comment ref="AD571" authorId="0">
      <text>
        <r>
          <rPr>
            <b/>
            <sz val="9"/>
            <color indexed="81"/>
            <rFont val="Tahoma"/>
            <family val="2"/>
          </rPr>
          <t>0 No
1 Sí</t>
        </r>
      </text>
    </comment>
    <comment ref="AE571" authorId="0">
      <text>
        <r>
          <rPr>
            <sz val="9"/>
            <color indexed="81"/>
            <rFont val="Tahoma"/>
            <family val="2"/>
          </rPr>
          <t xml:space="preserve">
0 NA
1 No solicitadas
2 Solicitadas
3 Aprobadas</t>
        </r>
      </text>
    </comment>
    <comment ref="V572" authorId="0">
      <text>
        <r>
          <rPr>
            <b/>
            <sz val="9"/>
            <color indexed="81"/>
            <rFont val="Tahoma"/>
            <family val="2"/>
          </rPr>
          <t>0 Día(s)
1 Mes (s)
2 Año(s)</t>
        </r>
      </text>
    </comment>
    <comment ref="Y572" authorId="0">
      <text>
        <r>
          <rPr>
            <sz val="9"/>
            <color indexed="81"/>
            <rFont val="Tahoma"/>
            <family val="2"/>
          </rPr>
          <t>0 Recursos propios 
1 Presupuesto de entidad nacional
2 Regalías
3 Recursos de crédito
4 SGP
5 No Aplica</t>
        </r>
      </text>
    </comment>
    <comment ref="AD572" authorId="0">
      <text>
        <r>
          <rPr>
            <b/>
            <sz val="9"/>
            <color indexed="81"/>
            <rFont val="Tahoma"/>
            <family val="2"/>
          </rPr>
          <t>0 No
1 Sí</t>
        </r>
      </text>
    </comment>
    <comment ref="AE572" authorId="0">
      <text>
        <r>
          <rPr>
            <sz val="9"/>
            <color indexed="81"/>
            <rFont val="Tahoma"/>
            <family val="2"/>
          </rPr>
          <t xml:space="preserve">
0 NA
1 No solicitadas
2 Solicitadas
3 Aprobadas</t>
        </r>
      </text>
    </comment>
    <comment ref="V573" authorId="0">
      <text>
        <r>
          <rPr>
            <b/>
            <sz val="9"/>
            <color indexed="81"/>
            <rFont val="Tahoma"/>
            <family val="2"/>
          </rPr>
          <t>0 Día(s)
1 Mes (s)
2 Año(s)</t>
        </r>
      </text>
    </comment>
    <comment ref="Y573" authorId="0">
      <text>
        <r>
          <rPr>
            <sz val="9"/>
            <color indexed="81"/>
            <rFont val="Tahoma"/>
            <family val="2"/>
          </rPr>
          <t>0 Recursos propios 
1 Presupuesto de entidad nacional
2 Regalías
3 Recursos de crédito
4 SGP
5 No Aplica</t>
        </r>
      </text>
    </comment>
    <comment ref="AD573" authorId="0">
      <text>
        <r>
          <rPr>
            <b/>
            <sz val="9"/>
            <color indexed="81"/>
            <rFont val="Tahoma"/>
            <family val="2"/>
          </rPr>
          <t>0 No
1 Sí</t>
        </r>
      </text>
    </comment>
    <comment ref="AE573" authorId="0">
      <text>
        <r>
          <rPr>
            <sz val="9"/>
            <color indexed="81"/>
            <rFont val="Tahoma"/>
            <family val="2"/>
          </rPr>
          <t xml:space="preserve">
0 NA
1 No solicitadas
2 Solicitadas
3 Aprobadas</t>
        </r>
      </text>
    </comment>
    <comment ref="V574" authorId="0">
      <text>
        <r>
          <rPr>
            <b/>
            <sz val="9"/>
            <color indexed="81"/>
            <rFont val="Tahoma"/>
            <family val="2"/>
          </rPr>
          <t>0 Día(s)
1 Mes (s)
2 Año(s)</t>
        </r>
      </text>
    </comment>
    <comment ref="Y574" authorId="0">
      <text>
        <r>
          <rPr>
            <sz val="9"/>
            <color indexed="81"/>
            <rFont val="Tahoma"/>
            <family val="2"/>
          </rPr>
          <t>0 Recursos propios 
1 Presupuesto de entidad nacional
2 Regalías
3 Recursos de crédito
4 SGP
5 No Aplica</t>
        </r>
      </text>
    </comment>
    <comment ref="AD574" authorId="0">
      <text>
        <r>
          <rPr>
            <b/>
            <sz val="9"/>
            <color indexed="81"/>
            <rFont val="Tahoma"/>
            <family val="2"/>
          </rPr>
          <t>0 No
1 Sí</t>
        </r>
      </text>
    </comment>
    <comment ref="AE574" authorId="0">
      <text>
        <r>
          <rPr>
            <sz val="9"/>
            <color indexed="81"/>
            <rFont val="Tahoma"/>
            <family val="2"/>
          </rPr>
          <t xml:space="preserve">
0 NA
1 No solicitadas
2 Solicitadas
3 Aprobadas</t>
        </r>
      </text>
    </comment>
    <comment ref="V575" authorId="0">
      <text>
        <r>
          <rPr>
            <b/>
            <sz val="9"/>
            <color indexed="81"/>
            <rFont val="Tahoma"/>
            <family val="2"/>
          </rPr>
          <t>0 Día(s)
1 Mes (s)
2 Año(s)</t>
        </r>
      </text>
    </comment>
    <comment ref="Y575" authorId="0">
      <text>
        <r>
          <rPr>
            <sz val="9"/>
            <color indexed="81"/>
            <rFont val="Tahoma"/>
            <family val="2"/>
          </rPr>
          <t>0 Recursos propios 
1 Presupuesto de entidad nacional
2 Regalías
3 Recursos de crédito
4 SGP
5 No Aplica</t>
        </r>
      </text>
    </comment>
    <comment ref="AD575" authorId="0">
      <text>
        <r>
          <rPr>
            <b/>
            <sz val="9"/>
            <color indexed="81"/>
            <rFont val="Tahoma"/>
            <family val="2"/>
          </rPr>
          <t>0 No
1 Sí</t>
        </r>
      </text>
    </comment>
    <comment ref="AE575" authorId="0">
      <text>
        <r>
          <rPr>
            <sz val="9"/>
            <color indexed="81"/>
            <rFont val="Tahoma"/>
            <family val="2"/>
          </rPr>
          <t xml:space="preserve">
0 NA
1 No solicitadas
2 Solicitadas
3 Aprobadas</t>
        </r>
      </text>
    </comment>
    <comment ref="V576" authorId="0">
      <text>
        <r>
          <rPr>
            <b/>
            <sz val="9"/>
            <color indexed="81"/>
            <rFont val="Tahoma"/>
            <family val="2"/>
          </rPr>
          <t>0 Día(s)
1 Mes (s)
2 Año(s)</t>
        </r>
      </text>
    </comment>
    <comment ref="Y576" authorId="0">
      <text>
        <r>
          <rPr>
            <sz val="9"/>
            <color indexed="81"/>
            <rFont val="Tahoma"/>
            <family val="2"/>
          </rPr>
          <t>0 Recursos propios 
1 Presupuesto de entidad nacional
2 Regalías
3 Recursos de crédito
4 SGP
5 No Aplica</t>
        </r>
      </text>
    </comment>
    <comment ref="AD576" authorId="0">
      <text>
        <r>
          <rPr>
            <b/>
            <sz val="9"/>
            <color indexed="81"/>
            <rFont val="Tahoma"/>
            <family val="2"/>
          </rPr>
          <t>0 No
1 Sí</t>
        </r>
      </text>
    </comment>
    <comment ref="AE576" authorId="0">
      <text>
        <r>
          <rPr>
            <sz val="9"/>
            <color indexed="81"/>
            <rFont val="Tahoma"/>
            <family val="2"/>
          </rPr>
          <t xml:space="preserve">
0 NA
1 No solicitadas
2 Solicitadas
3 Aprobadas</t>
        </r>
      </text>
    </comment>
    <comment ref="V577" authorId="0">
      <text>
        <r>
          <rPr>
            <b/>
            <sz val="9"/>
            <color indexed="81"/>
            <rFont val="Tahoma"/>
            <family val="2"/>
          </rPr>
          <t>0 Día(s)
1 Mes (s)
2 Año(s)</t>
        </r>
      </text>
    </comment>
    <comment ref="Y577" authorId="0">
      <text>
        <r>
          <rPr>
            <sz val="9"/>
            <color indexed="81"/>
            <rFont val="Tahoma"/>
            <family val="2"/>
          </rPr>
          <t>0 Recursos propios 
1 Presupuesto de entidad nacional
2 Regalías
3 Recursos de crédito
4 SGP
5 No Aplica</t>
        </r>
      </text>
    </comment>
    <comment ref="AD577" authorId="0">
      <text>
        <r>
          <rPr>
            <b/>
            <sz val="9"/>
            <color indexed="81"/>
            <rFont val="Tahoma"/>
            <family val="2"/>
          </rPr>
          <t>0 No
1 Sí</t>
        </r>
      </text>
    </comment>
    <comment ref="AE577" authorId="0">
      <text>
        <r>
          <rPr>
            <sz val="9"/>
            <color indexed="81"/>
            <rFont val="Tahoma"/>
            <family val="2"/>
          </rPr>
          <t xml:space="preserve">
0 NA
1 No solicitadas
2 Solicitadas
3 Aprobadas</t>
        </r>
      </text>
    </comment>
    <comment ref="V578" authorId="0">
      <text>
        <r>
          <rPr>
            <b/>
            <sz val="9"/>
            <color indexed="81"/>
            <rFont val="Tahoma"/>
            <family val="2"/>
          </rPr>
          <t>0 Día(s)
1 Mes (s)
2 Año(s)</t>
        </r>
      </text>
    </comment>
    <comment ref="Y578" authorId="0">
      <text>
        <r>
          <rPr>
            <sz val="9"/>
            <color indexed="81"/>
            <rFont val="Tahoma"/>
            <family val="2"/>
          </rPr>
          <t>0 Recursos propios 
1 Presupuesto de entidad nacional
2 Regalías
3 Recursos de crédito
4 SGP
5 No Aplica</t>
        </r>
      </text>
    </comment>
    <comment ref="AD578" authorId="0">
      <text>
        <r>
          <rPr>
            <b/>
            <sz val="9"/>
            <color indexed="81"/>
            <rFont val="Tahoma"/>
            <family val="2"/>
          </rPr>
          <t>0 No
1 Sí</t>
        </r>
      </text>
    </comment>
    <comment ref="AE578" authorId="0">
      <text>
        <r>
          <rPr>
            <sz val="9"/>
            <color indexed="81"/>
            <rFont val="Tahoma"/>
            <family val="2"/>
          </rPr>
          <t xml:space="preserve">
0 NA
1 No solicitadas
2 Solicitadas
3 Aprobadas</t>
        </r>
      </text>
    </comment>
    <comment ref="V579" authorId="0">
      <text>
        <r>
          <rPr>
            <b/>
            <sz val="9"/>
            <color indexed="81"/>
            <rFont val="Tahoma"/>
            <family val="2"/>
          </rPr>
          <t>0 Día(s)
1 Mes (s)
2 Año(s)</t>
        </r>
      </text>
    </comment>
    <comment ref="Y579" authorId="0">
      <text>
        <r>
          <rPr>
            <sz val="9"/>
            <color indexed="81"/>
            <rFont val="Tahoma"/>
            <family val="2"/>
          </rPr>
          <t>0 Recursos propios 
1 Presupuesto de entidad nacional
2 Regalías
3 Recursos de crédito
4 SGP
5 No Aplica</t>
        </r>
      </text>
    </comment>
    <comment ref="AD579" authorId="0">
      <text>
        <r>
          <rPr>
            <b/>
            <sz val="9"/>
            <color indexed="81"/>
            <rFont val="Tahoma"/>
            <family val="2"/>
          </rPr>
          <t>0 No
1 Sí</t>
        </r>
      </text>
    </comment>
    <comment ref="AE579" authorId="0">
      <text>
        <r>
          <rPr>
            <sz val="9"/>
            <color indexed="81"/>
            <rFont val="Tahoma"/>
            <family val="2"/>
          </rPr>
          <t xml:space="preserve">
0 NA
1 No solicitadas
2 Solicitadas
3 Aprobadas</t>
        </r>
      </text>
    </comment>
    <comment ref="V580" authorId="0">
      <text>
        <r>
          <rPr>
            <b/>
            <sz val="9"/>
            <color indexed="81"/>
            <rFont val="Tahoma"/>
            <family val="2"/>
          </rPr>
          <t>0 Día(s)
1 Mes (s)
2 Año(s)</t>
        </r>
      </text>
    </comment>
    <comment ref="Y580" authorId="0">
      <text>
        <r>
          <rPr>
            <sz val="9"/>
            <color indexed="81"/>
            <rFont val="Tahoma"/>
            <family val="2"/>
          </rPr>
          <t>0 Recursos propios 
1 Presupuesto de entidad nacional
2 Regalías
3 Recursos de crédito
4 SGP
5 No Aplica</t>
        </r>
      </text>
    </comment>
    <comment ref="AD580" authorId="0">
      <text>
        <r>
          <rPr>
            <b/>
            <sz val="9"/>
            <color indexed="81"/>
            <rFont val="Tahoma"/>
            <family val="2"/>
          </rPr>
          <t>0 No
1 Sí</t>
        </r>
      </text>
    </comment>
    <comment ref="AE580" authorId="0">
      <text>
        <r>
          <rPr>
            <sz val="9"/>
            <color indexed="81"/>
            <rFont val="Tahoma"/>
            <family val="2"/>
          </rPr>
          <t xml:space="preserve">
0 NA
1 No solicitadas
2 Solicitadas
3 Aprobadas</t>
        </r>
      </text>
    </comment>
    <comment ref="V581" authorId="0">
      <text>
        <r>
          <rPr>
            <b/>
            <sz val="9"/>
            <color indexed="81"/>
            <rFont val="Tahoma"/>
            <family val="2"/>
          </rPr>
          <t>0 Día(s)
1 Mes (s)
2 Año(s)</t>
        </r>
      </text>
    </comment>
    <comment ref="Y581" authorId="0">
      <text>
        <r>
          <rPr>
            <sz val="9"/>
            <color indexed="81"/>
            <rFont val="Tahoma"/>
            <family val="2"/>
          </rPr>
          <t>0 Recursos propios 
1 Presupuesto de entidad nacional
2 Regalías
3 Recursos de crédito
4 SGP
5 No Aplica</t>
        </r>
      </text>
    </comment>
    <comment ref="AD581" authorId="0">
      <text>
        <r>
          <rPr>
            <b/>
            <sz val="9"/>
            <color indexed="81"/>
            <rFont val="Tahoma"/>
            <family val="2"/>
          </rPr>
          <t>0 No
1 Sí</t>
        </r>
      </text>
    </comment>
    <comment ref="AE581" authorId="0">
      <text>
        <r>
          <rPr>
            <sz val="9"/>
            <color indexed="81"/>
            <rFont val="Tahoma"/>
            <family val="2"/>
          </rPr>
          <t xml:space="preserve">
0 NA
1 No solicitadas
2 Solicitadas
3 Aprobadas</t>
        </r>
      </text>
    </comment>
    <comment ref="V582" authorId="0">
      <text>
        <r>
          <rPr>
            <b/>
            <sz val="9"/>
            <color indexed="81"/>
            <rFont val="Tahoma"/>
            <family val="2"/>
          </rPr>
          <t>0 Día(s)
1 Mes (s)
2 Año(s)</t>
        </r>
      </text>
    </comment>
    <comment ref="Y582" authorId="0">
      <text>
        <r>
          <rPr>
            <sz val="9"/>
            <color indexed="81"/>
            <rFont val="Tahoma"/>
            <family val="2"/>
          </rPr>
          <t>0 Recursos propios 
1 Presupuesto de entidad nacional
2 Regalías
3 Recursos de crédito
4 SGP
5 No Aplica</t>
        </r>
      </text>
    </comment>
    <comment ref="AD582" authorId="0">
      <text>
        <r>
          <rPr>
            <b/>
            <sz val="9"/>
            <color indexed="81"/>
            <rFont val="Tahoma"/>
            <family val="2"/>
          </rPr>
          <t>0 No
1 Sí</t>
        </r>
      </text>
    </comment>
    <comment ref="AE582" authorId="0">
      <text>
        <r>
          <rPr>
            <sz val="9"/>
            <color indexed="81"/>
            <rFont val="Tahoma"/>
            <family val="2"/>
          </rPr>
          <t xml:space="preserve">
0 NA
1 No solicitadas
2 Solicitadas
3 Aprobadas</t>
        </r>
      </text>
    </comment>
    <comment ref="V583" authorId="0">
      <text>
        <r>
          <rPr>
            <b/>
            <sz val="9"/>
            <color indexed="81"/>
            <rFont val="Tahoma"/>
            <family val="2"/>
          </rPr>
          <t>0 Día(s)
1 Mes (s)
2 Año(s)</t>
        </r>
      </text>
    </comment>
    <comment ref="Y583" authorId="0">
      <text>
        <r>
          <rPr>
            <sz val="9"/>
            <color indexed="81"/>
            <rFont val="Tahoma"/>
            <family val="2"/>
          </rPr>
          <t>0 Recursos propios 
1 Presupuesto de entidad nacional
2 Regalías
3 Recursos de crédito
4 SGP
5 No Aplica</t>
        </r>
      </text>
    </comment>
    <comment ref="AD583" authorId="0">
      <text>
        <r>
          <rPr>
            <b/>
            <sz val="9"/>
            <color indexed="81"/>
            <rFont val="Tahoma"/>
            <family val="2"/>
          </rPr>
          <t>0 No
1 Sí</t>
        </r>
      </text>
    </comment>
    <comment ref="AE583" authorId="0">
      <text>
        <r>
          <rPr>
            <sz val="9"/>
            <color indexed="81"/>
            <rFont val="Tahoma"/>
            <family val="2"/>
          </rPr>
          <t xml:space="preserve">
0 NA
1 No solicitadas
2 Solicitadas
3 Aprobadas</t>
        </r>
      </text>
    </comment>
    <comment ref="V584" authorId="0">
      <text>
        <r>
          <rPr>
            <b/>
            <sz val="9"/>
            <color indexed="81"/>
            <rFont val="Tahoma"/>
            <family val="2"/>
          </rPr>
          <t>0 Día(s)
1 Mes (s)
2 Año(s)</t>
        </r>
      </text>
    </comment>
    <comment ref="Y584" authorId="0">
      <text>
        <r>
          <rPr>
            <sz val="9"/>
            <color indexed="81"/>
            <rFont val="Tahoma"/>
            <family val="2"/>
          </rPr>
          <t>0 Recursos propios 
1 Presupuesto de entidad nacional
2 Regalías
3 Recursos de crédito
4 SGP
5 No Aplica</t>
        </r>
      </text>
    </comment>
    <comment ref="AD584" authorId="0">
      <text>
        <r>
          <rPr>
            <b/>
            <sz val="9"/>
            <color indexed="81"/>
            <rFont val="Tahoma"/>
            <family val="2"/>
          </rPr>
          <t>0 No
1 Sí</t>
        </r>
      </text>
    </comment>
    <comment ref="AE584" authorId="0">
      <text>
        <r>
          <rPr>
            <sz val="9"/>
            <color indexed="81"/>
            <rFont val="Tahoma"/>
            <family val="2"/>
          </rPr>
          <t xml:space="preserve">
0 NA
1 No solicitadas
2 Solicitadas
3 Aprobadas</t>
        </r>
      </text>
    </comment>
    <comment ref="V585" authorId="0">
      <text>
        <r>
          <rPr>
            <b/>
            <sz val="9"/>
            <color indexed="81"/>
            <rFont val="Tahoma"/>
            <family val="2"/>
          </rPr>
          <t>0 Día(s)
1 Mes (s)
2 Año(s)</t>
        </r>
      </text>
    </comment>
    <comment ref="Y585" authorId="0">
      <text>
        <r>
          <rPr>
            <sz val="9"/>
            <color indexed="81"/>
            <rFont val="Tahoma"/>
            <family val="2"/>
          </rPr>
          <t>0 Recursos propios 
1 Presupuesto de entidad nacional
2 Regalías
3 Recursos de crédito
4 SGP
5 No Aplica</t>
        </r>
      </text>
    </comment>
    <comment ref="AD585" authorId="0">
      <text>
        <r>
          <rPr>
            <b/>
            <sz val="9"/>
            <color indexed="81"/>
            <rFont val="Tahoma"/>
            <family val="2"/>
          </rPr>
          <t>0 No
1 Sí</t>
        </r>
      </text>
    </comment>
    <comment ref="AE585" authorId="0">
      <text>
        <r>
          <rPr>
            <sz val="9"/>
            <color indexed="81"/>
            <rFont val="Tahoma"/>
            <family val="2"/>
          </rPr>
          <t xml:space="preserve">
0 NA
1 No solicitadas
2 Solicitadas
3 Aprobadas</t>
        </r>
      </text>
    </comment>
    <comment ref="V586" authorId="0">
      <text>
        <r>
          <rPr>
            <b/>
            <sz val="9"/>
            <color indexed="81"/>
            <rFont val="Tahoma"/>
            <family val="2"/>
          </rPr>
          <t>0 Día(s)
1 Mes (s)
2 Año(s)</t>
        </r>
      </text>
    </comment>
    <comment ref="Y586" authorId="0">
      <text>
        <r>
          <rPr>
            <sz val="9"/>
            <color indexed="81"/>
            <rFont val="Tahoma"/>
            <family val="2"/>
          </rPr>
          <t>0 Recursos propios 
1 Presupuesto de entidad nacional
2 Regalías
3 Recursos de crédito
4 SGP
5 No Aplica</t>
        </r>
      </text>
    </comment>
    <comment ref="AD586" authorId="0">
      <text>
        <r>
          <rPr>
            <b/>
            <sz val="9"/>
            <color indexed="81"/>
            <rFont val="Tahoma"/>
            <family val="2"/>
          </rPr>
          <t>0 No
1 Sí</t>
        </r>
      </text>
    </comment>
    <comment ref="AE586" authorId="0">
      <text>
        <r>
          <rPr>
            <sz val="9"/>
            <color indexed="81"/>
            <rFont val="Tahoma"/>
            <family val="2"/>
          </rPr>
          <t xml:space="preserve">
0 NA
1 No solicitadas
2 Solicitadas
3 Aprobadas</t>
        </r>
      </text>
    </comment>
    <comment ref="V587" authorId="0">
      <text>
        <r>
          <rPr>
            <b/>
            <sz val="9"/>
            <color indexed="81"/>
            <rFont val="Tahoma"/>
            <family val="2"/>
          </rPr>
          <t>0 Día(s)
1 Mes (s)
2 Año(s)</t>
        </r>
      </text>
    </comment>
    <comment ref="Y587" authorId="0">
      <text>
        <r>
          <rPr>
            <sz val="9"/>
            <color indexed="81"/>
            <rFont val="Tahoma"/>
            <family val="2"/>
          </rPr>
          <t>0 Recursos propios 
1 Presupuesto de entidad nacional
2 Regalías
3 Recursos de crédito
4 SGP
5 No Aplica</t>
        </r>
      </text>
    </comment>
    <comment ref="AD587" authorId="0">
      <text>
        <r>
          <rPr>
            <b/>
            <sz val="9"/>
            <color indexed="81"/>
            <rFont val="Tahoma"/>
            <family val="2"/>
          </rPr>
          <t>0 No
1 Sí</t>
        </r>
      </text>
    </comment>
    <comment ref="AE587" authorId="0">
      <text>
        <r>
          <rPr>
            <sz val="9"/>
            <color indexed="81"/>
            <rFont val="Tahoma"/>
            <family val="2"/>
          </rPr>
          <t xml:space="preserve">
0 NA
1 No solicitadas
2 Solicitadas
3 Aprobadas</t>
        </r>
      </text>
    </comment>
    <comment ref="V588" authorId="0">
      <text>
        <r>
          <rPr>
            <b/>
            <sz val="9"/>
            <color indexed="81"/>
            <rFont val="Tahoma"/>
            <family val="2"/>
          </rPr>
          <t>0 Día(s)
1 Mes (s)
2 Año(s)</t>
        </r>
      </text>
    </comment>
    <comment ref="Y588" authorId="0">
      <text>
        <r>
          <rPr>
            <sz val="9"/>
            <color indexed="81"/>
            <rFont val="Tahoma"/>
            <family val="2"/>
          </rPr>
          <t>0 Recursos propios 
1 Presupuesto de entidad nacional
2 Regalías
3 Recursos de crédito
4 SGP
5 No Aplica</t>
        </r>
      </text>
    </comment>
    <comment ref="AD588" authorId="0">
      <text>
        <r>
          <rPr>
            <b/>
            <sz val="9"/>
            <color indexed="81"/>
            <rFont val="Tahoma"/>
            <family val="2"/>
          </rPr>
          <t>0 No
1 Sí</t>
        </r>
      </text>
    </comment>
    <comment ref="AE588" authorId="0">
      <text>
        <r>
          <rPr>
            <sz val="9"/>
            <color indexed="81"/>
            <rFont val="Tahoma"/>
            <family val="2"/>
          </rPr>
          <t xml:space="preserve">
0 NA
1 No solicitadas
2 Solicitadas
3 Aprobadas</t>
        </r>
      </text>
    </comment>
    <comment ref="V589" authorId="0">
      <text>
        <r>
          <rPr>
            <b/>
            <sz val="9"/>
            <color indexed="81"/>
            <rFont val="Tahoma"/>
            <family val="2"/>
          </rPr>
          <t>0 Día(s)
1 Mes (s)
2 Año(s)</t>
        </r>
      </text>
    </comment>
    <comment ref="Y589" authorId="0">
      <text>
        <r>
          <rPr>
            <sz val="9"/>
            <color indexed="81"/>
            <rFont val="Tahoma"/>
            <family val="2"/>
          </rPr>
          <t>0 Recursos propios 
1 Presupuesto de entidad nacional
2 Regalías
3 Recursos de crédito
4 SGP
5 No Aplica</t>
        </r>
      </text>
    </comment>
    <comment ref="AD589" authorId="0">
      <text>
        <r>
          <rPr>
            <b/>
            <sz val="9"/>
            <color indexed="81"/>
            <rFont val="Tahoma"/>
            <family val="2"/>
          </rPr>
          <t>0 No
1 Sí</t>
        </r>
      </text>
    </comment>
    <comment ref="AE589" authorId="0">
      <text>
        <r>
          <rPr>
            <sz val="9"/>
            <color indexed="81"/>
            <rFont val="Tahoma"/>
            <family val="2"/>
          </rPr>
          <t xml:space="preserve">
0 NA
1 No solicitadas
2 Solicitadas
3 Aprobadas</t>
        </r>
      </text>
    </comment>
    <comment ref="V590" authorId="0">
      <text>
        <r>
          <rPr>
            <b/>
            <sz val="9"/>
            <color indexed="81"/>
            <rFont val="Tahoma"/>
            <family val="2"/>
          </rPr>
          <t>0 Día(s)
1 Mes (s)
2 Año(s)</t>
        </r>
      </text>
    </comment>
    <comment ref="Y590" authorId="0">
      <text>
        <r>
          <rPr>
            <sz val="9"/>
            <color indexed="81"/>
            <rFont val="Tahoma"/>
            <family val="2"/>
          </rPr>
          <t>0 Recursos propios 
1 Presupuesto de entidad nacional
2 Regalías
3 Recursos de crédito
4 SGP
5 No Aplica</t>
        </r>
      </text>
    </comment>
    <comment ref="AD590" authorId="0">
      <text>
        <r>
          <rPr>
            <b/>
            <sz val="9"/>
            <color indexed="81"/>
            <rFont val="Tahoma"/>
            <family val="2"/>
          </rPr>
          <t>0 No
1 Sí</t>
        </r>
      </text>
    </comment>
    <comment ref="AE590" authorId="0">
      <text>
        <r>
          <rPr>
            <sz val="9"/>
            <color indexed="81"/>
            <rFont val="Tahoma"/>
            <family val="2"/>
          </rPr>
          <t xml:space="preserve">
0 NA
1 No solicitadas
2 Solicitadas
3 Aprobadas</t>
        </r>
      </text>
    </comment>
    <comment ref="V591" authorId="0">
      <text>
        <r>
          <rPr>
            <b/>
            <sz val="9"/>
            <color indexed="81"/>
            <rFont val="Tahoma"/>
            <family val="2"/>
          </rPr>
          <t>0 Día(s)
1 Mes (s)
2 Año(s)</t>
        </r>
      </text>
    </comment>
    <comment ref="Y591" authorId="0">
      <text>
        <r>
          <rPr>
            <sz val="9"/>
            <color indexed="81"/>
            <rFont val="Tahoma"/>
            <family val="2"/>
          </rPr>
          <t>0 Recursos propios 
1 Presupuesto de entidad nacional
2 Regalías
3 Recursos de crédito
4 SGP
5 No Aplica</t>
        </r>
      </text>
    </comment>
    <comment ref="AD591" authorId="0">
      <text>
        <r>
          <rPr>
            <b/>
            <sz val="9"/>
            <color indexed="81"/>
            <rFont val="Tahoma"/>
            <family val="2"/>
          </rPr>
          <t>0 No
1 Sí</t>
        </r>
      </text>
    </comment>
    <comment ref="AE591" authorId="0">
      <text>
        <r>
          <rPr>
            <sz val="9"/>
            <color indexed="81"/>
            <rFont val="Tahoma"/>
            <family val="2"/>
          </rPr>
          <t xml:space="preserve">
0 NA
1 No solicitadas
2 Solicitadas
3 Aprobadas</t>
        </r>
      </text>
    </comment>
    <comment ref="V592" authorId="0">
      <text>
        <r>
          <rPr>
            <b/>
            <sz val="9"/>
            <color indexed="81"/>
            <rFont val="Tahoma"/>
            <family val="2"/>
          </rPr>
          <t>0 Día(s)
1 Mes (s)
2 Año(s)</t>
        </r>
      </text>
    </comment>
    <comment ref="Y592" authorId="0">
      <text>
        <r>
          <rPr>
            <sz val="9"/>
            <color indexed="81"/>
            <rFont val="Tahoma"/>
            <family val="2"/>
          </rPr>
          <t>0 Recursos propios 
1 Presupuesto de entidad nacional
2 Regalías
3 Recursos de crédito
4 SGP
5 No Aplica</t>
        </r>
      </text>
    </comment>
    <comment ref="AD592" authorId="0">
      <text>
        <r>
          <rPr>
            <b/>
            <sz val="9"/>
            <color indexed="81"/>
            <rFont val="Tahoma"/>
            <family val="2"/>
          </rPr>
          <t>0 No
1 Sí</t>
        </r>
      </text>
    </comment>
    <comment ref="AE592" authorId="0">
      <text>
        <r>
          <rPr>
            <sz val="9"/>
            <color indexed="81"/>
            <rFont val="Tahoma"/>
            <family val="2"/>
          </rPr>
          <t xml:space="preserve">
0 NA
1 No solicitadas
2 Solicitadas
3 Aprobadas</t>
        </r>
      </text>
    </comment>
    <comment ref="V593" authorId="0">
      <text>
        <r>
          <rPr>
            <b/>
            <sz val="9"/>
            <color indexed="81"/>
            <rFont val="Tahoma"/>
            <family val="2"/>
          </rPr>
          <t>0 Día(s)
1 Mes (s)
2 Año(s)</t>
        </r>
      </text>
    </comment>
    <comment ref="Y593" authorId="0">
      <text>
        <r>
          <rPr>
            <sz val="9"/>
            <color indexed="81"/>
            <rFont val="Tahoma"/>
            <family val="2"/>
          </rPr>
          <t>0 Recursos propios 
1 Presupuesto de entidad nacional
2 Regalías
3 Recursos de crédito
4 SGP
5 No Aplica</t>
        </r>
      </text>
    </comment>
    <comment ref="AD593" authorId="0">
      <text>
        <r>
          <rPr>
            <b/>
            <sz val="9"/>
            <color indexed="81"/>
            <rFont val="Tahoma"/>
            <family val="2"/>
          </rPr>
          <t>0 No
1 Sí</t>
        </r>
      </text>
    </comment>
    <comment ref="AE593" authorId="0">
      <text>
        <r>
          <rPr>
            <sz val="9"/>
            <color indexed="81"/>
            <rFont val="Tahoma"/>
            <family val="2"/>
          </rPr>
          <t xml:space="preserve">
0 NA
1 No solicitadas
2 Solicitadas
3 Aprobadas</t>
        </r>
      </text>
    </comment>
    <comment ref="V594" authorId="0">
      <text>
        <r>
          <rPr>
            <b/>
            <sz val="9"/>
            <color indexed="81"/>
            <rFont val="Tahoma"/>
            <family val="2"/>
          </rPr>
          <t>0 Día(s)
1 Mes (s)
2 Año(s)</t>
        </r>
      </text>
    </comment>
    <comment ref="Y594" authorId="0">
      <text>
        <r>
          <rPr>
            <sz val="9"/>
            <color indexed="81"/>
            <rFont val="Tahoma"/>
            <family val="2"/>
          </rPr>
          <t>0 Recursos propios 
1 Presupuesto de entidad nacional
2 Regalías
3 Recursos de crédito
4 SGP
5 No Aplica</t>
        </r>
      </text>
    </comment>
    <comment ref="AD594" authorId="0">
      <text>
        <r>
          <rPr>
            <b/>
            <sz val="9"/>
            <color indexed="81"/>
            <rFont val="Tahoma"/>
            <family val="2"/>
          </rPr>
          <t>0 No
1 Sí</t>
        </r>
      </text>
    </comment>
    <comment ref="AE594" authorId="0">
      <text>
        <r>
          <rPr>
            <sz val="9"/>
            <color indexed="81"/>
            <rFont val="Tahoma"/>
            <family val="2"/>
          </rPr>
          <t xml:space="preserve">
0 NA
1 No solicitadas
2 Solicitadas
3 Aprobadas</t>
        </r>
      </text>
    </comment>
    <comment ref="V595" authorId="0">
      <text>
        <r>
          <rPr>
            <b/>
            <sz val="9"/>
            <color indexed="81"/>
            <rFont val="Tahoma"/>
            <family val="2"/>
          </rPr>
          <t>0 Día(s)
1 Mes (s)
2 Año(s)</t>
        </r>
      </text>
    </comment>
    <comment ref="Y595" authorId="0">
      <text>
        <r>
          <rPr>
            <sz val="9"/>
            <color indexed="81"/>
            <rFont val="Tahoma"/>
            <family val="2"/>
          </rPr>
          <t>0 Recursos propios 
1 Presupuesto de entidad nacional
2 Regalías
3 Recursos de crédito
4 SGP
5 No Aplica</t>
        </r>
      </text>
    </comment>
    <comment ref="AD595" authorId="0">
      <text>
        <r>
          <rPr>
            <b/>
            <sz val="9"/>
            <color indexed="81"/>
            <rFont val="Tahoma"/>
            <family val="2"/>
          </rPr>
          <t>0 No
1 Sí</t>
        </r>
      </text>
    </comment>
    <comment ref="AE595" authorId="0">
      <text>
        <r>
          <rPr>
            <sz val="9"/>
            <color indexed="81"/>
            <rFont val="Tahoma"/>
            <family val="2"/>
          </rPr>
          <t xml:space="preserve">
0 NA
1 No solicitadas
2 Solicitadas
3 Aprobadas</t>
        </r>
      </text>
    </comment>
    <comment ref="V596" authorId="0">
      <text>
        <r>
          <rPr>
            <b/>
            <sz val="9"/>
            <color indexed="81"/>
            <rFont val="Tahoma"/>
            <family val="2"/>
          </rPr>
          <t>0 Día(s)
1 Mes (s)
2 Año(s)</t>
        </r>
      </text>
    </comment>
    <comment ref="Y596" authorId="0">
      <text>
        <r>
          <rPr>
            <sz val="9"/>
            <color indexed="81"/>
            <rFont val="Tahoma"/>
            <family val="2"/>
          </rPr>
          <t>0 Recursos propios 
1 Presupuesto de entidad nacional
2 Regalías
3 Recursos de crédito
4 SGP
5 No Aplica</t>
        </r>
      </text>
    </comment>
    <comment ref="AD596" authorId="0">
      <text>
        <r>
          <rPr>
            <b/>
            <sz val="9"/>
            <color indexed="81"/>
            <rFont val="Tahoma"/>
            <family val="2"/>
          </rPr>
          <t>0 No
1 Sí</t>
        </r>
      </text>
    </comment>
    <comment ref="AE596" authorId="0">
      <text>
        <r>
          <rPr>
            <sz val="9"/>
            <color indexed="81"/>
            <rFont val="Tahoma"/>
            <family val="2"/>
          </rPr>
          <t xml:space="preserve">
0 NA
1 No solicitadas
2 Solicitadas
3 Aprobadas</t>
        </r>
      </text>
    </comment>
    <comment ref="V597" authorId="0">
      <text>
        <r>
          <rPr>
            <b/>
            <sz val="9"/>
            <color indexed="81"/>
            <rFont val="Tahoma"/>
            <family val="2"/>
          </rPr>
          <t>0 Día(s)
1 Mes (s)
2 Año(s)</t>
        </r>
      </text>
    </comment>
    <comment ref="Y597" authorId="0">
      <text>
        <r>
          <rPr>
            <sz val="9"/>
            <color indexed="81"/>
            <rFont val="Tahoma"/>
            <family val="2"/>
          </rPr>
          <t>0 Recursos propios 
1 Presupuesto de entidad nacional
2 Regalías
3 Recursos de crédito
4 SGP
5 No Aplica</t>
        </r>
      </text>
    </comment>
    <comment ref="AD597" authorId="0">
      <text>
        <r>
          <rPr>
            <b/>
            <sz val="9"/>
            <color indexed="81"/>
            <rFont val="Tahoma"/>
            <family val="2"/>
          </rPr>
          <t>0 No
1 Sí</t>
        </r>
      </text>
    </comment>
    <comment ref="AE597" authorId="0">
      <text>
        <r>
          <rPr>
            <sz val="9"/>
            <color indexed="81"/>
            <rFont val="Tahoma"/>
            <family val="2"/>
          </rPr>
          <t xml:space="preserve">
0 NA
1 No solicitadas
2 Solicitadas
3 Aprobadas</t>
        </r>
      </text>
    </comment>
    <comment ref="V598" authorId="0">
      <text>
        <r>
          <rPr>
            <b/>
            <sz val="9"/>
            <color indexed="81"/>
            <rFont val="Tahoma"/>
            <family val="2"/>
          </rPr>
          <t>0 Día(s)
1 Mes (s)
2 Año(s)</t>
        </r>
      </text>
    </comment>
    <comment ref="Y598" authorId="0">
      <text>
        <r>
          <rPr>
            <sz val="9"/>
            <color indexed="81"/>
            <rFont val="Tahoma"/>
            <family val="2"/>
          </rPr>
          <t>0 Recursos propios 
1 Presupuesto de entidad nacional
2 Regalías
3 Recursos de crédito
4 SGP
5 No Aplica</t>
        </r>
      </text>
    </comment>
    <comment ref="AD598" authorId="0">
      <text>
        <r>
          <rPr>
            <b/>
            <sz val="9"/>
            <color indexed="81"/>
            <rFont val="Tahoma"/>
            <family val="2"/>
          </rPr>
          <t>0 No
1 Sí</t>
        </r>
      </text>
    </comment>
    <comment ref="AE598" authorId="0">
      <text>
        <r>
          <rPr>
            <sz val="9"/>
            <color indexed="81"/>
            <rFont val="Tahoma"/>
            <family val="2"/>
          </rPr>
          <t xml:space="preserve">
0 NA
1 No solicitadas
2 Solicitadas
3 Aprobadas</t>
        </r>
      </text>
    </comment>
    <comment ref="V599" authorId="0">
      <text>
        <r>
          <rPr>
            <b/>
            <sz val="9"/>
            <color indexed="81"/>
            <rFont val="Tahoma"/>
            <family val="2"/>
          </rPr>
          <t>0 Día(s)
1 Mes (s)
2 Año(s)</t>
        </r>
      </text>
    </comment>
    <comment ref="Y599" authorId="0">
      <text>
        <r>
          <rPr>
            <sz val="9"/>
            <color indexed="81"/>
            <rFont val="Tahoma"/>
            <family val="2"/>
          </rPr>
          <t>0 Recursos propios 
1 Presupuesto de entidad nacional
2 Regalías
3 Recursos de crédito
4 SGP
5 No Aplica</t>
        </r>
      </text>
    </comment>
    <comment ref="AD599" authorId="0">
      <text>
        <r>
          <rPr>
            <b/>
            <sz val="9"/>
            <color indexed="81"/>
            <rFont val="Tahoma"/>
            <family val="2"/>
          </rPr>
          <t>0 No
1 Sí</t>
        </r>
      </text>
    </comment>
    <comment ref="AE599" authorId="0">
      <text>
        <r>
          <rPr>
            <sz val="9"/>
            <color indexed="81"/>
            <rFont val="Tahoma"/>
            <family val="2"/>
          </rPr>
          <t xml:space="preserve">
0 NA
1 No solicitadas
2 Solicitadas
3 Aprobadas</t>
        </r>
      </text>
    </comment>
    <comment ref="V600" authorId="0">
      <text>
        <r>
          <rPr>
            <b/>
            <sz val="9"/>
            <color indexed="81"/>
            <rFont val="Tahoma"/>
            <family val="2"/>
          </rPr>
          <t>0 Día(s)
1 Mes (s)
2 Año(s)</t>
        </r>
      </text>
    </comment>
    <comment ref="Y600" authorId="0">
      <text>
        <r>
          <rPr>
            <sz val="9"/>
            <color indexed="81"/>
            <rFont val="Tahoma"/>
            <family val="2"/>
          </rPr>
          <t>0 Recursos propios 
1 Presupuesto de entidad nacional
2 Regalías
3 Recursos de crédito
4 SGP
5 No Aplica</t>
        </r>
      </text>
    </comment>
    <comment ref="AD600" authorId="0">
      <text>
        <r>
          <rPr>
            <b/>
            <sz val="9"/>
            <color indexed="81"/>
            <rFont val="Tahoma"/>
            <family val="2"/>
          </rPr>
          <t>0 No
1 Sí</t>
        </r>
      </text>
    </comment>
    <comment ref="AE600" authorId="0">
      <text>
        <r>
          <rPr>
            <sz val="9"/>
            <color indexed="81"/>
            <rFont val="Tahoma"/>
            <family val="2"/>
          </rPr>
          <t xml:space="preserve">
0 NA
1 No solicitadas
2 Solicitadas
3 Aprobadas</t>
        </r>
      </text>
    </comment>
    <comment ref="V601" authorId="0">
      <text>
        <r>
          <rPr>
            <b/>
            <sz val="9"/>
            <color indexed="81"/>
            <rFont val="Tahoma"/>
            <family val="2"/>
          </rPr>
          <t>0 Día(s)
1 Mes (s)
2 Año(s)</t>
        </r>
      </text>
    </comment>
    <comment ref="Y601" authorId="0">
      <text>
        <r>
          <rPr>
            <sz val="9"/>
            <color indexed="81"/>
            <rFont val="Tahoma"/>
            <family val="2"/>
          </rPr>
          <t>0 Recursos propios 
1 Presupuesto de entidad nacional
2 Regalías
3 Recursos de crédito
4 SGP
5 No Aplica</t>
        </r>
      </text>
    </comment>
    <comment ref="AD601" authorId="0">
      <text>
        <r>
          <rPr>
            <b/>
            <sz val="9"/>
            <color indexed="81"/>
            <rFont val="Tahoma"/>
            <family val="2"/>
          </rPr>
          <t>0 No
1 Sí</t>
        </r>
      </text>
    </comment>
    <comment ref="AE601" authorId="0">
      <text>
        <r>
          <rPr>
            <sz val="9"/>
            <color indexed="81"/>
            <rFont val="Tahoma"/>
            <family val="2"/>
          </rPr>
          <t xml:space="preserve">
0 NA
1 No solicitadas
2 Solicitadas
3 Aprobadas</t>
        </r>
      </text>
    </comment>
    <comment ref="V602" authorId="0">
      <text>
        <r>
          <rPr>
            <b/>
            <sz val="9"/>
            <color indexed="81"/>
            <rFont val="Tahoma"/>
            <family val="2"/>
          </rPr>
          <t>0 Día(s)
1 Mes (s)
2 Año(s)</t>
        </r>
      </text>
    </comment>
    <comment ref="Y602" authorId="0">
      <text>
        <r>
          <rPr>
            <sz val="9"/>
            <color indexed="81"/>
            <rFont val="Tahoma"/>
            <family val="2"/>
          </rPr>
          <t>0 Recursos propios 
1 Presupuesto de entidad nacional
2 Regalías
3 Recursos de crédito
4 SGP
5 No Aplica</t>
        </r>
      </text>
    </comment>
    <comment ref="AD602" authorId="0">
      <text>
        <r>
          <rPr>
            <b/>
            <sz val="9"/>
            <color indexed="81"/>
            <rFont val="Tahoma"/>
            <family val="2"/>
          </rPr>
          <t>0 No
1 Sí</t>
        </r>
      </text>
    </comment>
    <comment ref="AE602" authorId="0">
      <text>
        <r>
          <rPr>
            <sz val="9"/>
            <color indexed="81"/>
            <rFont val="Tahoma"/>
            <family val="2"/>
          </rPr>
          <t xml:space="preserve">
0 NA
1 No solicitadas
2 Solicitadas
3 Aprobadas</t>
        </r>
      </text>
    </comment>
    <comment ref="V603" authorId="0">
      <text>
        <r>
          <rPr>
            <b/>
            <sz val="9"/>
            <color indexed="81"/>
            <rFont val="Tahoma"/>
            <family val="2"/>
          </rPr>
          <t>0 Día(s)
1 Mes (s)
2 Año(s)</t>
        </r>
      </text>
    </comment>
    <comment ref="Y603" authorId="0">
      <text>
        <r>
          <rPr>
            <sz val="9"/>
            <color indexed="81"/>
            <rFont val="Tahoma"/>
            <family val="2"/>
          </rPr>
          <t>0 Recursos propios 
1 Presupuesto de entidad nacional
2 Regalías
3 Recursos de crédito
4 SGP
5 No Aplica</t>
        </r>
      </text>
    </comment>
    <comment ref="AD603" authorId="0">
      <text>
        <r>
          <rPr>
            <b/>
            <sz val="9"/>
            <color indexed="81"/>
            <rFont val="Tahoma"/>
            <family val="2"/>
          </rPr>
          <t>0 No
1 Sí</t>
        </r>
      </text>
    </comment>
    <comment ref="AE603" authorId="0">
      <text>
        <r>
          <rPr>
            <sz val="9"/>
            <color indexed="81"/>
            <rFont val="Tahoma"/>
            <family val="2"/>
          </rPr>
          <t xml:space="preserve">
0 NA
1 No solicitadas
2 Solicitadas
3 Aprobadas</t>
        </r>
      </text>
    </comment>
    <comment ref="AZ603" authorId="1">
      <text>
        <r>
          <rPr>
            <b/>
            <sz val="9"/>
            <color indexed="81"/>
            <rFont val="Tahoma"/>
            <family val="2"/>
          </rPr>
          <t>Orlando Arias:</t>
        </r>
        <r>
          <rPr>
            <sz val="9"/>
            <color indexed="81"/>
            <rFont val="Tahoma"/>
            <family val="2"/>
          </rPr>
          <t xml:space="preserve">
Reducción para traslado de recursos al proycto 11110</t>
        </r>
      </text>
    </comment>
    <comment ref="V604" authorId="0">
      <text>
        <r>
          <rPr>
            <b/>
            <sz val="9"/>
            <color indexed="81"/>
            <rFont val="Tahoma"/>
            <family val="2"/>
          </rPr>
          <t>0 Día(s)
1 Mes (s)
2 Año(s)</t>
        </r>
      </text>
    </comment>
    <comment ref="Y604" authorId="0">
      <text>
        <r>
          <rPr>
            <sz val="9"/>
            <color indexed="81"/>
            <rFont val="Tahoma"/>
            <family val="2"/>
          </rPr>
          <t>0 Recursos propios 
1 Presupuesto de entidad nacional
2 Regalías
3 Recursos de crédito
4 SGP
5 No Aplica</t>
        </r>
      </text>
    </comment>
    <comment ref="AD604" authorId="0">
      <text>
        <r>
          <rPr>
            <b/>
            <sz val="9"/>
            <color indexed="81"/>
            <rFont val="Tahoma"/>
            <family val="2"/>
          </rPr>
          <t>0 No
1 Sí</t>
        </r>
      </text>
    </comment>
    <comment ref="AE604" authorId="0">
      <text>
        <r>
          <rPr>
            <sz val="9"/>
            <color indexed="81"/>
            <rFont val="Tahoma"/>
            <family val="2"/>
          </rPr>
          <t xml:space="preserve">
0 NA
1 No solicitadas
2 Solicitadas
3 Aprobadas</t>
        </r>
      </text>
    </comment>
    <comment ref="V605" authorId="0">
      <text>
        <r>
          <rPr>
            <b/>
            <sz val="9"/>
            <color indexed="81"/>
            <rFont val="Tahoma"/>
            <family val="2"/>
          </rPr>
          <t>0 Día(s)
1 Mes (s)
2 Año(s)</t>
        </r>
      </text>
    </comment>
    <comment ref="Y605" authorId="0">
      <text>
        <r>
          <rPr>
            <sz val="9"/>
            <color indexed="81"/>
            <rFont val="Tahoma"/>
            <family val="2"/>
          </rPr>
          <t>0 Recursos propios 
1 Presupuesto de entidad nacional
2 Regalías
3 Recursos de crédito
4 SGP
5 No Aplica</t>
        </r>
      </text>
    </comment>
    <comment ref="AD605" authorId="0">
      <text>
        <r>
          <rPr>
            <b/>
            <sz val="9"/>
            <color indexed="81"/>
            <rFont val="Tahoma"/>
            <family val="2"/>
          </rPr>
          <t>0 No
1 Sí</t>
        </r>
      </text>
    </comment>
    <comment ref="AE605" authorId="0">
      <text>
        <r>
          <rPr>
            <sz val="9"/>
            <color indexed="81"/>
            <rFont val="Tahoma"/>
            <family val="2"/>
          </rPr>
          <t xml:space="preserve">
0 NA
1 No solicitadas
2 Solicitadas
3 Aprobadas</t>
        </r>
      </text>
    </comment>
    <comment ref="V606" authorId="0">
      <text>
        <r>
          <rPr>
            <b/>
            <sz val="9"/>
            <color indexed="81"/>
            <rFont val="Tahoma"/>
            <family val="2"/>
          </rPr>
          <t>0 Día(s)
1 Mes (s)
2 Año(s)</t>
        </r>
      </text>
    </comment>
    <comment ref="Y606" authorId="0">
      <text>
        <r>
          <rPr>
            <sz val="9"/>
            <color indexed="81"/>
            <rFont val="Tahoma"/>
            <family val="2"/>
          </rPr>
          <t>0 Recursos propios 
1 Presupuesto de entidad nacional
2 Regalías
3 Recursos de crédito
4 SGP
5 No Aplica</t>
        </r>
      </text>
    </comment>
    <comment ref="AD606" authorId="0">
      <text>
        <r>
          <rPr>
            <b/>
            <sz val="9"/>
            <color indexed="81"/>
            <rFont val="Tahoma"/>
            <family val="2"/>
          </rPr>
          <t>0 No
1 Sí</t>
        </r>
      </text>
    </comment>
    <comment ref="AE606" authorId="0">
      <text>
        <r>
          <rPr>
            <sz val="9"/>
            <color indexed="81"/>
            <rFont val="Tahoma"/>
            <family val="2"/>
          </rPr>
          <t xml:space="preserve">
0 NA
1 No solicitadas
2 Solicitadas
3 Aprobadas</t>
        </r>
      </text>
    </comment>
    <comment ref="V607" authorId="0">
      <text>
        <r>
          <rPr>
            <b/>
            <sz val="9"/>
            <color indexed="81"/>
            <rFont val="Tahoma"/>
            <family val="2"/>
          </rPr>
          <t>0 Día(s)
1 Mes (s)
2 Año(s)</t>
        </r>
      </text>
    </comment>
    <comment ref="Y607" authorId="0">
      <text>
        <r>
          <rPr>
            <sz val="9"/>
            <color indexed="81"/>
            <rFont val="Tahoma"/>
            <family val="2"/>
          </rPr>
          <t>0 Recursos propios 
1 Presupuesto de entidad nacional
2 Regalías
3 Recursos de crédito
4 SGP
5 No Aplica</t>
        </r>
      </text>
    </comment>
    <comment ref="AD607" authorId="0">
      <text>
        <r>
          <rPr>
            <b/>
            <sz val="9"/>
            <color indexed="81"/>
            <rFont val="Tahoma"/>
            <family val="2"/>
          </rPr>
          <t>0 No
1 Sí</t>
        </r>
      </text>
    </comment>
    <comment ref="AE607" authorId="0">
      <text>
        <r>
          <rPr>
            <sz val="9"/>
            <color indexed="81"/>
            <rFont val="Tahoma"/>
            <family val="2"/>
          </rPr>
          <t xml:space="preserve">
0 NA
1 No solicitadas
2 Solicitadas
3 Aprobadas</t>
        </r>
      </text>
    </comment>
    <comment ref="V608" authorId="0">
      <text>
        <r>
          <rPr>
            <b/>
            <sz val="9"/>
            <color indexed="81"/>
            <rFont val="Tahoma"/>
            <family val="2"/>
          </rPr>
          <t>0 Día(s)
1 Mes (s)
2 Año(s)</t>
        </r>
      </text>
    </comment>
    <comment ref="Y608" authorId="0">
      <text>
        <r>
          <rPr>
            <sz val="9"/>
            <color indexed="81"/>
            <rFont val="Tahoma"/>
            <family val="2"/>
          </rPr>
          <t>0 Recursos propios 
1 Presupuesto de entidad nacional
2 Regalías
3 Recursos de crédito
4 SGP
5 No Aplica</t>
        </r>
      </text>
    </comment>
    <comment ref="AD608" authorId="0">
      <text>
        <r>
          <rPr>
            <b/>
            <sz val="9"/>
            <color indexed="81"/>
            <rFont val="Tahoma"/>
            <family val="2"/>
          </rPr>
          <t>0 No
1 Sí</t>
        </r>
      </text>
    </comment>
    <comment ref="AE608" authorId="0">
      <text>
        <r>
          <rPr>
            <sz val="9"/>
            <color indexed="81"/>
            <rFont val="Tahoma"/>
            <family val="2"/>
          </rPr>
          <t xml:space="preserve">
0 NA
1 No solicitadas
2 Solicitadas
3 Aprobadas</t>
        </r>
      </text>
    </comment>
    <comment ref="V609" authorId="0">
      <text>
        <r>
          <rPr>
            <b/>
            <sz val="9"/>
            <color indexed="81"/>
            <rFont val="Tahoma"/>
            <family val="2"/>
          </rPr>
          <t>0 Día(s)
1 Mes (s)
2 Año(s)</t>
        </r>
      </text>
    </comment>
    <comment ref="Y609" authorId="0">
      <text>
        <r>
          <rPr>
            <sz val="9"/>
            <color indexed="81"/>
            <rFont val="Tahoma"/>
            <family val="2"/>
          </rPr>
          <t>0 Recursos propios 
1 Presupuesto de entidad nacional
2 Regalías
3 Recursos de crédito
4 SGP
5 No Aplica</t>
        </r>
      </text>
    </comment>
    <comment ref="AD609" authorId="0">
      <text>
        <r>
          <rPr>
            <b/>
            <sz val="9"/>
            <color indexed="81"/>
            <rFont val="Tahoma"/>
            <family val="2"/>
          </rPr>
          <t>0 No
1 Sí</t>
        </r>
      </text>
    </comment>
    <comment ref="AE609" authorId="0">
      <text>
        <r>
          <rPr>
            <sz val="9"/>
            <color indexed="81"/>
            <rFont val="Tahoma"/>
            <family val="2"/>
          </rPr>
          <t xml:space="preserve">
0 NA
1 No solicitadas
2 Solicitadas
3 Aprobadas</t>
        </r>
      </text>
    </comment>
    <comment ref="V610" authorId="0">
      <text>
        <r>
          <rPr>
            <b/>
            <sz val="9"/>
            <color indexed="81"/>
            <rFont val="Tahoma"/>
            <family val="2"/>
          </rPr>
          <t>0 Día(s)
1 Mes (s)
2 Año(s)</t>
        </r>
      </text>
    </comment>
    <comment ref="Y610" authorId="0">
      <text>
        <r>
          <rPr>
            <sz val="9"/>
            <color indexed="81"/>
            <rFont val="Tahoma"/>
            <family val="2"/>
          </rPr>
          <t>0 Recursos propios 
1 Presupuesto de entidad nacional
2 Regalías
3 Recursos de crédito
4 SGP
5 No Aplica</t>
        </r>
      </text>
    </comment>
    <comment ref="AD610" authorId="0">
      <text>
        <r>
          <rPr>
            <b/>
            <sz val="9"/>
            <color indexed="81"/>
            <rFont val="Tahoma"/>
            <family val="2"/>
          </rPr>
          <t>0 No
1 Sí</t>
        </r>
      </text>
    </comment>
    <comment ref="AE610" authorId="0">
      <text>
        <r>
          <rPr>
            <sz val="9"/>
            <color indexed="81"/>
            <rFont val="Tahoma"/>
            <family val="2"/>
          </rPr>
          <t xml:space="preserve">
0 NA
1 No solicitadas
2 Solicitadas
3 Aprobadas</t>
        </r>
      </text>
    </comment>
    <comment ref="V611" authorId="0">
      <text>
        <r>
          <rPr>
            <b/>
            <sz val="9"/>
            <color indexed="81"/>
            <rFont val="Tahoma"/>
            <family val="2"/>
          </rPr>
          <t>0 Día(s)
1 Mes (s)
2 Año(s)</t>
        </r>
      </text>
    </comment>
    <comment ref="Y611" authorId="0">
      <text>
        <r>
          <rPr>
            <sz val="9"/>
            <color indexed="81"/>
            <rFont val="Tahoma"/>
            <family val="2"/>
          </rPr>
          <t>0 Recursos propios 
1 Presupuesto de entidad nacional
2 Regalías
3 Recursos de crédito
4 SGP
5 No Aplica</t>
        </r>
      </text>
    </comment>
    <comment ref="AD611" authorId="0">
      <text>
        <r>
          <rPr>
            <b/>
            <sz val="9"/>
            <color indexed="81"/>
            <rFont val="Tahoma"/>
            <family val="2"/>
          </rPr>
          <t>0 No
1 Sí</t>
        </r>
      </text>
    </comment>
    <comment ref="AE611" authorId="0">
      <text>
        <r>
          <rPr>
            <sz val="9"/>
            <color indexed="81"/>
            <rFont val="Tahoma"/>
            <family val="2"/>
          </rPr>
          <t xml:space="preserve">
0 NA
1 No solicitadas
2 Solicitadas
3 Aprobadas</t>
        </r>
      </text>
    </comment>
    <comment ref="V612" authorId="0">
      <text>
        <r>
          <rPr>
            <b/>
            <sz val="9"/>
            <color indexed="81"/>
            <rFont val="Tahoma"/>
            <family val="2"/>
          </rPr>
          <t>0 Día(s)
1 Mes (s)
2 Año(s)</t>
        </r>
      </text>
    </comment>
    <comment ref="Y612" authorId="0">
      <text>
        <r>
          <rPr>
            <sz val="9"/>
            <color indexed="81"/>
            <rFont val="Tahoma"/>
            <family val="2"/>
          </rPr>
          <t>0 Recursos propios 
1 Presupuesto de entidad nacional
2 Regalías
3 Recursos de crédito
4 SGP
5 No Aplica</t>
        </r>
      </text>
    </comment>
    <comment ref="AD612" authorId="0">
      <text>
        <r>
          <rPr>
            <b/>
            <sz val="9"/>
            <color indexed="81"/>
            <rFont val="Tahoma"/>
            <family val="2"/>
          </rPr>
          <t>0 No
1 Sí</t>
        </r>
      </text>
    </comment>
    <comment ref="AE612" authorId="0">
      <text>
        <r>
          <rPr>
            <sz val="9"/>
            <color indexed="81"/>
            <rFont val="Tahoma"/>
            <family val="2"/>
          </rPr>
          <t xml:space="preserve">
0 NA
1 No solicitadas
2 Solicitadas
3 Aprobadas</t>
        </r>
      </text>
    </comment>
    <comment ref="V613" authorId="0">
      <text>
        <r>
          <rPr>
            <b/>
            <sz val="9"/>
            <color indexed="81"/>
            <rFont val="Tahoma"/>
            <family val="2"/>
          </rPr>
          <t>0 Día(s)
1 Mes (s)
2 Año(s)</t>
        </r>
      </text>
    </comment>
    <comment ref="Y613" authorId="0">
      <text>
        <r>
          <rPr>
            <sz val="9"/>
            <color indexed="81"/>
            <rFont val="Tahoma"/>
            <family val="2"/>
          </rPr>
          <t>0 Recursos propios 
1 Presupuesto de entidad nacional
2 Regalías
3 Recursos de crédito
4 SGP
5 No Aplica</t>
        </r>
      </text>
    </comment>
    <comment ref="AD613" authorId="0">
      <text>
        <r>
          <rPr>
            <b/>
            <sz val="9"/>
            <color indexed="81"/>
            <rFont val="Tahoma"/>
            <family val="2"/>
          </rPr>
          <t>0 No
1 Sí</t>
        </r>
      </text>
    </comment>
    <comment ref="AE613" authorId="0">
      <text>
        <r>
          <rPr>
            <sz val="9"/>
            <color indexed="81"/>
            <rFont val="Tahoma"/>
            <family val="2"/>
          </rPr>
          <t xml:space="preserve">
0 NA
1 No solicitadas
2 Solicitadas
3 Aprobadas</t>
        </r>
      </text>
    </comment>
    <comment ref="V614" authorId="0">
      <text>
        <r>
          <rPr>
            <b/>
            <sz val="9"/>
            <color indexed="81"/>
            <rFont val="Tahoma"/>
            <family val="2"/>
          </rPr>
          <t>0 Día(s)
1 Mes (s)
2 Año(s)</t>
        </r>
      </text>
    </comment>
    <comment ref="Y614" authorId="0">
      <text>
        <r>
          <rPr>
            <sz val="9"/>
            <color indexed="81"/>
            <rFont val="Tahoma"/>
            <family val="2"/>
          </rPr>
          <t>0 Recursos propios 
1 Presupuesto de entidad nacional
2 Regalías
3 Recursos de crédito
4 SGP
5 No Aplica</t>
        </r>
      </text>
    </comment>
    <comment ref="AD614" authorId="0">
      <text>
        <r>
          <rPr>
            <b/>
            <sz val="9"/>
            <color indexed="81"/>
            <rFont val="Tahoma"/>
            <family val="2"/>
          </rPr>
          <t>0 No
1 Sí</t>
        </r>
      </text>
    </comment>
    <comment ref="AE614" authorId="0">
      <text>
        <r>
          <rPr>
            <sz val="9"/>
            <color indexed="81"/>
            <rFont val="Tahoma"/>
            <family val="2"/>
          </rPr>
          <t xml:space="preserve">
0 NA
1 No solicitadas
2 Solicitadas
3 Aprobadas</t>
        </r>
      </text>
    </comment>
    <comment ref="V615" authorId="0">
      <text>
        <r>
          <rPr>
            <b/>
            <sz val="9"/>
            <color indexed="81"/>
            <rFont val="Tahoma"/>
            <family val="2"/>
          </rPr>
          <t>0 Día(s)
1 Mes (s)
2 Año(s)</t>
        </r>
      </text>
    </comment>
    <comment ref="Y615" authorId="0">
      <text>
        <r>
          <rPr>
            <sz val="9"/>
            <color indexed="81"/>
            <rFont val="Tahoma"/>
            <family val="2"/>
          </rPr>
          <t>0 Recursos propios 
1 Presupuesto de entidad nacional
2 Regalías
3 Recursos de crédito
4 SGP
5 No Aplica</t>
        </r>
      </text>
    </comment>
    <comment ref="AD615" authorId="0">
      <text>
        <r>
          <rPr>
            <b/>
            <sz val="9"/>
            <color indexed="81"/>
            <rFont val="Tahoma"/>
            <family val="2"/>
          </rPr>
          <t>0 No
1 Sí</t>
        </r>
      </text>
    </comment>
    <comment ref="AE615" authorId="0">
      <text>
        <r>
          <rPr>
            <sz val="9"/>
            <color indexed="81"/>
            <rFont val="Tahoma"/>
            <family val="2"/>
          </rPr>
          <t xml:space="preserve">
0 NA
1 No solicitadas
2 Solicitadas
3 Aprobadas</t>
        </r>
      </text>
    </comment>
    <comment ref="V616" authorId="0">
      <text>
        <r>
          <rPr>
            <b/>
            <sz val="9"/>
            <color indexed="81"/>
            <rFont val="Tahoma"/>
            <family val="2"/>
          </rPr>
          <t>0 Día(s)
1 Mes (s)
2 Año(s)</t>
        </r>
      </text>
    </comment>
    <comment ref="Y616" authorId="0">
      <text>
        <r>
          <rPr>
            <sz val="9"/>
            <color indexed="81"/>
            <rFont val="Tahoma"/>
            <family val="2"/>
          </rPr>
          <t>0 Recursos propios 
1 Presupuesto de entidad nacional
2 Regalías
3 Recursos de crédito
4 SGP
5 No Aplica</t>
        </r>
      </text>
    </comment>
    <comment ref="AD616" authorId="0">
      <text>
        <r>
          <rPr>
            <b/>
            <sz val="9"/>
            <color indexed="81"/>
            <rFont val="Tahoma"/>
            <family val="2"/>
          </rPr>
          <t>0 No
1 Sí</t>
        </r>
      </text>
    </comment>
    <comment ref="AE616" authorId="0">
      <text>
        <r>
          <rPr>
            <sz val="9"/>
            <color indexed="81"/>
            <rFont val="Tahoma"/>
            <family val="2"/>
          </rPr>
          <t xml:space="preserve">
0 NA
1 No solicitadas
2 Solicitadas
3 Aprobadas</t>
        </r>
      </text>
    </comment>
    <comment ref="V617" authorId="0">
      <text>
        <r>
          <rPr>
            <b/>
            <sz val="9"/>
            <color indexed="81"/>
            <rFont val="Tahoma"/>
            <family val="2"/>
          </rPr>
          <t>0 Día(s)
1 Mes (s)
2 Año(s)</t>
        </r>
      </text>
    </comment>
    <comment ref="Y617" authorId="0">
      <text>
        <r>
          <rPr>
            <sz val="9"/>
            <color indexed="81"/>
            <rFont val="Tahoma"/>
            <family val="2"/>
          </rPr>
          <t>0 Recursos propios 
1 Presupuesto de entidad nacional
2 Regalías
3 Recursos de crédito
4 SGP
5 No Aplica</t>
        </r>
      </text>
    </comment>
    <comment ref="AD617" authorId="0">
      <text>
        <r>
          <rPr>
            <b/>
            <sz val="9"/>
            <color indexed="81"/>
            <rFont val="Tahoma"/>
            <family val="2"/>
          </rPr>
          <t>0 No
1 Sí</t>
        </r>
      </text>
    </comment>
    <comment ref="AE617" authorId="0">
      <text>
        <r>
          <rPr>
            <sz val="9"/>
            <color indexed="81"/>
            <rFont val="Tahoma"/>
            <family val="2"/>
          </rPr>
          <t xml:space="preserve">
0 NA
1 No solicitadas
2 Solicitadas
3 Aprobadas</t>
        </r>
      </text>
    </comment>
    <comment ref="V618" authorId="0">
      <text>
        <r>
          <rPr>
            <b/>
            <sz val="9"/>
            <color indexed="81"/>
            <rFont val="Tahoma"/>
            <family val="2"/>
          </rPr>
          <t>0 Día(s)
1 Mes (s)
2 Año(s)</t>
        </r>
      </text>
    </comment>
    <comment ref="Y618" authorId="0">
      <text>
        <r>
          <rPr>
            <sz val="9"/>
            <color indexed="81"/>
            <rFont val="Tahoma"/>
            <family val="2"/>
          </rPr>
          <t>0 Recursos propios 
1 Presupuesto de entidad nacional
2 Regalías
3 Recursos de crédito
4 SGP
5 No Aplica</t>
        </r>
      </text>
    </comment>
    <comment ref="AD618" authorId="0">
      <text>
        <r>
          <rPr>
            <b/>
            <sz val="9"/>
            <color indexed="81"/>
            <rFont val="Tahoma"/>
            <family val="2"/>
          </rPr>
          <t>0 No
1 Sí</t>
        </r>
      </text>
    </comment>
    <comment ref="AE618" authorId="0">
      <text>
        <r>
          <rPr>
            <sz val="9"/>
            <color indexed="81"/>
            <rFont val="Tahoma"/>
            <family val="2"/>
          </rPr>
          <t xml:space="preserve">
0 NA
1 No solicitadas
2 Solicitadas
3 Aprobadas</t>
        </r>
      </text>
    </comment>
    <comment ref="V619" authorId="0">
      <text>
        <r>
          <rPr>
            <b/>
            <sz val="9"/>
            <color indexed="81"/>
            <rFont val="Tahoma"/>
            <family val="2"/>
          </rPr>
          <t>0 Día(s)
1 Mes (s)
2 Año(s)</t>
        </r>
      </text>
    </comment>
    <comment ref="Y619" authorId="0">
      <text>
        <r>
          <rPr>
            <sz val="9"/>
            <color indexed="81"/>
            <rFont val="Tahoma"/>
            <family val="2"/>
          </rPr>
          <t>0 Recursos propios 
1 Presupuesto de entidad nacional
2 Regalías
3 Recursos de crédito
4 SGP
5 No Aplica</t>
        </r>
      </text>
    </comment>
    <comment ref="AD619" authorId="0">
      <text>
        <r>
          <rPr>
            <b/>
            <sz val="9"/>
            <color indexed="81"/>
            <rFont val="Tahoma"/>
            <family val="2"/>
          </rPr>
          <t>0 No
1 Sí</t>
        </r>
      </text>
    </comment>
    <comment ref="AE619" authorId="0">
      <text>
        <r>
          <rPr>
            <sz val="9"/>
            <color indexed="81"/>
            <rFont val="Tahoma"/>
            <family val="2"/>
          </rPr>
          <t xml:space="preserve">
0 NA
1 No solicitadas
2 Solicitadas
3 Aprobadas</t>
        </r>
      </text>
    </comment>
    <comment ref="V620" authorId="0">
      <text>
        <r>
          <rPr>
            <b/>
            <sz val="9"/>
            <color indexed="81"/>
            <rFont val="Tahoma"/>
            <family val="2"/>
          </rPr>
          <t>0 Día(s)
1 Mes (s)
2 Año(s)</t>
        </r>
      </text>
    </comment>
    <comment ref="Y620" authorId="0">
      <text>
        <r>
          <rPr>
            <sz val="9"/>
            <color indexed="81"/>
            <rFont val="Tahoma"/>
            <family val="2"/>
          </rPr>
          <t>0 Recursos propios 
1 Presupuesto de entidad nacional
2 Regalías
3 Recursos de crédito
4 SGP
5 No Aplica</t>
        </r>
      </text>
    </comment>
    <comment ref="AD620" authorId="0">
      <text>
        <r>
          <rPr>
            <b/>
            <sz val="9"/>
            <color indexed="81"/>
            <rFont val="Tahoma"/>
            <family val="2"/>
          </rPr>
          <t>0 No
1 Sí</t>
        </r>
      </text>
    </comment>
    <comment ref="AE620" authorId="0">
      <text>
        <r>
          <rPr>
            <sz val="9"/>
            <color indexed="81"/>
            <rFont val="Tahoma"/>
            <family val="2"/>
          </rPr>
          <t xml:space="preserve">
0 NA
1 No solicitadas
2 Solicitadas
3 Aprobadas</t>
        </r>
      </text>
    </comment>
    <comment ref="V621" authorId="0">
      <text>
        <r>
          <rPr>
            <b/>
            <sz val="9"/>
            <color indexed="81"/>
            <rFont val="Tahoma"/>
            <family val="2"/>
          </rPr>
          <t>0 Día(s)
1 Mes (s)
2 Año(s)</t>
        </r>
      </text>
    </comment>
    <comment ref="Y621" authorId="0">
      <text>
        <r>
          <rPr>
            <sz val="9"/>
            <color indexed="81"/>
            <rFont val="Tahoma"/>
            <family val="2"/>
          </rPr>
          <t>0 Recursos propios 
1 Presupuesto de entidad nacional
2 Regalías
3 Recursos de crédito
4 SGP
5 No Aplica</t>
        </r>
      </text>
    </comment>
    <comment ref="AD621" authorId="0">
      <text>
        <r>
          <rPr>
            <b/>
            <sz val="9"/>
            <color indexed="81"/>
            <rFont val="Tahoma"/>
            <family val="2"/>
          </rPr>
          <t>0 No
1 Sí</t>
        </r>
      </text>
    </comment>
    <comment ref="AE621" authorId="0">
      <text>
        <r>
          <rPr>
            <sz val="9"/>
            <color indexed="81"/>
            <rFont val="Tahoma"/>
            <family val="2"/>
          </rPr>
          <t xml:space="preserve">
0 NA
1 No solicitadas
2 Solicitadas
3 Aprobadas</t>
        </r>
      </text>
    </comment>
    <comment ref="V622" authorId="0">
      <text>
        <r>
          <rPr>
            <b/>
            <sz val="9"/>
            <color indexed="81"/>
            <rFont val="Tahoma"/>
            <family val="2"/>
          </rPr>
          <t>0 Día(s)
1 Mes (s)
2 Año(s)</t>
        </r>
      </text>
    </comment>
    <comment ref="Y622" authorId="0">
      <text>
        <r>
          <rPr>
            <sz val="9"/>
            <color indexed="81"/>
            <rFont val="Tahoma"/>
            <family val="2"/>
          </rPr>
          <t>0 Recursos propios 
1 Presupuesto de entidad nacional
2 Regalías
3 Recursos de crédito
4 SGP
5 No Aplica</t>
        </r>
      </text>
    </comment>
    <comment ref="AD622" authorId="0">
      <text>
        <r>
          <rPr>
            <b/>
            <sz val="9"/>
            <color indexed="81"/>
            <rFont val="Tahoma"/>
            <family val="2"/>
          </rPr>
          <t>0 No
1 Sí</t>
        </r>
      </text>
    </comment>
    <comment ref="AE622" authorId="0">
      <text>
        <r>
          <rPr>
            <sz val="9"/>
            <color indexed="81"/>
            <rFont val="Tahoma"/>
            <family val="2"/>
          </rPr>
          <t xml:space="preserve">
0 NA
1 No solicitadas
2 Solicitadas
3 Aprobadas</t>
        </r>
      </text>
    </comment>
    <comment ref="V623" authorId="0">
      <text>
        <r>
          <rPr>
            <b/>
            <sz val="9"/>
            <color indexed="81"/>
            <rFont val="Tahoma"/>
            <family val="2"/>
          </rPr>
          <t>0 Día(s)
1 Mes (s)
2 Año(s)</t>
        </r>
      </text>
    </comment>
    <comment ref="Y623" authorId="0">
      <text>
        <r>
          <rPr>
            <sz val="9"/>
            <color indexed="81"/>
            <rFont val="Tahoma"/>
            <family val="2"/>
          </rPr>
          <t>0 Recursos propios 
1 Presupuesto de entidad nacional
2 Regalías
3 Recursos de crédito
4 SGP
5 No Aplica</t>
        </r>
      </text>
    </comment>
    <comment ref="AD623" authorId="0">
      <text>
        <r>
          <rPr>
            <b/>
            <sz val="9"/>
            <color indexed="81"/>
            <rFont val="Tahoma"/>
            <family val="2"/>
          </rPr>
          <t>0 No
1 Sí</t>
        </r>
      </text>
    </comment>
    <comment ref="AE623" authorId="0">
      <text>
        <r>
          <rPr>
            <sz val="9"/>
            <color indexed="81"/>
            <rFont val="Tahoma"/>
            <family val="2"/>
          </rPr>
          <t xml:space="preserve">
0 NA
1 No solicitadas
2 Solicitadas
3 Aprobadas</t>
        </r>
      </text>
    </comment>
    <comment ref="V624" authorId="0">
      <text>
        <r>
          <rPr>
            <b/>
            <sz val="9"/>
            <color indexed="81"/>
            <rFont val="Tahoma"/>
            <family val="2"/>
          </rPr>
          <t>0 Día(s)
1 Mes (s)
2 Año(s)</t>
        </r>
      </text>
    </comment>
    <comment ref="Y624" authorId="0">
      <text>
        <r>
          <rPr>
            <sz val="9"/>
            <color indexed="81"/>
            <rFont val="Tahoma"/>
            <family val="2"/>
          </rPr>
          <t>0 Recursos propios 
1 Presupuesto de entidad nacional
2 Regalías
3 Recursos de crédito
4 SGP
5 No Aplica</t>
        </r>
      </text>
    </comment>
    <comment ref="AD624" authorId="0">
      <text>
        <r>
          <rPr>
            <b/>
            <sz val="9"/>
            <color indexed="81"/>
            <rFont val="Tahoma"/>
            <family val="2"/>
          </rPr>
          <t>0 No
1 Sí</t>
        </r>
      </text>
    </comment>
    <comment ref="AE624" authorId="0">
      <text>
        <r>
          <rPr>
            <sz val="9"/>
            <color indexed="81"/>
            <rFont val="Tahoma"/>
            <family val="2"/>
          </rPr>
          <t xml:space="preserve">
0 NA
1 No solicitadas
2 Solicitadas
3 Aprobadas</t>
        </r>
      </text>
    </comment>
    <comment ref="V625" authorId="0">
      <text>
        <r>
          <rPr>
            <b/>
            <sz val="9"/>
            <color indexed="81"/>
            <rFont val="Tahoma"/>
            <family val="2"/>
          </rPr>
          <t>0 Día(s)
1 Mes (s)
2 Año(s)</t>
        </r>
      </text>
    </comment>
    <comment ref="Y625" authorId="0">
      <text>
        <r>
          <rPr>
            <sz val="9"/>
            <color indexed="81"/>
            <rFont val="Tahoma"/>
            <family val="2"/>
          </rPr>
          <t>0 Recursos propios 
1 Presupuesto de entidad nacional
2 Regalías
3 Recursos de crédito
4 SGP
5 No Aplica</t>
        </r>
      </text>
    </comment>
    <comment ref="AD625" authorId="0">
      <text>
        <r>
          <rPr>
            <b/>
            <sz val="9"/>
            <color indexed="81"/>
            <rFont val="Tahoma"/>
            <family val="2"/>
          </rPr>
          <t>0 No
1 Sí</t>
        </r>
      </text>
    </comment>
    <comment ref="AE625" authorId="0">
      <text>
        <r>
          <rPr>
            <sz val="9"/>
            <color indexed="81"/>
            <rFont val="Tahoma"/>
            <family val="2"/>
          </rPr>
          <t xml:space="preserve">
0 NA
1 No solicitadas
2 Solicitadas
3 Aprobadas</t>
        </r>
      </text>
    </comment>
    <comment ref="V626" authorId="0">
      <text>
        <r>
          <rPr>
            <b/>
            <sz val="9"/>
            <color indexed="81"/>
            <rFont val="Tahoma"/>
            <family val="2"/>
          </rPr>
          <t>0 Día(s)
1 Mes (s)
2 Año(s)</t>
        </r>
      </text>
    </comment>
    <comment ref="Y626" authorId="0">
      <text>
        <r>
          <rPr>
            <sz val="9"/>
            <color indexed="81"/>
            <rFont val="Tahoma"/>
            <family val="2"/>
          </rPr>
          <t>0 Recursos propios 
1 Presupuesto de entidad nacional
2 Regalías
3 Recursos de crédito
4 SGP
5 No Aplica</t>
        </r>
      </text>
    </comment>
    <comment ref="AD626" authorId="0">
      <text>
        <r>
          <rPr>
            <b/>
            <sz val="9"/>
            <color indexed="81"/>
            <rFont val="Tahoma"/>
            <family val="2"/>
          </rPr>
          <t>0 No
1 Sí</t>
        </r>
      </text>
    </comment>
    <comment ref="AE626" authorId="0">
      <text>
        <r>
          <rPr>
            <sz val="9"/>
            <color indexed="81"/>
            <rFont val="Tahoma"/>
            <family val="2"/>
          </rPr>
          <t xml:space="preserve">
0 NA
1 No solicitadas
2 Solicitadas
3 Aprobadas</t>
        </r>
      </text>
    </comment>
    <comment ref="V627" authorId="0">
      <text>
        <r>
          <rPr>
            <b/>
            <sz val="9"/>
            <color indexed="81"/>
            <rFont val="Tahoma"/>
            <family val="2"/>
          </rPr>
          <t>0 Día(s)
1 Mes (s)
2 Año(s)</t>
        </r>
      </text>
    </comment>
    <comment ref="Y627" authorId="0">
      <text>
        <r>
          <rPr>
            <sz val="9"/>
            <color indexed="81"/>
            <rFont val="Tahoma"/>
            <family val="2"/>
          </rPr>
          <t>0 Recursos propios 
1 Presupuesto de entidad nacional
2 Regalías
3 Recursos de crédito
4 SGP
5 No Aplica</t>
        </r>
      </text>
    </comment>
    <comment ref="AD627" authorId="0">
      <text>
        <r>
          <rPr>
            <b/>
            <sz val="9"/>
            <color indexed="81"/>
            <rFont val="Tahoma"/>
            <family val="2"/>
          </rPr>
          <t>0 No
1 Sí</t>
        </r>
      </text>
    </comment>
    <comment ref="AE627" authorId="0">
      <text>
        <r>
          <rPr>
            <sz val="9"/>
            <color indexed="81"/>
            <rFont val="Tahoma"/>
            <family val="2"/>
          </rPr>
          <t xml:space="preserve">
0 NA
1 No solicitadas
2 Solicitadas
3 Aprobadas</t>
        </r>
      </text>
    </comment>
    <comment ref="V628" authorId="0">
      <text>
        <r>
          <rPr>
            <b/>
            <sz val="9"/>
            <color indexed="81"/>
            <rFont val="Tahoma"/>
            <family val="2"/>
          </rPr>
          <t>0 Día(s)
1 Mes (s)
2 Año(s)</t>
        </r>
      </text>
    </comment>
    <comment ref="Y628" authorId="0">
      <text>
        <r>
          <rPr>
            <sz val="9"/>
            <color indexed="81"/>
            <rFont val="Tahoma"/>
            <family val="2"/>
          </rPr>
          <t>0 Recursos propios 
1 Presupuesto de entidad nacional
2 Regalías
3 Recursos de crédito
4 SGP
5 No Aplica</t>
        </r>
      </text>
    </comment>
    <comment ref="AD628" authorId="0">
      <text>
        <r>
          <rPr>
            <b/>
            <sz val="9"/>
            <color indexed="81"/>
            <rFont val="Tahoma"/>
            <family val="2"/>
          </rPr>
          <t>0 No
1 Sí</t>
        </r>
      </text>
    </comment>
    <comment ref="AE628" authorId="0">
      <text>
        <r>
          <rPr>
            <sz val="9"/>
            <color indexed="81"/>
            <rFont val="Tahoma"/>
            <family val="2"/>
          </rPr>
          <t xml:space="preserve">
0 NA
1 No solicitadas
2 Solicitadas
3 Aprobadas</t>
        </r>
      </text>
    </comment>
    <comment ref="V629" authorId="0">
      <text>
        <r>
          <rPr>
            <b/>
            <sz val="9"/>
            <color indexed="81"/>
            <rFont val="Tahoma"/>
            <family val="2"/>
          </rPr>
          <t>0 Día(s)
1 Mes (s)
2 Año(s)</t>
        </r>
      </text>
    </comment>
    <comment ref="Y629" authorId="0">
      <text>
        <r>
          <rPr>
            <sz val="9"/>
            <color indexed="81"/>
            <rFont val="Tahoma"/>
            <family val="2"/>
          </rPr>
          <t>0 Recursos propios 
1 Presupuesto de entidad nacional
2 Regalías
3 Recursos de crédito
4 SGP
5 No Aplica</t>
        </r>
      </text>
    </comment>
    <comment ref="AD629" authorId="0">
      <text>
        <r>
          <rPr>
            <b/>
            <sz val="9"/>
            <color indexed="81"/>
            <rFont val="Tahoma"/>
            <family val="2"/>
          </rPr>
          <t>0 No
1 Sí</t>
        </r>
      </text>
    </comment>
    <comment ref="AE629" authorId="0">
      <text>
        <r>
          <rPr>
            <sz val="9"/>
            <color indexed="81"/>
            <rFont val="Tahoma"/>
            <family val="2"/>
          </rPr>
          <t xml:space="preserve">
0 NA
1 No solicitadas
2 Solicitadas
3 Aprobadas</t>
        </r>
      </text>
    </comment>
    <comment ref="V630" authorId="0">
      <text>
        <r>
          <rPr>
            <b/>
            <sz val="9"/>
            <color indexed="81"/>
            <rFont val="Tahoma"/>
            <family val="2"/>
          </rPr>
          <t>0 Día(s)
1 Mes (s)
2 Año(s)</t>
        </r>
      </text>
    </comment>
    <comment ref="Y630" authorId="0">
      <text>
        <r>
          <rPr>
            <sz val="9"/>
            <color indexed="81"/>
            <rFont val="Tahoma"/>
            <family val="2"/>
          </rPr>
          <t>0 Recursos propios 
1 Presupuesto de entidad nacional
2 Regalías
3 Recursos de crédito
4 SGP
5 No Aplica</t>
        </r>
      </text>
    </comment>
    <comment ref="AD630" authorId="0">
      <text>
        <r>
          <rPr>
            <b/>
            <sz val="9"/>
            <color indexed="81"/>
            <rFont val="Tahoma"/>
            <family val="2"/>
          </rPr>
          <t>0 No
1 Sí</t>
        </r>
      </text>
    </comment>
    <comment ref="AE630" authorId="0">
      <text>
        <r>
          <rPr>
            <sz val="9"/>
            <color indexed="81"/>
            <rFont val="Tahoma"/>
            <family val="2"/>
          </rPr>
          <t xml:space="preserve">
0 NA
1 No solicitadas
2 Solicitadas
3 Aprobadas</t>
        </r>
      </text>
    </comment>
    <comment ref="V631" authorId="0">
      <text>
        <r>
          <rPr>
            <b/>
            <sz val="9"/>
            <color indexed="81"/>
            <rFont val="Tahoma"/>
            <family val="2"/>
          </rPr>
          <t>0 Día(s)
1 Mes (s)
2 Año(s)</t>
        </r>
      </text>
    </comment>
    <comment ref="Y631" authorId="0">
      <text>
        <r>
          <rPr>
            <sz val="9"/>
            <color indexed="81"/>
            <rFont val="Tahoma"/>
            <family val="2"/>
          </rPr>
          <t>0 Recursos propios 
1 Presupuesto de entidad nacional
2 Regalías
3 Recursos de crédito
4 SGP
5 No Aplica</t>
        </r>
      </text>
    </comment>
    <comment ref="AD631" authorId="0">
      <text>
        <r>
          <rPr>
            <b/>
            <sz val="9"/>
            <color indexed="81"/>
            <rFont val="Tahoma"/>
            <family val="2"/>
          </rPr>
          <t>0 No
1 Sí</t>
        </r>
      </text>
    </comment>
    <comment ref="AE631" authorId="0">
      <text>
        <r>
          <rPr>
            <sz val="9"/>
            <color indexed="81"/>
            <rFont val="Tahoma"/>
            <family val="2"/>
          </rPr>
          <t xml:space="preserve">
0 NA
1 No solicitadas
2 Solicitadas
3 Aprobadas</t>
        </r>
      </text>
    </comment>
    <comment ref="V632" authorId="0">
      <text>
        <r>
          <rPr>
            <b/>
            <sz val="9"/>
            <color indexed="81"/>
            <rFont val="Tahoma"/>
            <family val="2"/>
          </rPr>
          <t>0 Día(s)
1 Mes (s)
2 Año(s)</t>
        </r>
      </text>
    </comment>
    <comment ref="Y632" authorId="0">
      <text>
        <r>
          <rPr>
            <sz val="9"/>
            <color indexed="81"/>
            <rFont val="Tahoma"/>
            <family val="2"/>
          </rPr>
          <t>0 Recursos propios 
1 Presupuesto de entidad nacional
2 Regalías
3 Recursos de crédito
4 SGP
5 No Aplica</t>
        </r>
      </text>
    </comment>
    <comment ref="AD632" authorId="0">
      <text>
        <r>
          <rPr>
            <b/>
            <sz val="9"/>
            <color indexed="81"/>
            <rFont val="Tahoma"/>
            <family val="2"/>
          </rPr>
          <t>0 No
1 Sí</t>
        </r>
      </text>
    </comment>
    <comment ref="AE632" authorId="0">
      <text>
        <r>
          <rPr>
            <sz val="9"/>
            <color indexed="81"/>
            <rFont val="Tahoma"/>
            <family val="2"/>
          </rPr>
          <t xml:space="preserve">
0 NA
1 No solicitadas
2 Solicitadas
3 Aprobadas</t>
        </r>
      </text>
    </comment>
    <comment ref="V633" authorId="0">
      <text>
        <r>
          <rPr>
            <b/>
            <sz val="9"/>
            <color indexed="81"/>
            <rFont val="Tahoma"/>
            <family val="2"/>
          </rPr>
          <t>0 Día(s)
1 Mes (s)
2 Año(s)</t>
        </r>
      </text>
    </comment>
    <comment ref="Y633" authorId="0">
      <text>
        <r>
          <rPr>
            <sz val="9"/>
            <color indexed="81"/>
            <rFont val="Tahoma"/>
            <family val="2"/>
          </rPr>
          <t>0 Recursos propios 
1 Presupuesto de entidad nacional
2 Regalías
3 Recursos de crédito
4 SGP
5 No Aplica</t>
        </r>
      </text>
    </comment>
    <comment ref="AD633" authorId="0">
      <text>
        <r>
          <rPr>
            <b/>
            <sz val="9"/>
            <color indexed="81"/>
            <rFont val="Tahoma"/>
            <family val="2"/>
          </rPr>
          <t>0 No
1 Sí</t>
        </r>
      </text>
    </comment>
    <comment ref="AE633" authorId="0">
      <text>
        <r>
          <rPr>
            <sz val="9"/>
            <color indexed="81"/>
            <rFont val="Tahoma"/>
            <family val="2"/>
          </rPr>
          <t xml:space="preserve">
0 NA
1 No solicitadas
2 Solicitadas
3 Aprobadas</t>
        </r>
      </text>
    </comment>
    <comment ref="V634" authorId="0">
      <text>
        <r>
          <rPr>
            <b/>
            <sz val="9"/>
            <color indexed="81"/>
            <rFont val="Tahoma"/>
            <family val="2"/>
          </rPr>
          <t>0 Día(s)
1 Mes (s)
2 Año(s)</t>
        </r>
      </text>
    </comment>
    <comment ref="Y634" authorId="0">
      <text>
        <r>
          <rPr>
            <sz val="9"/>
            <color indexed="81"/>
            <rFont val="Tahoma"/>
            <family val="2"/>
          </rPr>
          <t>0 Recursos propios 
1 Presupuesto de entidad nacional
2 Regalías
3 Recursos de crédito
4 SGP
5 No Aplica</t>
        </r>
      </text>
    </comment>
    <comment ref="AD634" authorId="0">
      <text>
        <r>
          <rPr>
            <b/>
            <sz val="9"/>
            <color indexed="81"/>
            <rFont val="Tahoma"/>
            <family val="2"/>
          </rPr>
          <t>0 No
1 Sí</t>
        </r>
      </text>
    </comment>
    <comment ref="AE634" authorId="0">
      <text>
        <r>
          <rPr>
            <sz val="9"/>
            <color indexed="81"/>
            <rFont val="Tahoma"/>
            <family val="2"/>
          </rPr>
          <t xml:space="preserve">
0 NA
1 No solicitadas
2 Solicitadas
3 Aprobadas</t>
        </r>
      </text>
    </comment>
    <comment ref="V635" authorId="0">
      <text>
        <r>
          <rPr>
            <b/>
            <sz val="9"/>
            <color indexed="81"/>
            <rFont val="Tahoma"/>
            <family val="2"/>
          </rPr>
          <t>0 Día(s)
1 Mes (s)
2 Año(s)</t>
        </r>
      </text>
    </comment>
    <comment ref="Y635" authorId="0">
      <text>
        <r>
          <rPr>
            <sz val="9"/>
            <color indexed="81"/>
            <rFont val="Tahoma"/>
            <family val="2"/>
          </rPr>
          <t>0 Recursos propios 
1 Presupuesto de entidad nacional
2 Regalías
3 Recursos de crédito
4 SGP
5 No Aplica</t>
        </r>
      </text>
    </comment>
    <comment ref="AD635" authorId="0">
      <text>
        <r>
          <rPr>
            <b/>
            <sz val="9"/>
            <color indexed="81"/>
            <rFont val="Tahoma"/>
            <family val="2"/>
          </rPr>
          <t>0 No
1 Sí</t>
        </r>
      </text>
    </comment>
    <comment ref="AE635" authorId="0">
      <text>
        <r>
          <rPr>
            <sz val="9"/>
            <color indexed="81"/>
            <rFont val="Tahoma"/>
            <family val="2"/>
          </rPr>
          <t xml:space="preserve">
0 NA
1 No solicitadas
2 Solicitadas
3 Aprobadas</t>
        </r>
      </text>
    </comment>
    <comment ref="V636" authorId="0">
      <text>
        <r>
          <rPr>
            <b/>
            <sz val="9"/>
            <color indexed="81"/>
            <rFont val="Tahoma"/>
            <family val="2"/>
          </rPr>
          <t>0 Día(s)
1 Mes (s)
2 Año(s)</t>
        </r>
      </text>
    </comment>
    <comment ref="Y636" authorId="0">
      <text>
        <r>
          <rPr>
            <sz val="9"/>
            <color indexed="81"/>
            <rFont val="Tahoma"/>
            <family val="2"/>
          </rPr>
          <t>0 Recursos propios 
1 Presupuesto de entidad nacional
2 Regalías
3 Recursos de crédito
4 SGP
5 No Aplica</t>
        </r>
      </text>
    </comment>
    <comment ref="AD636" authorId="0">
      <text>
        <r>
          <rPr>
            <b/>
            <sz val="9"/>
            <color indexed="81"/>
            <rFont val="Tahoma"/>
            <family val="2"/>
          </rPr>
          <t>0 No
1 Sí</t>
        </r>
      </text>
    </comment>
    <comment ref="AE636" authorId="0">
      <text>
        <r>
          <rPr>
            <sz val="9"/>
            <color indexed="81"/>
            <rFont val="Tahoma"/>
            <family val="2"/>
          </rPr>
          <t xml:space="preserve">
0 NA
1 No solicitadas
2 Solicitadas
3 Aprobadas</t>
        </r>
      </text>
    </comment>
    <comment ref="V637" authorId="0">
      <text>
        <r>
          <rPr>
            <b/>
            <sz val="9"/>
            <color indexed="81"/>
            <rFont val="Tahoma"/>
            <family val="2"/>
          </rPr>
          <t>0 Día(s)
1 Mes (s)
2 Año(s)</t>
        </r>
      </text>
    </comment>
    <comment ref="Y637" authorId="0">
      <text>
        <r>
          <rPr>
            <sz val="9"/>
            <color indexed="81"/>
            <rFont val="Tahoma"/>
            <family val="2"/>
          </rPr>
          <t>0 Recursos propios 
1 Presupuesto de entidad nacional
2 Regalías
3 Recursos de crédito
4 SGP
5 No Aplica</t>
        </r>
      </text>
    </comment>
    <comment ref="AD637" authorId="0">
      <text>
        <r>
          <rPr>
            <b/>
            <sz val="9"/>
            <color indexed="81"/>
            <rFont val="Tahoma"/>
            <family val="2"/>
          </rPr>
          <t>0 No
1 Sí</t>
        </r>
      </text>
    </comment>
    <comment ref="AE637" authorId="0">
      <text>
        <r>
          <rPr>
            <sz val="9"/>
            <color indexed="81"/>
            <rFont val="Tahoma"/>
            <family val="2"/>
          </rPr>
          <t xml:space="preserve">
0 NA
1 No solicitadas
2 Solicitadas
3 Aprobadas</t>
        </r>
      </text>
    </comment>
    <comment ref="V638" authorId="0">
      <text>
        <r>
          <rPr>
            <b/>
            <sz val="9"/>
            <color indexed="81"/>
            <rFont val="Tahoma"/>
            <family val="2"/>
          </rPr>
          <t>0 Día(s)
1 Mes (s)
2 Año(s)</t>
        </r>
      </text>
    </comment>
    <comment ref="Y638" authorId="0">
      <text>
        <r>
          <rPr>
            <sz val="9"/>
            <color indexed="81"/>
            <rFont val="Tahoma"/>
            <family val="2"/>
          </rPr>
          <t>0 Recursos propios 
1 Presupuesto de entidad nacional
2 Regalías
3 Recursos de crédito
4 SGP
5 No Aplica</t>
        </r>
      </text>
    </comment>
    <comment ref="AD638" authorId="0">
      <text>
        <r>
          <rPr>
            <b/>
            <sz val="9"/>
            <color indexed="81"/>
            <rFont val="Tahoma"/>
            <family val="2"/>
          </rPr>
          <t>0 No
1 Sí</t>
        </r>
      </text>
    </comment>
    <comment ref="AE638" authorId="0">
      <text>
        <r>
          <rPr>
            <sz val="9"/>
            <color indexed="81"/>
            <rFont val="Tahoma"/>
            <family val="2"/>
          </rPr>
          <t xml:space="preserve">
0 NA
1 No solicitadas
2 Solicitadas
3 Aprobadas</t>
        </r>
      </text>
    </comment>
    <comment ref="V639" authorId="0">
      <text>
        <r>
          <rPr>
            <b/>
            <sz val="9"/>
            <color indexed="81"/>
            <rFont val="Tahoma"/>
            <family val="2"/>
          </rPr>
          <t>0 Día(s)
1 Mes (s)
2 Año(s)</t>
        </r>
      </text>
    </comment>
    <comment ref="Y639" authorId="0">
      <text>
        <r>
          <rPr>
            <sz val="9"/>
            <color indexed="81"/>
            <rFont val="Tahoma"/>
            <family val="2"/>
          </rPr>
          <t>0 Recursos propios 
1 Presupuesto de entidad nacional
2 Regalías
3 Recursos de crédito
4 SGP
5 No Aplica</t>
        </r>
      </text>
    </comment>
    <comment ref="AD639" authorId="0">
      <text>
        <r>
          <rPr>
            <b/>
            <sz val="9"/>
            <color indexed="81"/>
            <rFont val="Tahoma"/>
            <family val="2"/>
          </rPr>
          <t>0 No
1 Sí</t>
        </r>
      </text>
    </comment>
    <comment ref="AE639" authorId="0">
      <text>
        <r>
          <rPr>
            <sz val="9"/>
            <color indexed="81"/>
            <rFont val="Tahoma"/>
            <family val="2"/>
          </rPr>
          <t xml:space="preserve">
0 NA
1 No solicitadas
2 Solicitadas
3 Aprobadas</t>
        </r>
      </text>
    </comment>
    <comment ref="V640" authorId="0">
      <text>
        <r>
          <rPr>
            <b/>
            <sz val="9"/>
            <color indexed="81"/>
            <rFont val="Tahoma"/>
            <family val="2"/>
          </rPr>
          <t>0 Día(s)
1 Mes (s)
2 Año(s)</t>
        </r>
      </text>
    </comment>
    <comment ref="Y640" authorId="0">
      <text>
        <r>
          <rPr>
            <sz val="9"/>
            <color indexed="81"/>
            <rFont val="Tahoma"/>
            <family val="2"/>
          </rPr>
          <t>0 Recursos propios 
1 Presupuesto de entidad nacional
2 Regalías
3 Recursos de crédito
4 SGP
5 No Aplica</t>
        </r>
      </text>
    </comment>
    <comment ref="AD640" authorId="0">
      <text>
        <r>
          <rPr>
            <b/>
            <sz val="9"/>
            <color indexed="81"/>
            <rFont val="Tahoma"/>
            <family val="2"/>
          </rPr>
          <t>0 No
1 Sí</t>
        </r>
      </text>
    </comment>
    <comment ref="AE640" authorId="0">
      <text>
        <r>
          <rPr>
            <sz val="9"/>
            <color indexed="81"/>
            <rFont val="Tahoma"/>
            <family val="2"/>
          </rPr>
          <t xml:space="preserve">
0 NA
1 No solicitadas
2 Solicitadas
3 Aprobadas</t>
        </r>
      </text>
    </comment>
    <comment ref="V641" authorId="0">
      <text>
        <r>
          <rPr>
            <b/>
            <sz val="9"/>
            <color indexed="81"/>
            <rFont val="Tahoma"/>
            <family val="2"/>
          </rPr>
          <t>0 Día(s)
1 Mes (s)
2 Año(s)</t>
        </r>
      </text>
    </comment>
    <comment ref="Y641" authorId="0">
      <text>
        <r>
          <rPr>
            <sz val="9"/>
            <color indexed="81"/>
            <rFont val="Tahoma"/>
            <family val="2"/>
          </rPr>
          <t>0 Recursos propios 
1 Presupuesto de entidad nacional
2 Regalías
3 Recursos de crédito
4 SGP
5 No Aplica</t>
        </r>
      </text>
    </comment>
    <comment ref="AD641" authorId="0">
      <text>
        <r>
          <rPr>
            <b/>
            <sz val="9"/>
            <color indexed="81"/>
            <rFont val="Tahoma"/>
            <family val="2"/>
          </rPr>
          <t>0 No
1 Sí</t>
        </r>
      </text>
    </comment>
    <comment ref="AE641" authorId="0">
      <text>
        <r>
          <rPr>
            <sz val="9"/>
            <color indexed="81"/>
            <rFont val="Tahoma"/>
            <family val="2"/>
          </rPr>
          <t xml:space="preserve">
0 NA
1 No solicitadas
2 Solicitadas
3 Aprobadas</t>
        </r>
      </text>
    </comment>
    <comment ref="V642" authorId="0">
      <text>
        <r>
          <rPr>
            <b/>
            <sz val="9"/>
            <color indexed="81"/>
            <rFont val="Tahoma"/>
            <family val="2"/>
          </rPr>
          <t>0 Día(s)
1 Mes (s)
2 Año(s)</t>
        </r>
      </text>
    </comment>
    <comment ref="Y642" authorId="0">
      <text>
        <r>
          <rPr>
            <sz val="9"/>
            <color indexed="81"/>
            <rFont val="Tahoma"/>
            <family val="2"/>
          </rPr>
          <t>0 Recursos propios 
1 Presupuesto de entidad nacional
2 Regalías
3 Recursos de crédito
4 SGP
5 No Aplica</t>
        </r>
      </text>
    </comment>
    <comment ref="AD642" authorId="0">
      <text>
        <r>
          <rPr>
            <b/>
            <sz val="9"/>
            <color indexed="81"/>
            <rFont val="Tahoma"/>
            <family val="2"/>
          </rPr>
          <t>0 No
1 Sí</t>
        </r>
      </text>
    </comment>
    <comment ref="AE642" authorId="0">
      <text>
        <r>
          <rPr>
            <sz val="9"/>
            <color indexed="81"/>
            <rFont val="Tahoma"/>
            <family val="2"/>
          </rPr>
          <t xml:space="preserve">
0 NA
1 No solicitadas
2 Solicitadas
3 Aprobadas</t>
        </r>
      </text>
    </comment>
    <comment ref="V643" authorId="0">
      <text>
        <r>
          <rPr>
            <b/>
            <sz val="9"/>
            <color indexed="81"/>
            <rFont val="Tahoma"/>
            <family val="2"/>
          </rPr>
          <t>0 Día(s)
1 Mes (s)
2 Año(s)</t>
        </r>
      </text>
    </comment>
    <comment ref="Y643" authorId="0">
      <text>
        <r>
          <rPr>
            <sz val="9"/>
            <color indexed="81"/>
            <rFont val="Tahoma"/>
            <family val="2"/>
          </rPr>
          <t>0 Recursos propios 
1 Presupuesto de entidad nacional
2 Regalías
3 Recursos de crédito
4 SGP
5 No Aplica</t>
        </r>
      </text>
    </comment>
    <comment ref="AD643" authorId="0">
      <text>
        <r>
          <rPr>
            <b/>
            <sz val="9"/>
            <color indexed="81"/>
            <rFont val="Tahoma"/>
            <family val="2"/>
          </rPr>
          <t>0 No
1 Sí</t>
        </r>
      </text>
    </comment>
    <comment ref="AE643" authorId="0">
      <text>
        <r>
          <rPr>
            <sz val="9"/>
            <color indexed="81"/>
            <rFont val="Tahoma"/>
            <family val="2"/>
          </rPr>
          <t xml:space="preserve">
0 NA
1 No solicitadas
2 Solicitadas
3 Aprobadas</t>
        </r>
      </text>
    </comment>
    <comment ref="V644" authorId="0">
      <text>
        <r>
          <rPr>
            <b/>
            <sz val="9"/>
            <color indexed="81"/>
            <rFont val="Tahoma"/>
            <family val="2"/>
          </rPr>
          <t>0 Día(s)
1 Mes (s)
2 Año(s)</t>
        </r>
      </text>
    </comment>
    <comment ref="Y644" authorId="0">
      <text>
        <r>
          <rPr>
            <sz val="9"/>
            <color indexed="81"/>
            <rFont val="Tahoma"/>
            <family val="2"/>
          </rPr>
          <t>0 Recursos propios 
1 Presupuesto de entidad nacional
2 Regalías
3 Recursos de crédito
4 SGP
5 No Aplica</t>
        </r>
      </text>
    </comment>
    <comment ref="AD644" authorId="0">
      <text>
        <r>
          <rPr>
            <b/>
            <sz val="9"/>
            <color indexed="81"/>
            <rFont val="Tahoma"/>
            <family val="2"/>
          </rPr>
          <t>0 No
1 Sí</t>
        </r>
      </text>
    </comment>
    <comment ref="AE644" authorId="0">
      <text>
        <r>
          <rPr>
            <sz val="9"/>
            <color indexed="81"/>
            <rFont val="Tahoma"/>
            <family val="2"/>
          </rPr>
          <t xml:space="preserve">
0 NA
1 No solicitadas
2 Solicitadas
3 Aprobadas</t>
        </r>
      </text>
    </comment>
    <comment ref="V645" authorId="0">
      <text>
        <r>
          <rPr>
            <b/>
            <sz val="9"/>
            <color indexed="81"/>
            <rFont val="Tahoma"/>
            <family val="2"/>
          </rPr>
          <t>0 Día(s)
1 Mes (s)
2 Año(s)</t>
        </r>
      </text>
    </comment>
    <comment ref="Y645" authorId="0">
      <text>
        <r>
          <rPr>
            <sz val="9"/>
            <color indexed="81"/>
            <rFont val="Tahoma"/>
            <family val="2"/>
          </rPr>
          <t>0 Recursos propios 
1 Presupuesto de entidad nacional
2 Regalías
3 Recursos de crédito
4 SGP
5 No Aplica</t>
        </r>
      </text>
    </comment>
    <comment ref="AD645" authorId="0">
      <text>
        <r>
          <rPr>
            <b/>
            <sz val="9"/>
            <color indexed="81"/>
            <rFont val="Tahoma"/>
            <family val="2"/>
          </rPr>
          <t>0 No
1 Sí</t>
        </r>
      </text>
    </comment>
    <comment ref="AE645" authorId="0">
      <text>
        <r>
          <rPr>
            <sz val="9"/>
            <color indexed="81"/>
            <rFont val="Tahoma"/>
            <family val="2"/>
          </rPr>
          <t xml:space="preserve">
0 NA
1 No solicitadas
2 Solicitadas
3 Aprobadas</t>
        </r>
      </text>
    </comment>
    <comment ref="V646" authorId="0">
      <text>
        <r>
          <rPr>
            <b/>
            <sz val="9"/>
            <color indexed="81"/>
            <rFont val="Tahoma"/>
            <family val="2"/>
          </rPr>
          <t>0 Día(s)
1 Mes (s)
2 Año(s)</t>
        </r>
      </text>
    </comment>
    <comment ref="Y646" authorId="0">
      <text>
        <r>
          <rPr>
            <sz val="9"/>
            <color indexed="81"/>
            <rFont val="Tahoma"/>
            <family val="2"/>
          </rPr>
          <t>0 Recursos propios 
1 Presupuesto de entidad nacional
2 Regalías
3 Recursos de crédito
4 SGP
5 No Aplica</t>
        </r>
      </text>
    </comment>
    <comment ref="AD646" authorId="0">
      <text>
        <r>
          <rPr>
            <b/>
            <sz val="9"/>
            <color indexed="81"/>
            <rFont val="Tahoma"/>
            <family val="2"/>
          </rPr>
          <t>0 No
1 Sí</t>
        </r>
      </text>
    </comment>
    <comment ref="AE646" authorId="0">
      <text>
        <r>
          <rPr>
            <sz val="9"/>
            <color indexed="81"/>
            <rFont val="Tahoma"/>
            <family val="2"/>
          </rPr>
          <t xml:space="preserve">
0 NA
1 No solicitadas
2 Solicitadas
3 Aprobadas</t>
        </r>
      </text>
    </comment>
    <comment ref="V647" authorId="0">
      <text>
        <r>
          <rPr>
            <b/>
            <sz val="9"/>
            <color indexed="81"/>
            <rFont val="Tahoma"/>
            <family val="2"/>
          </rPr>
          <t>0 Día(s)
1 Mes (s)
2 Año(s)</t>
        </r>
      </text>
    </comment>
    <comment ref="Y647" authorId="0">
      <text>
        <r>
          <rPr>
            <sz val="9"/>
            <color indexed="81"/>
            <rFont val="Tahoma"/>
            <family val="2"/>
          </rPr>
          <t>0 Recursos propios 
1 Presupuesto de entidad nacional
2 Regalías
3 Recursos de crédito
4 SGP
5 No Aplica</t>
        </r>
      </text>
    </comment>
    <comment ref="AD647" authorId="0">
      <text>
        <r>
          <rPr>
            <b/>
            <sz val="9"/>
            <color indexed="81"/>
            <rFont val="Tahoma"/>
            <family val="2"/>
          </rPr>
          <t>0 No
1 Sí</t>
        </r>
      </text>
    </comment>
    <comment ref="AE647" authorId="0">
      <text>
        <r>
          <rPr>
            <sz val="9"/>
            <color indexed="81"/>
            <rFont val="Tahoma"/>
            <family val="2"/>
          </rPr>
          <t xml:space="preserve">
0 NA
1 No solicitadas
2 Solicitadas
3 Aprobadas</t>
        </r>
      </text>
    </comment>
    <comment ref="V648" authorId="0">
      <text>
        <r>
          <rPr>
            <b/>
            <sz val="9"/>
            <color indexed="81"/>
            <rFont val="Tahoma"/>
            <family val="2"/>
          </rPr>
          <t>0 Día(s)
1 Mes (s)
2 Año(s)</t>
        </r>
      </text>
    </comment>
    <comment ref="Y648" authorId="0">
      <text>
        <r>
          <rPr>
            <sz val="9"/>
            <color indexed="81"/>
            <rFont val="Tahoma"/>
            <family val="2"/>
          </rPr>
          <t>0 Recursos propios 
1 Presupuesto de entidad nacional
2 Regalías
3 Recursos de crédito
4 SGP
5 No Aplica</t>
        </r>
      </text>
    </comment>
    <comment ref="AD648" authorId="0">
      <text>
        <r>
          <rPr>
            <b/>
            <sz val="9"/>
            <color indexed="81"/>
            <rFont val="Tahoma"/>
            <family val="2"/>
          </rPr>
          <t>0 No
1 Sí</t>
        </r>
      </text>
    </comment>
    <comment ref="AE648" authorId="0">
      <text>
        <r>
          <rPr>
            <sz val="9"/>
            <color indexed="81"/>
            <rFont val="Tahoma"/>
            <family val="2"/>
          </rPr>
          <t xml:space="preserve">
0 NA
1 No solicitadas
2 Solicitadas
3 Aprobadas</t>
        </r>
      </text>
    </comment>
    <comment ref="V649" authorId="0">
      <text>
        <r>
          <rPr>
            <b/>
            <sz val="9"/>
            <color indexed="81"/>
            <rFont val="Tahoma"/>
            <family val="2"/>
          </rPr>
          <t>0 Día(s)
1 Mes (s)
2 Año(s)</t>
        </r>
      </text>
    </comment>
    <comment ref="Y649" authorId="0">
      <text>
        <r>
          <rPr>
            <sz val="9"/>
            <color indexed="81"/>
            <rFont val="Tahoma"/>
            <family val="2"/>
          </rPr>
          <t>0 Recursos propios 
1 Presupuesto de entidad nacional
2 Regalías
3 Recursos de crédito
4 SGP
5 No Aplica</t>
        </r>
      </text>
    </comment>
    <comment ref="AD649" authorId="0">
      <text>
        <r>
          <rPr>
            <b/>
            <sz val="9"/>
            <color indexed="81"/>
            <rFont val="Tahoma"/>
            <family val="2"/>
          </rPr>
          <t>0 No
1 Sí</t>
        </r>
      </text>
    </comment>
    <comment ref="AE649" authorId="0">
      <text>
        <r>
          <rPr>
            <sz val="9"/>
            <color indexed="81"/>
            <rFont val="Tahoma"/>
            <family val="2"/>
          </rPr>
          <t xml:space="preserve">
0 NA
1 No solicitadas
2 Solicitadas
3 Aprobadas</t>
        </r>
      </text>
    </comment>
    <comment ref="V650" authorId="0">
      <text>
        <r>
          <rPr>
            <b/>
            <sz val="9"/>
            <color indexed="81"/>
            <rFont val="Tahoma"/>
            <family val="2"/>
          </rPr>
          <t>0 Día(s)
1 Mes (s)
2 Año(s)</t>
        </r>
      </text>
    </comment>
    <comment ref="Y650" authorId="0">
      <text>
        <r>
          <rPr>
            <sz val="9"/>
            <color indexed="81"/>
            <rFont val="Tahoma"/>
            <family val="2"/>
          </rPr>
          <t>0 Recursos propios 
1 Presupuesto de entidad nacional
2 Regalías
3 Recursos de crédito
4 SGP
5 No Aplica</t>
        </r>
      </text>
    </comment>
    <comment ref="AD650" authorId="0">
      <text>
        <r>
          <rPr>
            <b/>
            <sz val="9"/>
            <color indexed="81"/>
            <rFont val="Tahoma"/>
            <family val="2"/>
          </rPr>
          <t>0 No
1 Sí</t>
        </r>
      </text>
    </comment>
    <comment ref="AE650" authorId="0">
      <text>
        <r>
          <rPr>
            <sz val="9"/>
            <color indexed="81"/>
            <rFont val="Tahoma"/>
            <family val="2"/>
          </rPr>
          <t xml:space="preserve">
0 NA
1 No solicitadas
2 Solicitadas
3 Aprobadas</t>
        </r>
      </text>
    </comment>
    <comment ref="V651" authorId="0">
      <text>
        <r>
          <rPr>
            <b/>
            <sz val="9"/>
            <color indexed="81"/>
            <rFont val="Tahoma"/>
            <family val="2"/>
          </rPr>
          <t>0 Día(s)
1 Mes (s)
2 Año(s)</t>
        </r>
      </text>
    </comment>
    <comment ref="Y651" authorId="0">
      <text>
        <r>
          <rPr>
            <sz val="9"/>
            <color indexed="81"/>
            <rFont val="Tahoma"/>
            <family val="2"/>
          </rPr>
          <t>0 Recursos propios 
1 Presupuesto de entidad nacional
2 Regalías
3 Recursos de crédito
4 SGP
5 No Aplica</t>
        </r>
      </text>
    </comment>
    <comment ref="AD651" authorId="0">
      <text>
        <r>
          <rPr>
            <b/>
            <sz val="9"/>
            <color indexed="81"/>
            <rFont val="Tahoma"/>
            <family val="2"/>
          </rPr>
          <t>0 No
1 Sí</t>
        </r>
      </text>
    </comment>
    <comment ref="AE651" authorId="0">
      <text>
        <r>
          <rPr>
            <sz val="9"/>
            <color indexed="81"/>
            <rFont val="Tahoma"/>
            <family val="2"/>
          </rPr>
          <t xml:space="preserve">
0 NA
1 No solicitadas
2 Solicitadas
3 Aprobadas</t>
        </r>
      </text>
    </comment>
    <comment ref="V652" authorId="0">
      <text>
        <r>
          <rPr>
            <b/>
            <sz val="9"/>
            <color indexed="81"/>
            <rFont val="Tahoma"/>
            <family val="2"/>
          </rPr>
          <t>0 Día(s)
1 Mes (s)
2 Año(s)</t>
        </r>
      </text>
    </comment>
    <comment ref="Y652" authorId="0">
      <text>
        <r>
          <rPr>
            <sz val="9"/>
            <color indexed="81"/>
            <rFont val="Tahoma"/>
            <family val="2"/>
          </rPr>
          <t>0 Recursos propios 
1 Presupuesto de entidad nacional
2 Regalías
3 Recursos de crédito
4 SGP
5 No Aplica</t>
        </r>
      </text>
    </comment>
    <comment ref="AD652" authorId="0">
      <text>
        <r>
          <rPr>
            <b/>
            <sz val="9"/>
            <color indexed="81"/>
            <rFont val="Tahoma"/>
            <family val="2"/>
          </rPr>
          <t>0 No
1 Sí</t>
        </r>
      </text>
    </comment>
    <comment ref="AE652" authorId="0">
      <text>
        <r>
          <rPr>
            <sz val="9"/>
            <color indexed="81"/>
            <rFont val="Tahoma"/>
            <family val="2"/>
          </rPr>
          <t xml:space="preserve">
0 NA
1 No solicitadas
2 Solicitadas
3 Aprobadas</t>
        </r>
      </text>
    </comment>
    <comment ref="V653" authorId="0">
      <text>
        <r>
          <rPr>
            <b/>
            <sz val="9"/>
            <color indexed="81"/>
            <rFont val="Tahoma"/>
            <family val="2"/>
          </rPr>
          <t>0 Día(s)
1 Mes (s)
2 Año(s)</t>
        </r>
      </text>
    </comment>
    <comment ref="Y653" authorId="0">
      <text>
        <r>
          <rPr>
            <sz val="9"/>
            <color indexed="81"/>
            <rFont val="Tahoma"/>
            <family val="2"/>
          </rPr>
          <t>0 Recursos propios 
1 Presupuesto de entidad nacional
2 Regalías
3 Recursos de crédito
4 SGP
5 No Aplica</t>
        </r>
      </text>
    </comment>
    <comment ref="AD653" authorId="0">
      <text>
        <r>
          <rPr>
            <b/>
            <sz val="9"/>
            <color indexed="81"/>
            <rFont val="Tahoma"/>
            <family val="2"/>
          </rPr>
          <t>0 No
1 Sí</t>
        </r>
      </text>
    </comment>
    <comment ref="AE653" authorId="0">
      <text>
        <r>
          <rPr>
            <sz val="9"/>
            <color indexed="81"/>
            <rFont val="Tahoma"/>
            <family val="2"/>
          </rPr>
          <t xml:space="preserve">
0 NA
1 No solicitadas
2 Solicitadas
3 Aprobadas</t>
        </r>
      </text>
    </comment>
    <comment ref="V654" authorId="0">
      <text>
        <r>
          <rPr>
            <b/>
            <sz val="9"/>
            <color indexed="81"/>
            <rFont val="Tahoma"/>
            <family val="2"/>
          </rPr>
          <t>0 Día(s)
1 Mes (s)
2 Año(s)</t>
        </r>
      </text>
    </comment>
    <comment ref="Y654" authorId="0">
      <text>
        <r>
          <rPr>
            <sz val="9"/>
            <color indexed="81"/>
            <rFont val="Tahoma"/>
            <family val="2"/>
          </rPr>
          <t>0 Recursos propios 
1 Presupuesto de entidad nacional
2 Regalías
3 Recursos de crédito
4 SGP
5 No Aplica</t>
        </r>
      </text>
    </comment>
    <comment ref="AD654" authorId="0">
      <text>
        <r>
          <rPr>
            <b/>
            <sz val="9"/>
            <color indexed="81"/>
            <rFont val="Tahoma"/>
            <family val="2"/>
          </rPr>
          <t>0 No
1 Sí</t>
        </r>
      </text>
    </comment>
    <comment ref="AE654" authorId="0">
      <text>
        <r>
          <rPr>
            <sz val="9"/>
            <color indexed="81"/>
            <rFont val="Tahoma"/>
            <family val="2"/>
          </rPr>
          <t xml:space="preserve">
0 NA
1 No solicitadas
2 Solicitadas
3 Aprobadas</t>
        </r>
      </text>
    </comment>
    <comment ref="V655" authorId="0">
      <text>
        <r>
          <rPr>
            <b/>
            <sz val="9"/>
            <color indexed="81"/>
            <rFont val="Tahoma"/>
            <family val="2"/>
          </rPr>
          <t>0 Día(s)
1 Mes (s)
2 Año(s)</t>
        </r>
      </text>
    </comment>
    <comment ref="Y655" authorId="0">
      <text>
        <r>
          <rPr>
            <sz val="9"/>
            <color indexed="81"/>
            <rFont val="Tahoma"/>
            <family val="2"/>
          </rPr>
          <t>0 Recursos propios 
1 Presupuesto de entidad nacional
2 Regalías
3 Recursos de crédito
4 SGP
5 No Aplica</t>
        </r>
      </text>
    </comment>
    <comment ref="AD655" authorId="0">
      <text>
        <r>
          <rPr>
            <b/>
            <sz val="9"/>
            <color indexed="81"/>
            <rFont val="Tahoma"/>
            <family val="2"/>
          </rPr>
          <t>0 No
1 Sí</t>
        </r>
      </text>
    </comment>
    <comment ref="AE655" authorId="0">
      <text>
        <r>
          <rPr>
            <sz val="9"/>
            <color indexed="81"/>
            <rFont val="Tahoma"/>
            <family val="2"/>
          </rPr>
          <t xml:space="preserve">
0 NA
1 No solicitadas
2 Solicitadas
3 Aprobadas</t>
        </r>
      </text>
    </comment>
    <comment ref="V656" authorId="0">
      <text>
        <r>
          <rPr>
            <b/>
            <sz val="9"/>
            <color indexed="81"/>
            <rFont val="Tahoma"/>
            <family val="2"/>
          </rPr>
          <t>0 Día(s)
1 Mes (s)
2 Año(s)</t>
        </r>
      </text>
    </comment>
    <comment ref="Y656" authorId="0">
      <text>
        <r>
          <rPr>
            <sz val="9"/>
            <color indexed="81"/>
            <rFont val="Tahoma"/>
            <family val="2"/>
          </rPr>
          <t>0 Recursos propios 
1 Presupuesto de entidad nacional
2 Regalías
3 Recursos de crédito
4 SGP
5 No Aplica</t>
        </r>
      </text>
    </comment>
    <comment ref="AD656" authorId="0">
      <text>
        <r>
          <rPr>
            <b/>
            <sz val="9"/>
            <color indexed="81"/>
            <rFont val="Tahoma"/>
            <family val="2"/>
          </rPr>
          <t>0 No
1 Sí</t>
        </r>
      </text>
    </comment>
    <comment ref="AE656" authorId="0">
      <text>
        <r>
          <rPr>
            <sz val="9"/>
            <color indexed="81"/>
            <rFont val="Tahoma"/>
            <family val="2"/>
          </rPr>
          <t xml:space="preserve">
0 NA
1 No solicitadas
2 Solicitadas
3 Aprobadas</t>
        </r>
      </text>
    </comment>
    <comment ref="V657" authorId="0">
      <text>
        <r>
          <rPr>
            <b/>
            <sz val="9"/>
            <color indexed="81"/>
            <rFont val="Tahoma"/>
            <family val="2"/>
          </rPr>
          <t>0 Día(s)
1 Mes (s)
2 Año(s)</t>
        </r>
      </text>
    </comment>
    <comment ref="Y657" authorId="0">
      <text>
        <r>
          <rPr>
            <sz val="9"/>
            <color indexed="81"/>
            <rFont val="Tahoma"/>
            <family val="2"/>
          </rPr>
          <t>0 Recursos propios 
1 Presupuesto de entidad nacional
2 Regalías
3 Recursos de crédito
4 SGP
5 No Aplica</t>
        </r>
      </text>
    </comment>
    <comment ref="AD657" authorId="0">
      <text>
        <r>
          <rPr>
            <b/>
            <sz val="9"/>
            <color indexed="81"/>
            <rFont val="Tahoma"/>
            <family val="2"/>
          </rPr>
          <t>0 No
1 Sí</t>
        </r>
      </text>
    </comment>
    <comment ref="AE657" authorId="0">
      <text>
        <r>
          <rPr>
            <sz val="9"/>
            <color indexed="81"/>
            <rFont val="Tahoma"/>
            <family val="2"/>
          </rPr>
          <t xml:space="preserve">
0 NA
1 No solicitadas
2 Solicitadas
3 Aprobadas</t>
        </r>
      </text>
    </comment>
    <comment ref="V658" authorId="0">
      <text>
        <r>
          <rPr>
            <b/>
            <sz val="9"/>
            <color indexed="81"/>
            <rFont val="Tahoma"/>
            <family val="2"/>
          </rPr>
          <t>0 Día(s)
1 Mes (s)
2 Año(s)</t>
        </r>
      </text>
    </comment>
    <comment ref="Y658" authorId="0">
      <text>
        <r>
          <rPr>
            <sz val="9"/>
            <color indexed="81"/>
            <rFont val="Tahoma"/>
            <family val="2"/>
          </rPr>
          <t>0 Recursos propios 
1 Presupuesto de entidad nacional
2 Regalías
3 Recursos de crédito
4 SGP
5 No Aplica</t>
        </r>
      </text>
    </comment>
    <comment ref="AD658" authorId="0">
      <text>
        <r>
          <rPr>
            <b/>
            <sz val="9"/>
            <color indexed="81"/>
            <rFont val="Tahoma"/>
            <family val="2"/>
          </rPr>
          <t>0 No
1 Sí</t>
        </r>
      </text>
    </comment>
    <comment ref="AE658" authorId="0">
      <text>
        <r>
          <rPr>
            <sz val="9"/>
            <color indexed="81"/>
            <rFont val="Tahoma"/>
            <family val="2"/>
          </rPr>
          <t xml:space="preserve">
0 NA
1 No solicitadas
2 Solicitadas
3 Aprobadas</t>
        </r>
      </text>
    </comment>
    <comment ref="V659" authorId="0">
      <text>
        <r>
          <rPr>
            <b/>
            <sz val="9"/>
            <color indexed="81"/>
            <rFont val="Tahoma"/>
            <family val="2"/>
          </rPr>
          <t>0 Día(s)
1 Mes (s)
2 Año(s)</t>
        </r>
      </text>
    </comment>
    <comment ref="Y659" authorId="0">
      <text>
        <r>
          <rPr>
            <sz val="9"/>
            <color indexed="81"/>
            <rFont val="Tahoma"/>
            <family val="2"/>
          </rPr>
          <t>0 Recursos propios 
1 Presupuesto de entidad nacional
2 Regalías
3 Recursos de crédito
4 SGP
5 No Aplica</t>
        </r>
      </text>
    </comment>
    <comment ref="AD659" authorId="0">
      <text>
        <r>
          <rPr>
            <b/>
            <sz val="9"/>
            <color indexed="81"/>
            <rFont val="Tahoma"/>
            <family val="2"/>
          </rPr>
          <t>0 No
1 Sí</t>
        </r>
      </text>
    </comment>
    <comment ref="AE659" authorId="0">
      <text>
        <r>
          <rPr>
            <sz val="9"/>
            <color indexed="81"/>
            <rFont val="Tahoma"/>
            <family val="2"/>
          </rPr>
          <t xml:space="preserve">
0 NA
1 No solicitadas
2 Solicitadas
3 Aprobadas</t>
        </r>
      </text>
    </comment>
    <comment ref="V660" authorId="0">
      <text>
        <r>
          <rPr>
            <b/>
            <sz val="9"/>
            <color indexed="81"/>
            <rFont val="Tahoma"/>
            <family val="2"/>
          </rPr>
          <t>0 Día(s)
1 Mes (s)
2 Año(s)</t>
        </r>
      </text>
    </comment>
    <comment ref="Y660" authorId="0">
      <text>
        <r>
          <rPr>
            <sz val="9"/>
            <color indexed="81"/>
            <rFont val="Tahoma"/>
            <family val="2"/>
          </rPr>
          <t>0 Recursos propios 
1 Presupuesto de entidad nacional
2 Regalías
3 Recursos de crédito
4 SGP
5 No Aplica</t>
        </r>
      </text>
    </comment>
    <comment ref="AD660" authorId="0">
      <text>
        <r>
          <rPr>
            <b/>
            <sz val="9"/>
            <color indexed="81"/>
            <rFont val="Tahoma"/>
            <family val="2"/>
          </rPr>
          <t>0 No
1 Sí</t>
        </r>
      </text>
    </comment>
    <comment ref="AE660" authorId="0">
      <text>
        <r>
          <rPr>
            <sz val="9"/>
            <color indexed="81"/>
            <rFont val="Tahoma"/>
            <family val="2"/>
          </rPr>
          <t xml:space="preserve">
0 NA
1 No solicitadas
2 Solicitadas
3 Aprobadas</t>
        </r>
      </text>
    </comment>
    <comment ref="V661" authorId="0">
      <text>
        <r>
          <rPr>
            <b/>
            <sz val="9"/>
            <color indexed="81"/>
            <rFont val="Tahoma"/>
            <family val="2"/>
          </rPr>
          <t>0 Día(s)
1 Mes (s)
2 Año(s)</t>
        </r>
      </text>
    </comment>
    <comment ref="Y661" authorId="0">
      <text>
        <r>
          <rPr>
            <sz val="9"/>
            <color indexed="81"/>
            <rFont val="Tahoma"/>
            <family val="2"/>
          </rPr>
          <t>0 Recursos propios 
1 Presupuesto de entidad nacional
2 Regalías
3 Recursos de crédito
4 SGP
5 No Aplica</t>
        </r>
      </text>
    </comment>
    <comment ref="AD661" authorId="0">
      <text>
        <r>
          <rPr>
            <b/>
            <sz val="9"/>
            <color indexed="81"/>
            <rFont val="Tahoma"/>
            <family val="2"/>
          </rPr>
          <t>0 No
1 Sí</t>
        </r>
      </text>
    </comment>
    <comment ref="AE661" authorId="0">
      <text>
        <r>
          <rPr>
            <sz val="9"/>
            <color indexed="81"/>
            <rFont val="Tahoma"/>
            <family val="2"/>
          </rPr>
          <t xml:space="preserve">
0 NA
1 No solicitadas
2 Solicitadas
3 Aprobadas</t>
        </r>
      </text>
    </comment>
    <comment ref="V662" authorId="0">
      <text>
        <r>
          <rPr>
            <b/>
            <sz val="9"/>
            <color indexed="81"/>
            <rFont val="Tahoma"/>
            <family val="2"/>
          </rPr>
          <t>0 Día(s)
1 Mes (s)
2 Año(s)</t>
        </r>
      </text>
    </comment>
    <comment ref="Y662" authorId="0">
      <text>
        <r>
          <rPr>
            <sz val="9"/>
            <color indexed="81"/>
            <rFont val="Tahoma"/>
            <family val="2"/>
          </rPr>
          <t>0 Recursos propios 
1 Presupuesto de entidad nacional
2 Regalías
3 Recursos de crédito
4 SGP
5 No Aplica</t>
        </r>
      </text>
    </comment>
    <comment ref="AD662" authorId="0">
      <text>
        <r>
          <rPr>
            <b/>
            <sz val="9"/>
            <color indexed="81"/>
            <rFont val="Tahoma"/>
            <family val="2"/>
          </rPr>
          <t>0 No
1 Sí</t>
        </r>
      </text>
    </comment>
    <comment ref="AE662" authorId="0">
      <text>
        <r>
          <rPr>
            <sz val="9"/>
            <color indexed="81"/>
            <rFont val="Tahoma"/>
            <family val="2"/>
          </rPr>
          <t xml:space="preserve">
0 NA
1 No solicitadas
2 Solicitadas
3 Aprobadas</t>
        </r>
      </text>
    </comment>
    <comment ref="V663" authorId="0">
      <text>
        <r>
          <rPr>
            <b/>
            <sz val="9"/>
            <color indexed="81"/>
            <rFont val="Tahoma"/>
            <family val="2"/>
          </rPr>
          <t>0 Día(s)
1 Mes (s)
2 Año(s)</t>
        </r>
      </text>
    </comment>
    <comment ref="Y663" authorId="0">
      <text>
        <r>
          <rPr>
            <sz val="9"/>
            <color indexed="81"/>
            <rFont val="Tahoma"/>
            <family val="2"/>
          </rPr>
          <t>0 Recursos propios 
1 Presupuesto de entidad nacional
2 Regalías
3 Recursos de crédito
4 SGP
5 No Aplica</t>
        </r>
      </text>
    </comment>
    <comment ref="AD663" authorId="0">
      <text>
        <r>
          <rPr>
            <b/>
            <sz val="9"/>
            <color indexed="81"/>
            <rFont val="Tahoma"/>
            <family val="2"/>
          </rPr>
          <t>0 No
1 Sí</t>
        </r>
      </text>
    </comment>
    <comment ref="AE663" authorId="0">
      <text>
        <r>
          <rPr>
            <sz val="9"/>
            <color indexed="81"/>
            <rFont val="Tahoma"/>
            <family val="2"/>
          </rPr>
          <t xml:space="preserve">
0 NA
1 No solicitadas
2 Solicitadas
3 Aprobadas</t>
        </r>
      </text>
    </comment>
    <comment ref="V664" authorId="0">
      <text>
        <r>
          <rPr>
            <b/>
            <sz val="9"/>
            <color indexed="81"/>
            <rFont val="Tahoma"/>
            <family val="2"/>
          </rPr>
          <t>0 Día(s)
1 Mes (s)
2 Año(s)</t>
        </r>
      </text>
    </comment>
    <comment ref="Y664" authorId="0">
      <text>
        <r>
          <rPr>
            <sz val="9"/>
            <color indexed="81"/>
            <rFont val="Tahoma"/>
            <family val="2"/>
          </rPr>
          <t>0 Recursos propios 
1 Presupuesto de entidad nacional
2 Regalías
3 Recursos de crédito
4 SGP
5 No Aplica</t>
        </r>
      </text>
    </comment>
    <comment ref="AD664" authorId="0">
      <text>
        <r>
          <rPr>
            <b/>
            <sz val="9"/>
            <color indexed="81"/>
            <rFont val="Tahoma"/>
            <family val="2"/>
          </rPr>
          <t>0 No
1 Sí</t>
        </r>
      </text>
    </comment>
    <comment ref="AE664" authorId="0">
      <text>
        <r>
          <rPr>
            <sz val="9"/>
            <color indexed="81"/>
            <rFont val="Tahoma"/>
            <family val="2"/>
          </rPr>
          <t xml:space="preserve">
0 NA
1 No solicitadas
2 Solicitadas
3 Aprobadas</t>
        </r>
      </text>
    </comment>
    <comment ref="V665" authorId="0">
      <text>
        <r>
          <rPr>
            <b/>
            <sz val="9"/>
            <color indexed="81"/>
            <rFont val="Tahoma"/>
            <family val="2"/>
          </rPr>
          <t>0 Día(s)
1 Mes (s)
2 Año(s)</t>
        </r>
      </text>
    </comment>
    <comment ref="Y665" authorId="0">
      <text>
        <r>
          <rPr>
            <sz val="9"/>
            <color indexed="81"/>
            <rFont val="Tahoma"/>
            <family val="2"/>
          </rPr>
          <t>0 Recursos propios 
1 Presupuesto de entidad nacional
2 Regalías
3 Recursos de crédito
4 SGP
5 No Aplica</t>
        </r>
      </text>
    </comment>
    <comment ref="AD665" authorId="0">
      <text>
        <r>
          <rPr>
            <b/>
            <sz val="9"/>
            <color indexed="81"/>
            <rFont val="Tahoma"/>
            <family val="2"/>
          </rPr>
          <t>0 No
1 Sí</t>
        </r>
      </text>
    </comment>
    <comment ref="AE665" authorId="0">
      <text>
        <r>
          <rPr>
            <sz val="9"/>
            <color indexed="81"/>
            <rFont val="Tahoma"/>
            <family val="2"/>
          </rPr>
          <t xml:space="preserve">
0 NA
1 No solicitadas
2 Solicitadas
3 Aprobadas</t>
        </r>
      </text>
    </comment>
    <comment ref="V666" authorId="0">
      <text>
        <r>
          <rPr>
            <b/>
            <sz val="9"/>
            <color indexed="81"/>
            <rFont val="Tahoma"/>
            <family val="2"/>
          </rPr>
          <t>0 Día(s)
1 Mes (s)
2 Año(s)</t>
        </r>
      </text>
    </comment>
    <comment ref="Y666" authorId="0">
      <text>
        <r>
          <rPr>
            <sz val="9"/>
            <color indexed="81"/>
            <rFont val="Tahoma"/>
            <family val="2"/>
          </rPr>
          <t>0 Recursos propios 
1 Presupuesto de entidad nacional
2 Regalías
3 Recursos de crédito
4 SGP
5 No Aplica</t>
        </r>
      </text>
    </comment>
    <comment ref="AD666" authorId="0">
      <text>
        <r>
          <rPr>
            <b/>
            <sz val="9"/>
            <color indexed="81"/>
            <rFont val="Tahoma"/>
            <family val="2"/>
          </rPr>
          <t>0 No
1 Sí</t>
        </r>
      </text>
    </comment>
    <comment ref="AE666" authorId="0">
      <text>
        <r>
          <rPr>
            <sz val="9"/>
            <color indexed="81"/>
            <rFont val="Tahoma"/>
            <family val="2"/>
          </rPr>
          <t xml:space="preserve">
0 NA
1 No solicitadas
2 Solicitadas
3 Aprobadas</t>
        </r>
      </text>
    </comment>
    <comment ref="V667" authorId="0">
      <text>
        <r>
          <rPr>
            <b/>
            <sz val="9"/>
            <color indexed="81"/>
            <rFont val="Tahoma"/>
            <family val="2"/>
          </rPr>
          <t>0 Día(s)
1 Mes (s)
2 Año(s)</t>
        </r>
      </text>
    </comment>
    <comment ref="Y667" authorId="0">
      <text>
        <r>
          <rPr>
            <sz val="9"/>
            <color indexed="81"/>
            <rFont val="Tahoma"/>
            <family val="2"/>
          </rPr>
          <t>0 Recursos propios 
1 Presupuesto de entidad nacional
2 Regalías
3 Recursos de crédito
4 SGP
5 No Aplica</t>
        </r>
      </text>
    </comment>
    <comment ref="AD667" authorId="0">
      <text>
        <r>
          <rPr>
            <b/>
            <sz val="9"/>
            <color indexed="81"/>
            <rFont val="Tahoma"/>
            <family val="2"/>
          </rPr>
          <t>0 No
1 Sí</t>
        </r>
      </text>
    </comment>
    <comment ref="AE667" authorId="0">
      <text>
        <r>
          <rPr>
            <sz val="9"/>
            <color indexed="81"/>
            <rFont val="Tahoma"/>
            <family val="2"/>
          </rPr>
          <t xml:space="preserve">
0 NA
1 No solicitadas
2 Solicitadas
3 Aprobadas</t>
        </r>
      </text>
    </comment>
    <comment ref="V668" authorId="0">
      <text>
        <r>
          <rPr>
            <b/>
            <sz val="9"/>
            <color indexed="81"/>
            <rFont val="Tahoma"/>
            <family val="2"/>
          </rPr>
          <t>0 Día(s)
1 Mes (s)
2 Año(s)</t>
        </r>
      </text>
    </comment>
    <comment ref="Y668" authorId="0">
      <text>
        <r>
          <rPr>
            <sz val="9"/>
            <color indexed="81"/>
            <rFont val="Tahoma"/>
            <family val="2"/>
          </rPr>
          <t>0 Recursos propios 
1 Presupuesto de entidad nacional
2 Regalías
3 Recursos de crédito
4 SGP
5 No Aplica</t>
        </r>
      </text>
    </comment>
    <comment ref="AD668" authorId="0">
      <text>
        <r>
          <rPr>
            <b/>
            <sz val="9"/>
            <color indexed="81"/>
            <rFont val="Tahoma"/>
            <family val="2"/>
          </rPr>
          <t>0 No
1 Sí</t>
        </r>
      </text>
    </comment>
    <comment ref="AE668" authorId="0">
      <text>
        <r>
          <rPr>
            <sz val="9"/>
            <color indexed="81"/>
            <rFont val="Tahoma"/>
            <family val="2"/>
          </rPr>
          <t xml:space="preserve">
0 NA
1 No solicitadas
2 Solicitadas
3 Aprobadas</t>
        </r>
      </text>
    </comment>
    <comment ref="V669" authorId="0">
      <text>
        <r>
          <rPr>
            <b/>
            <sz val="9"/>
            <color indexed="81"/>
            <rFont val="Tahoma"/>
            <family val="2"/>
          </rPr>
          <t>0 Día(s)
1 Mes (s)
2 Año(s)</t>
        </r>
      </text>
    </comment>
    <comment ref="Y669" authorId="0">
      <text>
        <r>
          <rPr>
            <sz val="9"/>
            <color indexed="81"/>
            <rFont val="Tahoma"/>
            <family val="2"/>
          </rPr>
          <t>0 Recursos propios 
1 Presupuesto de entidad nacional
2 Regalías
3 Recursos de crédito
4 SGP
5 No Aplica</t>
        </r>
      </text>
    </comment>
    <comment ref="AD669" authorId="0">
      <text>
        <r>
          <rPr>
            <b/>
            <sz val="9"/>
            <color indexed="81"/>
            <rFont val="Tahoma"/>
            <family val="2"/>
          </rPr>
          <t>0 No
1 Sí</t>
        </r>
      </text>
    </comment>
    <comment ref="AE669" authorId="0">
      <text>
        <r>
          <rPr>
            <sz val="9"/>
            <color indexed="81"/>
            <rFont val="Tahoma"/>
            <family val="2"/>
          </rPr>
          <t xml:space="preserve">
0 NA
1 No solicitadas
2 Solicitadas
3 Aprobadas</t>
        </r>
      </text>
    </comment>
    <comment ref="V670" authorId="0">
      <text>
        <r>
          <rPr>
            <b/>
            <sz val="9"/>
            <color indexed="81"/>
            <rFont val="Tahoma"/>
            <family val="2"/>
          </rPr>
          <t>0 Día(s)
1 Mes (s)
2 Año(s)</t>
        </r>
      </text>
    </comment>
    <comment ref="Y670" authorId="0">
      <text>
        <r>
          <rPr>
            <sz val="9"/>
            <color indexed="81"/>
            <rFont val="Tahoma"/>
            <family val="2"/>
          </rPr>
          <t>0 Recursos propios 
1 Presupuesto de entidad nacional
2 Regalías
3 Recursos de crédito
4 SGP
5 No Aplica</t>
        </r>
      </text>
    </comment>
    <comment ref="AD670" authorId="0">
      <text>
        <r>
          <rPr>
            <b/>
            <sz val="9"/>
            <color indexed="81"/>
            <rFont val="Tahoma"/>
            <family val="2"/>
          </rPr>
          <t>0 No
1 Sí</t>
        </r>
      </text>
    </comment>
    <comment ref="AE670" authorId="0">
      <text>
        <r>
          <rPr>
            <sz val="9"/>
            <color indexed="81"/>
            <rFont val="Tahoma"/>
            <family val="2"/>
          </rPr>
          <t xml:space="preserve">
0 NA
1 No solicitadas
2 Solicitadas
3 Aprobadas</t>
        </r>
      </text>
    </comment>
    <comment ref="V671" authorId="0">
      <text>
        <r>
          <rPr>
            <b/>
            <sz val="9"/>
            <color indexed="81"/>
            <rFont val="Tahoma"/>
            <family val="2"/>
          </rPr>
          <t>0 Día(s)
1 Mes (s)
2 Año(s)</t>
        </r>
      </text>
    </comment>
    <comment ref="Y671" authorId="0">
      <text>
        <r>
          <rPr>
            <sz val="9"/>
            <color indexed="81"/>
            <rFont val="Tahoma"/>
            <family val="2"/>
          </rPr>
          <t>0 Recursos propios 
1 Presupuesto de entidad nacional
2 Regalías
3 Recursos de crédito
4 SGP
5 No Aplica</t>
        </r>
      </text>
    </comment>
    <comment ref="AD671" authorId="0">
      <text>
        <r>
          <rPr>
            <b/>
            <sz val="9"/>
            <color indexed="81"/>
            <rFont val="Tahoma"/>
            <family val="2"/>
          </rPr>
          <t>0 No
1 Sí</t>
        </r>
      </text>
    </comment>
    <comment ref="AE671" authorId="0">
      <text>
        <r>
          <rPr>
            <sz val="9"/>
            <color indexed="81"/>
            <rFont val="Tahoma"/>
            <family val="2"/>
          </rPr>
          <t xml:space="preserve">
0 NA
1 No solicitadas
2 Solicitadas
3 Aprobadas</t>
        </r>
      </text>
    </comment>
    <comment ref="V672" authorId="0">
      <text>
        <r>
          <rPr>
            <b/>
            <sz val="9"/>
            <color indexed="81"/>
            <rFont val="Tahoma"/>
            <family val="2"/>
          </rPr>
          <t>0 Día(s)
1 Mes (s)
2 Año(s)</t>
        </r>
      </text>
    </comment>
    <comment ref="Y672" authorId="0">
      <text>
        <r>
          <rPr>
            <sz val="9"/>
            <color indexed="81"/>
            <rFont val="Tahoma"/>
            <family val="2"/>
          </rPr>
          <t>0 Recursos propios 
1 Presupuesto de entidad nacional
2 Regalías
3 Recursos de crédito
4 SGP
5 No Aplica</t>
        </r>
      </text>
    </comment>
    <comment ref="AD672" authorId="0">
      <text>
        <r>
          <rPr>
            <b/>
            <sz val="9"/>
            <color indexed="81"/>
            <rFont val="Tahoma"/>
            <family val="2"/>
          </rPr>
          <t>0 No
1 Sí</t>
        </r>
      </text>
    </comment>
    <comment ref="AE672" authorId="0">
      <text>
        <r>
          <rPr>
            <sz val="9"/>
            <color indexed="81"/>
            <rFont val="Tahoma"/>
            <family val="2"/>
          </rPr>
          <t xml:space="preserve">
0 NA
1 No solicitadas
2 Solicitadas
3 Aprobadas</t>
        </r>
      </text>
    </comment>
    <comment ref="V673" authorId="0">
      <text>
        <r>
          <rPr>
            <b/>
            <sz val="9"/>
            <color indexed="81"/>
            <rFont val="Tahoma"/>
            <family val="2"/>
          </rPr>
          <t>0 Día(s)
1 Mes (s)
2 Año(s)</t>
        </r>
      </text>
    </comment>
    <comment ref="Y673" authorId="0">
      <text>
        <r>
          <rPr>
            <sz val="9"/>
            <color indexed="81"/>
            <rFont val="Tahoma"/>
            <family val="2"/>
          </rPr>
          <t>0 Recursos propios 
1 Presupuesto de entidad nacional
2 Regalías
3 Recursos de crédito
4 SGP
5 No Aplica</t>
        </r>
      </text>
    </comment>
    <comment ref="AD673" authorId="0">
      <text>
        <r>
          <rPr>
            <b/>
            <sz val="9"/>
            <color indexed="81"/>
            <rFont val="Tahoma"/>
            <family val="2"/>
          </rPr>
          <t>0 No
1 Sí</t>
        </r>
      </text>
    </comment>
    <comment ref="AE673" authorId="0">
      <text>
        <r>
          <rPr>
            <sz val="9"/>
            <color indexed="81"/>
            <rFont val="Tahoma"/>
            <family val="2"/>
          </rPr>
          <t xml:space="preserve">
0 NA
1 No solicitadas
2 Solicitadas
3 Aprobadas</t>
        </r>
      </text>
    </comment>
    <comment ref="V674" authorId="0">
      <text>
        <r>
          <rPr>
            <b/>
            <sz val="9"/>
            <color indexed="81"/>
            <rFont val="Tahoma"/>
            <family val="2"/>
          </rPr>
          <t>0 Día(s)
1 Mes (s)
2 Año(s)</t>
        </r>
      </text>
    </comment>
    <comment ref="Y674" authorId="0">
      <text>
        <r>
          <rPr>
            <sz val="9"/>
            <color indexed="81"/>
            <rFont val="Tahoma"/>
            <family val="2"/>
          </rPr>
          <t>0 Recursos propios 
1 Presupuesto de entidad nacional
2 Regalías
3 Recursos de crédito
4 SGP
5 No Aplica</t>
        </r>
      </text>
    </comment>
    <comment ref="AD674" authorId="0">
      <text>
        <r>
          <rPr>
            <b/>
            <sz val="9"/>
            <color indexed="81"/>
            <rFont val="Tahoma"/>
            <family val="2"/>
          </rPr>
          <t>0 No
1 Sí</t>
        </r>
      </text>
    </comment>
    <comment ref="AE674" authorId="0">
      <text>
        <r>
          <rPr>
            <sz val="9"/>
            <color indexed="81"/>
            <rFont val="Tahoma"/>
            <family val="2"/>
          </rPr>
          <t xml:space="preserve">
0 NA
1 No solicitadas
2 Solicitadas
3 Aprobadas</t>
        </r>
      </text>
    </comment>
    <comment ref="V675" authorId="0">
      <text>
        <r>
          <rPr>
            <b/>
            <sz val="9"/>
            <color indexed="81"/>
            <rFont val="Tahoma"/>
            <family val="2"/>
          </rPr>
          <t>0 Día(s)
1 Mes (s)
2 Año(s)</t>
        </r>
      </text>
    </comment>
    <comment ref="Y675" authorId="0">
      <text>
        <r>
          <rPr>
            <sz val="9"/>
            <color indexed="81"/>
            <rFont val="Tahoma"/>
            <family val="2"/>
          </rPr>
          <t>0 Recursos propios 
1 Presupuesto de entidad nacional
2 Regalías
3 Recursos de crédito
4 SGP
5 No Aplica</t>
        </r>
      </text>
    </comment>
    <comment ref="AD675" authorId="0">
      <text>
        <r>
          <rPr>
            <b/>
            <sz val="9"/>
            <color indexed="81"/>
            <rFont val="Tahoma"/>
            <family val="2"/>
          </rPr>
          <t>0 No
1 Sí</t>
        </r>
      </text>
    </comment>
    <comment ref="AE675" authorId="0">
      <text>
        <r>
          <rPr>
            <sz val="9"/>
            <color indexed="81"/>
            <rFont val="Tahoma"/>
            <family val="2"/>
          </rPr>
          <t xml:space="preserve">
0 NA
1 No solicitadas
2 Solicitadas
3 Aprobadas</t>
        </r>
      </text>
    </comment>
    <comment ref="V676" authorId="0">
      <text>
        <r>
          <rPr>
            <b/>
            <sz val="9"/>
            <color indexed="81"/>
            <rFont val="Tahoma"/>
            <family val="2"/>
          </rPr>
          <t>0 Día(s)
1 Mes (s)
2 Año(s)</t>
        </r>
      </text>
    </comment>
    <comment ref="Y676" authorId="0">
      <text>
        <r>
          <rPr>
            <sz val="9"/>
            <color indexed="81"/>
            <rFont val="Tahoma"/>
            <family val="2"/>
          </rPr>
          <t>0 Recursos propios 
1 Presupuesto de entidad nacional
2 Regalías
3 Recursos de crédito
4 SGP
5 No Aplica</t>
        </r>
      </text>
    </comment>
    <comment ref="AD676" authorId="0">
      <text>
        <r>
          <rPr>
            <b/>
            <sz val="9"/>
            <color indexed="81"/>
            <rFont val="Tahoma"/>
            <family val="2"/>
          </rPr>
          <t>0 No
1 Sí</t>
        </r>
      </text>
    </comment>
    <comment ref="AE676" authorId="0">
      <text>
        <r>
          <rPr>
            <sz val="9"/>
            <color indexed="81"/>
            <rFont val="Tahoma"/>
            <family val="2"/>
          </rPr>
          <t xml:space="preserve">
0 NA
1 No solicitadas
2 Solicitadas
3 Aprobadas</t>
        </r>
      </text>
    </comment>
    <comment ref="V677" authorId="0">
      <text>
        <r>
          <rPr>
            <b/>
            <sz val="9"/>
            <color indexed="81"/>
            <rFont val="Tahoma"/>
            <family val="2"/>
          </rPr>
          <t>0 Día(s)
1 Mes (s)
2 Año(s)</t>
        </r>
      </text>
    </comment>
    <comment ref="Y677" authorId="0">
      <text>
        <r>
          <rPr>
            <sz val="9"/>
            <color indexed="81"/>
            <rFont val="Tahoma"/>
            <family val="2"/>
          </rPr>
          <t>0 Recursos propios 
1 Presupuesto de entidad nacional
2 Regalías
3 Recursos de crédito
4 SGP
5 No Aplica</t>
        </r>
      </text>
    </comment>
    <comment ref="AD677" authorId="0">
      <text>
        <r>
          <rPr>
            <b/>
            <sz val="9"/>
            <color indexed="81"/>
            <rFont val="Tahoma"/>
            <family val="2"/>
          </rPr>
          <t>0 No
1 Sí</t>
        </r>
      </text>
    </comment>
    <comment ref="AE677" authorId="0">
      <text>
        <r>
          <rPr>
            <sz val="9"/>
            <color indexed="81"/>
            <rFont val="Tahoma"/>
            <family val="2"/>
          </rPr>
          <t xml:space="preserve">
0 NA
1 No solicitadas
2 Solicitadas
3 Aprobadas</t>
        </r>
      </text>
    </comment>
    <comment ref="V678" authorId="0">
      <text>
        <r>
          <rPr>
            <b/>
            <sz val="9"/>
            <color indexed="81"/>
            <rFont val="Tahoma"/>
            <family val="2"/>
          </rPr>
          <t>0 Día(s)
1 Mes (s)
2 Año(s)</t>
        </r>
      </text>
    </comment>
    <comment ref="Y678" authorId="0">
      <text>
        <r>
          <rPr>
            <sz val="9"/>
            <color indexed="81"/>
            <rFont val="Tahoma"/>
            <family val="2"/>
          </rPr>
          <t>0 Recursos propios 
1 Presupuesto de entidad nacional
2 Regalías
3 Recursos de crédito
4 SGP
5 No Aplica</t>
        </r>
      </text>
    </comment>
    <comment ref="AD678" authorId="0">
      <text>
        <r>
          <rPr>
            <b/>
            <sz val="9"/>
            <color indexed="81"/>
            <rFont val="Tahoma"/>
            <family val="2"/>
          </rPr>
          <t>0 No
1 Sí</t>
        </r>
      </text>
    </comment>
    <comment ref="AE678" authorId="0">
      <text>
        <r>
          <rPr>
            <sz val="9"/>
            <color indexed="81"/>
            <rFont val="Tahoma"/>
            <family val="2"/>
          </rPr>
          <t xml:space="preserve">
0 NA
1 No solicitadas
2 Solicitadas
3 Aprobadas</t>
        </r>
      </text>
    </comment>
    <comment ref="V679" authorId="0">
      <text>
        <r>
          <rPr>
            <b/>
            <sz val="9"/>
            <color indexed="81"/>
            <rFont val="Tahoma"/>
            <family val="2"/>
          </rPr>
          <t>0 Día(s)
1 Mes (s)
2 Año(s)</t>
        </r>
      </text>
    </comment>
    <comment ref="Y679" authorId="0">
      <text>
        <r>
          <rPr>
            <sz val="9"/>
            <color indexed="81"/>
            <rFont val="Tahoma"/>
            <family val="2"/>
          </rPr>
          <t>0 Recursos propios 
1 Presupuesto de entidad nacional
2 Regalías
3 Recursos de crédito
4 SGP
5 No Aplica</t>
        </r>
      </text>
    </comment>
    <comment ref="AD679" authorId="0">
      <text>
        <r>
          <rPr>
            <b/>
            <sz val="9"/>
            <color indexed="81"/>
            <rFont val="Tahoma"/>
            <family val="2"/>
          </rPr>
          <t>0 No
1 Sí</t>
        </r>
      </text>
    </comment>
    <comment ref="AE679" authorId="0">
      <text>
        <r>
          <rPr>
            <sz val="9"/>
            <color indexed="81"/>
            <rFont val="Tahoma"/>
            <family val="2"/>
          </rPr>
          <t xml:space="preserve">
0 NA
1 No solicitadas
2 Solicitadas
3 Aprobadas</t>
        </r>
      </text>
    </comment>
    <comment ref="V680" authorId="0">
      <text>
        <r>
          <rPr>
            <b/>
            <sz val="9"/>
            <color indexed="81"/>
            <rFont val="Tahoma"/>
            <family val="2"/>
          </rPr>
          <t>0 Día(s)
1 Mes (s)
2 Año(s)</t>
        </r>
      </text>
    </comment>
    <comment ref="Y680" authorId="0">
      <text>
        <r>
          <rPr>
            <sz val="9"/>
            <color indexed="81"/>
            <rFont val="Tahoma"/>
            <family val="2"/>
          </rPr>
          <t>0 Recursos propios 
1 Presupuesto de entidad nacional
2 Regalías
3 Recursos de crédito
4 SGP
5 No Aplica</t>
        </r>
      </text>
    </comment>
    <comment ref="AD680" authorId="0">
      <text>
        <r>
          <rPr>
            <b/>
            <sz val="9"/>
            <color indexed="81"/>
            <rFont val="Tahoma"/>
            <family val="2"/>
          </rPr>
          <t>0 No
1 Sí</t>
        </r>
      </text>
    </comment>
    <comment ref="AE680" authorId="0">
      <text>
        <r>
          <rPr>
            <sz val="9"/>
            <color indexed="81"/>
            <rFont val="Tahoma"/>
            <family val="2"/>
          </rPr>
          <t xml:space="preserve">
0 NA
1 No solicitadas
2 Solicitadas
3 Aprobadas</t>
        </r>
      </text>
    </comment>
    <comment ref="V681" authorId="0">
      <text>
        <r>
          <rPr>
            <b/>
            <sz val="9"/>
            <color indexed="81"/>
            <rFont val="Tahoma"/>
            <family val="2"/>
          </rPr>
          <t>0 Día(s)
1 Mes (s)
2 Año(s)</t>
        </r>
      </text>
    </comment>
    <comment ref="Y681" authorId="0">
      <text>
        <r>
          <rPr>
            <sz val="9"/>
            <color indexed="81"/>
            <rFont val="Tahoma"/>
            <family val="2"/>
          </rPr>
          <t>0 Recursos propios 
1 Presupuesto de entidad nacional
2 Regalías
3 Recursos de crédito
4 SGP
5 No Aplica</t>
        </r>
      </text>
    </comment>
    <comment ref="AD681" authorId="0">
      <text>
        <r>
          <rPr>
            <b/>
            <sz val="9"/>
            <color indexed="81"/>
            <rFont val="Tahoma"/>
            <family val="2"/>
          </rPr>
          <t>0 No
1 Sí</t>
        </r>
      </text>
    </comment>
    <comment ref="AE681" authorId="0">
      <text>
        <r>
          <rPr>
            <sz val="9"/>
            <color indexed="81"/>
            <rFont val="Tahoma"/>
            <family val="2"/>
          </rPr>
          <t xml:space="preserve">
0 NA
1 No solicitadas
2 Solicitadas
3 Aprobadas</t>
        </r>
      </text>
    </comment>
    <comment ref="V682" authorId="0">
      <text>
        <r>
          <rPr>
            <b/>
            <sz val="9"/>
            <color indexed="81"/>
            <rFont val="Tahoma"/>
            <family val="2"/>
          </rPr>
          <t>0 Día(s)
1 Mes (s)
2 Año(s)</t>
        </r>
      </text>
    </comment>
    <comment ref="Y682" authorId="0">
      <text>
        <r>
          <rPr>
            <sz val="9"/>
            <color indexed="81"/>
            <rFont val="Tahoma"/>
            <family val="2"/>
          </rPr>
          <t>0 Recursos propios 
1 Presupuesto de entidad nacional
2 Regalías
3 Recursos de crédito
4 SGP
5 No Aplica</t>
        </r>
      </text>
    </comment>
    <comment ref="AD682" authorId="0">
      <text>
        <r>
          <rPr>
            <b/>
            <sz val="9"/>
            <color indexed="81"/>
            <rFont val="Tahoma"/>
            <family val="2"/>
          </rPr>
          <t>0 No
1 Sí</t>
        </r>
      </text>
    </comment>
    <comment ref="AE682" authorId="0">
      <text>
        <r>
          <rPr>
            <sz val="9"/>
            <color indexed="81"/>
            <rFont val="Tahoma"/>
            <family val="2"/>
          </rPr>
          <t xml:space="preserve">
0 NA
1 No solicitadas
2 Solicitadas
3 Aprobadas</t>
        </r>
      </text>
    </comment>
    <comment ref="V683" authorId="0">
      <text>
        <r>
          <rPr>
            <b/>
            <sz val="9"/>
            <color indexed="81"/>
            <rFont val="Tahoma"/>
            <family val="2"/>
          </rPr>
          <t>0 Día(s)
1 Mes (s)
2 Año(s)</t>
        </r>
      </text>
    </comment>
    <comment ref="Y683" authorId="0">
      <text>
        <r>
          <rPr>
            <sz val="9"/>
            <color indexed="81"/>
            <rFont val="Tahoma"/>
            <family val="2"/>
          </rPr>
          <t>0 Recursos propios 
1 Presupuesto de entidad nacional
2 Regalías
3 Recursos de crédito
4 SGP
5 No Aplica</t>
        </r>
      </text>
    </comment>
    <comment ref="AD683" authorId="0">
      <text>
        <r>
          <rPr>
            <b/>
            <sz val="9"/>
            <color indexed="81"/>
            <rFont val="Tahoma"/>
            <family val="2"/>
          </rPr>
          <t>0 No
1 Sí</t>
        </r>
      </text>
    </comment>
    <comment ref="AE683" authorId="0">
      <text>
        <r>
          <rPr>
            <sz val="9"/>
            <color indexed="81"/>
            <rFont val="Tahoma"/>
            <family val="2"/>
          </rPr>
          <t xml:space="preserve">
0 NA
1 No solicitadas
2 Solicitadas
3 Aprobadas</t>
        </r>
      </text>
    </comment>
    <comment ref="V684" authorId="0">
      <text>
        <r>
          <rPr>
            <b/>
            <sz val="9"/>
            <color indexed="81"/>
            <rFont val="Tahoma"/>
            <family val="2"/>
          </rPr>
          <t>0 Día(s)
1 Mes (s)
2 Año(s)</t>
        </r>
      </text>
    </comment>
    <comment ref="Y684" authorId="0">
      <text>
        <r>
          <rPr>
            <sz val="9"/>
            <color indexed="81"/>
            <rFont val="Tahoma"/>
            <family val="2"/>
          </rPr>
          <t>0 Recursos propios 
1 Presupuesto de entidad nacional
2 Regalías
3 Recursos de crédito
4 SGP
5 No Aplica</t>
        </r>
      </text>
    </comment>
    <comment ref="AD684" authorId="0">
      <text>
        <r>
          <rPr>
            <b/>
            <sz val="9"/>
            <color indexed="81"/>
            <rFont val="Tahoma"/>
            <family val="2"/>
          </rPr>
          <t>0 No
1 Sí</t>
        </r>
      </text>
    </comment>
    <comment ref="AE684" authorId="0">
      <text>
        <r>
          <rPr>
            <sz val="9"/>
            <color indexed="81"/>
            <rFont val="Tahoma"/>
            <family val="2"/>
          </rPr>
          <t xml:space="preserve">
0 NA
1 No solicitadas
2 Solicitadas
3 Aprobadas</t>
        </r>
      </text>
    </comment>
    <comment ref="V685" authorId="0">
      <text>
        <r>
          <rPr>
            <b/>
            <sz val="9"/>
            <color indexed="81"/>
            <rFont val="Tahoma"/>
            <family val="2"/>
          </rPr>
          <t>0 Día(s)
1 Mes (s)
2 Año(s)</t>
        </r>
      </text>
    </comment>
    <comment ref="Y685" authorId="0">
      <text>
        <r>
          <rPr>
            <sz val="9"/>
            <color indexed="81"/>
            <rFont val="Tahoma"/>
            <family val="2"/>
          </rPr>
          <t>0 Recursos propios 
1 Presupuesto de entidad nacional
2 Regalías
3 Recursos de crédito
4 SGP
5 No Aplica</t>
        </r>
      </text>
    </comment>
    <comment ref="AD685" authorId="0">
      <text>
        <r>
          <rPr>
            <b/>
            <sz val="9"/>
            <color indexed="81"/>
            <rFont val="Tahoma"/>
            <family val="2"/>
          </rPr>
          <t>0 No
1 Sí</t>
        </r>
      </text>
    </comment>
    <comment ref="AE685" authorId="0">
      <text>
        <r>
          <rPr>
            <sz val="9"/>
            <color indexed="81"/>
            <rFont val="Tahoma"/>
            <family val="2"/>
          </rPr>
          <t xml:space="preserve">
0 NA
1 No solicitadas
2 Solicitadas
3 Aprobadas</t>
        </r>
      </text>
    </comment>
    <comment ref="V686" authorId="0">
      <text>
        <r>
          <rPr>
            <b/>
            <sz val="9"/>
            <color indexed="81"/>
            <rFont val="Tahoma"/>
            <family val="2"/>
          </rPr>
          <t>0 Día(s)
1 Mes (s)
2 Año(s)</t>
        </r>
      </text>
    </comment>
    <comment ref="Y686" authorId="0">
      <text>
        <r>
          <rPr>
            <sz val="9"/>
            <color indexed="81"/>
            <rFont val="Tahoma"/>
            <family val="2"/>
          </rPr>
          <t>0 Recursos propios 
1 Presupuesto de entidad nacional
2 Regalías
3 Recursos de crédito
4 SGP
5 No Aplica</t>
        </r>
      </text>
    </comment>
    <comment ref="AD686" authorId="0">
      <text>
        <r>
          <rPr>
            <b/>
            <sz val="9"/>
            <color indexed="81"/>
            <rFont val="Tahoma"/>
            <family val="2"/>
          </rPr>
          <t>0 No
1 Sí</t>
        </r>
      </text>
    </comment>
    <comment ref="AE686" authorId="0">
      <text>
        <r>
          <rPr>
            <sz val="9"/>
            <color indexed="81"/>
            <rFont val="Tahoma"/>
            <family val="2"/>
          </rPr>
          <t xml:space="preserve">
0 NA
1 No solicitadas
2 Solicitadas
3 Aprobadas</t>
        </r>
      </text>
    </comment>
    <comment ref="V687" authorId="0">
      <text>
        <r>
          <rPr>
            <b/>
            <sz val="9"/>
            <color indexed="81"/>
            <rFont val="Tahoma"/>
            <family val="2"/>
          </rPr>
          <t>0 Día(s)
1 Mes (s)
2 Año(s)</t>
        </r>
      </text>
    </comment>
    <comment ref="Y687" authorId="0">
      <text>
        <r>
          <rPr>
            <sz val="9"/>
            <color indexed="81"/>
            <rFont val="Tahoma"/>
            <family val="2"/>
          </rPr>
          <t>0 Recursos propios 
1 Presupuesto de entidad nacional
2 Regalías
3 Recursos de crédito
4 SGP
5 No Aplica</t>
        </r>
      </text>
    </comment>
    <comment ref="AD687" authorId="0">
      <text>
        <r>
          <rPr>
            <b/>
            <sz val="9"/>
            <color indexed="81"/>
            <rFont val="Tahoma"/>
            <family val="2"/>
          </rPr>
          <t>0 No
1 Sí</t>
        </r>
      </text>
    </comment>
    <comment ref="AE687" authorId="0">
      <text>
        <r>
          <rPr>
            <sz val="9"/>
            <color indexed="81"/>
            <rFont val="Tahoma"/>
            <family val="2"/>
          </rPr>
          <t xml:space="preserve">
0 NA
1 No solicitadas
2 Solicitadas
3 Aprobadas</t>
        </r>
      </text>
    </comment>
    <comment ref="V688" authorId="0">
      <text>
        <r>
          <rPr>
            <b/>
            <sz val="9"/>
            <color indexed="81"/>
            <rFont val="Tahoma"/>
            <family val="2"/>
          </rPr>
          <t>0 Día(s)
1 Mes (s)
2 Año(s)</t>
        </r>
      </text>
    </comment>
    <comment ref="Y688" authorId="0">
      <text>
        <r>
          <rPr>
            <sz val="9"/>
            <color indexed="81"/>
            <rFont val="Tahoma"/>
            <family val="2"/>
          </rPr>
          <t>0 Recursos propios 
1 Presupuesto de entidad nacional
2 Regalías
3 Recursos de crédito
4 SGP
5 No Aplica</t>
        </r>
      </text>
    </comment>
    <comment ref="AD688" authorId="0">
      <text>
        <r>
          <rPr>
            <b/>
            <sz val="9"/>
            <color indexed="81"/>
            <rFont val="Tahoma"/>
            <family val="2"/>
          </rPr>
          <t>0 No
1 Sí</t>
        </r>
      </text>
    </comment>
    <comment ref="AE688" authorId="0">
      <text>
        <r>
          <rPr>
            <sz val="9"/>
            <color indexed="81"/>
            <rFont val="Tahoma"/>
            <family val="2"/>
          </rPr>
          <t xml:space="preserve">
0 NA
1 No solicitadas
2 Solicitadas
3 Aprobadas</t>
        </r>
      </text>
    </comment>
    <comment ref="V689" authorId="0">
      <text>
        <r>
          <rPr>
            <b/>
            <sz val="9"/>
            <color indexed="81"/>
            <rFont val="Tahoma"/>
            <family val="2"/>
          </rPr>
          <t>0 Día(s)
1 Mes (s)
2 Año(s)</t>
        </r>
      </text>
    </comment>
    <comment ref="Y689" authorId="0">
      <text>
        <r>
          <rPr>
            <sz val="9"/>
            <color indexed="81"/>
            <rFont val="Tahoma"/>
            <family val="2"/>
          </rPr>
          <t>0 Recursos propios 
1 Presupuesto de entidad nacional
2 Regalías
3 Recursos de crédito
4 SGP
5 No Aplica</t>
        </r>
      </text>
    </comment>
    <comment ref="AD689" authorId="0">
      <text>
        <r>
          <rPr>
            <b/>
            <sz val="9"/>
            <color indexed="81"/>
            <rFont val="Tahoma"/>
            <family val="2"/>
          </rPr>
          <t>0 No
1 Sí</t>
        </r>
      </text>
    </comment>
    <comment ref="AE689" authorId="0">
      <text>
        <r>
          <rPr>
            <sz val="9"/>
            <color indexed="81"/>
            <rFont val="Tahoma"/>
            <family val="2"/>
          </rPr>
          <t xml:space="preserve">
0 NA
1 No solicitadas
2 Solicitadas
3 Aprobadas</t>
        </r>
      </text>
    </comment>
    <comment ref="V690" authorId="0">
      <text>
        <r>
          <rPr>
            <b/>
            <sz val="9"/>
            <color indexed="81"/>
            <rFont val="Tahoma"/>
            <family val="2"/>
          </rPr>
          <t>0 Día(s)
1 Mes (s)
2 Año(s)</t>
        </r>
      </text>
    </comment>
    <comment ref="Y690" authorId="0">
      <text>
        <r>
          <rPr>
            <sz val="9"/>
            <color indexed="81"/>
            <rFont val="Tahoma"/>
            <family val="2"/>
          </rPr>
          <t>0 Recursos propios 
1 Presupuesto de entidad nacional
2 Regalías
3 Recursos de crédito
4 SGP
5 No Aplica</t>
        </r>
      </text>
    </comment>
    <comment ref="AD690" authorId="0">
      <text>
        <r>
          <rPr>
            <b/>
            <sz val="9"/>
            <color indexed="81"/>
            <rFont val="Tahoma"/>
            <family val="2"/>
          </rPr>
          <t>0 No
1 Sí</t>
        </r>
      </text>
    </comment>
    <comment ref="AE690" authorId="0">
      <text>
        <r>
          <rPr>
            <sz val="9"/>
            <color indexed="81"/>
            <rFont val="Tahoma"/>
            <family val="2"/>
          </rPr>
          <t xml:space="preserve">
0 NA
1 No solicitadas
2 Solicitadas
3 Aprobadas</t>
        </r>
      </text>
    </comment>
    <comment ref="V691" authorId="0">
      <text>
        <r>
          <rPr>
            <b/>
            <sz val="9"/>
            <color indexed="81"/>
            <rFont val="Tahoma"/>
            <family val="2"/>
          </rPr>
          <t>0 Día(s)
1 Mes (s)
2 Año(s)</t>
        </r>
      </text>
    </comment>
    <comment ref="Y691" authorId="0">
      <text>
        <r>
          <rPr>
            <sz val="9"/>
            <color indexed="81"/>
            <rFont val="Tahoma"/>
            <family val="2"/>
          </rPr>
          <t>0 Recursos propios 
1 Presupuesto de entidad nacional
2 Regalías
3 Recursos de crédito
4 SGP
5 No Aplica</t>
        </r>
      </text>
    </comment>
    <comment ref="AD691" authorId="0">
      <text>
        <r>
          <rPr>
            <b/>
            <sz val="9"/>
            <color indexed="81"/>
            <rFont val="Tahoma"/>
            <family val="2"/>
          </rPr>
          <t>0 No
1 Sí</t>
        </r>
      </text>
    </comment>
    <comment ref="AE691" authorId="0">
      <text>
        <r>
          <rPr>
            <sz val="9"/>
            <color indexed="81"/>
            <rFont val="Tahoma"/>
            <family val="2"/>
          </rPr>
          <t xml:space="preserve">
0 NA
1 No solicitadas
2 Solicitadas
3 Aprobadas</t>
        </r>
      </text>
    </comment>
    <comment ref="V692" authorId="0">
      <text>
        <r>
          <rPr>
            <b/>
            <sz val="9"/>
            <color indexed="81"/>
            <rFont val="Tahoma"/>
            <family val="2"/>
          </rPr>
          <t>0 Día(s)
1 Mes (s)
2 Año(s)</t>
        </r>
      </text>
    </comment>
    <comment ref="Y692" authorId="0">
      <text>
        <r>
          <rPr>
            <sz val="9"/>
            <color indexed="81"/>
            <rFont val="Tahoma"/>
            <family val="2"/>
          </rPr>
          <t>0 Recursos propios 
1 Presupuesto de entidad nacional
2 Regalías
3 Recursos de crédito
4 SGP
5 No Aplica</t>
        </r>
      </text>
    </comment>
    <comment ref="AD692" authorId="0">
      <text>
        <r>
          <rPr>
            <b/>
            <sz val="9"/>
            <color indexed="81"/>
            <rFont val="Tahoma"/>
            <family val="2"/>
          </rPr>
          <t>0 No
1 Sí</t>
        </r>
      </text>
    </comment>
    <comment ref="AE692" authorId="0">
      <text>
        <r>
          <rPr>
            <sz val="9"/>
            <color indexed="81"/>
            <rFont val="Tahoma"/>
            <family val="2"/>
          </rPr>
          <t xml:space="preserve">
0 NA
1 No solicitadas
2 Solicitadas
3 Aprobadas</t>
        </r>
      </text>
    </comment>
    <comment ref="V693" authorId="0">
      <text>
        <r>
          <rPr>
            <b/>
            <sz val="9"/>
            <color indexed="81"/>
            <rFont val="Tahoma"/>
            <family val="2"/>
          </rPr>
          <t>0 Día(s)
1 Mes (s)
2 Año(s)</t>
        </r>
      </text>
    </comment>
    <comment ref="Y693" authorId="0">
      <text>
        <r>
          <rPr>
            <sz val="9"/>
            <color indexed="81"/>
            <rFont val="Tahoma"/>
            <family val="2"/>
          </rPr>
          <t>0 Recursos propios 
1 Presupuesto de entidad nacional
2 Regalías
3 Recursos de crédito
4 SGP
5 No Aplica</t>
        </r>
      </text>
    </comment>
    <comment ref="AD693" authorId="0">
      <text>
        <r>
          <rPr>
            <b/>
            <sz val="9"/>
            <color indexed="81"/>
            <rFont val="Tahoma"/>
            <family val="2"/>
          </rPr>
          <t>0 No
1 Sí</t>
        </r>
      </text>
    </comment>
    <comment ref="AE693" authorId="0">
      <text>
        <r>
          <rPr>
            <sz val="9"/>
            <color indexed="81"/>
            <rFont val="Tahoma"/>
            <family val="2"/>
          </rPr>
          <t xml:space="preserve">
0 NA
1 No solicitadas
2 Solicitadas
3 Aprobadas</t>
        </r>
      </text>
    </comment>
    <comment ref="V694" authorId="0">
      <text>
        <r>
          <rPr>
            <b/>
            <sz val="9"/>
            <color indexed="81"/>
            <rFont val="Tahoma"/>
            <family val="2"/>
          </rPr>
          <t>0 Día(s)
1 Mes (s)
2 Año(s)</t>
        </r>
      </text>
    </comment>
    <comment ref="Y694" authorId="0">
      <text>
        <r>
          <rPr>
            <sz val="9"/>
            <color indexed="81"/>
            <rFont val="Tahoma"/>
            <family val="2"/>
          </rPr>
          <t>0 Recursos propios 
1 Presupuesto de entidad nacional
2 Regalías
3 Recursos de crédito
4 SGP
5 No Aplica</t>
        </r>
      </text>
    </comment>
    <comment ref="AD694" authorId="0">
      <text>
        <r>
          <rPr>
            <b/>
            <sz val="9"/>
            <color indexed="81"/>
            <rFont val="Tahoma"/>
            <family val="2"/>
          </rPr>
          <t>0 No
1 Sí</t>
        </r>
      </text>
    </comment>
    <comment ref="AE694" authorId="0">
      <text>
        <r>
          <rPr>
            <sz val="9"/>
            <color indexed="81"/>
            <rFont val="Tahoma"/>
            <family val="2"/>
          </rPr>
          <t xml:space="preserve">
0 NA
1 No solicitadas
2 Solicitadas
3 Aprobadas</t>
        </r>
      </text>
    </comment>
    <comment ref="V695" authorId="0">
      <text>
        <r>
          <rPr>
            <b/>
            <sz val="9"/>
            <color indexed="81"/>
            <rFont val="Tahoma"/>
            <family val="2"/>
          </rPr>
          <t>0 Día(s)
1 Mes (s)
2 Año(s)</t>
        </r>
      </text>
    </comment>
    <comment ref="Y695" authorId="0">
      <text>
        <r>
          <rPr>
            <sz val="9"/>
            <color indexed="81"/>
            <rFont val="Tahoma"/>
            <family val="2"/>
          </rPr>
          <t>0 Recursos propios 
1 Presupuesto de entidad nacional
2 Regalías
3 Recursos de crédito
4 SGP
5 No Aplica</t>
        </r>
      </text>
    </comment>
    <comment ref="AD695" authorId="0">
      <text>
        <r>
          <rPr>
            <b/>
            <sz val="9"/>
            <color indexed="81"/>
            <rFont val="Tahoma"/>
            <family val="2"/>
          </rPr>
          <t>0 No
1 Sí</t>
        </r>
      </text>
    </comment>
    <comment ref="AE695" authorId="0">
      <text>
        <r>
          <rPr>
            <sz val="9"/>
            <color indexed="81"/>
            <rFont val="Tahoma"/>
            <family val="2"/>
          </rPr>
          <t xml:space="preserve">
0 NA
1 No solicitadas
2 Solicitadas
3 Aprobadas</t>
        </r>
      </text>
    </comment>
    <comment ref="V696" authorId="0">
      <text>
        <r>
          <rPr>
            <b/>
            <sz val="9"/>
            <color indexed="81"/>
            <rFont val="Tahoma"/>
            <family val="2"/>
          </rPr>
          <t>0 Día(s)
1 Mes (s)
2 Año(s)</t>
        </r>
      </text>
    </comment>
    <comment ref="Y696" authorId="0">
      <text>
        <r>
          <rPr>
            <sz val="9"/>
            <color indexed="81"/>
            <rFont val="Tahoma"/>
            <family val="2"/>
          </rPr>
          <t>0 Recursos propios 
1 Presupuesto de entidad nacional
2 Regalías
3 Recursos de crédito
4 SGP
5 No Aplica</t>
        </r>
      </text>
    </comment>
    <comment ref="AD696" authorId="0">
      <text>
        <r>
          <rPr>
            <b/>
            <sz val="9"/>
            <color indexed="81"/>
            <rFont val="Tahoma"/>
            <family val="2"/>
          </rPr>
          <t>0 No
1 Sí</t>
        </r>
      </text>
    </comment>
    <comment ref="AE696" authorId="0">
      <text>
        <r>
          <rPr>
            <sz val="9"/>
            <color indexed="81"/>
            <rFont val="Tahoma"/>
            <family val="2"/>
          </rPr>
          <t xml:space="preserve">
0 NA
1 No solicitadas
2 Solicitadas
3 Aprobadas</t>
        </r>
      </text>
    </comment>
    <comment ref="V697" authorId="0">
      <text>
        <r>
          <rPr>
            <b/>
            <sz val="9"/>
            <color indexed="81"/>
            <rFont val="Tahoma"/>
            <family val="2"/>
          </rPr>
          <t>0 Día(s)
1 Mes (s)
2 Año(s)</t>
        </r>
      </text>
    </comment>
    <comment ref="Y697" authorId="0">
      <text>
        <r>
          <rPr>
            <sz val="9"/>
            <color indexed="81"/>
            <rFont val="Tahoma"/>
            <family val="2"/>
          </rPr>
          <t>0 Recursos propios 
1 Presupuesto de entidad nacional
2 Regalías
3 Recursos de crédito
4 SGP
5 No Aplica</t>
        </r>
      </text>
    </comment>
    <comment ref="AD697" authorId="0">
      <text>
        <r>
          <rPr>
            <b/>
            <sz val="9"/>
            <color indexed="81"/>
            <rFont val="Tahoma"/>
            <family val="2"/>
          </rPr>
          <t>0 No
1 Sí</t>
        </r>
      </text>
    </comment>
    <comment ref="AE697" authorId="0">
      <text>
        <r>
          <rPr>
            <sz val="9"/>
            <color indexed="81"/>
            <rFont val="Tahoma"/>
            <family val="2"/>
          </rPr>
          <t xml:space="preserve">
0 NA
1 No solicitadas
2 Solicitadas
3 Aprobadas</t>
        </r>
      </text>
    </comment>
    <comment ref="V698" authorId="0">
      <text>
        <r>
          <rPr>
            <b/>
            <sz val="9"/>
            <color indexed="81"/>
            <rFont val="Tahoma"/>
            <family val="2"/>
          </rPr>
          <t>0 Día(s)
1 Mes (s)
2 Año(s)</t>
        </r>
      </text>
    </comment>
    <comment ref="Y698" authorId="0">
      <text>
        <r>
          <rPr>
            <sz val="9"/>
            <color indexed="81"/>
            <rFont val="Tahoma"/>
            <family val="2"/>
          </rPr>
          <t>0 Recursos propios 
1 Presupuesto de entidad nacional
2 Regalías
3 Recursos de crédito
4 SGP
5 No Aplica</t>
        </r>
      </text>
    </comment>
    <comment ref="AD698" authorId="0">
      <text>
        <r>
          <rPr>
            <b/>
            <sz val="9"/>
            <color indexed="81"/>
            <rFont val="Tahoma"/>
            <family val="2"/>
          </rPr>
          <t>0 No
1 Sí</t>
        </r>
      </text>
    </comment>
    <comment ref="AE698" authorId="0">
      <text>
        <r>
          <rPr>
            <sz val="9"/>
            <color indexed="81"/>
            <rFont val="Tahoma"/>
            <family val="2"/>
          </rPr>
          <t xml:space="preserve">
0 NA
1 No solicitadas
2 Solicitadas
3 Aprobadas</t>
        </r>
      </text>
    </comment>
    <comment ref="V699" authorId="0">
      <text>
        <r>
          <rPr>
            <b/>
            <sz val="9"/>
            <color indexed="81"/>
            <rFont val="Tahoma"/>
            <family val="2"/>
          </rPr>
          <t>0 Día(s)
1 Mes (s)
2 Año(s)</t>
        </r>
      </text>
    </comment>
    <comment ref="Y699" authorId="0">
      <text>
        <r>
          <rPr>
            <sz val="9"/>
            <color indexed="81"/>
            <rFont val="Tahoma"/>
            <family val="2"/>
          </rPr>
          <t>0 Recursos propios 
1 Presupuesto de entidad nacional
2 Regalías
3 Recursos de crédito
4 SGP
5 No Aplica</t>
        </r>
      </text>
    </comment>
    <comment ref="AD699" authorId="0">
      <text>
        <r>
          <rPr>
            <b/>
            <sz val="9"/>
            <color indexed="81"/>
            <rFont val="Tahoma"/>
            <family val="2"/>
          </rPr>
          <t>0 No
1 Sí</t>
        </r>
      </text>
    </comment>
    <comment ref="AE699" authorId="0">
      <text>
        <r>
          <rPr>
            <sz val="9"/>
            <color indexed="81"/>
            <rFont val="Tahoma"/>
            <family val="2"/>
          </rPr>
          <t xml:space="preserve">
0 NA
1 No solicitadas
2 Solicitadas
3 Aprobadas</t>
        </r>
      </text>
    </comment>
    <comment ref="V700" authorId="0">
      <text>
        <r>
          <rPr>
            <b/>
            <sz val="9"/>
            <color indexed="81"/>
            <rFont val="Tahoma"/>
            <family val="2"/>
          </rPr>
          <t>0 Día(s)
1 Mes (s)
2 Año(s)</t>
        </r>
      </text>
    </comment>
    <comment ref="Y700" authorId="0">
      <text>
        <r>
          <rPr>
            <sz val="9"/>
            <color indexed="81"/>
            <rFont val="Tahoma"/>
            <family val="2"/>
          </rPr>
          <t>0 Recursos propios 
1 Presupuesto de entidad nacional
2 Regalías
3 Recursos de crédito
4 SGP
5 No Aplica</t>
        </r>
      </text>
    </comment>
    <comment ref="AD700" authorId="0">
      <text>
        <r>
          <rPr>
            <b/>
            <sz val="9"/>
            <color indexed="81"/>
            <rFont val="Tahoma"/>
            <family val="2"/>
          </rPr>
          <t>0 No
1 Sí</t>
        </r>
      </text>
    </comment>
    <comment ref="AE700" authorId="0">
      <text>
        <r>
          <rPr>
            <sz val="9"/>
            <color indexed="81"/>
            <rFont val="Tahoma"/>
            <family val="2"/>
          </rPr>
          <t xml:space="preserve">
0 NA
1 No solicitadas
2 Solicitadas
3 Aprobadas</t>
        </r>
      </text>
    </comment>
    <comment ref="V701" authorId="0">
      <text>
        <r>
          <rPr>
            <b/>
            <sz val="9"/>
            <color indexed="81"/>
            <rFont val="Tahoma"/>
            <family val="2"/>
          </rPr>
          <t>0 Día(s)
1 Mes (s)
2 Año(s)</t>
        </r>
      </text>
    </comment>
    <comment ref="Y701" authorId="0">
      <text>
        <r>
          <rPr>
            <sz val="9"/>
            <color indexed="81"/>
            <rFont val="Tahoma"/>
            <family val="2"/>
          </rPr>
          <t>0 Recursos propios 
1 Presupuesto de entidad nacional
2 Regalías
3 Recursos de crédito
4 SGP
5 No Aplica</t>
        </r>
      </text>
    </comment>
    <comment ref="AD701" authorId="0">
      <text>
        <r>
          <rPr>
            <b/>
            <sz val="9"/>
            <color indexed="81"/>
            <rFont val="Tahoma"/>
            <family val="2"/>
          </rPr>
          <t>0 No
1 Sí</t>
        </r>
      </text>
    </comment>
    <comment ref="AE701" authorId="0">
      <text>
        <r>
          <rPr>
            <sz val="9"/>
            <color indexed="81"/>
            <rFont val="Tahoma"/>
            <family val="2"/>
          </rPr>
          <t xml:space="preserve">
0 NA
1 No solicitadas
2 Solicitadas
3 Aprobadas</t>
        </r>
      </text>
    </comment>
    <comment ref="V702" authorId="0">
      <text>
        <r>
          <rPr>
            <b/>
            <sz val="9"/>
            <color indexed="81"/>
            <rFont val="Tahoma"/>
            <family val="2"/>
          </rPr>
          <t>0 Día(s)
1 Mes (s)
2 Año(s)</t>
        </r>
      </text>
    </comment>
    <comment ref="Y702" authorId="0">
      <text>
        <r>
          <rPr>
            <sz val="9"/>
            <color indexed="81"/>
            <rFont val="Tahoma"/>
            <family val="2"/>
          </rPr>
          <t>0 Recursos propios 
1 Presupuesto de entidad nacional
2 Regalías
3 Recursos de crédito
4 SGP
5 No Aplica</t>
        </r>
      </text>
    </comment>
    <comment ref="AD702" authorId="0">
      <text>
        <r>
          <rPr>
            <b/>
            <sz val="9"/>
            <color indexed="81"/>
            <rFont val="Tahoma"/>
            <family val="2"/>
          </rPr>
          <t>0 No
1 Sí</t>
        </r>
      </text>
    </comment>
    <comment ref="AE702" authorId="0">
      <text>
        <r>
          <rPr>
            <sz val="9"/>
            <color indexed="81"/>
            <rFont val="Tahoma"/>
            <family val="2"/>
          </rPr>
          <t xml:space="preserve">
0 NA
1 No solicitadas
2 Solicitadas
3 Aprobadas</t>
        </r>
      </text>
    </comment>
    <comment ref="V703" authorId="0">
      <text>
        <r>
          <rPr>
            <b/>
            <sz val="9"/>
            <color indexed="81"/>
            <rFont val="Tahoma"/>
            <family val="2"/>
          </rPr>
          <t>0 Día(s)
1 Mes (s)
2 Año(s)</t>
        </r>
      </text>
    </comment>
    <comment ref="Y703" authorId="0">
      <text>
        <r>
          <rPr>
            <sz val="9"/>
            <color indexed="81"/>
            <rFont val="Tahoma"/>
            <family val="2"/>
          </rPr>
          <t>0 Recursos propios 
1 Presupuesto de entidad nacional
2 Regalías
3 Recursos de crédito
4 SGP
5 No Aplica</t>
        </r>
      </text>
    </comment>
    <comment ref="AD703" authorId="0">
      <text>
        <r>
          <rPr>
            <b/>
            <sz val="9"/>
            <color indexed="81"/>
            <rFont val="Tahoma"/>
            <family val="2"/>
          </rPr>
          <t>0 No
1 Sí</t>
        </r>
      </text>
    </comment>
    <comment ref="AE703" authorId="0">
      <text>
        <r>
          <rPr>
            <sz val="9"/>
            <color indexed="81"/>
            <rFont val="Tahoma"/>
            <family val="2"/>
          </rPr>
          <t xml:space="preserve">
0 NA
1 No solicitadas
2 Solicitadas
3 Aprobadas</t>
        </r>
      </text>
    </comment>
    <comment ref="V704" authorId="0">
      <text>
        <r>
          <rPr>
            <b/>
            <sz val="9"/>
            <color indexed="81"/>
            <rFont val="Tahoma"/>
            <family val="2"/>
          </rPr>
          <t>0 Día(s)
1 Mes (s)
2 Año(s)</t>
        </r>
      </text>
    </comment>
    <comment ref="Y704" authorId="0">
      <text>
        <r>
          <rPr>
            <sz val="9"/>
            <color indexed="81"/>
            <rFont val="Tahoma"/>
            <family val="2"/>
          </rPr>
          <t>0 Recursos propios 
1 Presupuesto de entidad nacional
2 Regalías
3 Recursos de crédito
4 SGP
5 No Aplica</t>
        </r>
      </text>
    </comment>
    <comment ref="AD704" authorId="0">
      <text>
        <r>
          <rPr>
            <b/>
            <sz val="9"/>
            <color indexed="81"/>
            <rFont val="Tahoma"/>
            <family val="2"/>
          </rPr>
          <t>0 No
1 Sí</t>
        </r>
      </text>
    </comment>
    <comment ref="AE704" authorId="0">
      <text>
        <r>
          <rPr>
            <sz val="9"/>
            <color indexed="81"/>
            <rFont val="Tahoma"/>
            <family val="2"/>
          </rPr>
          <t xml:space="preserve">
0 NA
1 No solicitadas
2 Solicitadas
3 Aprobadas</t>
        </r>
      </text>
    </comment>
    <comment ref="V705" authorId="0">
      <text>
        <r>
          <rPr>
            <b/>
            <sz val="9"/>
            <color indexed="81"/>
            <rFont val="Tahoma"/>
            <family val="2"/>
          </rPr>
          <t>0 Día(s)
1 Mes (s)
2 Año(s)</t>
        </r>
      </text>
    </comment>
    <comment ref="Y705" authorId="0">
      <text>
        <r>
          <rPr>
            <sz val="9"/>
            <color indexed="81"/>
            <rFont val="Tahoma"/>
            <family val="2"/>
          </rPr>
          <t>0 Recursos propios 
1 Presupuesto de entidad nacional
2 Regalías
3 Recursos de crédito
4 SGP
5 No Aplica</t>
        </r>
      </text>
    </comment>
    <comment ref="AD705" authorId="0">
      <text>
        <r>
          <rPr>
            <b/>
            <sz val="9"/>
            <color indexed="81"/>
            <rFont val="Tahoma"/>
            <family val="2"/>
          </rPr>
          <t>0 No
1 Sí</t>
        </r>
      </text>
    </comment>
    <comment ref="AE705" authorId="0">
      <text>
        <r>
          <rPr>
            <sz val="9"/>
            <color indexed="81"/>
            <rFont val="Tahoma"/>
            <family val="2"/>
          </rPr>
          <t xml:space="preserve">
0 NA
1 No solicitadas
2 Solicitadas
3 Aprobadas</t>
        </r>
      </text>
    </comment>
    <comment ref="V706" authorId="0">
      <text>
        <r>
          <rPr>
            <b/>
            <sz val="9"/>
            <color indexed="81"/>
            <rFont val="Tahoma"/>
            <family val="2"/>
          </rPr>
          <t>0 Día(s)
1 Mes (s)
2 Año(s)</t>
        </r>
      </text>
    </comment>
    <comment ref="Y706" authorId="0">
      <text>
        <r>
          <rPr>
            <sz val="9"/>
            <color indexed="81"/>
            <rFont val="Tahoma"/>
            <family val="2"/>
          </rPr>
          <t>0 Recursos propios 
1 Presupuesto de entidad nacional
2 Regalías
3 Recursos de crédito
4 SGP
5 No Aplica</t>
        </r>
      </text>
    </comment>
    <comment ref="AD706" authorId="0">
      <text>
        <r>
          <rPr>
            <b/>
            <sz val="9"/>
            <color indexed="81"/>
            <rFont val="Tahoma"/>
            <family val="2"/>
          </rPr>
          <t>0 No
1 Sí</t>
        </r>
      </text>
    </comment>
    <comment ref="AE706" authorId="0">
      <text>
        <r>
          <rPr>
            <sz val="9"/>
            <color indexed="81"/>
            <rFont val="Tahoma"/>
            <family val="2"/>
          </rPr>
          <t xml:space="preserve">
0 NA
1 No solicitadas
2 Solicitadas
3 Aprobadas</t>
        </r>
      </text>
    </comment>
    <comment ref="V707" authorId="0">
      <text>
        <r>
          <rPr>
            <b/>
            <sz val="9"/>
            <color indexed="81"/>
            <rFont val="Tahoma"/>
            <family val="2"/>
          </rPr>
          <t>0 Día(s)
1 Mes (s)
2 Año(s)</t>
        </r>
      </text>
    </comment>
    <comment ref="Y707" authorId="0">
      <text>
        <r>
          <rPr>
            <sz val="9"/>
            <color indexed="81"/>
            <rFont val="Tahoma"/>
            <family val="2"/>
          </rPr>
          <t>0 Recursos propios 
1 Presupuesto de entidad nacional
2 Regalías
3 Recursos de crédito
4 SGP
5 No Aplica</t>
        </r>
      </text>
    </comment>
    <comment ref="AD707" authorId="0">
      <text>
        <r>
          <rPr>
            <b/>
            <sz val="9"/>
            <color indexed="81"/>
            <rFont val="Tahoma"/>
            <family val="2"/>
          </rPr>
          <t>0 No
1 Sí</t>
        </r>
      </text>
    </comment>
    <comment ref="AE707" authorId="0">
      <text>
        <r>
          <rPr>
            <sz val="9"/>
            <color indexed="81"/>
            <rFont val="Tahoma"/>
            <family val="2"/>
          </rPr>
          <t xml:space="preserve">
0 NA
1 No solicitadas
2 Solicitadas
3 Aprobadas</t>
        </r>
      </text>
    </comment>
    <comment ref="V708" authorId="0">
      <text>
        <r>
          <rPr>
            <b/>
            <sz val="9"/>
            <color indexed="81"/>
            <rFont val="Tahoma"/>
            <family val="2"/>
          </rPr>
          <t>0 Día(s)
1 Mes (s)
2 Año(s)</t>
        </r>
      </text>
    </comment>
    <comment ref="Y708" authorId="0">
      <text>
        <r>
          <rPr>
            <sz val="9"/>
            <color indexed="81"/>
            <rFont val="Tahoma"/>
            <family val="2"/>
          </rPr>
          <t>0 Recursos propios 
1 Presupuesto de entidad nacional
2 Regalías
3 Recursos de crédito
4 SGP
5 No Aplica</t>
        </r>
      </text>
    </comment>
    <comment ref="AD708" authorId="0">
      <text>
        <r>
          <rPr>
            <b/>
            <sz val="9"/>
            <color indexed="81"/>
            <rFont val="Tahoma"/>
            <family val="2"/>
          </rPr>
          <t>0 No
1 Sí</t>
        </r>
      </text>
    </comment>
    <comment ref="AE708" authorId="0">
      <text>
        <r>
          <rPr>
            <sz val="9"/>
            <color indexed="81"/>
            <rFont val="Tahoma"/>
            <family val="2"/>
          </rPr>
          <t xml:space="preserve">
0 NA
1 No solicitadas
2 Solicitadas
3 Aprobadas</t>
        </r>
      </text>
    </comment>
    <comment ref="Y709" authorId="0">
      <text>
        <r>
          <rPr>
            <sz val="9"/>
            <color indexed="81"/>
            <rFont val="Tahoma"/>
            <family val="2"/>
          </rPr>
          <t>0 Recursos propios 
1 Presupuesto de entidad nacional
2 Regalías
3 Recursos de crédito
4 SGP
5 No Aplica</t>
        </r>
      </text>
    </comment>
    <comment ref="Y710" authorId="0">
      <text>
        <r>
          <rPr>
            <sz val="9"/>
            <color indexed="81"/>
            <rFont val="Tahoma"/>
            <family val="2"/>
          </rPr>
          <t>0 Recursos propios 
1 Presupuesto de entidad nacional
2 Regalías
3 Recursos de crédito
4 SGP
5 No Aplica</t>
        </r>
      </text>
    </comment>
    <comment ref="V711" authorId="0">
      <text>
        <r>
          <rPr>
            <b/>
            <sz val="9"/>
            <color indexed="81"/>
            <rFont val="Tahoma"/>
            <family val="2"/>
          </rPr>
          <t>0 Día(s)
1 Mes (s)
2 Año(s)</t>
        </r>
      </text>
    </comment>
    <comment ref="Y711" authorId="0">
      <text>
        <r>
          <rPr>
            <sz val="9"/>
            <color indexed="81"/>
            <rFont val="Tahoma"/>
            <family val="2"/>
          </rPr>
          <t>0 Recursos propios 
1 Presupuesto de entidad nacional
2 Regalías
3 Recursos de crédito
4 SGP
5 No Aplica</t>
        </r>
      </text>
    </comment>
    <comment ref="AD711" authorId="0">
      <text>
        <r>
          <rPr>
            <b/>
            <sz val="9"/>
            <color indexed="81"/>
            <rFont val="Tahoma"/>
            <family val="2"/>
          </rPr>
          <t>0 No
1 Sí</t>
        </r>
      </text>
    </comment>
    <comment ref="AE711" authorId="0">
      <text>
        <r>
          <rPr>
            <sz val="9"/>
            <color indexed="81"/>
            <rFont val="Tahoma"/>
            <family val="2"/>
          </rPr>
          <t xml:space="preserve">
0 NA
1 No solicitadas
2 Solicitadas
3 Aprobadas</t>
        </r>
      </text>
    </comment>
    <comment ref="V712" authorId="0">
      <text>
        <r>
          <rPr>
            <b/>
            <sz val="9"/>
            <color indexed="81"/>
            <rFont val="Tahoma"/>
            <family val="2"/>
          </rPr>
          <t>0 Día(s)
1 Mes (s)
2 Año(s)</t>
        </r>
      </text>
    </comment>
    <comment ref="Y712" authorId="0">
      <text>
        <r>
          <rPr>
            <sz val="9"/>
            <color indexed="81"/>
            <rFont val="Tahoma"/>
            <family val="2"/>
          </rPr>
          <t>0 Recursos propios 
1 Presupuesto de entidad nacional
2 Regalías
3 Recursos de crédito
4 SGP
5 No Aplica</t>
        </r>
      </text>
    </comment>
    <comment ref="AD712" authorId="0">
      <text>
        <r>
          <rPr>
            <b/>
            <sz val="9"/>
            <color indexed="81"/>
            <rFont val="Tahoma"/>
            <family val="2"/>
          </rPr>
          <t>0 No
1 Sí</t>
        </r>
      </text>
    </comment>
    <comment ref="AE712" authorId="0">
      <text>
        <r>
          <rPr>
            <sz val="9"/>
            <color indexed="81"/>
            <rFont val="Tahoma"/>
            <family val="2"/>
          </rPr>
          <t xml:space="preserve">
0 NA
1 No solicitadas
2 Solicitadas
3 Aprobadas</t>
        </r>
      </text>
    </comment>
    <comment ref="Y713" authorId="0">
      <text>
        <r>
          <rPr>
            <sz val="9"/>
            <color indexed="81"/>
            <rFont val="Tahoma"/>
            <family val="2"/>
          </rPr>
          <t>0 Recursos propios 
1 Presupuesto de entidad nacional
2 Regalías
3 Recursos de crédito
4 SGP
5 No Aplica</t>
        </r>
      </text>
    </comment>
    <comment ref="BF713" authorId="1">
      <text>
        <r>
          <rPr>
            <b/>
            <sz val="9"/>
            <color indexed="81"/>
            <rFont val="Tahoma"/>
            <family val="2"/>
          </rPr>
          <t>Orlando Arias:</t>
        </r>
        <r>
          <rPr>
            <sz val="9"/>
            <color indexed="81"/>
            <rFont val="Tahoma"/>
            <family val="2"/>
          </rPr>
          <t xml:space="preserve">
17-4-18: Solicitan CDP por valor mayor a la viabilidad</t>
        </r>
      </text>
    </comment>
    <comment ref="V714" authorId="0">
      <text>
        <r>
          <rPr>
            <b/>
            <sz val="9"/>
            <color indexed="81"/>
            <rFont val="Tahoma"/>
            <family val="2"/>
          </rPr>
          <t>0 Día(s)
1 Mes (s)
2 Año(s)</t>
        </r>
      </text>
    </comment>
    <comment ref="Y714" authorId="0">
      <text>
        <r>
          <rPr>
            <sz val="9"/>
            <color indexed="81"/>
            <rFont val="Tahoma"/>
            <family val="2"/>
          </rPr>
          <t>0 Recursos propios 
1 Presupuesto de entidad nacional
2 Regalías
3 Recursos de crédito
4 SGP
5 No Aplica</t>
        </r>
      </text>
    </comment>
    <comment ref="AD714" authorId="0">
      <text>
        <r>
          <rPr>
            <b/>
            <sz val="9"/>
            <color indexed="81"/>
            <rFont val="Tahoma"/>
            <family val="2"/>
          </rPr>
          <t>0 No
1 Sí</t>
        </r>
      </text>
    </comment>
    <comment ref="AE714" authorId="0">
      <text>
        <r>
          <rPr>
            <sz val="9"/>
            <color indexed="81"/>
            <rFont val="Tahoma"/>
            <family val="2"/>
          </rPr>
          <t xml:space="preserve">
0 NA
1 No solicitadas
2 Solicitadas
3 Aprobadas</t>
        </r>
      </text>
    </comment>
    <comment ref="V715" authorId="0">
      <text>
        <r>
          <rPr>
            <b/>
            <sz val="9"/>
            <color indexed="81"/>
            <rFont val="Tahoma"/>
            <family val="2"/>
          </rPr>
          <t>0 Día(s)
1 Mes (s)
2 Año(s)</t>
        </r>
      </text>
    </comment>
    <comment ref="Y715" authorId="0">
      <text>
        <r>
          <rPr>
            <sz val="9"/>
            <color indexed="81"/>
            <rFont val="Tahoma"/>
            <family val="2"/>
          </rPr>
          <t>0 Recursos propios 
1 Presupuesto de entidad nacional
2 Regalías
3 Recursos de crédito
4 SGP
5 No Aplica</t>
        </r>
      </text>
    </comment>
    <comment ref="AD715" authorId="0">
      <text>
        <r>
          <rPr>
            <b/>
            <sz val="9"/>
            <color indexed="81"/>
            <rFont val="Tahoma"/>
            <family val="2"/>
          </rPr>
          <t>0 No
1 Sí</t>
        </r>
      </text>
    </comment>
    <comment ref="AE715" authorId="0">
      <text>
        <r>
          <rPr>
            <sz val="9"/>
            <color indexed="81"/>
            <rFont val="Tahoma"/>
            <family val="2"/>
          </rPr>
          <t xml:space="preserve">
0 NA
1 No solicitadas
2 Solicitadas
3 Aprobadas</t>
        </r>
      </text>
    </comment>
    <comment ref="V716" authorId="0">
      <text>
        <r>
          <rPr>
            <b/>
            <sz val="9"/>
            <color indexed="81"/>
            <rFont val="Tahoma"/>
            <family val="2"/>
          </rPr>
          <t>0 Día(s)
1 Mes (s)
2 Año(s)</t>
        </r>
      </text>
    </comment>
    <comment ref="Y716" authorId="0">
      <text>
        <r>
          <rPr>
            <sz val="9"/>
            <color indexed="81"/>
            <rFont val="Tahoma"/>
            <family val="2"/>
          </rPr>
          <t>0 Recursos propios 
1 Presupuesto de entidad nacional
2 Regalías
3 Recursos de crédito
4 SGP
5 No Aplica</t>
        </r>
      </text>
    </comment>
    <comment ref="AD716" authorId="0">
      <text>
        <r>
          <rPr>
            <b/>
            <sz val="9"/>
            <color indexed="81"/>
            <rFont val="Tahoma"/>
            <family val="2"/>
          </rPr>
          <t>0 No
1 Sí</t>
        </r>
      </text>
    </comment>
    <comment ref="AE716" authorId="0">
      <text>
        <r>
          <rPr>
            <sz val="9"/>
            <color indexed="81"/>
            <rFont val="Tahoma"/>
            <family val="2"/>
          </rPr>
          <t xml:space="preserve">
0 NA
1 No solicitadas
2 Solicitadas
3 Aprobadas</t>
        </r>
      </text>
    </comment>
    <comment ref="V717" authorId="0">
      <text>
        <r>
          <rPr>
            <b/>
            <sz val="9"/>
            <color indexed="81"/>
            <rFont val="Tahoma"/>
            <family val="2"/>
          </rPr>
          <t>0 Día(s)
1 Mes (s)
2 Año(s)</t>
        </r>
      </text>
    </comment>
    <comment ref="Y717" authorId="0">
      <text>
        <r>
          <rPr>
            <sz val="9"/>
            <color indexed="81"/>
            <rFont val="Tahoma"/>
            <family val="2"/>
          </rPr>
          <t>0 Recursos propios 
1 Presupuesto de entidad nacional
2 Regalías
3 Recursos de crédito
4 SGP
5 No Aplica</t>
        </r>
      </text>
    </comment>
    <comment ref="AD717" authorId="0">
      <text>
        <r>
          <rPr>
            <b/>
            <sz val="9"/>
            <color indexed="81"/>
            <rFont val="Tahoma"/>
            <family val="2"/>
          </rPr>
          <t>0 No
1 Sí</t>
        </r>
      </text>
    </comment>
    <comment ref="AE717" authorId="0">
      <text>
        <r>
          <rPr>
            <sz val="9"/>
            <color indexed="81"/>
            <rFont val="Tahoma"/>
            <family val="2"/>
          </rPr>
          <t xml:space="preserve">
0 NA
1 No solicitadas
2 Solicitadas
3 Aprobadas</t>
        </r>
      </text>
    </comment>
    <comment ref="V718" authorId="0">
      <text>
        <r>
          <rPr>
            <b/>
            <sz val="9"/>
            <color indexed="81"/>
            <rFont val="Tahoma"/>
            <family val="2"/>
          </rPr>
          <t>0 Día(s)
1 Mes (s)
2 Año(s)</t>
        </r>
      </text>
    </comment>
    <comment ref="Y718" authorId="0">
      <text>
        <r>
          <rPr>
            <sz val="9"/>
            <color indexed="81"/>
            <rFont val="Tahoma"/>
            <family val="2"/>
          </rPr>
          <t>0 Recursos propios 
1 Presupuesto de entidad nacional
2 Regalías
3 Recursos de crédito
4 SGP
5 No Aplica</t>
        </r>
      </text>
    </comment>
    <comment ref="AD718" authorId="0">
      <text>
        <r>
          <rPr>
            <b/>
            <sz val="9"/>
            <color indexed="81"/>
            <rFont val="Tahoma"/>
            <family val="2"/>
          </rPr>
          <t>0 No
1 Sí</t>
        </r>
      </text>
    </comment>
    <comment ref="AE718" authorId="0">
      <text>
        <r>
          <rPr>
            <sz val="9"/>
            <color indexed="81"/>
            <rFont val="Tahoma"/>
            <family val="2"/>
          </rPr>
          <t xml:space="preserve">
0 NA
1 No solicitadas
2 Solicitadas
3 Aprobadas</t>
        </r>
      </text>
    </comment>
    <comment ref="V719" authorId="0">
      <text>
        <r>
          <rPr>
            <b/>
            <sz val="9"/>
            <color indexed="81"/>
            <rFont val="Tahoma"/>
            <family val="2"/>
          </rPr>
          <t>0 Día(s)
1 Mes (s)
2 Año(s)</t>
        </r>
      </text>
    </comment>
    <comment ref="Y719" authorId="0">
      <text>
        <r>
          <rPr>
            <sz val="9"/>
            <color indexed="81"/>
            <rFont val="Tahoma"/>
            <family val="2"/>
          </rPr>
          <t>0 Recursos propios 
1 Presupuesto de entidad nacional
2 Regalías
3 Recursos de crédito
4 SGP
5 No Aplica</t>
        </r>
      </text>
    </comment>
    <comment ref="AD719" authorId="0">
      <text>
        <r>
          <rPr>
            <b/>
            <sz val="9"/>
            <color indexed="81"/>
            <rFont val="Tahoma"/>
            <family val="2"/>
          </rPr>
          <t>0 No
1 Sí</t>
        </r>
      </text>
    </comment>
    <comment ref="AE719" authorId="0">
      <text>
        <r>
          <rPr>
            <sz val="9"/>
            <color indexed="81"/>
            <rFont val="Tahoma"/>
            <family val="2"/>
          </rPr>
          <t xml:space="preserve">
0 NA
1 No solicitadas
2 Solicitadas
3 Aprobadas</t>
        </r>
      </text>
    </comment>
    <comment ref="V720" authorId="0">
      <text>
        <r>
          <rPr>
            <b/>
            <sz val="9"/>
            <color indexed="81"/>
            <rFont val="Tahoma"/>
            <family val="2"/>
          </rPr>
          <t>0 Día(s)
1 Mes (s)
2 Año(s)</t>
        </r>
      </text>
    </comment>
    <comment ref="Y720" authorId="0">
      <text>
        <r>
          <rPr>
            <sz val="9"/>
            <color indexed="81"/>
            <rFont val="Tahoma"/>
            <family val="2"/>
          </rPr>
          <t>0 Recursos propios 
1 Presupuesto de entidad nacional
2 Regalías
3 Recursos de crédito
4 SGP
5 No Aplica</t>
        </r>
      </text>
    </comment>
    <comment ref="AD720" authorId="0">
      <text>
        <r>
          <rPr>
            <b/>
            <sz val="9"/>
            <color indexed="81"/>
            <rFont val="Tahoma"/>
            <family val="2"/>
          </rPr>
          <t>0 No
1 Sí</t>
        </r>
      </text>
    </comment>
    <comment ref="AE720" authorId="0">
      <text>
        <r>
          <rPr>
            <sz val="9"/>
            <color indexed="81"/>
            <rFont val="Tahoma"/>
            <family val="2"/>
          </rPr>
          <t xml:space="preserve">
0 NA
1 No solicitadas
2 Solicitadas
3 Aprobadas</t>
        </r>
      </text>
    </comment>
    <comment ref="V721" authorId="0">
      <text>
        <r>
          <rPr>
            <b/>
            <sz val="9"/>
            <color indexed="81"/>
            <rFont val="Tahoma"/>
            <family val="2"/>
          </rPr>
          <t>0 Día(s)
1 Mes (s)
2 Año(s)</t>
        </r>
      </text>
    </comment>
    <comment ref="Y721" authorId="0">
      <text>
        <r>
          <rPr>
            <sz val="9"/>
            <color indexed="81"/>
            <rFont val="Tahoma"/>
            <family val="2"/>
          </rPr>
          <t>0 Recursos propios 
1 Presupuesto de entidad nacional
2 Regalías
3 Recursos de crédito
4 SGP
5 No Aplica</t>
        </r>
      </text>
    </comment>
    <comment ref="AD721" authorId="0">
      <text>
        <r>
          <rPr>
            <b/>
            <sz val="9"/>
            <color indexed="81"/>
            <rFont val="Tahoma"/>
            <family val="2"/>
          </rPr>
          <t>0 No
1 Sí</t>
        </r>
      </text>
    </comment>
    <comment ref="AE721" authorId="0">
      <text>
        <r>
          <rPr>
            <sz val="9"/>
            <color indexed="81"/>
            <rFont val="Tahoma"/>
            <family val="2"/>
          </rPr>
          <t xml:space="preserve">
0 NA
1 No solicitadas
2 Solicitadas
3 Aprobadas</t>
        </r>
      </text>
    </comment>
    <comment ref="V722" authorId="0">
      <text>
        <r>
          <rPr>
            <b/>
            <sz val="9"/>
            <color indexed="81"/>
            <rFont val="Tahoma"/>
            <family val="2"/>
          </rPr>
          <t>0 Día(s)
1 Mes (s)
2 Año(s)</t>
        </r>
      </text>
    </comment>
    <comment ref="Y722" authorId="0">
      <text>
        <r>
          <rPr>
            <sz val="9"/>
            <color indexed="81"/>
            <rFont val="Tahoma"/>
            <family val="2"/>
          </rPr>
          <t>0 Recursos propios 
1 Presupuesto de entidad nacional
2 Regalías
3 Recursos de crédito
4 SGP
5 No Aplica</t>
        </r>
      </text>
    </comment>
    <comment ref="AD722" authorId="0">
      <text>
        <r>
          <rPr>
            <b/>
            <sz val="9"/>
            <color indexed="81"/>
            <rFont val="Tahoma"/>
            <family val="2"/>
          </rPr>
          <t>0 No
1 Sí</t>
        </r>
      </text>
    </comment>
    <comment ref="AE722" authorId="0">
      <text>
        <r>
          <rPr>
            <sz val="9"/>
            <color indexed="81"/>
            <rFont val="Tahoma"/>
            <family val="2"/>
          </rPr>
          <t xml:space="preserve">
0 NA
1 No solicitadas
2 Solicitadas
3 Aprobadas</t>
        </r>
      </text>
    </comment>
    <comment ref="V723" authorId="0">
      <text>
        <r>
          <rPr>
            <b/>
            <sz val="9"/>
            <color indexed="81"/>
            <rFont val="Tahoma"/>
            <family val="2"/>
          </rPr>
          <t>0 Día(s)
1 Mes (s)
2 Año(s)</t>
        </r>
      </text>
    </comment>
    <comment ref="Y723" authorId="0">
      <text>
        <r>
          <rPr>
            <sz val="9"/>
            <color indexed="81"/>
            <rFont val="Tahoma"/>
            <family val="2"/>
          </rPr>
          <t>0 Recursos propios 
1 Presupuesto de entidad nacional
2 Regalías
3 Recursos de crédito
4 SGP
5 No Aplica</t>
        </r>
      </text>
    </comment>
    <comment ref="AD723" authorId="0">
      <text>
        <r>
          <rPr>
            <b/>
            <sz val="9"/>
            <color indexed="81"/>
            <rFont val="Tahoma"/>
            <family val="2"/>
          </rPr>
          <t>0 No
1 Sí</t>
        </r>
      </text>
    </comment>
    <comment ref="AE723" authorId="0">
      <text>
        <r>
          <rPr>
            <sz val="9"/>
            <color indexed="81"/>
            <rFont val="Tahoma"/>
            <family val="2"/>
          </rPr>
          <t xml:space="preserve">
0 NA
1 No solicitadas
2 Solicitadas
3 Aprobadas</t>
        </r>
      </text>
    </comment>
    <comment ref="V724" authorId="0">
      <text>
        <r>
          <rPr>
            <b/>
            <sz val="9"/>
            <color indexed="81"/>
            <rFont val="Tahoma"/>
            <family val="2"/>
          </rPr>
          <t>0 Día(s)
1 Mes (s)
2 Año(s)</t>
        </r>
      </text>
    </comment>
    <comment ref="Y724" authorId="0">
      <text>
        <r>
          <rPr>
            <sz val="9"/>
            <color indexed="81"/>
            <rFont val="Tahoma"/>
            <family val="2"/>
          </rPr>
          <t>0 Recursos propios 
1 Presupuesto de entidad nacional
2 Regalías
3 Recursos de crédito
4 SGP
5 No Aplica</t>
        </r>
      </text>
    </comment>
    <comment ref="AD724" authorId="0">
      <text>
        <r>
          <rPr>
            <b/>
            <sz val="9"/>
            <color indexed="81"/>
            <rFont val="Tahoma"/>
            <family val="2"/>
          </rPr>
          <t>0 No
1 Sí</t>
        </r>
      </text>
    </comment>
    <comment ref="AE724" authorId="0">
      <text>
        <r>
          <rPr>
            <sz val="9"/>
            <color indexed="81"/>
            <rFont val="Tahoma"/>
            <family val="2"/>
          </rPr>
          <t xml:space="preserve">
0 NA
1 No solicitadas
2 Solicitadas
3 Aprobadas</t>
        </r>
      </text>
    </comment>
    <comment ref="V725" authorId="0">
      <text>
        <r>
          <rPr>
            <b/>
            <sz val="9"/>
            <color indexed="81"/>
            <rFont val="Tahoma"/>
            <family val="2"/>
          </rPr>
          <t>0 Día(s)
1 Mes (s)
2 Año(s)</t>
        </r>
      </text>
    </comment>
    <comment ref="Y725" authorId="0">
      <text>
        <r>
          <rPr>
            <sz val="9"/>
            <color indexed="81"/>
            <rFont val="Tahoma"/>
            <family val="2"/>
          </rPr>
          <t>0 Recursos propios 
1 Presupuesto de entidad nacional
2 Regalías
3 Recursos de crédito
4 SGP
5 No Aplica</t>
        </r>
      </text>
    </comment>
    <comment ref="AD725" authorId="0">
      <text>
        <r>
          <rPr>
            <b/>
            <sz val="9"/>
            <color indexed="81"/>
            <rFont val="Tahoma"/>
            <family val="2"/>
          </rPr>
          <t>0 No
1 Sí</t>
        </r>
      </text>
    </comment>
    <comment ref="AE725" authorId="0">
      <text>
        <r>
          <rPr>
            <sz val="9"/>
            <color indexed="81"/>
            <rFont val="Tahoma"/>
            <family val="2"/>
          </rPr>
          <t xml:space="preserve">
0 NA
1 No solicitadas
2 Solicitadas
3 Aprobadas</t>
        </r>
      </text>
    </comment>
    <comment ref="V726" authorId="0">
      <text>
        <r>
          <rPr>
            <b/>
            <sz val="9"/>
            <color indexed="81"/>
            <rFont val="Tahoma"/>
            <family val="2"/>
          </rPr>
          <t>0 Día(s)
1 Mes (s)
2 Año(s)</t>
        </r>
      </text>
    </comment>
    <comment ref="Y726" authorId="0">
      <text>
        <r>
          <rPr>
            <sz val="9"/>
            <color indexed="81"/>
            <rFont val="Tahoma"/>
            <family val="2"/>
          </rPr>
          <t>0 Recursos propios 
1 Presupuesto de entidad nacional
2 Regalías
3 Recursos de crédito
4 SGP
5 No Aplica</t>
        </r>
      </text>
    </comment>
    <comment ref="AD726" authorId="0">
      <text>
        <r>
          <rPr>
            <b/>
            <sz val="9"/>
            <color indexed="81"/>
            <rFont val="Tahoma"/>
            <family val="2"/>
          </rPr>
          <t>0 No
1 Sí</t>
        </r>
      </text>
    </comment>
    <comment ref="AE726" authorId="0">
      <text>
        <r>
          <rPr>
            <sz val="9"/>
            <color indexed="81"/>
            <rFont val="Tahoma"/>
            <family val="2"/>
          </rPr>
          <t xml:space="preserve">
0 NA
1 No solicitadas
2 Solicitadas
3 Aprobadas</t>
        </r>
      </text>
    </comment>
    <comment ref="V727" authorId="0">
      <text>
        <r>
          <rPr>
            <b/>
            <sz val="9"/>
            <color indexed="81"/>
            <rFont val="Tahoma"/>
            <family val="2"/>
          </rPr>
          <t>0 Día(s)
1 Mes (s)
2 Año(s)</t>
        </r>
      </text>
    </comment>
    <comment ref="Y727" authorId="0">
      <text>
        <r>
          <rPr>
            <sz val="9"/>
            <color indexed="81"/>
            <rFont val="Tahoma"/>
            <family val="2"/>
          </rPr>
          <t>0 Recursos propios 
1 Presupuesto de entidad nacional
2 Regalías
3 Recursos de crédito
4 SGP
5 No Aplica</t>
        </r>
      </text>
    </comment>
    <comment ref="AD727" authorId="0">
      <text>
        <r>
          <rPr>
            <b/>
            <sz val="9"/>
            <color indexed="81"/>
            <rFont val="Tahoma"/>
            <family val="2"/>
          </rPr>
          <t>0 No
1 Sí</t>
        </r>
      </text>
    </comment>
    <comment ref="AE727" authorId="0">
      <text>
        <r>
          <rPr>
            <sz val="9"/>
            <color indexed="81"/>
            <rFont val="Tahoma"/>
            <family val="2"/>
          </rPr>
          <t xml:space="preserve">
0 NA
1 No solicitadas
2 Solicitadas
3 Aprobadas</t>
        </r>
      </text>
    </comment>
    <comment ref="V728" authorId="0">
      <text>
        <r>
          <rPr>
            <b/>
            <sz val="9"/>
            <color indexed="81"/>
            <rFont val="Tahoma"/>
            <family val="2"/>
          </rPr>
          <t>0 Día(s)
1 Mes (s)
2 Año(s)</t>
        </r>
      </text>
    </comment>
    <comment ref="Y728" authorId="0">
      <text>
        <r>
          <rPr>
            <sz val="9"/>
            <color indexed="81"/>
            <rFont val="Tahoma"/>
            <family val="2"/>
          </rPr>
          <t>0 Recursos propios 
1 Presupuesto de entidad nacional
2 Regalías
3 Recursos de crédito
4 SGP
5 No Aplica</t>
        </r>
      </text>
    </comment>
    <comment ref="AD728" authorId="0">
      <text>
        <r>
          <rPr>
            <b/>
            <sz val="9"/>
            <color indexed="81"/>
            <rFont val="Tahoma"/>
            <family val="2"/>
          </rPr>
          <t>0 No
1 Sí</t>
        </r>
      </text>
    </comment>
    <comment ref="AE728" authorId="0">
      <text>
        <r>
          <rPr>
            <sz val="9"/>
            <color indexed="81"/>
            <rFont val="Tahoma"/>
            <family val="2"/>
          </rPr>
          <t xml:space="preserve">
0 NA
1 No solicitadas
2 Solicitadas
3 Aprobadas</t>
        </r>
      </text>
    </comment>
    <comment ref="V729" authorId="0">
      <text>
        <r>
          <rPr>
            <b/>
            <sz val="9"/>
            <color indexed="81"/>
            <rFont val="Tahoma"/>
            <family val="2"/>
          </rPr>
          <t>0 Día(s)
1 Mes (s)
2 Año(s)</t>
        </r>
      </text>
    </comment>
    <comment ref="Y729" authorId="0">
      <text>
        <r>
          <rPr>
            <sz val="9"/>
            <color indexed="81"/>
            <rFont val="Tahoma"/>
            <family val="2"/>
          </rPr>
          <t>0 Recursos propios 
1 Presupuesto de entidad nacional
2 Regalías
3 Recursos de crédito
4 SGP
5 No Aplica</t>
        </r>
      </text>
    </comment>
    <comment ref="AD729" authorId="0">
      <text>
        <r>
          <rPr>
            <b/>
            <sz val="9"/>
            <color indexed="81"/>
            <rFont val="Tahoma"/>
            <family val="2"/>
          </rPr>
          <t>0 No
1 Sí</t>
        </r>
      </text>
    </comment>
    <comment ref="AE729" authorId="0">
      <text>
        <r>
          <rPr>
            <sz val="9"/>
            <color indexed="81"/>
            <rFont val="Tahoma"/>
            <family val="2"/>
          </rPr>
          <t xml:space="preserve">
0 NA
1 No solicitadas
2 Solicitadas
3 Aprobadas</t>
        </r>
      </text>
    </comment>
    <comment ref="V730" authorId="0">
      <text>
        <r>
          <rPr>
            <b/>
            <sz val="9"/>
            <color indexed="81"/>
            <rFont val="Tahoma"/>
            <family val="2"/>
          </rPr>
          <t>0 Día(s)
1 Mes (s)
2 Año(s)</t>
        </r>
      </text>
    </comment>
    <comment ref="Y730" authorId="0">
      <text>
        <r>
          <rPr>
            <sz val="9"/>
            <color indexed="81"/>
            <rFont val="Tahoma"/>
            <family val="2"/>
          </rPr>
          <t>0 Recursos propios 
1 Presupuesto de entidad nacional
2 Regalías
3 Recursos de crédito
4 SGP
5 No Aplica</t>
        </r>
      </text>
    </comment>
    <comment ref="AD730" authorId="0">
      <text>
        <r>
          <rPr>
            <b/>
            <sz val="9"/>
            <color indexed="81"/>
            <rFont val="Tahoma"/>
            <family val="2"/>
          </rPr>
          <t>0 No
1 Sí</t>
        </r>
      </text>
    </comment>
    <comment ref="AE730" authorId="0">
      <text>
        <r>
          <rPr>
            <sz val="9"/>
            <color indexed="81"/>
            <rFont val="Tahoma"/>
            <family val="2"/>
          </rPr>
          <t xml:space="preserve">
0 NA
1 No solicitadas
2 Solicitadas
3 Aprobadas</t>
        </r>
      </text>
    </comment>
    <comment ref="V731" authorId="0">
      <text>
        <r>
          <rPr>
            <b/>
            <sz val="9"/>
            <color indexed="81"/>
            <rFont val="Tahoma"/>
            <family val="2"/>
          </rPr>
          <t>0 Día(s)
1 Mes (s)
2 Año(s)</t>
        </r>
      </text>
    </comment>
    <comment ref="Y731" authorId="0">
      <text>
        <r>
          <rPr>
            <sz val="9"/>
            <color indexed="81"/>
            <rFont val="Tahoma"/>
            <family val="2"/>
          </rPr>
          <t>0 Recursos propios 
1 Presupuesto de entidad nacional
2 Regalías
3 Recursos de crédito
4 SGP
5 No Aplica</t>
        </r>
      </text>
    </comment>
    <comment ref="AD731" authorId="0">
      <text>
        <r>
          <rPr>
            <b/>
            <sz val="9"/>
            <color indexed="81"/>
            <rFont val="Tahoma"/>
            <family val="2"/>
          </rPr>
          <t>0 No
1 Sí</t>
        </r>
      </text>
    </comment>
    <comment ref="AE731" authorId="0">
      <text>
        <r>
          <rPr>
            <sz val="9"/>
            <color indexed="81"/>
            <rFont val="Tahoma"/>
            <family val="2"/>
          </rPr>
          <t xml:space="preserve">
0 NA
1 No solicitadas
2 Solicitadas
3 Aprobadas</t>
        </r>
      </text>
    </comment>
    <comment ref="V732" authorId="0">
      <text>
        <r>
          <rPr>
            <b/>
            <sz val="9"/>
            <color indexed="81"/>
            <rFont val="Tahoma"/>
            <family val="2"/>
          </rPr>
          <t>0 Día(s)
1 Mes (s)
2 Año(s)</t>
        </r>
      </text>
    </comment>
    <comment ref="Y732" authorId="0">
      <text>
        <r>
          <rPr>
            <sz val="9"/>
            <color indexed="81"/>
            <rFont val="Tahoma"/>
            <family val="2"/>
          </rPr>
          <t>0 Recursos propios 
1 Presupuesto de entidad nacional
2 Regalías
3 Recursos de crédito
4 SGP
5 No Aplica</t>
        </r>
      </text>
    </comment>
    <comment ref="AD732" authorId="0">
      <text>
        <r>
          <rPr>
            <b/>
            <sz val="9"/>
            <color indexed="81"/>
            <rFont val="Tahoma"/>
            <family val="2"/>
          </rPr>
          <t>0 No
1 Sí</t>
        </r>
      </text>
    </comment>
    <comment ref="AE732" authorId="0">
      <text>
        <r>
          <rPr>
            <sz val="9"/>
            <color indexed="81"/>
            <rFont val="Tahoma"/>
            <family val="2"/>
          </rPr>
          <t xml:space="preserve">
0 NA
1 No solicitadas
2 Solicitadas
3 Aprobadas</t>
        </r>
      </text>
    </comment>
    <comment ref="V733" authorId="0">
      <text>
        <r>
          <rPr>
            <b/>
            <sz val="9"/>
            <color indexed="81"/>
            <rFont val="Tahoma"/>
            <family val="2"/>
          </rPr>
          <t>0 Día(s)
1 Mes (s)
2 Año(s)</t>
        </r>
      </text>
    </comment>
    <comment ref="Y733" authorId="0">
      <text>
        <r>
          <rPr>
            <sz val="9"/>
            <color indexed="81"/>
            <rFont val="Tahoma"/>
            <family val="2"/>
          </rPr>
          <t>0 Recursos propios 
1 Presupuesto de entidad nacional
2 Regalías
3 Recursos de crédito
4 SGP
5 No Aplica</t>
        </r>
      </text>
    </comment>
    <comment ref="AD733" authorId="0">
      <text>
        <r>
          <rPr>
            <b/>
            <sz val="9"/>
            <color indexed="81"/>
            <rFont val="Tahoma"/>
            <family val="2"/>
          </rPr>
          <t>0 No
1 Sí</t>
        </r>
      </text>
    </comment>
    <comment ref="AE733" authorId="0">
      <text>
        <r>
          <rPr>
            <sz val="9"/>
            <color indexed="81"/>
            <rFont val="Tahoma"/>
            <family val="2"/>
          </rPr>
          <t xml:space="preserve">
0 NA
1 No solicitadas
2 Solicitadas
3 Aprobadas</t>
        </r>
      </text>
    </comment>
    <comment ref="V734" authorId="0">
      <text>
        <r>
          <rPr>
            <b/>
            <sz val="9"/>
            <color indexed="81"/>
            <rFont val="Tahoma"/>
            <family val="2"/>
          </rPr>
          <t>0 Día(s)
1 Mes (s)
2 Año(s)</t>
        </r>
      </text>
    </comment>
    <comment ref="Y734" authorId="0">
      <text>
        <r>
          <rPr>
            <sz val="9"/>
            <color indexed="81"/>
            <rFont val="Tahoma"/>
            <family val="2"/>
          </rPr>
          <t>0 Recursos propios 
1 Presupuesto de entidad nacional
2 Regalías
3 Recursos de crédito
4 SGP
5 No Aplica</t>
        </r>
      </text>
    </comment>
    <comment ref="AD734" authorId="0">
      <text>
        <r>
          <rPr>
            <b/>
            <sz val="9"/>
            <color indexed="81"/>
            <rFont val="Tahoma"/>
            <family val="2"/>
          </rPr>
          <t>0 No
1 Sí</t>
        </r>
      </text>
    </comment>
    <comment ref="AE734" authorId="0">
      <text>
        <r>
          <rPr>
            <sz val="9"/>
            <color indexed="81"/>
            <rFont val="Tahoma"/>
            <family val="2"/>
          </rPr>
          <t xml:space="preserve">
0 NA
1 No solicitadas
2 Solicitadas
3 Aprobadas</t>
        </r>
      </text>
    </comment>
    <comment ref="V735" authorId="0">
      <text>
        <r>
          <rPr>
            <b/>
            <sz val="9"/>
            <color indexed="81"/>
            <rFont val="Tahoma"/>
            <family val="2"/>
          </rPr>
          <t>0 Día(s)
1 Mes (s)
2 Año(s)</t>
        </r>
      </text>
    </comment>
    <comment ref="Y735" authorId="0">
      <text>
        <r>
          <rPr>
            <sz val="9"/>
            <color indexed="81"/>
            <rFont val="Tahoma"/>
            <family val="2"/>
          </rPr>
          <t>0 Recursos propios 
1 Presupuesto de entidad nacional
2 Regalías
3 Recursos de crédito
4 SGP
5 No Aplica</t>
        </r>
      </text>
    </comment>
    <comment ref="AD735" authorId="0">
      <text>
        <r>
          <rPr>
            <b/>
            <sz val="9"/>
            <color indexed="81"/>
            <rFont val="Tahoma"/>
            <family val="2"/>
          </rPr>
          <t>0 No
1 Sí</t>
        </r>
      </text>
    </comment>
    <comment ref="AE735" authorId="0">
      <text>
        <r>
          <rPr>
            <sz val="9"/>
            <color indexed="81"/>
            <rFont val="Tahoma"/>
            <family val="2"/>
          </rPr>
          <t xml:space="preserve">
0 NA
1 No solicitadas
2 Solicitadas
3 Aprobadas</t>
        </r>
      </text>
    </comment>
    <comment ref="V736" authorId="0">
      <text>
        <r>
          <rPr>
            <b/>
            <sz val="9"/>
            <color indexed="81"/>
            <rFont val="Tahoma"/>
            <family val="2"/>
          </rPr>
          <t>0 Día(s)
1 Mes (s)
2 Año(s)</t>
        </r>
      </text>
    </comment>
    <comment ref="Y736" authorId="0">
      <text>
        <r>
          <rPr>
            <sz val="9"/>
            <color indexed="81"/>
            <rFont val="Tahoma"/>
            <family val="2"/>
          </rPr>
          <t>0 Recursos propios 
1 Presupuesto de entidad nacional
2 Regalías
3 Recursos de crédito
4 SGP
5 No Aplica</t>
        </r>
      </text>
    </comment>
    <comment ref="AD736" authorId="0">
      <text>
        <r>
          <rPr>
            <b/>
            <sz val="9"/>
            <color indexed="81"/>
            <rFont val="Tahoma"/>
            <family val="2"/>
          </rPr>
          <t>0 No
1 Sí</t>
        </r>
      </text>
    </comment>
    <comment ref="AE736" authorId="0">
      <text>
        <r>
          <rPr>
            <sz val="9"/>
            <color indexed="81"/>
            <rFont val="Tahoma"/>
            <family val="2"/>
          </rPr>
          <t xml:space="preserve">
0 NA
1 No solicitadas
2 Solicitadas
3 Aprobadas</t>
        </r>
      </text>
    </comment>
    <comment ref="AZ736" authorId="1">
      <text>
        <r>
          <rPr>
            <b/>
            <sz val="9"/>
            <color indexed="81"/>
            <rFont val="Tahoma"/>
            <family val="2"/>
          </rPr>
          <t>Orlando Arias:</t>
        </r>
        <r>
          <rPr>
            <sz val="9"/>
            <color indexed="81"/>
            <rFont val="Tahoma"/>
            <family val="2"/>
          </rPr>
          <t xml:space="preserve">
Reducción para traslado de recursos al proycto 11110</t>
        </r>
      </text>
    </comment>
    <comment ref="V737" authorId="0">
      <text>
        <r>
          <rPr>
            <b/>
            <sz val="9"/>
            <color indexed="81"/>
            <rFont val="Tahoma"/>
            <family val="2"/>
          </rPr>
          <t>0 Día(s)
1 Mes (s)
2 Año(s)</t>
        </r>
      </text>
    </comment>
    <comment ref="Y737" authorId="0">
      <text>
        <r>
          <rPr>
            <sz val="9"/>
            <color indexed="81"/>
            <rFont val="Tahoma"/>
            <family val="2"/>
          </rPr>
          <t>0 Recursos propios 
1 Presupuesto de entidad nacional
2 Regalías
3 Recursos de crédito
4 SGP
5 No Aplica</t>
        </r>
      </text>
    </comment>
    <comment ref="AD737" authorId="0">
      <text>
        <r>
          <rPr>
            <b/>
            <sz val="9"/>
            <color indexed="81"/>
            <rFont val="Tahoma"/>
            <family val="2"/>
          </rPr>
          <t>0 No
1 Sí</t>
        </r>
      </text>
    </comment>
    <comment ref="AE737" authorId="0">
      <text>
        <r>
          <rPr>
            <sz val="9"/>
            <color indexed="81"/>
            <rFont val="Tahoma"/>
            <family val="2"/>
          </rPr>
          <t xml:space="preserve">
0 NA
1 No solicitadas
2 Solicitadas
3 Aprobadas</t>
        </r>
      </text>
    </comment>
    <comment ref="V738" authorId="0">
      <text>
        <r>
          <rPr>
            <b/>
            <sz val="9"/>
            <color indexed="81"/>
            <rFont val="Tahoma"/>
            <family val="2"/>
          </rPr>
          <t>0 Día(s)
1 Mes (s)
2 Año(s)</t>
        </r>
      </text>
    </comment>
    <comment ref="Y738" authorId="0">
      <text>
        <r>
          <rPr>
            <sz val="9"/>
            <color indexed="81"/>
            <rFont val="Tahoma"/>
            <family val="2"/>
          </rPr>
          <t>0 Recursos propios 
1 Presupuesto de entidad nacional
2 Regalías
3 Recursos de crédito
4 SGP
5 No Aplica</t>
        </r>
      </text>
    </comment>
    <comment ref="AD738" authorId="0">
      <text>
        <r>
          <rPr>
            <b/>
            <sz val="9"/>
            <color indexed="81"/>
            <rFont val="Tahoma"/>
            <family val="2"/>
          </rPr>
          <t>0 No
1 Sí</t>
        </r>
      </text>
    </comment>
    <comment ref="AE738" authorId="0">
      <text>
        <r>
          <rPr>
            <sz val="9"/>
            <color indexed="81"/>
            <rFont val="Tahoma"/>
            <family val="2"/>
          </rPr>
          <t xml:space="preserve">
0 NA
1 No solicitadas
2 Solicitadas
3 Aprobadas</t>
        </r>
      </text>
    </comment>
    <comment ref="BD738" authorId="1">
      <text>
        <r>
          <rPr>
            <b/>
            <sz val="9"/>
            <color indexed="81"/>
            <rFont val="Tahoma"/>
            <family val="2"/>
          </rPr>
          <t>Orlando Arias:</t>
        </r>
        <r>
          <rPr>
            <sz val="9"/>
            <color indexed="81"/>
            <rFont val="Tahoma"/>
            <family val="2"/>
          </rPr>
          <t xml:space="preserve">
Línea creada para el traslado presupuestal al proyecto 1110</t>
        </r>
      </text>
    </comment>
    <comment ref="V739" authorId="0">
      <text>
        <r>
          <rPr>
            <b/>
            <sz val="9"/>
            <color indexed="81"/>
            <rFont val="Tahoma"/>
            <family val="2"/>
          </rPr>
          <t>0 Día(s)
1 Mes (s)
2 Año(s)</t>
        </r>
      </text>
    </comment>
    <comment ref="Y739" authorId="0">
      <text>
        <r>
          <rPr>
            <sz val="9"/>
            <color indexed="81"/>
            <rFont val="Tahoma"/>
            <family val="2"/>
          </rPr>
          <t>0 Recursos propios 
1 Presupuesto de entidad nacional
2 Regalías
3 Recursos de crédito
4 SGP
5 No Aplica</t>
        </r>
      </text>
    </comment>
    <comment ref="AD739" authorId="0">
      <text>
        <r>
          <rPr>
            <b/>
            <sz val="9"/>
            <color indexed="81"/>
            <rFont val="Tahoma"/>
            <family val="2"/>
          </rPr>
          <t>0 No
1 Sí</t>
        </r>
      </text>
    </comment>
    <comment ref="AE739" authorId="0">
      <text>
        <r>
          <rPr>
            <sz val="9"/>
            <color indexed="81"/>
            <rFont val="Tahoma"/>
            <family val="2"/>
          </rPr>
          <t xml:space="preserve">
0 NA
1 No solicitadas
2 Solicitadas
3 Aprobadas</t>
        </r>
      </text>
    </comment>
    <comment ref="V740" authorId="0">
      <text>
        <r>
          <rPr>
            <b/>
            <sz val="9"/>
            <color indexed="81"/>
            <rFont val="Tahoma"/>
            <family val="2"/>
          </rPr>
          <t>0 Día(s)
1 Mes (s)
2 Año(s)</t>
        </r>
      </text>
    </comment>
    <comment ref="Y740" authorId="0">
      <text>
        <r>
          <rPr>
            <sz val="9"/>
            <color indexed="81"/>
            <rFont val="Tahoma"/>
            <family val="2"/>
          </rPr>
          <t>0 Recursos propios 
1 Presupuesto de entidad nacional
2 Regalías
3 Recursos de crédito
4 SGP
5 No Aplica</t>
        </r>
      </text>
    </comment>
    <comment ref="AD740" authorId="0">
      <text>
        <r>
          <rPr>
            <b/>
            <sz val="9"/>
            <color indexed="81"/>
            <rFont val="Tahoma"/>
            <family val="2"/>
          </rPr>
          <t>0 No
1 Sí</t>
        </r>
      </text>
    </comment>
    <comment ref="AE740" authorId="0">
      <text>
        <r>
          <rPr>
            <sz val="9"/>
            <color indexed="81"/>
            <rFont val="Tahoma"/>
            <family val="2"/>
          </rPr>
          <t xml:space="preserve">
0 NA
1 No solicitadas
2 Solicitadas
3 Aprobadas</t>
        </r>
      </text>
    </comment>
    <comment ref="V741" authorId="0">
      <text>
        <r>
          <rPr>
            <b/>
            <sz val="9"/>
            <color indexed="81"/>
            <rFont val="Tahoma"/>
            <family val="2"/>
          </rPr>
          <t>0 Día(s)
1 Mes (s)
2 Año(s)</t>
        </r>
      </text>
    </comment>
    <comment ref="Y741" authorId="0">
      <text>
        <r>
          <rPr>
            <sz val="9"/>
            <color indexed="81"/>
            <rFont val="Tahoma"/>
            <family val="2"/>
          </rPr>
          <t>0 Recursos propios 
1 Presupuesto de entidad nacional
2 Regalías
3 Recursos de crédito
4 SGP
5 No Aplica</t>
        </r>
      </text>
    </comment>
    <comment ref="AD741" authorId="0">
      <text>
        <r>
          <rPr>
            <b/>
            <sz val="9"/>
            <color indexed="81"/>
            <rFont val="Tahoma"/>
            <family val="2"/>
          </rPr>
          <t>0 No
1 Sí</t>
        </r>
      </text>
    </comment>
    <comment ref="AE741" authorId="0">
      <text>
        <r>
          <rPr>
            <sz val="9"/>
            <color indexed="81"/>
            <rFont val="Tahoma"/>
            <family val="2"/>
          </rPr>
          <t xml:space="preserve">
0 NA
1 No solicitadas
2 Solicitadas
3 Aprobadas</t>
        </r>
      </text>
    </comment>
    <comment ref="V742" authorId="0">
      <text>
        <r>
          <rPr>
            <b/>
            <sz val="9"/>
            <color indexed="81"/>
            <rFont val="Tahoma"/>
            <family val="2"/>
          </rPr>
          <t>0 Día(s)
1 Mes (s)
2 Año(s)</t>
        </r>
      </text>
    </comment>
    <comment ref="Y742" authorId="0">
      <text>
        <r>
          <rPr>
            <sz val="9"/>
            <color indexed="81"/>
            <rFont val="Tahoma"/>
            <family val="2"/>
          </rPr>
          <t>0 Recursos propios 
1 Presupuesto de entidad nacional
2 Regalías
3 Recursos de crédito
4 SGP
5 No Aplica</t>
        </r>
      </text>
    </comment>
    <comment ref="AD742" authorId="0">
      <text>
        <r>
          <rPr>
            <b/>
            <sz val="9"/>
            <color indexed="81"/>
            <rFont val="Tahoma"/>
            <family val="2"/>
          </rPr>
          <t>0 No
1 Sí</t>
        </r>
      </text>
    </comment>
    <comment ref="AE742" authorId="0">
      <text>
        <r>
          <rPr>
            <sz val="9"/>
            <color indexed="81"/>
            <rFont val="Tahoma"/>
            <family val="2"/>
          </rPr>
          <t xml:space="preserve">
0 NA
1 No solicitadas
2 Solicitadas
3 Aprobadas</t>
        </r>
      </text>
    </comment>
    <comment ref="BF742" authorId="1">
      <text>
        <r>
          <rPr>
            <b/>
            <sz val="9"/>
            <color indexed="81"/>
            <rFont val="Tahoma"/>
            <family val="2"/>
          </rPr>
          <t>Orlando Arias:</t>
        </r>
        <r>
          <rPr>
            <sz val="9"/>
            <color indexed="81"/>
            <rFont val="Tahoma"/>
            <family val="2"/>
          </rPr>
          <t xml:space="preserve">
El CDP 389 del 12 de abril no fue tramitado ante esta Subdirección</t>
        </r>
      </text>
    </comment>
    <comment ref="V743" authorId="0">
      <text>
        <r>
          <rPr>
            <b/>
            <sz val="9"/>
            <color indexed="81"/>
            <rFont val="Tahoma"/>
            <family val="2"/>
          </rPr>
          <t>0 Día(s)
1 Mes (s)
2 Año(s)</t>
        </r>
      </text>
    </comment>
    <comment ref="Y743" authorId="0">
      <text>
        <r>
          <rPr>
            <sz val="9"/>
            <color indexed="81"/>
            <rFont val="Tahoma"/>
            <family val="2"/>
          </rPr>
          <t>0 Recursos propios 
1 Presupuesto de entidad nacional
2 Regalías
3 Recursos de crédito
4 SGP
5 No Aplica</t>
        </r>
      </text>
    </comment>
    <comment ref="AD743" authorId="0">
      <text>
        <r>
          <rPr>
            <b/>
            <sz val="9"/>
            <color indexed="81"/>
            <rFont val="Tahoma"/>
            <family val="2"/>
          </rPr>
          <t>0 No
1 Sí</t>
        </r>
      </text>
    </comment>
    <comment ref="AE743" authorId="0">
      <text>
        <r>
          <rPr>
            <sz val="9"/>
            <color indexed="81"/>
            <rFont val="Tahoma"/>
            <family val="2"/>
          </rPr>
          <t xml:space="preserve">
0 NA
1 No solicitadas
2 Solicitadas
3 Aprobadas</t>
        </r>
      </text>
    </comment>
    <comment ref="V744" authorId="0">
      <text>
        <r>
          <rPr>
            <b/>
            <sz val="9"/>
            <color indexed="81"/>
            <rFont val="Tahoma"/>
            <family val="2"/>
          </rPr>
          <t>0 Día(s)
1 Mes (s)
2 Año(s)</t>
        </r>
      </text>
    </comment>
    <comment ref="Y744" authorId="0">
      <text>
        <r>
          <rPr>
            <sz val="9"/>
            <color indexed="81"/>
            <rFont val="Tahoma"/>
            <family val="2"/>
          </rPr>
          <t>0 Recursos propios 
1 Presupuesto de entidad nacional
2 Regalías
3 Recursos de crédito
4 SGP
5 No Aplica</t>
        </r>
      </text>
    </comment>
    <comment ref="AD744" authorId="0">
      <text>
        <r>
          <rPr>
            <b/>
            <sz val="9"/>
            <color indexed="81"/>
            <rFont val="Tahoma"/>
            <family val="2"/>
          </rPr>
          <t>0 No
1 Sí</t>
        </r>
      </text>
    </comment>
    <comment ref="AE744" authorId="0">
      <text>
        <r>
          <rPr>
            <sz val="9"/>
            <color indexed="81"/>
            <rFont val="Tahoma"/>
            <family val="2"/>
          </rPr>
          <t xml:space="preserve">
0 NA
1 No solicitadas
2 Solicitadas
3 Aprobadas</t>
        </r>
      </text>
    </comment>
    <comment ref="V745" authorId="0">
      <text>
        <r>
          <rPr>
            <b/>
            <sz val="9"/>
            <color indexed="81"/>
            <rFont val="Tahoma"/>
            <family val="2"/>
          </rPr>
          <t>0 Día(s)
1 Mes (s)
2 Año(s)</t>
        </r>
      </text>
    </comment>
    <comment ref="Y745" authorId="0">
      <text>
        <r>
          <rPr>
            <sz val="9"/>
            <color indexed="81"/>
            <rFont val="Tahoma"/>
            <family val="2"/>
          </rPr>
          <t>0 Recursos propios 
1 Presupuesto de entidad nacional
2 Regalías
3 Recursos de crédito
4 SGP
5 No Aplica</t>
        </r>
      </text>
    </comment>
    <comment ref="AD745" authorId="0">
      <text>
        <r>
          <rPr>
            <b/>
            <sz val="9"/>
            <color indexed="81"/>
            <rFont val="Tahoma"/>
            <family val="2"/>
          </rPr>
          <t>0 No
1 Sí</t>
        </r>
      </text>
    </comment>
    <comment ref="AE745" authorId="0">
      <text>
        <r>
          <rPr>
            <sz val="9"/>
            <color indexed="81"/>
            <rFont val="Tahoma"/>
            <family val="2"/>
          </rPr>
          <t xml:space="preserve">
0 NA
1 No solicitadas
2 Solicitadas
3 Aprobadas</t>
        </r>
      </text>
    </comment>
    <comment ref="V746" authorId="0">
      <text>
        <r>
          <rPr>
            <b/>
            <sz val="9"/>
            <color indexed="81"/>
            <rFont val="Tahoma"/>
            <family val="2"/>
          </rPr>
          <t>0 Día(s)
1 Mes (s)
2 Año(s)</t>
        </r>
      </text>
    </comment>
    <comment ref="Y746" authorId="0">
      <text>
        <r>
          <rPr>
            <sz val="9"/>
            <color indexed="81"/>
            <rFont val="Tahoma"/>
            <family val="2"/>
          </rPr>
          <t>0 Recursos propios 
1 Presupuesto de entidad nacional
2 Regalías
3 Recursos de crédito
4 SGP
5 No Aplica</t>
        </r>
      </text>
    </comment>
    <comment ref="AD746" authorId="0">
      <text>
        <r>
          <rPr>
            <b/>
            <sz val="9"/>
            <color indexed="81"/>
            <rFont val="Tahoma"/>
            <family val="2"/>
          </rPr>
          <t>0 No
1 Sí</t>
        </r>
      </text>
    </comment>
    <comment ref="AE746" authorId="0">
      <text>
        <r>
          <rPr>
            <sz val="9"/>
            <color indexed="81"/>
            <rFont val="Tahoma"/>
            <family val="2"/>
          </rPr>
          <t xml:space="preserve">
0 NA
1 No solicitadas
2 Solicitadas
3 Aprobadas</t>
        </r>
      </text>
    </comment>
    <comment ref="V747" authorId="0">
      <text>
        <r>
          <rPr>
            <b/>
            <sz val="9"/>
            <color indexed="81"/>
            <rFont val="Tahoma"/>
            <family val="2"/>
          </rPr>
          <t>0 Día(s)
1 Mes (s)
2 Año(s)</t>
        </r>
      </text>
    </comment>
    <comment ref="Y747" authorId="0">
      <text>
        <r>
          <rPr>
            <sz val="9"/>
            <color indexed="81"/>
            <rFont val="Tahoma"/>
            <family val="2"/>
          </rPr>
          <t>0 Recursos propios 
1 Presupuesto de entidad nacional
2 Regalías
3 Recursos de crédito
4 SGP
5 No Aplica</t>
        </r>
      </text>
    </comment>
    <comment ref="AD747" authorId="0">
      <text>
        <r>
          <rPr>
            <b/>
            <sz val="9"/>
            <color indexed="81"/>
            <rFont val="Tahoma"/>
            <family val="2"/>
          </rPr>
          <t>0 No
1 Sí</t>
        </r>
      </text>
    </comment>
    <comment ref="AE747" authorId="0">
      <text>
        <r>
          <rPr>
            <sz val="9"/>
            <color indexed="81"/>
            <rFont val="Tahoma"/>
            <family val="2"/>
          </rPr>
          <t xml:space="preserve">
0 NA
1 No solicitadas
2 Solicitadas
3 Aprobadas</t>
        </r>
      </text>
    </comment>
    <comment ref="V748" authorId="0">
      <text>
        <r>
          <rPr>
            <b/>
            <sz val="9"/>
            <color indexed="81"/>
            <rFont val="Tahoma"/>
            <family val="2"/>
          </rPr>
          <t>0 Día(s)
1 Mes (s)
2 Año(s)</t>
        </r>
      </text>
    </comment>
    <comment ref="Y748" authorId="0">
      <text>
        <r>
          <rPr>
            <sz val="9"/>
            <color indexed="81"/>
            <rFont val="Tahoma"/>
            <family val="2"/>
          </rPr>
          <t>0 Recursos propios 
1 Presupuesto de entidad nacional
2 Regalías
3 Recursos de crédito
4 SGP
5 No Aplica</t>
        </r>
      </text>
    </comment>
    <comment ref="AD748" authorId="0">
      <text>
        <r>
          <rPr>
            <b/>
            <sz val="9"/>
            <color indexed="81"/>
            <rFont val="Tahoma"/>
            <family val="2"/>
          </rPr>
          <t>0 No
1 Sí</t>
        </r>
      </text>
    </comment>
    <comment ref="AE748" authorId="0">
      <text>
        <r>
          <rPr>
            <sz val="9"/>
            <color indexed="81"/>
            <rFont val="Tahoma"/>
            <family val="2"/>
          </rPr>
          <t xml:space="preserve">
0 NA
1 No solicitadas
2 Solicitadas
3 Aprobadas</t>
        </r>
      </text>
    </comment>
    <comment ref="V749" authorId="0">
      <text>
        <r>
          <rPr>
            <b/>
            <sz val="9"/>
            <color indexed="81"/>
            <rFont val="Tahoma"/>
            <family val="2"/>
          </rPr>
          <t>0 Día(s)
1 Mes (s)
2 Año(s)</t>
        </r>
      </text>
    </comment>
    <comment ref="Y749" authorId="0">
      <text>
        <r>
          <rPr>
            <sz val="9"/>
            <color indexed="81"/>
            <rFont val="Tahoma"/>
            <family val="2"/>
          </rPr>
          <t>0 Recursos propios 
1 Presupuesto de entidad nacional
2 Regalías
3 Recursos de crédito
4 SGP
5 No Aplica</t>
        </r>
      </text>
    </comment>
    <comment ref="AD749" authorId="0">
      <text>
        <r>
          <rPr>
            <b/>
            <sz val="9"/>
            <color indexed="81"/>
            <rFont val="Tahoma"/>
            <family val="2"/>
          </rPr>
          <t>0 No
1 Sí</t>
        </r>
      </text>
    </comment>
    <comment ref="AE749" authorId="0">
      <text>
        <r>
          <rPr>
            <sz val="9"/>
            <color indexed="81"/>
            <rFont val="Tahoma"/>
            <family val="2"/>
          </rPr>
          <t xml:space="preserve">
0 NA
1 No solicitadas
2 Solicitadas
3 Aprobadas</t>
        </r>
      </text>
    </comment>
    <comment ref="V750" authorId="0">
      <text>
        <r>
          <rPr>
            <b/>
            <sz val="9"/>
            <color indexed="81"/>
            <rFont val="Tahoma"/>
            <family val="2"/>
          </rPr>
          <t>0 Día(s)
1 Mes (s)
2 Año(s)</t>
        </r>
      </text>
    </comment>
    <comment ref="Y750" authorId="0">
      <text>
        <r>
          <rPr>
            <sz val="9"/>
            <color indexed="81"/>
            <rFont val="Tahoma"/>
            <family val="2"/>
          </rPr>
          <t>0 Recursos propios 
1 Presupuesto de entidad nacional
2 Regalías
3 Recursos de crédito
4 SGP
5 No Aplica</t>
        </r>
      </text>
    </comment>
    <comment ref="AD750" authorId="0">
      <text>
        <r>
          <rPr>
            <b/>
            <sz val="9"/>
            <color indexed="81"/>
            <rFont val="Tahoma"/>
            <family val="2"/>
          </rPr>
          <t>0 No
1 Sí</t>
        </r>
      </text>
    </comment>
    <comment ref="AE750" authorId="0">
      <text>
        <r>
          <rPr>
            <sz val="9"/>
            <color indexed="81"/>
            <rFont val="Tahoma"/>
            <family val="2"/>
          </rPr>
          <t xml:space="preserve">
0 NA
1 No solicitadas
2 Solicitadas
3 Aprobadas</t>
        </r>
      </text>
    </comment>
    <comment ref="V751" authorId="0">
      <text>
        <r>
          <rPr>
            <b/>
            <sz val="9"/>
            <color indexed="81"/>
            <rFont val="Tahoma"/>
            <family val="2"/>
          </rPr>
          <t>0 Día(s)
1 Mes (s)
2 Año(s)</t>
        </r>
      </text>
    </comment>
    <comment ref="Y751" authorId="0">
      <text>
        <r>
          <rPr>
            <sz val="9"/>
            <color indexed="81"/>
            <rFont val="Tahoma"/>
            <family val="2"/>
          </rPr>
          <t>0 Recursos propios 
1 Presupuesto de entidad nacional
2 Regalías
3 Recursos de crédito
4 SGP
5 No Aplica</t>
        </r>
      </text>
    </comment>
    <comment ref="AD751" authorId="0">
      <text>
        <r>
          <rPr>
            <b/>
            <sz val="9"/>
            <color indexed="81"/>
            <rFont val="Tahoma"/>
            <family val="2"/>
          </rPr>
          <t>0 No
1 Sí</t>
        </r>
      </text>
    </comment>
    <comment ref="AE751" authorId="0">
      <text>
        <r>
          <rPr>
            <sz val="9"/>
            <color indexed="81"/>
            <rFont val="Tahoma"/>
            <family val="2"/>
          </rPr>
          <t xml:space="preserve">
0 NA
1 No solicitadas
2 Solicitadas
3 Aprobadas</t>
        </r>
      </text>
    </comment>
    <comment ref="V752" authorId="0">
      <text>
        <r>
          <rPr>
            <b/>
            <sz val="9"/>
            <color indexed="81"/>
            <rFont val="Tahoma"/>
            <family val="2"/>
          </rPr>
          <t>0 Día(s)
1 Mes (s)
2 Año(s)</t>
        </r>
      </text>
    </comment>
    <comment ref="Y752" authorId="0">
      <text>
        <r>
          <rPr>
            <sz val="9"/>
            <color indexed="81"/>
            <rFont val="Tahoma"/>
            <family val="2"/>
          </rPr>
          <t>0 Recursos propios 
1 Presupuesto de entidad nacional
2 Regalías
3 Recursos de crédito
4 SGP
5 No Aplica</t>
        </r>
      </text>
    </comment>
    <comment ref="AD752" authorId="0">
      <text>
        <r>
          <rPr>
            <b/>
            <sz val="9"/>
            <color indexed="81"/>
            <rFont val="Tahoma"/>
            <family val="2"/>
          </rPr>
          <t>0 No
1 Sí</t>
        </r>
      </text>
    </comment>
    <comment ref="AE752" authorId="0">
      <text>
        <r>
          <rPr>
            <sz val="9"/>
            <color indexed="81"/>
            <rFont val="Tahoma"/>
            <family val="2"/>
          </rPr>
          <t xml:space="preserve">
0 NA
1 No solicitadas
2 Solicitadas
3 Aprobadas</t>
        </r>
      </text>
    </comment>
    <comment ref="V753" authorId="0">
      <text>
        <r>
          <rPr>
            <b/>
            <sz val="9"/>
            <color indexed="81"/>
            <rFont val="Tahoma"/>
            <family val="2"/>
          </rPr>
          <t>0 Día(s)
1 Mes (s)
2 Año(s)</t>
        </r>
      </text>
    </comment>
    <comment ref="Y753" authorId="0">
      <text>
        <r>
          <rPr>
            <sz val="9"/>
            <color indexed="81"/>
            <rFont val="Tahoma"/>
            <family val="2"/>
          </rPr>
          <t>0 Recursos propios 
1 Presupuesto de entidad nacional
2 Regalías
3 Recursos de crédito
4 SGP
5 No Aplica</t>
        </r>
      </text>
    </comment>
    <comment ref="AD753" authorId="0">
      <text>
        <r>
          <rPr>
            <b/>
            <sz val="9"/>
            <color indexed="81"/>
            <rFont val="Tahoma"/>
            <family val="2"/>
          </rPr>
          <t>0 No
1 Sí</t>
        </r>
      </text>
    </comment>
    <comment ref="AE753" authorId="0">
      <text>
        <r>
          <rPr>
            <sz val="9"/>
            <color indexed="81"/>
            <rFont val="Tahoma"/>
            <family val="2"/>
          </rPr>
          <t xml:space="preserve">
0 NA
1 No solicitadas
2 Solicitadas
3 Aprobadas</t>
        </r>
      </text>
    </comment>
    <comment ref="V754" authorId="0">
      <text>
        <r>
          <rPr>
            <b/>
            <sz val="9"/>
            <color indexed="81"/>
            <rFont val="Tahoma"/>
            <family val="2"/>
          </rPr>
          <t>0 Día(s)
1 Mes (s)
2 Año(s)</t>
        </r>
      </text>
    </comment>
    <comment ref="Y754" authorId="0">
      <text>
        <r>
          <rPr>
            <sz val="9"/>
            <color indexed="81"/>
            <rFont val="Tahoma"/>
            <family val="2"/>
          </rPr>
          <t>0 Recursos propios 
1 Presupuesto de entidad nacional
2 Regalías
3 Recursos de crédito
4 SGP
5 No Aplica</t>
        </r>
      </text>
    </comment>
    <comment ref="AD754" authorId="0">
      <text>
        <r>
          <rPr>
            <b/>
            <sz val="9"/>
            <color indexed="81"/>
            <rFont val="Tahoma"/>
            <family val="2"/>
          </rPr>
          <t>0 No
1 Sí</t>
        </r>
      </text>
    </comment>
    <comment ref="AE754" authorId="0">
      <text>
        <r>
          <rPr>
            <sz val="9"/>
            <color indexed="81"/>
            <rFont val="Tahoma"/>
            <family val="2"/>
          </rPr>
          <t xml:space="preserve">
0 NA
1 No solicitadas
2 Solicitadas
3 Aprobadas</t>
        </r>
      </text>
    </comment>
    <comment ref="V755" authorId="0">
      <text>
        <r>
          <rPr>
            <b/>
            <sz val="9"/>
            <color indexed="81"/>
            <rFont val="Tahoma"/>
            <family val="2"/>
          </rPr>
          <t>0 Día(s)
1 Mes (s)
2 Año(s)</t>
        </r>
      </text>
    </comment>
    <comment ref="Y755" authorId="0">
      <text>
        <r>
          <rPr>
            <sz val="9"/>
            <color indexed="81"/>
            <rFont val="Tahoma"/>
            <family val="2"/>
          </rPr>
          <t>0 Recursos propios 
1 Presupuesto de entidad nacional
2 Regalías
3 Recursos de crédito
4 SGP
5 No Aplica</t>
        </r>
      </text>
    </comment>
    <comment ref="AD755" authorId="0">
      <text>
        <r>
          <rPr>
            <b/>
            <sz val="9"/>
            <color indexed="81"/>
            <rFont val="Tahoma"/>
            <family val="2"/>
          </rPr>
          <t>0 No
1 Sí</t>
        </r>
      </text>
    </comment>
    <comment ref="AE755" authorId="0">
      <text>
        <r>
          <rPr>
            <sz val="9"/>
            <color indexed="81"/>
            <rFont val="Tahoma"/>
            <family val="2"/>
          </rPr>
          <t xml:space="preserve">
0 NA
1 No solicitadas
2 Solicitadas
3 Aprobadas</t>
        </r>
      </text>
    </comment>
    <comment ref="V756" authorId="0">
      <text>
        <r>
          <rPr>
            <b/>
            <sz val="9"/>
            <color indexed="81"/>
            <rFont val="Tahoma"/>
            <family val="2"/>
          </rPr>
          <t>0 Día(s)
1 Mes (s)
2 Año(s)</t>
        </r>
      </text>
    </comment>
    <comment ref="Y756" authorId="0">
      <text>
        <r>
          <rPr>
            <sz val="9"/>
            <color indexed="81"/>
            <rFont val="Tahoma"/>
            <family val="2"/>
          </rPr>
          <t>0 Recursos propios 
1 Presupuesto de entidad nacional
2 Regalías
3 Recursos de crédito
4 SGP
5 No Aplica</t>
        </r>
      </text>
    </comment>
    <comment ref="AD756" authorId="0">
      <text>
        <r>
          <rPr>
            <b/>
            <sz val="9"/>
            <color indexed="81"/>
            <rFont val="Tahoma"/>
            <family val="2"/>
          </rPr>
          <t>0 No
1 Sí</t>
        </r>
      </text>
    </comment>
    <comment ref="AE756" authorId="0">
      <text>
        <r>
          <rPr>
            <sz val="9"/>
            <color indexed="81"/>
            <rFont val="Tahoma"/>
            <family val="2"/>
          </rPr>
          <t xml:space="preserve">
0 NA
1 No solicitadas
2 Solicitadas
3 Aprobadas</t>
        </r>
      </text>
    </comment>
    <comment ref="V757" authorId="0">
      <text>
        <r>
          <rPr>
            <b/>
            <sz val="9"/>
            <color indexed="81"/>
            <rFont val="Tahoma"/>
            <family val="2"/>
          </rPr>
          <t>0 Día(s)
1 Mes (s)
2 Año(s)</t>
        </r>
      </text>
    </comment>
    <comment ref="Y757" authorId="0">
      <text>
        <r>
          <rPr>
            <sz val="9"/>
            <color indexed="81"/>
            <rFont val="Tahoma"/>
            <family val="2"/>
          </rPr>
          <t>0 Recursos propios 
1 Presupuesto de entidad nacional
2 Regalías
3 Recursos de crédito
4 SGP
5 No Aplica</t>
        </r>
      </text>
    </comment>
    <comment ref="AD757" authorId="0">
      <text>
        <r>
          <rPr>
            <b/>
            <sz val="9"/>
            <color indexed="81"/>
            <rFont val="Tahoma"/>
            <family val="2"/>
          </rPr>
          <t>0 No
1 Sí</t>
        </r>
      </text>
    </comment>
    <comment ref="AE757" authorId="0">
      <text>
        <r>
          <rPr>
            <sz val="9"/>
            <color indexed="81"/>
            <rFont val="Tahoma"/>
            <family val="2"/>
          </rPr>
          <t xml:space="preserve">
0 NA
1 No solicitadas
2 Solicitadas
3 Aprobadas</t>
        </r>
      </text>
    </comment>
    <comment ref="BF757" authorId="1">
      <text>
        <r>
          <rPr>
            <b/>
            <sz val="9"/>
            <color indexed="81"/>
            <rFont val="Tahoma"/>
            <family val="2"/>
          </rPr>
          <t>Orlando Arias:</t>
        </r>
        <r>
          <rPr>
            <sz val="9"/>
            <color indexed="81"/>
            <rFont val="Tahoma"/>
            <family val="2"/>
          </rPr>
          <t xml:space="preserve">
El CDP 389 del 12 de abril no fue tramitado ante esta Subdirección.
El CDP 390 del 12 de abril no fue tramitado ante esta Subdirección.</t>
        </r>
      </text>
    </comment>
    <comment ref="V758" authorId="0">
      <text>
        <r>
          <rPr>
            <b/>
            <sz val="9"/>
            <color indexed="81"/>
            <rFont val="Tahoma"/>
            <family val="2"/>
          </rPr>
          <t>0 Día(s)
1 Mes (s)
2 Año(s)</t>
        </r>
      </text>
    </comment>
    <comment ref="Y758" authorId="0">
      <text>
        <r>
          <rPr>
            <sz val="9"/>
            <color indexed="81"/>
            <rFont val="Tahoma"/>
            <family val="2"/>
          </rPr>
          <t>0 Recursos propios 
1 Presupuesto de entidad nacional
2 Regalías
3 Recursos de crédito
4 SGP
5 No Aplica</t>
        </r>
      </text>
    </comment>
    <comment ref="AD758" authorId="0">
      <text>
        <r>
          <rPr>
            <b/>
            <sz val="9"/>
            <color indexed="81"/>
            <rFont val="Tahoma"/>
            <family val="2"/>
          </rPr>
          <t>0 No
1 Sí</t>
        </r>
      </text>
    </comment>
    <comment ref="AE758" authorId="0">
      <text>
        <r>
          <rPr>
            <sz val="9"/>
            <color indexed="81"/>
            <rFont val="Tahoma"/>
            <family val="2"/>
          </rPr>
          <t xml:space="preserve">
0 NA
1 No solicitadas
2 Solicitadas
3 Aprobadas</t>
        </r>
      </text>
    </comment>
    <comment ref="V759" authorId="0">
      <text>
        <r>
          <rPr>
            <b/>
            <sz val="9"/>
            <color indexed="81"/>
            <rFont val="Tahoma"/>
            <family val="2"/>
          </rPr>
          <t>0 Día(s)
1 Mes (s)
2 Año(s)</t>
        </r>
      </text>
    </comment>
    <comment ref="Y759" authorId="0">
      <text>
        <r>
          <rPr>
            <sz val="9"/>
            <color indexed="81"/>
            <rFont val="Tahoma"/>
            <family val="2"/>
          </rPr>
          <t>0 Recursos propios 
1 Presupuesto de entidad nacional
2 Regalías
3 Recursos de crédito
4 SGP
5 No Aplica</t>
        </r>
      </text>
    </comment>
    <comment ref="AD759" authorId="0">
      <text>
        <r>
          <rPr>
            <b/>
            <sz val="9"/>
            <color indexed="81"/>
            <rFont val="Tahoma"/>
            <family val="2"/>
          </rPr>
          <t>0 No
1 Sí</t>
        </r>
      </text>
    </comment>
    <comment ref="AE759" authorId="0">
      <text>
        <r>
          <rPr>
            <sz val="9"/>
            <color indexed="81"/>
            <rFont val="Tahoma"/>
            <family val="2"/>
          </rPr>
          <t xml:space="preserve">
0 NA
1 No solicitadas
2 Solicitadas
3 Aprobadas</t>
        </r>
      </text>
    </comment>
    <comment ref="V760" authorId="0">
      <text>
        <r>
          <rPr>
            <b/>
            <sz val="9"/>
            <color indexed="81"/>
            <rFont val="Tahoma"/>
            <family val="2"/>
          </rPr>
          <t>0 Día(s)
1 Mes (s)
2 Año(s)</t>
        </r>
      </text>
    </comment>
    <comment ref="Y760" authorId="0">
      <text>
        <r>
          <rPr>
            <sz val="9"/>
            <color indexed="81"/>
            <rFont val="Tahoma"/>
            <family val="2"/>
          </rPr>
          <t>0 Recursos propios 
1 Presupuesto de entidad nacional
2 Regalías
3 Recursos de crédito
4 SGP
5 No Aplica</t>
        </r>
      </text>
    </comment>
    <comment ref="AD760" authorId="0">
      <text>
        <r>
          <rPr>
            <b/>
            <sz val="9"/>
            <color indexed="81"/>
            <rFont val="Tahoma"/>
            <family val="2"/>
          </rPr>
          <t>0 No
1 Sí</t>
        </r>
      </text>
    </comment>
    <comment ref="AE760" authorId="0">
      <text>
        <r>
          <rPr>
            <sz val="9"/>
            <color indexed="81"/>
            <rFont val="Tahoma"/>
            <family val="2"/>
          </rPr>
          <t xml:space="preserve">
0 NA
1 No solicitadas
2 Solicitadas
3 Aprobadas</t>
        </r>
      </text>
    </comment>
    <comment ref="V761" authorId="0">
      <text>
        <r>
          <rPr>
            <b/>
            <sz val="9"/>
            <color indexed="81"/>
            <rFont val="Tahoma"/>
            <family val="2"/>
          </rPr>
          <t>0 Día(s)
1 Mes (s)
2 Año(s)</t>
        </r>
      </text>
    </comment>
    <comment ref="Y761" authorId="0">
      <text>
        <r>
          <rPr>
            <sz val="9"/>
            <color indexed="81"/>
            <rFont val="Tahoma"/>
            <family val="2"/>
          </rPr>
          <t>0 Recursos propios 
1 Presupuesto de entidad nacional
2 Regalías
3 Recursos de crédito
4 SGP
5 No Aplica</t>
        </r>
      </text>
    </comment>
    <comment ref="AD761" authorId="0">
      <text>
        <r>
          <rPr>
            <b/>
            <sz val="9"/>
            <color indexed="81"/>
            <rFont val="Tahoma"/>
            <family val="2"/>
          </rPr>
          <t>0 No
1 Sí</t>
        </r>
      </text>
    </comment>
    <comment ref="AE761" authorId="0">
      <text>
        <r>
          <rPr>
            <sz val="9"/>
            <color indexed="81"/>
            <rFont val="Tahoma"/>
            <family val="2"/>
          </rPr>
          <t xml:space="preserve">
0 NA
1 No solicitadas
2 Solicitadas
3 Aprobadas</t>
        </r>
      </text>
    </comment>
    <comment ref="V762" authorId="0">
      <text>
        <r>
          <rPr>
            <b/>
            <sz val="9"/>
            <color indexed="81"/>
            <rFont val="Tahoma"/>
            <family val="2"/>
          </rPr>
          <t>0 Día(s)
1 Mes (s)
2 Año(s)</t>
        </r>
      </text>
    </comment>
    <comment ref="Y762" authorId="0">
      <text>
        <r>
          <rPr>
            <sz val="9"/>
            <color indexed="81"/>
            <rFont val="Tahoma"/>
            <family val="2"/>
          </rPr>
          <t>0 Recursos propios 
1 Presupuesto de entidad nacional
2 Regalías
3 Recursos de crédito
4 SGP
5 No Aplica</t>
        </r>
      </text>
    </comment>
    <comment ref="AD762" authorId="0">
      <text>
        <r>
          <rPr>
            <b/>
            <sz val="9"/>
            <color indexed="81"/>
            <rFont val="Tahoma"/>
            <family val="2"/>
          </rPr>
          <t>0 No
1 Sí</t>
        </r>
      </text>
    </comment>
    <comment ref="AE762" authorId="0">
      <text>
        <r>
          <rPr>
            <sz val="9"/>
            <color indexed="81"/>
            <rFont val="Tahoma"/>
            <family val="2"/>
          </rPr>
          <t xml:space="preserve">
0 NA
1 No solicitadas
2 Solicitadas
3 Aprobadas</t>
        </r>
      </text>
    </comment>
    <comment ref="V763" authorId="0">
      <text>
        <r>
          <rPr>
            <b/>
            <sz val="9"/>
            <color indexed="81"/>
            <rFont val="Tahoma"/>
            <family val="2"/>
          </rPr>
          <t>0 Día(s)
1 Mes (s)
2 Año(s)</t>
        </r>
      </text>
    </comment>
    <comment ref="Y763" authorId="0">
      <text>
        <r>
          <rPr>
            <sz val="9"/>
            <color indexed="81"/>
            <rFont val="Tahoma"/>
            <family val="2"/>
          </rPr>
          <t>0 Recursos propios 
1 Presupuesto de entidad nacional
2 Regalías
3 Recursos de crédito
4 SGP
5 No Aplica</t>
        </r>
      </text>
    </comment>
    <comment ref="AD763" authorId="0">
      <text>
        <r>
          <rPr>
            <b/>
            <sz val="9"/>
            <color indexed="81"/>
            <rFont val="Tahoma"/>
            <family val="2"/>
          </rPr>
          <t>0 No
1 Sí</t>
        </r>
      </text>
    </comment>
    <comment ref="AE763" authorId="0">
      <text>
        <r>
          <rPr>
            <sz val="9"/>
            <color indexed="81"/>
            <rFont val="Tahoma"/>
            <family val="2"/>
          </rPr>
          <t xml:space="preserve">
0 NA
1 No solicitadas
2 Solicitadas
3 Aprobadas</t>
        </r>
      </text>
    </comment>
    <comment ref="V764" authorId="0">
      <text>
        <r>
          <rPr>
            <b/>
            <sz val="9"/>
            <color indexed="81"/>
            <rFont val="Tahoma"/>
            <family val="2"/>
          </rPr>
          <t>0 Día(s)
1 Mes (s)
2 Año(s)</t>
        </r>
      </text>
    </comment>
    <comment ref="Y764" authorId="0">
      <text>
        <r>
          <rPr>
            <sz val="9"/>
            <color indexed="81"/>
            <rFont val="Tahoma"/>
            <family val="2"/>
          </rPr>
          <t>0 Recursos propios 
1 Presupuesto de entidad nacional
2 Regalías
3 Recursos de crédito
4 SGP
5 No Aplica</t>
        </r>
      </text>
    </comment>
    <comment ref="AD764" authorId="0">
      <text>
        <r>
          <rPr>
            <b/>
            <sz val="9"/>
            <color indexed="81"/>
            <rFont val="Tahoma"/>
            <family val="2"/>
          </rPr>
          <t>0 No
1 Sí</t>
        </r>
      </text>
    </comment>
    <comment ref="AE764" authorId="0">
      <text>
        <r>
          <rPr>
            <sz val="9"/>
            <color indexed="81"/>
            <rFont val="Tahoma"/>
            <family val="2"/>
          </rPr>
          <t xml:space="preserve">
0 NA
1 No solicitadas
2 Solicitadas
3 Aprobadas</t>
        </r>
      </text>
    </comment>
    <comment ref="V765" authorId="0">
      <text>
        <r>
          <rPr>
            <b/>
            <sz val="9"/>
            <color indexed="81"/>
            <rFont val="Tahoma"/>
            <family val="2"/>
          </rPr>
          <t>0 Día(s)
1 Mes (s)
2 Año(s)</t>
        </r>
      </text>
    </comment>
    <comment ref="Y765" authorId="0">
      <text>
        <r>
          <rPr>
            <sz val="9"/>
            <color indexed="81"/>
            <rFont val="Tahoma"/>
            <family val="2"/>
          </rPr>
          <t>0 Recursos propios 
1 Presupuesto de entidad nacional
2 Regalías
3 Recursos de crédito
4 SGP
5 No Aplica</t>
        </r>
      </text>
    </comment>
    <comment ref="AD765" authorId="0">
      <text>
        <r>
          <rPr>
            <b/>
            <sz val="9"/>
            <color indexed="81"/>
            <rFont val="Tahoma"/>
            <family val="2"/>
          </rPr>
          <t>0 No
1 Sí</t>
        </r>
      </text>
    </comment>
    <comment ref="AE765" authorId="0">
      <text>
        <r>
          <rPr>
            <sz val="9"/>
            <color indexed="81"/>
            <rFont val="Tahoma"/>
            <family val="2"/>
          </rPr>
          <t xml:space="preserve">
0 NA
1 No solicitadas
2 Solicitadas
3 Aprobadas</t>
        </r>
      </text>
    </comment>
    <comment ref="V766" authorId="0">
      <text>
        <r>
          <rPr>
            <b/>
            <sz val="9"/>
            <color indexed="81"/>
            <rFont val="Tahoma"/>
            <family val="2"/>
          </rPr>
          <t>0 Día(s)
1 Mes (s)
2 Año(s)</t>
        </r>
      </text>
    </comment>
    <comment ref="Y766" authorId="0">
      <text>
        <r>
          <rPr>
            <sz val="9"/>
            <color indexed="81"/>
            <rFont val="Tahoma"/>
            <family val="2"/>
          </rPr>
          <t>0 Recursos propios 
1 Presupuesto de entidad nacional
2 Regalías
3 Recursos de crédito
4 SGP
5 No Aplica</t>
        </r>
      </text>
    </comment>
    <comment ref="AD766" authorId="0">
      <text>
        <r>
          <rPr>
            <b/>
            <sz val="9"/>
            <color indexed="81"/>
            <rFont val="Tahoma"/>
            <family val="2"/>
          </rPr>
          <t>0 No
1 Sí</t>
        </r>
      </text>
    </comment>
    <comment ref="AE766" authorId="0">
      <text>
        <r>
          <rPr>
            <sz val="9"/>
            <color indexed="81"/>
            <rFont val="Tahoma"/>
            <family val="2"/>
          </rPr>
          <t xml:space="preserve">
0 NA
1 No solicitadas
2 Solicitadas
3 Aprobadas</t>
        </r>
      </text>
    </comment>
    <comment ref="V767" authorId="0">
      <text>
        <r>
          <rPr>
            <b/>
            <sz val="9"/>
            <color indexed="81"/>
            <rFont val="Tahoma"/>
            <family val="2"/>
          </rPr>
          <t>0 Día(s)
1 Mes (s)
2 Año(s)</t>
        </r>
      </text>
    </comment>
    <comment ref="Y767" authorId="0">
      <text>
        <r>
          <rPr>
            <sz val="9"/>
            <color indexed="81"/>
            <rFont val="Tahoma"/>
            <family val="2"/>
          </rPr>
          <t>0 Recursos propios 
1 Presupuesto de entidad nacional
2 Regalías
3 Recursos de crédito
4 SGP
5 No Aplica</t>
        </r>
      </text>
    </comment>
    <comment ref="AD767" authorId="0">
      <text>
        <r>
          <rPr>
            <b/>
            <sz val="9"/>
            <color indexed="81"/>
            <rFont val="Tahoma"/>
            <family val="2"/>
          </rPr>
          <t>0 No
1 Sí</t>
        </r>
      </text>
    </comment>
    <comment ref="AE767" authorId="0">
      <text>
        <r>
          <rPr>
            <sz val="9"/>
            <color indexed="81"/>
            <rFont val="Tahoma"/>
            <family val="2"/>
          </rPr>
          <t xml:space="preserve">
0 NA
1 No solicitadas
2 Solicitadas
3 Aprobadas</t>
        </r>
      </text>
    </comment>
    <comment ref="V768" authorId="0">
      <text>
        <r>
          <rPr>
            <b/>
            <sz val="9"/>
            <color indexed="81"/>
            <rFont val="Tahoma"/>
            <family val="2"/>
          </rPr>
          <t>0 Día(s)
1 Mes (s)
2 Año(s)</t>
        </r>
      </text>
    </comment>
    <comment ref="Y768" authorId="0">
      <text>
        <r>
          <rPr>
            <sz val="9"/>
            <color indexed="81"/>
            <rFont val="Tahoma"/>
            <family val="2"/>
          </rPr>
          <t>0 Recursos propios 
1 Presupuesto de entidad nacional
2 Regalías
3 Recursos de crédito
4 SGP
5 No Aplica</t>
        </r>
      </text>
    </comment>
    <comment ref="AD768" authorId="0">
      <text>
        <r>
          <rPr>
            <b/>
            <sz val="9"/>
            <color indexed="81"/>
            <rFont val="Tahoma"/>
            <family val="2"/>
          </rPr>
          <t>0 No
1 Sí</t>
        </r>
      </text>
    </comment>
    <comment ref="AE768" authorId="0">
      <text>
        <r>
          <rPr>
            <sz val="9"/>
            <color indexed="81"/>
            <rFont val="Tahoma"/>
            <family val="2"/>
          </rPr>
          <t xml:space="preserve">
0 NA
1 No solicitadas
2 Solicitadas
3 Aprobadas</t>
        </r>
      </text>
    </comment>
    <comment ref="V769" authorId="0">
      <text>
        <r>
          <rPr>
            <b/>
            <sz val="9"/>
            <color indexed="81"/>
            <rFont val="Tahoma"/>
            <family val="2"/>
          </rPr>
          <t>0 Día(s)
1 Mes (s)
2 Año(s)</t>
        </r>
      </text>
    </comment>
    <comment ref="Y769" authorId="0">
      <text>
        <r>
          <rPr>
            <sz val="9"/>
            <color indexed="81"/>
            <rFont val="Tahoma"/>
            <family val="2"/>
          </rPr>
          <t>0 Recursos propios 
1 Presupuesto de entidad nacional
2 Regalías
3 Recursos de crédito
4 SGP
5 No Aplica</t>
        </r>
      </text>
    </comment>
    <comment ref="AD769" authorId="0">
      <text>
        <r>
          <rPr>
            <b/>
            <sz val="9"/>
            <color indexed="81"/>
            <rFont val="Tahoma"/>
            <family val="2"/>
          </rPr>
          <t>0 No
1 Sí</t>
        </r>
      </text>
    </comment>
    <comment ref="AE769" authorId="0">
      <text>
        <r>
          <rPr>
            <sz val="9"/>
            <color indexed="81"/>
            <rFont val="Tahoma"/>
            <family val="2"/>
          </rPr>
          <t xml:space="preserve">
0 NA
1 No solicitadas
2 Solicitadas
3 Aprobadas</t>
        </r>
      </text>
    </comment>
    <comment ref="V770" authorId="0">
      <text>
        <r>
          <rPr>
            <b/>
            <sz val="9"/>
            <color indexed="81"/>
            <rFont val="Tahoma"/>
            <family val="2"/>
          </rPr>
          <t>0 Día(s)
1 Mes (s)
2 Año(s)</t>
        </r>
      </text>
    </comment>
    <comment ref="Y770" authorId="0">
      <text>
        <r>
          <rPr>
            <sz val="9"/>
            <color indexed="81"/>
            <rFont val="Tahoma"/>
            <family val="2"/>
          </rPr>
          <t>0 Recursos propios 
1 Presupuesto de entidad nacional
2 Regalías
3 Recursos de crédito
4 SGP
5 No Aplica</t>
        </r>
      </text>
    </comment>
    <comment ref="AD770" authorId="0">
      <text>
        <r>
          <rPr>
            <b/>
            <sz val="9"/>
            <color indexed="81"/>
            <rFont val="Tahoma"/>
            <family val="2"/>
          </rPr>
          <t>0 No
1 Sí</t>
        </r>
      </text>
    </comment>
    <comment ref="AE770" authorId="0">
      <text>
        <r>
          <rPr>
            <sz val="9"/>
            <color indexed="81"/>
            <rFont val="Tahoma"/>
            <family val="2"/>
          </rPr>
          <t xml:space="preserve">
0 NA
1 No solicitadas
2 Solicitadas
3 Aprobadas</t>
        </r>
      </text>
    </comment>
    <comment ref="V771" authorId="0">
      <text>
        <r>
          <rPr>
            <b/>
            <sz val="9"/>
            <color indexed="81"/>
            <rFont val="Tahoma"/>
            <family val="2"/>
          </rPr>
          <t>0 Día(s)
1 Mes (s)
2 Año(s)</t>
        </r>
      </text>
    </comment>
    <comment ref="Y771" authorId="0">
      <text>
        <r>
          <rPr>
            <sz val="9"/>
            <color indexed="81"/>
            <rFont val="Tahoma"/>
            <family val="2"/>
          </rPr>
          <t>0 Recursos propios 
1 Presupuesto de entidad nacional
2 Regalías
3 Recursos de crédito
4 SGP
5 No Aplica</t>
        </r>
      </text>
    </comment>
    <comment ref="AD771" authorId="0">
      <text>
        <r>
          <rPr>
            <b/>
            <sz val="9"/>
            <color indexed="81"/>
            <rFont val="Tahoma"/>
            <family val="2"/>
          </rPr>
          <t>0 No
1 Sí</t>
        </r>
      </text>
    </comment>
    <comment ref="AE771" authorId="0">
      <text>
        <r>
          <rPr>
            <sz val="9"/>
            <color indexed="81"/>
            <rFont val="Tahoma"/>
            <family val="2"/>
          </rPr>
          <t xml:space="preserve">
0 NA
1 No solicitadas
2 Solicitadas
3 Aprobadas</t>
        </r>
      </text>
    </comment>
    <comment ref="V772" authorId="0">
      <text>
        <r>
          <rPr>
            <b/>
            <sz val="9"/>
            <color indexed="81"/>
            <rFont val="Tahoma"/>
            <family val="2"/>
          </rPr>
          <t>0 Día(s)
1 Mes (s)
2 Año(s)</t>
        </r>
      </text>
    </comment>
    <comment ref="Y772" authorId="0">
      <text>
        <r>
          <rPr>
            <sz val="9"/>
            <color indexed="81"/>
            <rFont val="Tahoma"/>
            <family val="2"/>
          </rPr>
          <t>0 Recursos propios 
1 Presupuesto de entidad nacional
2 Regalías
3 Recursos de crédito
4 SGP
5 No Aplica</t>
        </r>
      </text>
    </comment>
    <comment ref="AD772" authorId="0">
      <text>
        <r>
          <rPr>
            <b/>
            <sz val="9"/>
            <color indexed="81"/>
            <rFont val="Tahoma"/>
            <family val="2"/>
          </rPr>
          <t>0 No
1 Sí</t>
        </r>
      </text>
    </comment>
    <comment ref="AE772" authorId="0">
      <text>
        <r>
          <rPr>
            <sz val="9"/>
            <color indexed="81"/>
            <rFont val="Tahoma"/>
            <family val="2"/>
          </rPr>
          <t xml:space="preserve">
0 NA
1 No solicitadas
2 Solicitadas
3 Aprobadas</t>
        </r>
      </text>
    </comment>
    <comment ref="V773" authorId="0">
      <text>
        <r>
          <rPr>
            <b/>
            <sz val="9"/>
            <color indexed="81"/>
            <rFont val="Tahoma"/>
            <family val="2"/>
          </rPr>
          <t>0 Día(s)
1 Mes (s)
2 Año(s)</t>
        </r>
      </text>
    </comment>
    <comment ref="Y773" authorId="0">
      <text>
        <r>
          <rPr>
            <sz val="9"/>
            <color indexed="81"/>
            <rFont val="Tahoma"/>
            <family val="2"/>
          </rPr>
          <t>0 Recursos propios 
1 Presupuesto de entidad nacional
2 Regalías
3 Recursos de crédito
4 SGP
5 No Aplica</t>
        </r>
      </text>
    </comment>
    <comment ref="AD773" authorId="0">
      <text>
        <r>
          <rPr>
            <b/>
            <sz val="9"/>
            <color indexed="81"/>
            <rFont val="Tahoma"/>
            <family val="2"/>
          </rPr>
          <t>0 No
1 Sí</t>
        </r>
      </text>
    </comment>
    <comment ref="AE773" authorId="0">
      <text>
        <r>
          <rPr>
            <sz val="9"/>
            <color indexed="81"/>
            <rFont val="Tahoma"/>
            <family val="2"/>
          </rPr>
          <t xml:space="preserve">
0 NA
1 No solicitadas
2 Solicitadas
3 Aprobadas</t>
        </r>
      </text>
    </comment>
    <comment ref="V774" authorId="0">
      <text>
        <r>
          <rPr>
            <b/>
            <sz val="9"/>
            <color indexed="81"/>
            <rFont val="Tahoma"/>
            <family val="2"/>
          </rPr>
          <t>0 Día(s)
1 Mes (s)
2 Año(s)</t>
        </r>
      </text>
    </comment>
    <comment ref="Y774" authorId="0">
      <text>
        <r>
          <rPr>
            <sz val="9"/>
            <color indexed="81"/>
            <rFont val="Tahoma"/>
            <family val="2"/>
          </rPr>
          <t>0 Recursos propios 
1 Presupuesto de entidad nacional
2 Regalías
3 Recursos de crédito
4 SGP
5 No Aplica</t>
        </r>
      </text>
    </comment>
    <comment ref="AD774" authorId="0">
      <text>
        <r>
          <rPr>
            <b/>
            <sz val="9"/>
            <color indexed="81"/>
            <rFont val="Tahoma"/>
            <family val="2"/>
          </rPr>
          <t>0 No
1 Sí</t>
        </r>
      </text>
    </comment>
    <comment ref="AE774" authorId="0">
      <text>
        <r>
          <rPr>
            <sz val="9"/>
            <color indexed="81"/>
            <rFont val="Tahoma"/>
            <family val="2"/>
          </rPr>
          <t xml:space="preserve">
0 NA
1 No solicitadas
2 Solicitadas
3 Aprobadas</t>
        </r>
      </text>
    </comment>
    <comment ref="V775" authorId="0">
      <text>
        <r>
          <rPr>
            <b/>
            <sz val="9"/>
            <color indexed="81"/>
            <rFont val="Tahoma"/>
            <family val="2"/>
          </rPr>
          <t>0 Día(s)
1 Mes (s)
2 Año(s)</t>
        </r>
      </text>
    </comment>
    <comment ref="Y775" authorId="0">
      <text>
        <r>
          <rPr>
            <sz val="9"/>
            <color indexed="81"/>
            <rFont val="Tahoma"/>
            <family val="2"/>
          </rPr>
          <t>0 Recursos propios 
1 Presupuesto de entidad nacional
2 Regalías
3 Recursos de crédito
4 SGP
5 No Aplica</t>
        </r>
      </text>
    </comment>
    <comment ref="AD775" authorId="0">
      <text>
        <r>
          <rPr>
            <b/>
            <sz val="9"/>
            <color indexed="81"/>
            <rFont val="Tahoma"/>
            <family val="2"/>
          </rPr>
          <t>0 No
1 Sí</t>
        </r>
      </text>
    </comment>
    <comment ref="AE775" authorId="0">
      <text>
        <r>
          <rPr>
            <sz val="9"/>
            <color indexed="81"/>
            <rFont val="Tahoma"/>
            <family val="2"/>
          </rPr>
          <t xml:space="preserve">
0 NA
1 No solicitadas
2 Solicitadas
3 Aprobadas</t>
        </r>
      </text>
    </comment>
    <comment ref="V776" authorId="0">
      <text>
        <r>
          <rPr>
            <b/>
            <sz val="9"/>
            <color indexed="81"/>
            <rFont val="Tahoma"/>
            <family val="2"/>
          </rPr>
          <t>0 Día(s)
1 Mes (s)
2 Año(s)</t>
        </r>
      </text>
    </comment>
    <comment ref="Y776" authorId="0">
      <text>
        <r>
          <rPr>
            <sz val="9"/>
            <color indexed="81"/>
            <rFont val="Tahoma"/>
            <family val="2"/>
          </rPr>
          <t>0 Recursos propios 
1 Presupuesto de entidad nacional
2 Regalías
3 Recursos de crédito
4 SGP
5 No Aplica</t>
        </r>
      </text>
    </comment>
    <comment ref="AD776" authorId="0">
      <text>
        <r>
          <rPr>
            <b/>
            <sz val="9"/>
            <color indexed="81"/>
            <rFont val="Tahoma"/>
            <family val="2"/>
          </rPr>
          <t>0 No
1 Sí</t>
        </r>
      </text>
    </comment>
    <comment ref="AE776" authorId="0">
      <text>
        <r>
          <rPr>
            <sz val="9"/>
            <color indexed="81"/>
            <rFont val="Tahoma"/>
            <family val="2"/>
          </rPr>
          <t xml:space="preserve">
0 NA
1 No solicitadas
2 Solicitadas
3 Aprobadas</t>
        </r>
      </text>
    </comment>
    <comment ref="V777" authorId="0">
      <text>
        <r>
          <rPr>
            <b/>
            <sz val="9"/>
            <color indexed="81"/>
            <rFont val="Tahoma"/>
            <family val="2"/>
          </rPr>
          <t>0 Día(s)
1 Mes (s)
2 Año(s)</t>
        </r>
      </text>
    </comment>
    <comment ref="Y777" authorId="0">
      <text>
        <r>
          <rPr>
            <sz val="9"/>
            <color indexed="81"/>
            <rFont val="Tahoma"/>
            <family val="2"/>
          </rPr>
          <t>0 Recursos propios 
1 Presupuesto de entidad nacional
2 Regalías
3 Recursos de crédito
4 SGP
5 No Aplica</t>
        </r>
      </text>
    </comment>
    <comment ref="AD777" authorId="0">
      <text>
        <r>
          <rPr>
            <b/>
            <sz val="9"/>
            <color indexed="81"/>
            <rFont val="Tahoma"/>
            <family val="2"/>
          </rPr>
          <t>0 No
1 Sí</t>
        </r>
      </text>
    </comment>
    <comment ref="AE777" authorId="0">
      <text>
        <r>
          <rPr>
            <sz val="9"/>
            <color indexed="81"/>
            <rFont val="Tahoma"/>
            <family val="2"/>
          </rPr>
          <t xml:space="preserve">
0 NA
1 No solicitadas
2 Solicitadas
3 Aprobadas</t>
        </r>
      </text>
    </comment>
    <comment ref="V778" authorId="0">
      <text>
        <r>
          <rPr>
            <b/>
            <sz val="9"/>
            <color indexed="81"/>
            <rFont val="Tahoma"/>
            <family val="2"/>
          </rPr>
          <t>0 Día(s)
1 Mes (s)
2 Año(s)</t>
        </r>
      </text>
    </comment>
    <comment ref="Y778" authorId="0">
      <text>
        <r>
          <rPr>
            <sz val="9"/>
            <color indexed="81"/>
            <rFont val="Tahoma"/>
            <family val="2"/>
          </rPr>
          <t>0 Recursos propios 
1 Presupuesto de entidad nacional
2 Regalías
3 Recursos de crédito
4 SGP
5 No Aplica</t>
        </r>
      </text>
    </comment>
    <comment ref="AD778" authorId="0">
      <text>
        <r>
          <rPr>
            <b/>
            <sz val="9"/>
            <color indexed="81"/>
            <rFont val="Tahoma"/>
            <family val="2"/>
          </rPr>
          <t>0 No
1 Sí</t>
        </r>
      </text>
    </comment>
    <comment ref="AE778" authorId="0">
      <text>
        <r>
          <rPr>
            <sz val="9"/>
            <color indexed="81"/>
            <rFont val="Tahoma"/>
            <family val="2"/>
          </rPr>
          <t xml:space="preserve">
0 NA
1 No solicitadas
2 Solicitadas
3 Aprobadas</t>
        </r>
      </text>
    </comment>
    <comment ref="BL778" authorId="1">
      <text>
        <r>
          <rPr>
            <b/>
            <sz val="9"/>
            <color indexed="81"/>
            <rFont val="Tahoma"/>
            <family val="2"/>
          </rPr>
          <t>Orlando Arias:</t>
        </r>
        <r>
          <rPr>
            <sz val="9"/>
            <color indexed="81"/>
            <rFont val="Tahoma"/>
            <family val="2"/>
          </rPr>
          <t xml:space="preserve">
16/08/2018 Se expidieron los CRP 696 al 706</t>
        </r>
      </text>
    </comment>
    <comment ref="V779" authorId="0">
      <text>
        <r>
          <rPr>
            <b/>
            <sz val="9"/>
            <color indexed="81"/>
            <rFont val="Tahoma"/>
            <family val="2"/>
          </rPr>
          <t>0 Día(s)
1 Mes (s)
2 Año(s)</t>
        </r>
      </text>
    </comment>
    <comment ref="Y779" authorId="0">
      <text>
        <r>
          <rPr>
            <sz val="9"/>
            <color indexed="81"/>
            <rFont val="Tahoma"/>
            <family val="2"/>
          </rPr>
          <t>0 Recursos propios 
1 Presupuesto de entidad nacional
2 Regalías
3 Recursos de crédito
4 SGP
5 No Aplica</t>
        </r>
      </text>
    </comment>
    <comment ref="AD779" authorId="0">
      <text>
        <r>
          <rPr>
            <b/>
            <sz val="9"/>
            <color indexed="81"/>
            <rFont val="Tahoma"/>
            <family val="2"/>
          </rPr>
          <t>0 No
1 Sí</t>
        </r>
      </text>
    </comment>
    <comment ref="AE779" authorId="0">
      <text>
        <r>
          <rPr>
            <sz val="9"/>
            <color indexed="81"/>
            <rFont val="Tahoma"/>
            <family val="2"/>
          </rPr>
          <t xml:space="preserve">
0 NA
1 No solicitadas
2 Solicitadas
3 Aprobadas</t>
        </r>
      </text>
    </comment>
    <comment ref="V780" authorId="0">
      <text>
        <r>
          <rPr>
            <b/>
            <sz val="9"/>
            <color indexed="81"/>
            <rFont val="Tahoma"/>
            <family val="2"/>
          </rPr>
          <t>0 Día(s)
1 Mes (s)
2 Año(s)</t>
        </r>
      </text>
    </comment>
    <comment ref="Y780" authorId="0">
      <text>
        <r>
          <rPr>
            <sz val="9"/>
            <color indexed="81"/>
            <rFont val="Tahoma"/>
            <family val="2"/>
          </rPr>
          <t>0 Recursos propios 
1 Presupuesto de entidad nacional
2 Regalías
3 Recursos de crédito
4 SGP
5 No Aplica</t>
        </r>
      </text>
    </comment>
    <comment ref="AD780" authorId="0">
      <text>
        <r>
          <rPr>
            <b/>
            <sz val="9"/>
            <color indexed="81"/>
            <rFont val="Tahoma"/>
            <family val="2"/>
          </rPr>
          <t>0 No
1 Sí</t>
        </r>
      </text>
    </comment>
    <comment ref="AE780" authorId="0">
      <text>
        <r>
          <rPr>
            <sz val="9"/>
            <color indexed="81"/>
            <rFont val="Tahoma"/>
            <family val="2"/>
          </rPr>
          <t xml:space="preserve">
0 NA
1 No solicitadas
2 Solicitadas
3 Aprobadas</t>
        </r>
      </text>
    </comment>
    <comment ref="V781" authorId="0">
      <text>
        <r>
          <rPr>
            <b/>
            <sz val="9"/>
            <color indexed="81"/>
            <rFont val="Tahoma"/>
            <family val="2"/>
          </rPr>
          <t>0 Día(s)
1 Mes (s)
2 Año(s)</t>
        </r>
      </text>
    </comment>
    <comment ref="Y781" authorId="0">
      <text>
        <r>
          <rPr>
            <sz val="9"/>
            <color indexed="81"/>
            <rFont val="Tahoma"/>
            <family val="2"/>
          </rPr>
          <t>0 Recursos propios 
1 Presupuesto de entidad nacional
2 Regalías
3 Recursos de crédito
4 SGP
5 No Aplica</t>
        </r>
      </text>
    </comment>
    <comment ref="AD781" authorId="0">
      <text>
        <r>
          <rPr>
            <b/>
            <sz val="9"/>
            <color indexed="81"/>
            <rFont val="Tahoma"/>
            <family val="2"/>
          </rPr>
          <t>0 No
1 Sí</t>
        </r>
      </text>
    </comment>
    <comment ref="AE781" authorId="0">
      <text>
        <r>
          <rPr>
            <sz val="9"/>
            <color indexed="81"/>
            <rFont val="Tahoma"/>
            <family val="2"/>
          </rPr>
          <t xml:space="preserve">
0 NA
1 No solicitadas
2 Solicitadas
3 Aprobadas</t>
        </r>
      </text>
    </comment>
    <comment ref="V782" authorId="0">
      <text>
        <r>
          <rPr>
            <b/>
            <sz val="9"/>
            <color indexed="81"/>
            <rFont val="Tahoma"/>
            <family val="2"/>
          </rPr>
          <t>0 Día(s)
1 Mes (s)
2 Año(s)</t>
        </r>
      </text>
    </comment>
    <comment ref="Y782" authorId="0">
      <text>
        <r>
          <rPr>
            <sz val="9"/>
            <color indexed="81"/>
            <rFont val="Tahoma"/>
            <family val="2"/>
          </rPr>
          <t>0 Recursos propios 
1 Presupuesto de entidad nacional
2 Regalías
3 Recursos de crédito
4 SGP
5 No Aplica</t>
        </r>
      </text>
    </comment>
    <comment ref="AD782" authorId="0">
      <text>
        <r>
          <rPr>
            <b/>
            <sz val="9"/>
            <color indexed="81"/>
            <rFont val="Tahoma"/>
            <family val="2"/>
          </rPr>
          <t>0 No
1 Sí</t>
        </r>
      </text>
    </comment>
    <comment ref="AE782" authorId="0">
      <text>
        <r>
          <rPr>
            <sz val="9"/>
            <color indexed="81"/>
            <rFont val="Tahoma"/>
            <family val="2"/>
          </rPr>
          <t xml:space="preserve">
0 NA
1 No solicitadas
2 Solicitadas
3 Aprobadas</t>
        </r>
      </text>
    </comment>
    <comment ref="V784" authorId="0">
      <text>
        <r>
          <rPr>
            <b/>
            <sz val="9"/>
            <color indexed="81"/>
            <rFont val="Tahoma"/>
            <family val="2"/>
          </rPr>
          <t>0 Día(s)
1 Mes (s)
2 Año(s)</t>
        </r>
      </text>
    </comment>
    <comment ref="Y784" authorId="0">
      <text>
        <r>
          <rPr>
            <sz val="9"/>
            <color indexed="81"/>
            <rFont val="Tahoma"/>
            <family val="2"/>
          </rPr>
          <t>0 Recursos propios 
1 Presupuesto de entidad nacional
2 Regalías
3 Recursos de crédito
4 SGP
5 No Aplica</t>
        </r>
      </text>
    </comment>
    <comment ref="AD784" authorId="0">
      <text>
        <r>
          <rPr>
            <b/>
            <sz val="9"/>
            <color indexed="81"/>
            <rFont val="Tahoma"/>
            <family val="2"/>
          </rPr>
          <t>0 No
1 Sí</t>
        </r>
      </text>
    </comment>
    <comment ref="AE784" authorId="0">
      <text>
        <r>
          <rPr>
            <sz val="9"/>
            <color indexed="81"/>
            <rFont val="Tahoma"/>
            <family val="2"/>
          </rPr>
          <t xml:space="preserve">
0 NA
1 No solicitadas
2 Solicitadas
3 Aprobadas</t>
        </r>
      </text>
    </comment>
    <comment ref="V785" authorId="0">
      <text>
        <r>
          <rPr>
            <b/>
            <sz val="9"/>
            <color indexed="81"/>
            <rFont val="Tahoma"/>
            <family val="2"/>
          </rPr>
          <t>0 Día(s)
1 Mes (s)
2 Año(s)</t>
        </r>
      </text>
    </comment>
    <comment ref="Y785" authorId="0">
      <text>
        <r>
          <rPr>
            <sz val="9"/>
            <color indexed="81"/>
            <rFont val="Tahoma"/>
            <family val="2"/>
          </rPr>
          <t>0 Recursos propios 
1 Presupuesto de entidad nacional
2 Regalías
3 Recursos de crédito
4 SGP
5 No Aplica</t>
        </r>
      </text>
    </comment>
    <comment ref="AD785" authorId="0">
      <text>
        <r>
          <rPr>
            <b/>
            <sz val="9"/>
            <color indexed="81"/>
            <rFont val="Tahoma"/>
            <family val="2"/>
          </rPr>
          <t>0 No
1 Sí</t>
        </r>
      </text>
    </comment>
    <comment ref="AE785" authorId="0">
      <text>
        <r>
          <rPr>
            <sz val="9"/>
            <color indexed="81"/>
            <rFont val="Tahoma"/>
            <family val="2"/>
          </rPr>
          <t xml:space="preserve">
0 NA
1 No solicitadas
2 Solicitadas
3 Aprobadas</t>
        </r>
      </text>
    </comment>
    <comment ref="V786" authorId="0">
      <text>
        <r>
          <rPr>
            <b/>
            <sz val="9"/>
            <color indexed="81"/>
            <rFont val="Tahoma"/>
            <family val="2"/>
          </rPr>
          <t>0 Día(s)
1 Mes (s)
2 Año(s)</t>
        </r>
      </text>
    </comment>
    <comment ref="Y786" authorId="0">
      <text>
        <r>
          <rPr>
            <sz val="9"/>
            <color indexed="81"/>
            <rFont val="Tahoma"/>
            <family val="2"/>
          </rPr>
          <t>0 Recursos propios 
1 Presupuesto de entidad nacional
2 Regalías
3 Recursos de crédito
4 SGP
5 No Aplica</t>
        </r>
      </text>
    </comment>
    <comment ref="AD786" authorId="0">
      <text>
        <r>
          <rPr>
            <b/>
            <sz val="9"/>
            <color indexed="81"/>
            <rFont val="Tahoma"/>
            <family val="2"/>
          </rPr>
          <t>0 No
1 Sí</t>
        </r>
      </text>
    </comment>
    <comment ref="AE786" authorId="0">
      <text>
        <r>
          <rPr>
            <sz val="9"/>
            <color indexed="81"/>
            <rFont val="Tahoma"/>
            <family val="2"/>
          </rPr>
          <t xml:space="preserve">
0 NA
1 No solicitadas
2 Solicitadas
3 Aprobadas</t>
        </r>
      </text>
    </comment>
    <comment ref="V787" authorId="0">
      <text>
        <r>
          <rPr>
            <b/>
            <sz val="9"/>
            <color indexed="81"/>
            <rFont val="Tahoma"/>
            <family val="2"/>
          </rPr>
          <t>0 Día(s)
1 Mes (s)
2 Año(s)</t>
        </r>
      </text>
    </comment>
    <comment ref="Y787" authorId="0">
      <text>
        <r>
          <rPr>
            <sz val="9"/>
            <color indexed="81"/>
            <rFont val="Tahoma"/>
            <family val="2"/>
          </rPr>
          <t>0 Recursos propios 
1 Presupuesto de entidad nacional
2 Regalías
3 Recursos de crédito
4 SGP
5 No Aplica</t>
        </r>
      </text>
    </comment>
    <comment ref="AD787" authorId="0">
      <text>
        <r>
          <rPr>
            <b/>
            <sz val="9"/>
            <color indexed="81"/>
            <rFont val="Tahoma"/>
            <family val="2"/>
          </rPr>
          <t>0 No
1 Sí</t>
        </r>
      </text>
    </comment>
    <comment ref="AE787" authorId="0">
      <text>
        <r>
          <rPr>
            <sz val="9"/>
            <color indexed="81"/>
            <rFont val="Tahoma"/>
            <family val="2"/>
          </rPr>
          <t xml:space="preserve">
0 NA
1 No solicitadas
2 Solicitadas
3 Aprobadas</t>
        </r>
      </text>
    </comment>
    <comment ref="V788" authorId="0">
      <text>
        <r>
          <rPr>
            <b/>
            <sz val="9"/>
            <color indexed="81"/>
            <rFont val="Tahoma"/>
            <family val="2"/>
          </rPr>
          <t>0 Día(s)
1 Mes (s)
2 Año(s)</t>
        </r>
      </text>
    </comment>
    <comment ref="Y788" authorId="0">
      <text>
        <r>
          <rPr>
            <sz val="9"/>
            <color indexed="81"/>
            <rFont val="Tahoma"/>
            <family val="2"/>
          </rPr>
          <t>0 Recursos propios 
1 Presupuesto de entidad nacional
2 Regalías
3 Recursos de crédito
4 SGP
5 No Aplica</t>
        </r>
      </text>
    </comment>
    <comment ref="AD788" authorId="0">
      <text>
        <r>
          <rPr>
            <b/>
            <sz val="9"/>
            <color indexed="81"/>
            <rFont val="Tahoma"/>
            <family val="2"/>
          </rPr>
          <t>0 No
1 Sí</t>
        </r>
      </text>
    </comment>
    <comment ref="AE788" authorId="0">
      <text>
        <r>
          <rPr>
            <sz val="9"/>
            <color indexed="81"/>
            <rFont val="Tahoma"/>
            <family val="2"/>
          </rPr>
          <t xml:space="preserve">
0 NA
1 No solicitadas
2 Solicitadas
3 Aprobadas</t>
        </r>
      </text>
    </comment>
    <comment ref="V789" authorId="0">
      <text>
        <r>
          <rPr>
            <b/>
            <sz val="9"/>
            <color indexed="81"/>
            <rFont val="Tahoma"/>
            <family val="2"/>
          </rPr>
          <t>0 Día(s)
1 Mes (s)
2 Año(s)</t>
        </r>
      </text>
    </comment>
    <comment ref="Y789" authorId="0">
      <text>
        <r>
          <rPr>
            <sz val="9"/>
            <color indexed="81"/>
            <rFont val="Tahoma"/>
            <family val="2"/>
          </rPr>
          <t>0 Recursos propios 
1 Presupuesto de entidad nacional
2 Regalías
3 Recursos de crédito
4 SGP
5 No Aplica</t>
        </r>
      </text>
    </comment>
    <comment ref="AD789" authorId="0">
      <text>
        <r>
          <rPr>
            <b/>
            <sz val="9"/>
            <color indexed="81"/>
            <rFont val="Tahoma"/>
            <family val="2"/>
          </rPr>
          <t>0 No
1 Sí</t>
        </r>
      </text>
    </comment>
    <comment ref="AE789" authorId="0">
      <text>
        <r>
          <rPr>
            <sz val="9"/>
            <color indexed="81"/>
            <rFont val="Tahoma"/>
            <family val="2"/>
          </rPr>
          <t xml:space="preserve">
0 NA
1 No solicitadas
2 Solicitadas
3 Aprobadas</t>
        </r>
      </text>
    </comment>
    <comment ref="V790" authorId="0">
      <text>
        <r>
          <rPr>
            <b/>
            <sz val="9"/>
            <color indexed="81"/>
            <rFont val="Tahoma"/>
            <family val="2"/>
          </rPr>
          <t>0 Día(s)
1 Mes (s)
2 Año(s)</t>
        </r>
      </text>
    </comment>
    <comment ref="Y790" authorId="0">
      <text>
        <r>
          <rPr>
            <sz val="9"/>
            <color indexed="81"/>
            <rFont val="Tahoma"/>
            <family val="2"/>
          </rPr>
          <t>0 Recursos propios 
1 Presupuesto de entidad nacional
2 Regalías
3 Recursos de crédito
4 SGP
5 No Aplica</t>
        </r>
      </text>
    </comment>
    <comment ref="AD790" authorId="0">
      <text>
        <r>
          <rPr>
            <b/>
            <sz val="9"/>
            <color indexed="81"/>
            <rFont val="Tahoma"/>
            <family val="2"/>
          </rPr>
          <t>0 No
1 Sí</t>
        </r>
      </text>
    </comment>
    <comment ref="AE790" authorId="0">
      <text>
        <r>
          <rPr>
            <sz val="9"/>
            <color indexed="81"/>
            <rFont val="Tahoma"/>
            <family val="2"/>
          </rPr>
          <t xml:space="preserve">
0 NA
1 No solicitadas
2 Solicitadas
3 Aprobadas</t>
        </r>
      </text>
    </comment>
    <comment ref="V791" authorId="0">
      <text>
        <r>
          <rPr>
            <b/>
            <sz val="9"/>
            <color indexed="81"/>
            <rFont val="Tahoma"/>
            <family val="2"/>
          </rPr>
          <t>0 Día(s)
1 Mes (s)
2 Año(s)</t>
        </r>
      </text>
    </comment>
    <comment ref="Y791" authorId="0">
      <text>
        <r>
          <rPr>
            <sz val="9"/>
            <color indexed="81"/>
            <rFont val="Tahoma"/>
            <family val="2"/>
          </rPr>
          <t>0 Recursos propios 
1 Presupuesto de entidad nacional
2 Regalías
3 Recursos de crédito
4 SGP
5 No Aplica</t>
        </r>
      </text>
    </comment>
    <comment ref="AD791" authorId="0">
      <text>
        <r>
          <rPr>
            <b/>
            <sz val="9"/>
            <color indexed="81"/>
            <rFont val="Tahoma"/>
            <family val="2"/>
          </rPr>
          <t>0 No
1 Sí</t>
        </r>
      </text>
    </comment>
    <comment ref="AE791" authorId="0">
      <text>
        <r>
          <rPr>
            <sz val="9"/>
            <color indexed="81"/>
            <rFont val="Tahoma"/>
            <family val="2"/>
          </rPr>
          <t xml:space="preserve">
0 NA
1 No solicitadas
2 Solicitadas
3 Aprobadas</t>
        </r>
      </text>
    </comment>
    <comment ref="V792" authorId="0">
      <text>
        <r>
          <rPr>
            <b/>
            <sz val="9"/>
            <color indexed="81"/>
            <rFont val="Tahoma"/>
            <family val="2"/>
          </rPr>
          <t>0 Día(s)
1 Mes (s)
2 Año(s)</t>
        </r>
      </text>
    </comment>
    <comment ref="Y792" authorId="0">
      <text>
        <r>
          <rPr>
            <sz val="9"/>
            <color indexed="81"/>
            <rFont val="Tahoma"/>
            <family val="2"/>
          </rPr>
          <t>0 Recursos propios 
1 Presupuesto de entidad nacional
2 Regalías
3 Recursos de crédito
4 SGP
5 No Aplica</t>
        </r>
      </text>
    </comment>
    <comment ref="AD792" authorId="0">
      <text>
        <r>
          <rPr>
            <b/>
            <sz val="9"/>
            <color indexed="81"/>
            <rFont val="Tahoma"/>
            <family val="2"/>
          </rPr>
          <t>0 No
1 Sí</t>
        </r>
      </text>
    </comment>
    <comment ref="AE792" authorId="0">
      <text>
        <r>
          <rPr>
            <sz val="9"/>
            <color indexed="81"/>
            <rFont val="Tahoma"/>
            <family val="2"/>
          </rPr>
          <t xml:space="preserve">
0 NA
1 No solicitadas
2 Solicitadas
3 Aprobadas</t>
        </r>
      </text>
    </comment>
    <comment ref="V793" authorId="0">
      <text>
        <r>
          <rPr>
            <b/>
            <sz val="9"/>
            <color indexed="81"/>
            <rFont val="Tahoma"/>
            <family val="2"/>
          </rPr>
          <t>0 Día(s)
1 Mes (s)
2 Año(s)</t>
        </r>
      </text>
    </comment>
    <comment ref="Y793" authorId="0">
      <text>
        <r>
          <rPr>
            <sz val="9"/>
            <color indexed="81"/>
            <rFont val="Tahoma"/>
            <family val="2"/>
          </rPr>
          <t>0 Recursos propios 
1 Presupuesto de entidad nacional
2 Regalías
3 Recursos de crédito
4 SGP
5 No Aplica</t>
        </r>
      </text>
    </comment>
    <comment ref="AD793" authorId="0">
      <text>
        <r>
          <rPr>
            <b/>
            <sz val="9"/>
            <color indexed="81"/>
            <rFont val="Tahoma"/>
            <family val="2"/>
          </rPr>
          <t>0 No
1 Sí</t>
        </r>
      </text>
    </comment>
    <comment ref="AE793" authorId="0">
      <text>
        <r>
          <rPr>
            <sz val="9"/>
            <color indexed="81"/>
            <rFont val="Tahoma"/>
            <family val="2"/>
          </rPr>
          <t xml:space="preserve">
0 NA
1 No solicitadas
2 Solicitadas
3 Aprobadas</t>
        </r>
      </text>
    </comment>
    <comment ref="V794" authorId="0">
      <text>
        <r>
          <rPr>
            <b/>
            <sz val="9"/>
            <color indexed="81"/>
            <rFont val="Tahoma"/>
            <family val="2"/>
          </rPr>
          <t>0 Día(s)
1 Mes (s)
2 Año(s)</t>
        </r>
      </text>
    </comment>
    <comment ref="Y794" authorId="0">
      <text>
        <r>
          <rPr>
            <sz val="9"/>
            <color indexed="81"/>
            <rFont val="Tahoma"/>
            <family val="2"/>
          </rPr>
          <t>0 Recursos propios 
1 Presupuesto de entidad nacional
2 Regalías
3 Recursos de crédito
4 SGP
5 No Aplica</t>
        </r>
      </text>
    </comment>
    <comment ref="AD794" authorId="0">
      <text>
        <r>
          <rPr>
            <b/>
            <sz val="9"/>
            <color indexed="81"/>
            <rFont val="Tahoma"/>
            <family val="2"/>
          </rPr>
          <t>0 No
1 Sí</t>
        </r>
      </text>
    </comment>
    <comment ref="AE794" authorId="0">
      <text>
        <r>
          <rPr>
            <sz val="9"/>
            <color indexed="81"/>
            <rFont val="Tahoma"/>
            <family val="2"/>
          </rPr>
          <t xml:space="preserve">
0 NA
1 No solicitadas
2 Solicitadas
3 Aprobadas</t>
        </r>
      </text>
    </comment>
    <comment ref="V795" authorId="0">
      <text>
        <r>
          <rPr>
            <b/>
            <sz val="9"/>
            <color indexed="81"/>
            <rFont val="Tahoma"/>
            <family val="2"/>
          </rPr>
          <t>0 Día(s)
1 Mes (s)
2 Año(s)</t>
        </r>
      </text>
    </comment>
    <comment ref="Y795" authorId="0">
      <text>
        <r>
          <rPr>
            <sz val="9"/>
            <color indexed="81"/>
            <rFont val="Tahoma"/>
            <family val="2"/>
          </rPr>
          <t>0 Recursos propios 
1 Presupuesto de entidad nacional
2 Regalías
3 Recursos de crédito
4 SGP
5 No Aplica</t>
        </r>
      </text>
    </comment>
    <comment ref="AD795" authorId="0">
      <text>
        <r>
          <rPr>
            <b/>
            <sz val="9"/>
            <color indexed="81"/>
            <rFont val="Tahoma"/>
            <family val="2"/>
          </rPr>
          <t>0 No
1 Sí</t>
        </r>
      </text>
    </comment>
    <comment ref="AE795" authorId="0">
      <text>
        <r>
          <rPr>
            <sz val="9"/>
            <color indexed="81"/>
            <rFont val="Tahoma"/>
            <family val="2"/>
          </rPr>
          <t xml:space="preserve">
0 NA
1 No solicitadas
2 Solicitadas
3 Aprobadas</t>
        </r>
      </text>
    </comment>
    <comment ref="V796" authorId="0">
      <text>
        <r>
          <rPr>
            <b/>
            <sz val="9"/>
            <color indexed="81"/>
            <rFont val="Tahoma"/>
            <family val="2"/>
          </rPr>
          <t>0 Día(s)
1 Mes (s)
2 Año(s)</t>
        </r>
      </text>
    </comment>
    <comment ref="Y796" authorId="0">
      <text>
        <r>
          <rPr>
            <sz val="9"/>
            <color indexed="81"/>
            <rFont val="Tahoma"/>
            <family val="2"/>
          </rPr>
          <t>0 Recursos propios 
1 Presupuesto de entidad nacional
2 Regalías
3 Recursos de crédito
4 SGP
5 No Aplica</t>
        </r>
      </text>
    </comment>
    <comment ref="AD796" authorId="0">
      <text>
        <r>
          <rPr>
            <b/>
            <sz val="9"/>
            <color indexed="81"/>
            <rFont val="Tahoma"/>
            <family val="2"/>
          </rPr>
          <t>0 No
1 Sí</t>
        </r>
      </text>
    </comment>
    <comment ref="AE796" authorId="0">
      <text>
        <r>
          <rPr>
            <sz val="9"/>
            <color indexed="81"/>
            <rFont val="Tahoma"/>
            <family val="2"/>
          </rPr>
          <t xml:space="preserve">
0 NA
1 No solicitadas
2 Solicitadas
3 Aprobadas</t>
        </r>
      </text>
    </comment>
    <comment ref="V797" authorId="0">
      <text>
        <r>
          <rPr>
            <b/>
            <sz val="9"/>
            <color indexed="81"/>
            <rFont val="Tahoma"/>
            <family val="2"/>
          </rPr>
          <t>0 Día(s)
1 Mes (s)
2 Año(s)</t>
        </r>
      </text>
    </comment>
    <comment ref="Y797" authorId="0">
      <text>
        <r>
          <rPr>
            <sz val="9"/>
            <color indexed="81"/>
            <rFont val="Tahoma"/>
            <family val="2"/>
          </rPr>
          <t>0 Recursos propios 
1 Presupuesto de entidad nacional
2 Regalías
3 Recursos de crédito
4 SGP
5 No Aplica</t>
        </r>
      </text>
    </comment>
    <comment ref="AD797" authorId="0">
      <text>
        <r>
          <rPr>
            <b/>
            <sz val="9"/>
            <color indexed="81"/>
            <rFont val="Tahoma"/>
            <family val="2"/>
          </rPr>
          <t>0 No
1 Sí</t>
        </r>
      </text>
    </comment>
    <comment ref="AE797" authorId="0">
      <text>
        <r>
          <rPr>
            <sz val="9"/>
            <color indexed="81"/>
            <rFont val="Tahoma"/>
            <family val="2"/>
          </rPr>
          <t xml:space="preserve">
0 NA
1 No solicitadas
2 Solicitadas
3 Aprobadas</t>
        </r>
      </text>
    </comment>
    <comment ref="V798" authorId="0">
      <text>
        <r>
          <rPr>
            <b/>
            <sz val="9"/>
            <color indexed="81"/>
            <rFont val="Tahoma"/>
            <family val="2"/>
          </rPr>
          <t>0 Día(s)
1 Mes (s)
2 Año(s)</t>
        </r>
      </text>
    </comment>
    <comment ref="Y798" authorId="0">
      <text>
        <r>
          <rPr>
            <sz val="9"/>
            <color indexed="81"/>
            <rFont val="Tahoma"/>
            <family val="2"/>
          </rPr>
          <t>0 Recursos propios 
1 Presupuesto de entidad nacional
2 Regalías
3 Recursos de crédito
4 SGP
5 No Aplica</t>
        </r>
      </text>
    </comment>
    <comment ref="AD798" authorId="0">
      <text>
        <r>
          <rPr>
            <b/>
            <sz val="9"/>
            <color indexed="81"/>
            <rFont val="Tahoma"/>
            <family val="2"/>
          </rPr>
          <t>0 No
1 Sí</t>
        </r>
      </text>
    </comment>
    <comment ref="AE798" authorId="0">
      <text>
        <r>
          <rPr>
            <sz val="9"/>
            <color indexed="81"/>
            <rFont val="Tahoma"/>
            <family val="2"/>
          </rPr>
          <t xml:space="preserve">
0 NA
1 No solicitadas
2 Solicitadas
3 Aprobadas</t>
        </r>
      </text>
    </comment>
    <comment ref="V799" authorId="0">
      <text>
        <r>
          <rPr>
            <b/>
            <sz val="9"/>
            <color indexed="81"/>
            <rFont val="Tahoma"/>
            <family val="2"/>
          </rPr>
          <t>0 Día(s)
1 Mes (s)
2 Año(s)</t>
        </r>
      </text>
    </comment>
    <comment ref="Y799" authorId="0">
      <text>
        <r>
          <rPr>
            <sz val="9"/>
            <color indexed="81"/>
            <rFont val="Tahoma"/>
            <family val="2"/>
          </rPr>
          <t>0 Recursos propios 
1 Presupuesto de entidad nacional
2 Regalías
3 Recursos de crédito
4 SGP
5 No Aplica</t>
        </r>
      </text>
    </comment>
    <comment ref="AD799" authorId="0">
      <text>
        <r>
          <rPr>
            <b/>
            <sz val="9"/>
            <color indexed="81"/>
            <rFont val="Tahoma"/>
            <family val="2"/>
          </rPr>
          <t>0 No
1 Sí</t>
        </r>
      </text>
    </comment>
    <comment ref="AE799" authorId="0">
      <text>
        <r>
          <rPr>
            <sz val="9"/>
            <color indexed="81"/>
            <rFont val="Tahoma"/>
            <family val="2"/>
          </rPr>
          <t xml:space="preserve">
0 NA
1 No solicitadas
2 Solicitadas
3 Aprobadas</t>
        </r>
      </text>
    </comment>
    <comment ref="V800" authorId="0">
      <text>
        <r>
          <rPr>
            <b/>
            <sz val="9"/>
            <color indexed="81"/>
            <rFont val="Tahoma"/>
            <family val="2"/>
          </rPr>
          <t>0 Día(s)
1 Mes (s)
2 Año(s)</t>
        </r>
      </text>
    </comment>
    <comment ref="Y800" authorId="0">
      <text>
        <r>
          <rPr>
            <sz val="9"/>
            <color indexed="81"/>
            <rFont val="Tahoma"/>
            <family val="2"/>
          </rPr>
          <t>0 Recursos propios 
1 Presupuesto de entidad nacional
2 Regalías
3 Recursos de crédito
4 SGP
5 No Aplica</t>
        </r>
      </text>
    </comment>
    <comment ref="AD800" authorId="0">
      <text>
        <r>
          <rPr>
            <b/>
            <sz val="9"/>
            <color indexed="81"/>
            <rFont val="Tahoma"/>
            <family val="2"/>
          </rPr>
          <t>0 No
1 Sí</t>
        </r>
      </text>
    </comment>
    <comment ref="AE800" authorId="0">
      <text>
        <r>
          <rPr>
            <sz val="9"/>
            <color indexed="81"/>
            <rFont val="Tahoma"/>
            <family val="2"/>
          </rPr>
          <t xml:space="preserve">
0 NA
1 No solicitadas
2 Solicitadas
3 Aprobadas</t>
        </r>
      </text>
    </comment>
    <comment ref="V801" authorId="0">
      <text>
        <r>
          <rPr>
            <b/>
            <sz val="9"/>
            <color indexed="81"/>
            <rFont val="Tahoma"/>
            <family val="2"/>
          </rPr>
          <t>0 Día(s)
1 Mes (s)
2 Año(s)</t>
        </r>
      </text>
    </comment>
    <comment ref="Y801" authorId="0">
      <text>
        <r>
          <rPr>
            <sz val="9"/>
            <color indexed="81"/>
            <rFont val="Tahoma"/>
            <family val="2"/>
          </rPr>
          <t>0 Recursos propios 
1 Presupuesto de entidad nacional
2 Regalías
3 Recursos de crédito
4 SGP
5 No Aplica</t>
        </r>
      </text>
    </comment>
    <comment ref="AD801" authorId="0">
      <text>
        <r>
          <rPr>
            <b/>
            <sz val="9"/>
            <color indexed="81"/>
            <rFont val="Tahoma"/>
            <family val="2"/>
          </rPr>
          <t>0 No
1 Sí</t>
        </r>
      </text>
    </comment>
    <comment ref="AE801" authorId="0">
      <text>
        <r>
          <rPr>
            <sz val="9"/>
            <color indexed="81"/>
            <rFont val="Tahoma"/>
            <family val="2"/>
          </rPr>
          <t xml:space="preserve">
0 NA
1 No solicitadas
2 Solicitadas
3 Aprobadas</t>
        </r>
      </text>
    </comment>
    <comment ref="V802" authorId="0">
      <text>
        <r>
          <rPr>
            <b/>
            <sz val="9"/>
            <color indexed="81"/>
            <rFont val="Tahoma"/>
            <family val="2"/>
          </rPr>
          <t>0 Día(s)
1 Mes (s)
2 Año(s)</t>
        </r>
      </text>
    </comment>
    <comment ref="Y802" authorId="0">
      <text>
        <r>
          <rPr>
            <sz val="9"/>
            <color indexed="81"/>
            <rFont val="Tahoma"/>
            <family val="2"/>
          </rPr>
          <t>0 Recursos propios 
1 Presupuesto de entidad nacional
2 Regalías
3 Recursos de crédito
4 SGP
5 No Aplica</t>
        </r>
      </text>
    </comment>
    <comment ref="AD802" authorId="0">
      <text>
        <r>
          <rPr>
            <b/>
            <sz val="9"/>
            <color indexed="81"/>
            <rFont val="Tahoma"/>
            <family val="2"/>
          </rPr>
          <t>0 No
1 Sí</t>
        </r>
      </text>
    </comment>
    <comment ref="AE802" authorId="0">
      <text>
        <r>
          <rPr>
            <sz val="9"/>
            <color indexed="81"/>
            <rFont val="Tahoma"/>
            <family val="2"/>
          </rPr>
          <t xml:space="preserve">
0 NA
1 No solicitadas
2 Solicitadas
3 Aprobadas</t>
        </r>
      </text>
    </comment>
    <comment ref="V803" authorId="0">
      <text>
        <r>
          <rPr>
            <b/>
            <sz val="9"/>
            <color indexed="81"/>
            <rFont val="Tahoma"/>
            <family val="2"/>
          </rPr>
          <t>0 Día(s)
1 Mes (s)
2 Año(s)</t>
        </r>
      </text>
    </comment>
    <comment ref="Y803" authorId="0">
      <text>
        <r>
          <rPr>
            <sz val="9"/>
            <color indexed="81"/>
            <rFont val="Tahoma"/>
            <family val="2"/>
          </rPr>
          <t>0 Recursos propios 
1 Presupuesto de entidad nacional
2 Regalías
3 Recursos de crédito
4 SGP
5 No Aplica</t>
        </r>
      </text>
    </comment>
    <comment ref="AD803" authorId="0">
      <text>
        <r>
          <rPr>
            <b/>
            <sz val="9"/>
            <color indexed="81"/>
            <rFont val="Tahoma"/>
            <family val="2"/>
          </rPr>
          <t>0 No
1 Sí</t>
        </r>
      </text>
    </comment>
    <comment ref="AE803" authorId="0">
      <text>
        <r>
          <rPr>
            <sz val="9"/>
            <color indexed="81"/>
            <rFont val="Tahoma"/>
            <family val="2"/>
          </rPr>
          <t xml:space="preserve">
0 NA
1 No solicitadas
2 Solicitadas
3 Aprobadas</t>
        </r>
      </text>
    </comment>
    <comment ref="V804" authorId="0">
      <text>
        <r>
          <rPr>
            <b/>
            <sz val="9"/>
            <color indexed="81"/>
            <rFont val="Tahoma"/>
            <family val="2"/>
          </rPr>
          <t>0 Día(s)
1 Mes (s)
2 Año(s)</t>
        </r>
      </text>
    </comment>
    <comment ref="Y804" authorId="0">
      <text>
        <r>
          <rPr>
            <sz val="9"/>
            <color indexed="81"/>
            <rFont val="Tahoma"/>
            <family val="2"/>
          </rPr>
          <t>0 Recursos propios 
1 Presupuesto de entidad nacional
2 Regalías
3 Recursos de crédito
4 SGP
5 No Aplica</t>
        </r>
      </text>
    </comment>
    <comment ref="AD804" authorId="0">
      <text>
        <r>
          <rPr>
            <b/>
            <sz val="9"/>
            <color indexed="81"/>
            <rFont val="Tahoma"/>
            <family val="2"/>
          </rPr>
          <t>0 No
1 Sí</t>
        </r>
      </text>
    </comment>
    <comment ref="AE804" authorId="0">
      <text>
        <r>
          <rPr>
            <sz val="9"/>
            <color indexed="81"/>
            <rFont val="Tahoma"/>
            <family val="2"/>
          </rPr>
          <t xml:space="preserve">
0 NA
1 No solicitadas
2 Solicitadas
3 Aprobadas</t>
        </r>
      </text>
    </comment>
    <comment ref="V805" authorId="0">
      <text>
        <r>
          <rPr>
            <b/>
            <sz val="9"/>
            <color indexed="81"/>
            <rFont val="Tahoma"/>
            <family val="2"/>
          </rPr>
          <t>0 Día(s)
1 Mes (s)
2 Año(s)</t>
        </r>
      </text>
    </comment>
    <comment ref="Y805" authorId="0">
      <text>
        <r>
          <rPr>
            <sz val="9"/>
            <color indexed="81"/>
            <rFont val="Tahoma"/>
            <family val="2"/>
          </rPr>
          <t>0 Recursos propios 
1 Presupuesto de entidad nacional
2 Regalías
3 Recursos de crédito
4 SGP
5 No Aplica</t>
        </r>
      </text>
    </comment>
    <comment ref="AD805" authorId="0">
      <text>
        <r>
          <rPr>
            <b/>
            <sz val="9"/>
            <color indexed="81"/>
            <rFont val="Tahoma"/>
            <family val="2"/>
          </rPr>
          <t>0 No
1 Sí</t>
        </r>
      </text>
    </comment>
    <comment ref="AE805" authorId="0">
      <text>
        <r>
          <rPr>
            <sz val="9"/>
            <color indexed="81"/>
            <rFont val="Tahoma"/>
            <family val="2"/>
          </rPr>
          <t xml:space="preserve">
0 NA
1 No solicitadas
2 Solicitadas
3 Aprobadas</t>
        </r>
      </text>
    </comment>
    <comment ref="V806" authorId="0">
      <text>
        <r>
          <rPr>
            <b/>
            <sz val="9"/>
            <color indexed="81"/>
            <rFont val="Tahoma"/>
            <family val="2"/>
          </rPr>
          <t>0 Día(s)
1 Mes (s)
2 Año(s)</t>
        </r>
      </text>
    </comment>
    <comment ref="Y806" authorId="0">
      <text>
        <r>
          <rPr>
            <sz val="9"/>
            <color indexed="81"/>
            <rFont val="Tahoma"/>
            <family val="2"/>
          </rPr>
          <t>0 Recursos propios 
1 Presupuesto de entidad nacional
2 Regalías
3 Recursos de crédito
4 SGP
5 No Aplica</t>
        </r>
      </text>
    </comment>
    <comment ref="AD806" authorId="0">
      <text>
        <r>
          <rPr>
            <b/>
            <sz val="9"/>
            <color indexed="81"/>
            <rFont val="Tahoma"/>
            <family val="2"/>
          </rPr>
          <t>0 No
1 Sí</t>
        </r>
      </text>
    </comment>
    <comment ref="AE806" authorId="0">
      <text>
        <r>
          <rPr>
            <sz val="9"/>
            <color indexed="81"/>
            <rFont val="Tahoma"/>
            <family val="2"/>
          </rPr>
          <t xml:space="preserve">
0 NA
1 No solicitadas
2 Solicitadas
3 Aprobadas</t>
        </r>
      </text>
    </comment>
    <comment ref="V807" authorId="0">
      <text>
        <r>
          <rPr>
            <b/>
            <sz val="9"/>
            <color indexed="81"/>
            <rFont val="Tahoma"/>
            <family val="2"/>
          </rPr>
          <t>0 Día(s)
1 Mes (s)
2 Año(s)</t>
        </r>
      </text>
    </comment>
    <comment ref="Y807" authorId="0">
      <text>
        <r>
          <rPr>
            <sz val="9"/>
            <color indexed="81"/>
            <rFont val="Tahoma"/>
            <family val="2"/>
          </rPr>
          <t>0 Recursos propios 
1 Presupuesto de entidad nacional
2 Regalías
3 Recursos de crédito
4 SGP
5 No Aplica</t>
        </r>
      </text>
    </comment>
    <comment ref="AD807" authorId="0">
      <text>
        <r>
          <rPr>
            <b/>
            <sz val="9"/>
            <color indexed="81"/>
            <rFont val="Tahoma"/>
            <family val="2"/>
          </rPr>
          <t>0 No
1 Sí</t>
        </r>
      </text>
    </comment>
    <comment ref="AE807" authorId="0">
      <text>
        <r>
          <rPr>
            <sz val="9"/>
            <color indexed="81"/>
            <rFont val="Tahoma"/>
            <family val="2"/>
          </rPr>
          <t xml:space="preserve">
0 NA
1 No solicitadas
2 Solicitadas
3 Aprobadas</t>
        </r>
      </text>
    </comment>
    <comment ref="V808" authorId="0">
      <text>
        <r>
          <rPr>
            <b/>
            <sz val="9"/>
            <color indexed="81"/>
            <rFont val="Tahoma"/>
            <family val="2"/>
          </rPr>
          <t>0 Día(s)
1 Mes (s)
2 Año(s)</t>
        </r>
      </text>
    </comment>
    <comment ref="Y808" authorId="0">
      <text>
        <r>
          <rPr>
            <sz val="9"/>
            <color indexed="81"/>
            <rFont val="Tahoma"/>
            <family val="2"/>
          </rPr>
          <t>0 Recursos propios 
1 Presupuesto de entidad nacional
2 Regalías
3 Recursos de crédito
4 SGP
5 No Aplica</t>
        </r>
      </text>
    </comment>
    <comment ref="AD808" authorId="0">
      <text>
        <r>
          <rPr>
            <b/>
            <sz val="9"/>
            <color indexed="81"/>
            <rFont val="Tahoma"/>
            <family val="2"/>
          </rPr>
          <t>0 No
1 Sí</t>
        </r>
      </text>
    </comment>
    <comment ref="AE808" authorId="0">
      <text>
        <r>
          <rPr>
            <sz val="9"/>
            <color indexed="81"/>
            <rFont val="Tahoma"/>
            <family val="2"/>
          </rPr>
          <t xml:space="preserve">
0 NA
1 No solicitadas
2 Solicitadas
3 Aprobadas</t>
        </r>
      </text>
    </comment>
    <comment ref="V809" authorId="0">
      <text>
        <r>
          <rPr>
            <b/>
            <sz val="9"/>
            <color indexed="81"/>
            <rFont val="Tahoma"/>
            <family val="2"/>
          </rPr>
          <t>0 Día(s)
1 Mes (s)
2 Año(s)</t>
        </r>
      </text>
    </comment>
    <comment ref="Y809" authorId="0">
      <text>
        <r>
          <rPr>
            <sz val="9"/>
            <color indexed="81"/>
            <rFont val="Tahoma"/>
            <family val="2"/>
          </rPr>
          <t>0 Recursos propios 
1 Presupuesto de entidad nacional
2 Regalías
3 Recursos de crédito
4 SGP
5 No Aplica</t>
        </r>
      </text>
    </comment>
    <comment ref="AD809" authorId="0">
      <text>
        <r>
          <rPr>
            <b/>
            <sz val="9"/>
            <color indexed="81"/>
            <rFont val="Tahoma"/>
            <family val="2"/>
          </rPr>
          <t>0 No
1 Sí</t>
        </r>
      </text>
    </comment>
    <comment ref="AE809" authorId="0">
      <text>
        <r>
          <rPr>
            <sz val="9"/>
            <color indexed="81"/>
            <rFont val="Tahoma"/>
            <family val="2"/>
          </rPr>
          <t xml:space="preserve">
0 NA
1 No solicitadas
2 Solicitadas
3 Aprobadas</t>
        </r>
      </text>
    </comment>
    <comment ref="V810" authorId="0">
      <text>
        <r>
          <rPr>
            <b/>
            <sz val="9"/>
            <color indexed="81"/>
            <rFont val="Tahoma"/>
            <family val="2"/>
          </rPr>
          <t>0 Día(s)
1 Mes (s)
2 Año(s)</t>
        </r>
      </text>
    </comment>
    <comment ref="Y810" authorId="0">
      <text>
        <r>
          <rPr>
            <sz val="9"/>
            <color indexed="81"/>
            <rFont val="Tahoma"/>
            <family val="2"/>
          </rPr>
          <t>0 Recursos propios 
1 Presupuesto de entidad nacional
2 Regalías
3 Recursos de crédito
4 SGP
5 No Aplica</t>
        </r>
      </text>
    </comment>
    <comment ref="AD810" authorId="0">
      <text>
        <r>
          <rPr>
            <b/>
            <sz val="9"/>
            <color indexed="81"/>
            <rFont val="Tahoma"/>
            <family val="2"/>
          </rPr>
          <t>0 No
1 Sí</t>
        </r>
      </text>
    </comment>
    <comment ref="AE810" authorId="0">
      <text>
        <r>
          <rPr>
            <sz val="9"/>
            <color indexed="81"/>
            <rFont val="Tahoma"/>
            <family val="2"/>
          </rPr>
          <t xml:space="preserve">
0 NA
1 No solicitadas
2 Solicitadas
3 Aprobadas</t>
        </r>
      </text>
    </comment>
    <comment ref="V811" authorId="0">
      <text>
        <r>
          <rPr>
            <b/>
            <sz val="9"/>
            <color indexed="81"/>
            <rFont val="Tahoma"/>
            <family val="2"/>
          </rPr>
          <t>0 Día(s)
1 Mes (s)
2 Año(s)</t>
        </r>
      </text>
    </comment>
    <comment ref="Y811" authorId="0">
      <text>
        <r>
          <rPr>
            <sz val="9"/>
            <color indexed="81"/>
            <rFont val="Tahoma"/>
            <family val="2"/>
          </rPr>
          <t>0 Recursos propios 
1 Presupuesto de entidad nacional
2 Regalías
3 Recursos de crédito
4 SGP
5 No Aplica</t>
        </r>
      </text>
    </comment>
    <comment ref="AD811" authorId="0">
      <text>
        <r>
          <rPr>
            <b/>
            <sz val="9"/>
            <color indexed="81"/>
            <rFont val="Tahoma"/>
            <family val="2"/>
          </rPr>
          <t>0 No
1 Sí</t>
        </r>
      </text>
    </comment>
    <comment ref="AE811" authorId="0">
      <text>
        <r>
          <rPr>
            <sz val="9"/>
            <color indexed="81"/>
            <rFont val="Tahoma"/>
            <family val="2"/>
          </rPr>
          <t xml:space="preserve">
0 NA
1 No solicitadas
2 Solicitadas
3 Aprobadas</t>
        </r>
      </text>
    </comment>
    <comment ref="V812" authorId="0">
      <text>
        <r>
          <rPr>
            <b/>
            <sz val="9"/>
            <color indexed="81"/>
            <rFont val="Tahoma"/>
            <family val="2"/>
          </rPr>
          <t>0 Día(s)
1 Mes (s)
2 Año(s)</t>
        </r>
      </text>
    </comment>
    <comment ref="Y812" authorId="0">
      <text>
        <r>
          <rPr>
            <sz val="9"/>
            <color indexed="81"/>
            <rFont val="Tahoma"/>
            <family val="2"/>
          </rPr>
          <t>0 Recursos propios 
1 Presupuesto de entidad nacional
2 Regalías
3 Recursos de crédito
4 SGP
5 No Aplica</t>
        </r>
      </text>
    </comment>
    <comment ref="AD812" authorId="0">
      <text>
        <r>
          <rPr>
            <b/>
            <sz val="9"/>
            <color indexed="81"/>
            <rFont val="Tahoma"/>
            <family val="2"/>
          </rPr>
          <t>0 No
1 Sí</t>
        </r>
      </text>
    </comment>
    <comment ref="AE812" authorId="0">
      <text>
        <r>
          <rPr>
            <sz val="9"/>
            <color indexed="81"/>
            <rFont val="Tahoma"/>
            <family val="2"/>
          </rPr>
          <t xml:space="preserve">
0 NA
1 No solicitadas
2 Solicitadas
3 Aprobadas</t>
        </r>
      </text>
    </comment>
    <comment ref="V813" authorId="0">
      <text>
        <r>
          <rPr>
            <b/>
            <sz val="9"/>
            <color indexed="81"/>
            <rFont val="Tahoma"/>
            <family val="2"/>
          </rPr>
          <t>0 Día(s)
1 Mes (s)
2 Año(s)</t>
        </r>
      </text>
    </comment>
    <comment ref="Y813" authorId="0">
      <text>
        <r>
          <rPr>
            <sz val="9"/>
            <color indexed="81"/>
            <rFont val="Tahoma"/>
            <family val="2"/>
          </rPr>
          <t>0 Recursos propios 
1 Presupuesto de entidad nacional
2 Regalías
3 Recursos de crédito
4 SGP
5 No Aplica</t>
        </r>
      </text>
    </comment>
    <comment ref="AD813" authorId="0">
      <text>
        <r>
          <rPr>
            <b/>
            <sz val="9"/>
            <color indexed="81"/>
            <rFont val="Tahoma"/>
            <family val="2"/>
          </rPr>
          <t>0 No
1 Sí</t>
        </r>
      </text>
    </comment>
    <comment ref="AE813" authorId="0">
      <text>
        <r>
          <rPr>
            <sz val="9"/>
            <color indexed="81"/>
            <rFont val="Tahoma"/>
            <family val="2"/>
          </rPr>
          <t xml:space="preserve">
0 NA
1 No solicitadas
2 Solicitadas
3 Aprobadas</t>
        </r>
      </text>
    </comment>
    <comment ref="V814" authorId="0">
      <text>
        <r>
          <rPr>
            <b/>
            <sz val="9"/>
            <color indexed="81"/>
            <rFont val="Tahoma"/>
            <family val="2"/>
          </rPr>
          <t>0 Día(s)
1 Mes (s)
2 Año(s)</t>
        </r>
      </text>
    </comment>
    <comment ref="Y814" authorId="0">
      <text>
        <r>
          <rPr>
            <sz val="9"/>
            <color indexed="81"/>
            <rFont val="Tahoma"/>
            <family val="2"/>
          </rPr>
          <t>0 Recursos propios 
1 Presupuesto de entidad nacional
2 Regalías
3 Recursos de crédito
4 SGP
5 No Aplica</t>
        </r>
      </text>
    </comment>
    <comment ref="AD814" authorId="0">
      <text>
        <r>
          <rPr>
            <b/>
            <sz val="9"/>
            <color indexed="81"/>
            <rFont val="Tahoma"/>
            <family val="2"/>
          </rPr>
          <t>0 No
1 Sí</t>
        </r>
      </text>
    </comment>
    <comment ref="AE814" authorId="0">
      <text>
        <r>
          <rPr>
            <sz val="9"/>
            <color indexed="81"/>
            <rFont val="Tahoma"/>
            <family val="2"/>
          </rPr>
          <t xml:space="preserve">
0 NA
1 No solicitadas
2 Solicitadas
3 Aprobadas</t>
        </r>
      </text>
    </comment>
    <comment ref="V815" authorId="0">
      <text>
        <r>
          <rPr>
            <b/>
            <sz val="9"/>
            <color indexed="81"/>
            <rFont val="Tahoma"/>
            <family val="2"/>
          </rPr>
          <t>0 Día(s)
1 Mes (s)
2 Año(s)</t>
        </r>
      </text>
    </comment>
    <comment ref="Y815" authorId="0">
      <text>
        <r>
          <rPr>
            <sz val="9"/>
            <color indexed="81"/>
            <rFont val="Tahoma"/>
            <family val="2"/>
          </rPr>
          <t>0 Recursos propios 
1 Presupuesto de entidad nacional
2 Regalías
3 Recursos de crédito
4 SGP
5 No Aplica</t>
        </r>
      </text>
    </comment>
    <comment ref="AD815" authorId="0">
      <text>
        <r>
          <rPr>
            <b/>
            <sz val="9"/>
            <color indexed="81"/>
            <rFont val="Tahoma"/>
            <family val="2"/>
          </rPr>
          <t>0 No
1 Sí</t>
        </r>
      </text>
    </comment>
    <comment ref="AE815" authorId="0">
      <text>
        <r>
          <rPr>
            <sz val="9"/>
            <color indexed="81"/>
            <rFont val="Tahoma"/>
            <family val="2"/>
          </rPr>
          <t xml:space="preserve">
0 NA
1 No solicitadas
2 Solicitadas
3 Aprobadas</t>
        </r>
      </text>
    </comment>
    <comment ref="V816" authorId="0">
      <text>
        <r>
          <rPr>
            <b/>
            <sz val="9"/>
            <color indexed="81"/>
            <rFont val="Tahoma"/>
            <family val="2"/>
          </rPr>
          <t>0 Día(s)
1 Mes (s)
2 Año(s)</t>
        </r>
      </text>
    </comment>
    <comment ref="Y816" authorId="0">
      <text>
        <r>
          <rPr>
            <sz val="9"/>
            <color indexed="81"/>
            <rFont val="Tahoma"/>
            <family val="2"/>
          </rPr>
          <t>0 Recursos propios 
1 Presupuesto de entidad nacional
2 Regalías
3 Recursos de crédito
4 SGP
5 No Aplica</t>
        </r>
      </text>
    </comment>
    <comment ref="AD816" authorId="0">
      <text>
        <r>
          <rPr>
            <b/>
            <sz val="9"/>
            <color indexed="81"/>
            <rFont val="Tahoma"/>
            <family val="2"/>
          </rPr>
          <t>0 No
1 Sí</t>
        </r>
      </text>
    </comment>
    <comment ref="AE816" authorId="0">
      <text>
        <r>
          <rPr>
            <sz val="9"/>
            <color indexed="81"/>
            <rFont val="Tahoma"/>
            <family val="2"/>
          </rPr>
          <t xml:space="preserve">
0 NA
1 No solicitadas
2 Solicitadas
3 Aprobadas</t>
        </r>
      </text>
    </comment>
    <comment ref="V817" authorId="0">
      <text>
        <r>
          <rPr>
            <b/>
            <sz val="9"/>
            <color indexed="81"/>
            <rFont val="Tahoma"/>
            <family val="2"/>
          </rPr>
          <t>0 Día(s)
1 Mes (s)
2 Año(s)</t>
        </r>
      </text>
    </comment>
    <comment ref="Y817" authorId="0">
      <text>
        <r>
          <rPr>
            <sz val="9"/>
            <color indexed="81"/>
            <rFont val="Tahoma"/>
            <family val="2"/>
          </rPr>
          <t>0 Recursos propios 
1 Presupuesto de entidad nacional
2 Regalías
3 Recursos de crédito
4 SGP
5 No Aplica</t>
        </r>
      </text>
    </comment>
    <comment ref="AD817" authorId="0">
      <text>
        <r>
          <rPr>
            <b/>
            <sz val="9"/>
            <color indexed="81"/>
            <rFont val="Tahoma"/>
            <family val="2"/>
          </rPr>
          <t>0 No
1 Sí</t>
        </r>
      </text>
    </comment>
    <comment ref="AE817" authorId="0">
      <text>
        <r>
          <rPr>
            <sz val="9"/>
            <color indexed="81"/>
            <rFont val="Tahoma"/>
            <family val="2"/>
          </rPr>
          <t xml:space="preserve">
0 NA
1 No solicitadas
2 Solicitadas
3 Aprobadas</t>
        </r>
      </text>
    </comment>
    <comment ref="V818" authorId="0">
      <text>
        <r>
          <rPr>
            <b/>
            <sz val="9"/>
            <color indexed="81"/>
            <rFont val="Tahoma"/>
            <family val="2"/>
          </rPr>
          <t>0 Día(s)
1 Mes (s)
2 Año(s)</t>
        </r>
      </text>
    </comment>
    <comment ref="Y818" authorId="0">
      <text>
        <r>
          <rPr>
            <sz val="9"/>
            <color indexed="81"/>
            <rFont val="Tahoma"/>
            <family val="2"/>
          </rPr>
          <t>0 Recursos propios 
1 Presupuesto de entidad nacional
2 Regalías
3 Recursos de crédito
4 SGP
5 No Aplica</t>
        </r>
      </text>
    </comment>
    <comment ref="AD818" authorId="0">
      <text>
        <r>
          <rPr>
            <b/>
            <sz val="9"/>
            <color indexed="81"/>
            <rFont val="Tahoma"/>
            <family val="2"/>
          </rPr>
          <t>0 No
1 Sí</t>
        </r>
      </text>
    </comment>
    <comment ref="AE818" authorId="0">
      <text>
        <r>
          <rPr>
            <sz val="9"/>
            <color indexed="81"/>
            <rFont val="Tahoma"/>
            <family val="2"/>
          </rPr>
          <t xml:space="preserve">
0 NA
1 No solicitadas
2 Solicitadas
3 Aprobadas</t>
        </r>
      </text>
    </comment>
    <comment ref="V819" authorId="0">
      <text>
        <r>
          <rPr>
            <b/>
            <sz val="9"/>
            <color indexed="81"/>
            <rFont val="Tahoma"/>
            <family val="2"/>
          </rPr>
          <t>0 Día(s)
1 Mes (s)
2 Año(s)</t>
        </r>
      </text>
    </comment>
    <comment ref="Y819" authorId="0">
      <text>
        <r>
          <rPr>
            <sz val="9"/>
            <color indexed="81"/>
            <rFont val="Tahoma"/>
            <family val="2"/>
          </rPr>
          <t>0 Recursos propios 
1 Presupuesto de entidad nacional
2 Regalías
3 Recursos de crédito
4 SGP
5 No Aplica</t>
        </r>
      </text>
    </comment>
    <comment ref="AD819" authorId="0">
      <text>
        <r>
          <rPr>
            <b/>
            <sz val="9"/>
            <color indexed="81"/>
            <rFont val="Tahoma"/>
            <family val="2"/>
          </rPr>
          <t>0 No
1 Sí</t>
        </r>
      </text>
    </comment>
    <comment ref="AE819" authorId="0">
      <text>
        <r>
          <rPr>
            <sz val="9"/>
            <color indexed="81"/>
            <rFont val="Tahoma"/>
            <family val="2"/>
          </rPr>
          <t xml:space="preserve">
0 NA
1 No solicitadas
2 Solicitadas
3 Aprobadas</t>
        </r>
      </text>
    </comment>
    <comment ref="V820" authorId="0">
      <text>
        <r>
          <rPr>
            <b/>
            <sz val="9"/>
            <color indexed="81"/>
            <rFont val="Tahoma"/>
            <family val="2"/>
          </rPr>
          <t>0 Día(s)
1 Mes (s)
2 Año(s)</t>
        </r>
      </text>
    </comment>
    <comment ref="Y820" authorId="0">
      <text>
        <r>
          <rPr>
            <sz val="9"/>
            <color indexed="81"/>
            <rFont val="Tahoma"/>
            <family val="2"/>
          </rPr>
          <t>0 Recursos propios 
1 Presupuesto de entidad nacional
2 Regalías
3 Recursos de crédito
4 SGP
5 No Aplica</t>
        </r>
      </text>
    </comment>
    <comment ref="AD820" authorId="0">
      <text>
        <r>
          <rPr>
            <b/>
            <sz val="9"/>
            <color indexed="81"/>
            <rFont val="Tahoma"/>
            <family val="2"/>
          </rPr>
          <t>0 No
1 Sí</t>
        </r>
      </text>
    </comment>
    <comment ref="AE820" authorId="0">
      <text>
        <r>
          <rPr>
            <sz val="9"/>
            <color indexed="81"/>
            <rFont val="Tahoma"/>
            <family val="2"/>
          </rPr>
          <t xml:space="preserve">
0 NA
1 No solicitadas
2 Solicitadas
3 Aprobadas</t>
        </r>
      </text>
    </comment>
    <comment ref="V821" authorId="0">
      <text>
        <r>
          <rPr>
            <b/>
            <sz val="9"/>
            <color indexed="81"/>
            <rFont val="Tahoma"/>
            <family val="2"/>
          </rPr>
          <t>0 Día(s)
1 Mes (s)
2 Año(s)</t>
        </r>
      </text>
    </comment>
    <comment ref="Y821" authorId="0">
      <text>
        <r>
          <rPr>
            <sz val="9"/>
            <color indexed="81"/>
            <rFont val="Tahoma"/>
            <family val="2"/>
          </rPr>
          <t>0 Recursos propios 
1 Presupuesto de entidad nacional
2 Regalías
3 Recursos de crédito
4 SGP
5 No Aplica</t>
        </r>
      </text>
    </comment>
    <comment ref="AD821" authorId="0">
      <text>
        <r>
          <rPr>
            <b/>
            <sz val="9"/>
            <color indexed="81"/>
            <rFont val="Tahoma"/>
            <family val="2"/>
          </rPr>
          <t>0 No
1 Sí</t>
        </r>
      </text>
    </comment>
    <comment ref="AE821" authorId="0">
      <text>
        <r>
          <rPr>
            <sz val="9"/>
            <color indexed="81"/>
            <rFont val="Tahoma"/>
            <family val="2"/>
          </rPr>
          <t xml:space="preserve">
0 NA
1 No solicitadas
2 Solicitadas
3 Aprobadas</t>
        </r>
      </text>
    </comment>
    <comment ref="V822" authorId="0">
      <text>
        <r>
          <rPr>
            <b/>
            <sz val="9"/>
            <color indexed="81"/>
            <rFont val="Tahoma"/>
            <family val="2"/>
          </rPr>
          <t>0 Día(s)
1 Mes (s)
2 Año(s)</t>
        </r>
      </text>
    </comment>
    <comment ref="Y822" authorId="0">
      <text>
        <r>
          <rPr>
            <sz val="9"/>
            <color indexed="81"/>
            <rFont val="Tahoma"/>
            <family val="2"/>
          </rPr>
          <t>0 Recursos propios 
1 Presupuesto de entidad nacional
2 Regalías
3 Recursos de crédito
4 SGP
5 No Aplica</t>
        </r>
      </text>
    </comment>
    <comment ref="AD822" authorId="0">
      <text>
        <r>
          <rPr>
            <b/>
            <sz val="9"/>
            <color indexed="81"/>
            <rFont val="Tahoma"/>
            <family val="2"/>
          </rPr>
          <t>0 No
1 Sí</t>
        </r>
      </text>
    </comment>
    <comment ref="AE822" authorId="0">
      <text>
        <r>
          <rPr>
            <sz val="9"/>
            <color indexed="81"/>
            <rFont val="Tahoma"/>
            <family val="2"/>
          </rPr>
          <t xml:space="preserve">
0 NA
1 No solicitadas
2 Solicitadas
3 Aprobadas</t>
        </r>
      </text>
    </comment>
    <comment ref="V823" authorId="0">
      <text>
        <r>
          <rPr>
            <b/>
            <sz val="9"/>
            <color indexed="81"/>
            <rFont val="Tahoma"/>
            <family val="2"/>
          </rPr>
          <t>0 Día(s)
1 Mes (s)
2 Año(s)</t>
        </r>
      </text>
    </comment>
    <comment ref="Y823" authorId="0">
      <text>
        <r>
          <rPr>
            <sz val="9"/>
            <color indexed="81"/>
            <rFont val="Tahoma"/>
            <family val="2"/>
          </rPr>
          <t>0 Recursos propios 
1 Presupuesto de entidad nacional
2 Regalías
3 Recursos de crédito
4 SGP
5 No Aplica</t>
        </r>
      </text>
    </comment>
    <comment ref="AD823" authorId="0">
      <text>
        <r>
          <rPr>
            <b/>
            <sz val="9"/>
            <color indexed="81"/>
            <rFont val="Tahoma"/>
            <family val="2"/>
          </rPr>
          <t>0 No
1 Sí</t>
        </r>
      </text>
    </comment>
    <comment ref="AE823" authorId="0">
      <text>
        <r>
          <rPr>
            <sz val="9"/>
            <color indexed="81"/>
            <rFont val="Tahoma"/>
            <family val="2"/>
          </rPr>
          <t xml:space="preserve">
0 NA
1 No solicitadas
2 Solicitadas
3 Aprobadas</t>
        </r>
      </text>
    </comment>
    <comment ref="V824" authorId="0">
      <text>
        <r>
          <rPr>
            <b/>
            <sz val="9"/>
            <color indexed="81"/>
            <rFont val="Tahoma"/>
            <family val="2"/>
          </rPr>
          <t>0 Día(s)
1 Mes (s)
2 Año(s)</t>
        </r>
      </text>
    </comment>
    <comment ref="Y824" authorId="0">
      <text>
        <r>
          <rPr>
            <sz val="9"/>
            <color indexed="81"/>
            <rFont val="Tahoma"/>
            <family val="2"/>
          </rPr>
          <t>0 Recursos propios 
1 Presupuesto de entidad nacional
2 Regalías
3 Recursos de crédito
4 SGP
5 No Aplica</t>
        </r>
      </text>
    </comment>
    <comment ref="AD824" authorId="0">
      <text>
        <r>
          <rPr>
            <b/>
            <sz val="9"/>
            <color indexed="81"/>
            <rFont val="Tahoma"/>
            <family val="2"/>
          </rPr>
          <t>0 No
1 Sí</t>
        </r>
      </text>
    </comment>
    <comment ref="AE824" authorId="0">
      <text>
        <r>
          <rPr>
            <sz val="9"/>
            <color indexed="81"/>
            <rFont val="Tahoma"/>
            <family val="2"/>
          </rPr>
          <t xml:space="preserve">
0 NA
1 No solicitadas
2 Solicitadas
3 Aprobadas</t>
        </r>
      </text>
    </comment>
    <comment ref="V825" authorId="0">
      <text>
        <r>
          <rPr>
            <b/>
            <sz val="9"/>
            <color indexed="81"/>
            <rFont val="Tahoma"/>
            <family val="2"/>
          </rPr>
          <t>0 Día(s)
1 Mes (s)
2 Año(s)</t>
        </r>
      </text>
    </comment>
    <comment ref="Y825" authorId="0">
      <text>
        <r>
          <rPr>
            <sz val="9"/>
            <color indexed="81"/>
            <rFont val="Tahoma"/>
            <family val="2"/>
          </rPr>
          <t>0 Recursos propios 
1 Presupuesto de entidad nacional
2 Regalías
3 Recursos de crédito
4 SGP
5 No Aplica</t>
        </r>
      </text>
    </comment>
    <comment ref="AD825" authorId="0">
      <text>
        <r>
          <rPr>
            <b/>
            <sz val="9"/>
            <color indexed="81"/>
            <rFont val="Tahoma"/>
            <family val="2"/>
          </rPr>
          <t>0 No
1 Sí</t>
        </r>
      </text>
    </comment>
    <comment ref="AE825" authorId="0">
      <text>
        <r>
          <rPr>
            <sz val="9"/>
            <color indexed="81"/>
            <rFont val="Tahoma"/>
            <family val="2"/>
          </rPr>
          <t xml:space="preserve">
0 NA
1 No solicitadas
2 Solicitadas
3 Aprobadas</t>
        </r>
      </text>
    </comment>
    <comment ref="V826" authorId="0">
      <text>
        <r>
          <rPr>
            <b/>
            <sz val="9"/>
            <color indexed="81"/>
            <rFont val="Tahoma"/>
            <family val="2"/>
          </rPr>
          <t>0 Día(s)
1 Mes (s)
2 Año(s)</t>
        </r>
      </text>
    </comment>
    <comment ref="Y826" authorId="0">
      <text>
        <r>
          <rPr>
            <sz val="9"/>
            <color indexed="81"/>
            <rFont val="Tahoma"/>
            <family val="2"/>
          </rPr>
          <t>0 Recursos propios 
1 Presupuesto de entidad nacional
2 Regalías
3 Recursos de crédito
4 SGP
5 No Aplica</t>
        </r>
      </text>
    </comment>
    <comment ref="AD826" authorId="0">
      <text>
        <r>
          <rPr>
            <b/>
            <sz val="9"/>
            <color indexed="81"/>
            <rFont val="Tahoma"/>
            <family val="2"/>
          </rPr>
          <t>0 No
1 Sí</t>
        </r>
      </text>
    </comment>
    <comment ref="AE826" authorId="0">
      <text>
        <r>
          <rPr>
            <sz val="9"/>
            <color indexed="81"/>
            <rFont val="Tahoma"/>
            <family val="2"/>
          </rPr>
          <t xml:space="preserve">
0 NA
1 No solicitadas
2 Solicitadas
3 Aprobadas</t>
        </r>
      </text>
    </comment>
    <comment ref="V827" authorId="0">
      <text>
        <r>
          <rPr>
            <b/>
            <sz val="9"/>
            <color indexed="81"/>
            <rFont val="Tahoma"/>
            <family val="2"/>
          </rPr>
          <t>0 Día(s)
1 Mes (s)
2 Año(s)</t>
        </r>
      </text>
    </comment>
    <comment ref="Y827" authorId="0">
      <text>
        <r>
          <rPr>
            <sz val="9"/>
            <color indexed="81"/>
            <rFont val="Tahoma"/>
            <family val="2"/>
          </rPr>
          <t>0 Recursos propios 
1 Presupuesto de entidad nacional
2 Regalías
3 Recursos de crédito
4 SGP
5 No Aplica</t>
        </r>
      </text>
    </comment>
    <comment ref="AD827" authorId="0">
      <text>
        <r>
          <rPr>
            <b/>
            <sz val="9"/>
            <color indexed="81"/>
            <rFont val="Tahoma"/>
            <family val="2"/>
          </rPr>
          <t>0 No
1 Sí</t>
        </r>
      </text>
    </comment>
    <comment ref="AE827" authorId="0">
      <text>
        <r>
          <rPr>
            <sz val="9"/>
            <color indexed="81"/>
            <rFont val="Tahoma"/>
            <family val="2"/>
          </rPr>
          <t xml:space="preserve">
0 NA
1 No solicitadas
2 Solicitadas
3 Aprobadas</t>
        </r>
      </text>
    </comment>
    <comment ref="V828" authorId="0">
      <text>
        <r>
          <rPr>
            <b/>
            <sz val="9"/>
            <color indexed="81"/>
            <rFont val="Tahoma"/>
            <family val="2"/>
          </rPr>
          <t>0 Día(s)
1 Mes (s)
2 Año(s)</t>
        </r>
      </text>
    </comment>
    <comment ref="Y828" authorId="0">
      <text>
        <r>
          <rPr>
            <sz val="9"/>
            <color indexed="81"/>
            <rFont val="Tahoma"/>
            <family val="2"/>
          </rPr>
          <t>0 Recursos propios 
1 Presupuesto de entidad nacional
2 Regalías
3 Recursos de crédito
4 SGP
5 No Aplica</t>
        </r>
      </text>
    </comment>
    <comment ref="AD828" authorId="0">
      <text>
        <r>
          <rPr>
            <b/>
            <sz val="9"/>
            <color indexed="81"/>
            <rFont val="Tahoma"/>
            <family val="2"/>
          </rPr>
          <t>0 No
1 Sí</t>
        </r>
      </text>
    </comment>
    <comment ref="AE828" authorId="0">
      <text>
        <r>
          <rPr>
            <sz val="9"/>
            <color indexed="81"/>
            <rFont val="Tahoma"/>
            <family val="2"/>
          </rPr>
          <t xml:space="preserve">
0 NA
1 No solicitadas
2 Solicitadas
3 Aprobadas</t>
        </r>
      </text>
    </comment>
    <comment ref="V829" authorId="0">
      <text>
        <r>
          <rPr>
            <b/>
            <sz val="9"/>
            <color indexed="81"/>
            <rFont val="Tahoma"/>
            <family val="2"/>
          </rPr>
          <t>0 Día(s)
1 Mes (s)
2 Año(s)</t>
        </r>
      </text>
    </comment>
    <comment ref="Y829" authorId="0">
      <text>
        <r>
          <rPr>
            <sz val="9"/>
            <color indexed="81"/>
            <rFont val="Tahoma"/>
            <family val="2"/>
          </rPr>
          <t>0 Recursos propios 
1 Presupuesto de entidad nacional
2 Regalías
3 Recursos de crédito
4 SGP
5 No Aplica</t>
        </r>
      </text>
    </comment>
    <comment ref="AD829" authorId="0">
      <text>
        <r>
          <rPr>
            <b/>
            <sz val="9"/>
            <color indexed="81"/>
            <rFont val="Tahoma"/>
            <family val="2"/>
          </rPr>
          <t>0 No
1 Sí</t>
        </r>
      </text>
    </comment>
    <comment ref="AE829" authorId="0">
      <text>
        <r>
          <rPr>
            <sz val="9"/>
            <color indexed="81"/>
            <rFont val="Tahoma"/>
            <family val="2"/>
          </rPr>
          <t xml:space="preserve">
0 NA
1 No solicitadas
2 Solicitadas
3 Aprobadas</t>
        </r>
      </text>
    </comment>
    <comment ref="V830" authorId="0">
      <text>
        <r>
          <rPr>
            <b/>
            <sz val="9"/>
            <color indexed="81"/>
            <rFont val="Tahoma"/>
            <family val="2"/>
          </rPr>
          <t>0 Día(s)
1 Mes (s)
2 Año(s)</t>
        </r>
      </text>
    </comment>
    <comment ref="Y830" authorId="0">
      <text>
        <r>
          <rPr>
            <sz val="9"/>
            <color indexed="81"/>
            <rFont val="Tahoma"/>
            <family val="2"/>
          </rPr>
          <t>0 Recursos propios 
1 Presupuesto de entidad nacional
2 Regalías
3 Recursos de crédito
4 SGP
5 No Aplica</t>
        </r>
      </text>
    </comment>
    <comment ref="AD830" authorId="0">
      <text>
        <r>
          <rPr>
            <b/>
            <sz val="9"/>
            <color indexed="81"/>
            <rFont val="Tahoma"/>
            <family val="2"/>
          </rPr>
          <t>0 No
1 Sí</t>
        </r>
      </text>
    </comment>
    <comment ref="AE830" authorId="0">
      <text>
        <r>
          <rPr>
            <sz val="9"/>
            <color indexed="81"/>
            <rFont val="Tahoma"/>
            <family val="2"/>
          </rPr>
          <t xml:space="preserve">
0 NA
1 No solicitadas
2 Solicitadas
3 Aprobadas</t>
        </r>
      </text>
    </comment>
    <comment ref="V831" authorId="0">
      <text>
        <r>
          <rPr>
            <b/>
            <sz val="9"/>
            <color indexed="81"/>
            <rFont val="Tahoma"/>
            <family val="2"/>
          </rPr>
          <t>0 Día(s)
1 Mes (s)
2 Año(s)</t>
        </r>
      </text>
    </comment>
    <comment ref="Y831" authorId="0">
      <text>
        <r>
          <rPr>
            <sz val="9"/>
            <color indexed="81"/>
            <rFont val="Tahoma"/>
            <family val="2"/>
          </rPr>
          <t>0 Recursos propios 
1 Presupuesto de entidad nacional
2 Regalías
3 Recursos de crédito
4 SGP
5 No Aplica</t>
        </r>
      </text>
    </comment>
    <comment ref="AD831" authorId="0">
      <text>
        <r>
          <rPr>
            <b/>
            <sz val="9"/>
            <color indexed="81"/>
            <rFont val="Tahoma"/>
            <family val="2"/>
          </rPr>
          <t>0 No
1 Sí</t>
        </r>
      </text>
    </comment>
    <comment ref="AE831" authorId="0">
      <text>
        <r>
          <rPr>
            <sz val="9"/>
            <color indexed="81"/>
            <rFont val="Tahoma"/>
            <family val="2"/>
          </rPr>
          <t xml:space="preserve">
0 NA
1 No solicitadas
2 Solicitadas
3 Aprobadas</t>
        </r>
      </text>
    </comment>
    <comment ref="V832" authorId="0">
      <text>
        <r>
          <rPr>
            <b/>
            <sz val="9"/>
            <color indexed="81"/>
            <rFont val="Tahoma"/>
            <family val="2"/>
          </rPr>
          <t>0 Día(s)
1 Mes (s)
2 Año(s)</t>
        </r>
      </text>
    </comment>
    <comment ref="Y832" authorId="0">
      <text>
        <r>
          <rPr>
            <sz val="9"/>
            <color indexed="81"/>
            <rFont val="Tahoma"/>
            <family val="2"/>
          </rPr>
          <t>0 Recursos propios 
1 Presupuesto de entidad nacional
2 Regalías
3 Recursos de crédito
4 SGP
5 No Aplica</t>
        </r>
      </text>
    </comment>
    <comment ref="AD832" authorId="0">
      <text>
        <r>
          <rPr>
            <b/>
            <sz val="9"/>
            <color indexed="81"/>
            <rFont val="Tahoma"/>
            <family val="2"/>
          </rPr>
          <t>0 No
1 Sí</t>
        </r>
      </text>
    </comment>
    <comment ref="AE832" authorId="0">
      <text>
        <r>
          <rPr>
            <sz val="9"/>
            <color indexed="81"/>
            <rFont val="Tahoma"/>
            <family val="2"/>
          </rPr>
          <t xml:space="preserve">
0 NA
1 No solicitadas
2 Solicitadas
3 Aprobadas</t>
        </r>
      </text>
    </comment>
    <comment ref="V833" authorId="0">
      <text>
        <r>
          <rPr>
            <b/>
            <sz val="9"/>
            <color indexed="81"/>
            <rFont val="Tahoma"/>
            <family val="2"/>
          </rPr>
          <t>0 Día(s)
1 Mes (s)
2 Año(s)</t>
        </r>
      </text>
    </comment>
    <comment ref="Y833" authorId="0">
      <text>
        <r>
          <rPr>
            <sz val="9"/>
            <color indexed="81"/>
            <rFont val="Tahoma"/>
            <family val="2"/>
          </rPr>
          <t>0 Recursos propios 
1 Presupuesto de entidad nacional
2 Regalías
3 Recursos de crédito
4 SGP
5 No Aplica</t>
        </r>
      </text>
    </comment>
    <comment ref="AD833" authorId="0">
      <text>
        <r>
          <rPr>
            <b/>
            <sz val="9"/>
            <color indexed="81"/>
            <rFont val="Tahoma"/>
            <family val="2"/>
          </rPr>
          <t>0 No
1 Sí</t>
        </r>
      </text>
    </comment>
    <comment ref="AE833" authorId="0">
      <text>
        <r>
          <rPr>
            <sz val="9"/>
            <color indexed="81"/>
            <rFont val="Tahoma"/>
            <family val="2"/>
          </rPr>
          <t xml:space="preserve">
0 NA
1 No solicitadas
2 Solicitadas
3 Aprobadas</t>
        </r>
      </text>
    </comment>
    <comment ref="V834" authorId="0">
      <text>
        <r>
          <rPr>
            <b/>
            <sz val="9"/>
            <color indexed="81"/>
            <rFont val="Tahoma"/>
            <family val="2"/>
          </rPr>
          <t>0 Día(s)
1 Mes (s)
2 Año(s)</t>
        </r>
      </text>
    </comment>
    <comment ref="Y834" authorId="0">
      <text>
        <r>
          <rPr>
            <sz val="9"/>
            <color indexed="81"/>
            <rFont val="Tahoma"/>
            <family val="2"/>
          </rPr>
          <t>0 Recursos propios 
1 Presupuesto de entidad nacional
2 Regalías
3 Recursos de crédito
4 SGP
5 No Aplica</t>
        </r>
      </text>
    </comment>
    <comment ref="AD834" authorId="0">
      <text>
        <r>
          <rPr>
            <b/>
            <sz val="9"/>
            <color indexed="81"/>
            <rFont val="Tahoma"/>
            <family val="2"/>
          </rPr>
          <t>0 No
1 Sí</t>
        </r>
      </text>
    </comment>
    <comment ref="AE834" authorId="0">
      <text>
        <r>
          <rPr>
            <sz val="9"/>
            <color indexed="81"/>
            <rFont val="Tahoma"/>
            <family val="2"/>
          </rPr>
          <t xml:space="preserve">
0 NA
1 No solicitadas
2 Solicitadas
3 Aprobadas</t>
        </r>
      </text>
    </comment>
    <comment ref="V835" authorId="0">
      <text>
        <r>
          <rPr>
            <b/>
            <sz val="9"/>
            <color indexed="81"/>
            <rFont val="Tahoma"/>
            <family val="2"/>
          </rPr>
          <t>0 Día(s)
1 Mes (s)
2 Año(s)</t>
        </r>
      </text>
    </comment>
    <comment ref="Y835" authorId="0">
      <text>
        <r>
          <rPr>
            <sz val="9"/>
            <color indexed="81"/>
            <rFont val="Tahoma"/>
            <family val="2"/>
          </rPr>
          <t>0 Recursos propios 
1 Presupuesto de entidad nacional
2 Regalías
3 Recursos de crédito
4 SGP
5 No Aplica</t>
        </r>
      </text>
    </comment>
    <comment ref="AD835" authorId="0">
      <text>
        <r>
          <rPr>
            <b/>
            <sz val="9"/>
            <color indexed="81"/>
            <rFont val="Tahoma"/>
            <family val="2"/>
          </rPr>
          <t>0 No
1 Sí</t>
        </r>
      </text>
    </comment>
    <comment ref="AE835" authorId="0">
      <text>
        <r>
          <rPr>
            <sz val="9"/>
            <color indexed="81"/>
            <rFont val="Tahoma"/>
            <family val="2"/>
          </rPr>
          <t xml:space="preserve">
0 NA
1 No solicitadas
2 Solicitadas
3 Aprobadas</t>
        </r>
      </text>
    </comment>
    <comment ref="V836" authorId="0">
      <text>
        <r>
          <rPr>
            <b/>
            <sz val="9"/>
            <color indexed="81"/>
            <rFont val="Tahoma"/>
            <family val="2"/>
          </rPr>
          <t>0 Día(s)
1 Mes (s)
2 Año(s)</t>
        </r>
      </text>
    </comment>
    <comment ref="Y836" authorId="0">
      <text>
        <r>
          <rPr>
            <sz val="9"/>
            <color indexed="81"/>
            <rFont val="Tahoma"/>
            <family val="2"/>
          </rPr>
          <t>0 Recursos propios 
1 Presupuesto de entidad nacional
2 Regalías
3 Recursos de crédito
4 SGP
5 No Aplica</t>
        </r>
      </text>
    </comment>
    <comment ref="AD836" authorId="0">
      <text>
        <r>
          <rPr>
            <b/>
            <sz val="9"/>
            <color indexed="81"/>
            <rFont val="Tahoma"/>
            <family val="2"/>
          </rPr>
          <t>0 No
1 Sí</t>
        </r>
      </text>
    </comment>
    <comment ref="AE836" authorId="0">
      <text>
        <r>
          <rPr>
            <sz val="9"/>
            <color indexed="81"/>
            <rFont val="Tahoma"/>
            <family val="2"/>
          </rPr>
          <t xml:space="preserve">
0 NA
1 No solicitadas
2 Solicitadas
3 Aprobadas</t>
        </r>
      </text>
    </comment>
    <comment ref="AR836" authorId="1">
      <text>
        <r>
          <rPr>
            <b/>
            <sz val="9"/>
            <color indexed="81"/>
            <rFont val="Tahoma"/>
            <family val="2"/>
          </rPr>
          <t>Orlando Arias:</t>
        </r>
        <r>
          <rPr>
            <sz val="9"/>
            <color indexed="81"/>
            <rFont val="Tahoma"/>
            <family val="2"/>
          </rPr>
          <t xml:space="preserve">
03-08-2018 Se cambio la fuente dde 03-21 a 01-12, debido al error en financiera en la expedición del CDP</t>
        </r>
      </text>
    </comment>
    <comment ref="BF836" authorId="1">
      <text>
        <r>
          <rPr>
            <b/>
            <sz val="9"/>
            <color indexed="81"/>
            <rFont val="Tahoma"/>
            <family val="2"/>
          </rPr>
          <t>Orlando Arias:</t>
        </r>
        <r>
          <rPr>
            <sz val="9"/>
            <color indexed="81"/>
            <rFont val="Tahoma"/>
            <family val="2"/>
          </rPr>
          <t xml:space="preserve">
27-08-2018. Salio por la fuente 01-12, es necesario corregir con la modificación que van a tramitar</t>
        </r>
      </text>
    </comment>
    <comment ref="V837" authorId="0">
      <text>
        <r>
          <rPr>
            <b/>
            <sz val="9"/>
            <color indexed="81"/>
            <rFont val="Tahoma"/>
            <family val="2"/>
          </rPr>
          <t>0 Día(s)
1 Mes (s)
2 Año(s)</t>
        </r>
      </text>
    </comment>
    <comment ref="Y837" authorId="0">
      <text>
        <r>
          <rPr>
            <sz val="9"/>
            <color indexed="81"/>
            <rFont val="Tahoma"/>
            <family val="2"/>
          </rPr>
          <t>0 Recursos propios 
1 Presupuesto de entidad nacional
2 Regalías
3 Recursos de crédito
4 SGP
5 No Aplica</t>
        </r>
      </text>
    </comment>
    <comment ref="AD837" authorId="0">
      <text>
        <r>
          <rPr>
            <b/>
            <sz val="9"/>
            <color indexed="81"/>
            <rFont val="Tahoma"/>
            <family val="2"/>
          </rPr>
          <t>0 No
1 Sí</t>
        </r>
      </text>
    </comment>
    <comment ref="AE837" authorId="0">
      <text>
        <r>
          <rPr>
            <sz val="9"/>
            <color indexed="81"/>
            <rFont val="Tahoma"/>
            <family val="2"/>
          </rPr>
          <t xml:space="preserve">
0 NA
1 No solicitadas
2 Solicitadas
3 Aprobadas</t>
        </r>
      </text>
    </comment>
    <comment ref="V838" authorId="0">
      <text>
        <r>
          <rPr>
            <b/>
            <sz val="9"/>
            <color indexed="81"/>
            <rFont val="Tahoma"/>
            <family val="2"/>
          </rPr>
          <t>0 Día(s)
1 Mes (s)
2 Año(s)</t>
        </r>
      </text>
    </comment>
    <comment ref="Y838" authorId="0">
      <text>
        <r>
          <rPr>
            <sz val="9"/>
            <color indexed="81"/>
            <rFont val="Tahoma"/>
            <family val="2"/>
          </rPr>
          <t>0 Recursos propios 
1 Presupuesto de entidad nacional
2 Regalías
3 Recursos de crédito
4 SGP
5 No Aplica</t>
        </r>
      </text>
    </comment>
    <comment ref="AD838" authorId="0">
      <text>
        <r>
          <rPr>
            <b/>
            <sz val="9"/>
            <color indexed="81"/>
            <rFont val="Tahoma"/>
            <family val="2"/>
          </rPr>
          <t>0 No
1 Sí</t>
        </r>
      </text>
    </comment>
    <comment ref="AE838" authorId="0">
      <text>
        <r>
          <rPr>
            <sz val="9"/>
            <color indexed="81"/>
            <rFont val="Tahoma"/>
            <family val="2"/>
          </rPr>
          <t xml:space="preserve">
0 NA
1 No solicitadas
2 Solicitadas
3 Aprobadas</t>
        </r>
      </text>
    </comment>
    <comment ref="V839" authorId="0">
      <text>
        <r>
          <rPr>
            <b/>
            <sz val="9"/>
            <color indexed="81"/>
            <rFont val="Tahoma"/>
            <family val="2"/>
          </rPr>
          <t>0 Día(s)
1 Mes (s)
2 Año(s)</t>
        </r>
      </text>
    </comment>
    <comment ref="Y839" authorId="0">
      <text>
        <r>
          <rPr>
            <sz val="9"/>
            <color indexed="81"/>
            <rFont val="Tahoma"/>
            <family val="2"/>
          </rPr>
          <t>0 Recursos propios 
1 Presupuesto de entidad nacional
2 Regalías
3 Recursos de crédito
4 SGP
5 No Aplica</t>
        </r>
      </text>
    </comment>
    <comment ref="AD839" authorId="0">
      <text>
        <r>
          <rPr>
            <b/>
            <sz val="9"/>
            <color indexed="81"/>
            <rFont val="Tahoma"/>
            <family val="2"/>
          </rPr>
          <t>0 No
1 Sí</t>
        </r>
      </text>
    </comment>
    <comment ref="AE839" authorId="0">
      <text>
        <r>
          <rPr>
            <sz val="9"/>
            <color indexed="81"/>
            <rFont val="Tahoma"/>
            <family val="2"/>
          </rPr>
          <t xml:space="preserve">
0 NA
1 No solicitadas
2 Solicitadas
3 Aprobadas</t>
        </r>
      </text>
    </comment>
    <comment ref="V840" authorId="0">
      <text>
        <r>
          <rPr>
            <b/>
            <sz val="9"/>
            <color indexed="81"/>
            <rFont val="Tahoma"/>
            <family val="2"/>
          </rPr>
          <t>0 Día(s)
1 Mes (s)
2 Año(s)</t>
        </r>
      </text>
    </comment>
    <comment ref="Y840" authorId="0">
      <text>
        <r>
          <rPr>
            <sz val="9"/>
            <color indexed="81"/>
            <rFont val="Tahoma"/>
            <family val="2"/>
          </rPr>
          <t>0 Recursos propios 
1 Presupuesto de entidad nacional
2 Regalías
3 Recursos de crédito
4 SGP
5 No Aplica</t>
        </r>
      </text>
    </comment>
    <comment ref="AD840" authorId="0">
      <text>
        <r>
          <rPr>
            <b/>
            <sz val="9"/>
            <color indexed="81"/>
            <rFont val="Tahoma"/>
            <family val="2"/>
          </rPr>
          <t>0 No
1 Sí</t>
        </r>
      </text>
    </comment>
    <comment ref="AE840" authorId="0">
      <text>
        <r>
          <rPr>
            <sz val="9"/>
            <color indexed="81"/>
            <rFont val="Tahoma"/>
            <family val="2"/>
          </rPr>
          <t xml:space="preserve">
0 NA
1 No solicitadas
2 Solicitadas
3 Aprobadas</t>
        </r>
      </text>
    </comment>
    <comment ref="V841" authorId="0">
      <text>
        <r>
          <rPr>
            <b/>
            <sz val="9"/>
            <color indexed="81"/>
            <rFont val="Tahoma"/>
            <family val="2"/>
          </rPr>
          <t>0 Día(s)
1 Mes (s)
2 Año(s)</t>
        </r>
      </text>
    </comment>
    <comment ref="Y841" authorId="0">
      <text>
        <r>
          <rPr>
            <sz val="9"/>
            <color indexed="81"/>
            <rFont val="Tahoma"/>
            <family val="2"/>
          </rPr>
          <t>0 Recursos propios 
1 Presupuesto de entidad nacional
2 Regalías
3 Recursos de crédito
4 SGP
5 No Aplica</t>
        </r>
      </text>
    </comment>
    <comment ref="AD841" authorId="0">
      <text>
        <r>
          <rPr>
            <b/>
            <sz val="9"/>
            <color indexed="81"/>
            <rFont val="Tahoma"/>
            <family val="2"/>
          </rPr>
          <t>0 No
1 Sí</t>
        </r>
      </text>
    </comment>
    <comment ref="AE841" authorId="0">
      <text>
        <r>
          <rPr>
            <sz val="9"/>
            <color indexed="81"/>
            <rFont val="Tahoma"/>
            <family val="2"/>
          </rPr>
          <t xml:space="preserve">
0 NA
1 No solicitadas
2 Solicitadas
3 Aprobadas</t>
        </r>
      </text>
    </comment>
    <comment ref="V842" authorId="0">
      <text>
        <r>
          <rPr>
            <b/>
            <sz val="9"/>
            <color indexed="81"/>
            <rFont val="Tahoma"/>
            <family val="2"/>
          </rPr>
          <t>0 Día(s)
1 Mes (s)
2 Año(s)</t>
        </r>
      </text>
    </comment>
    <comment ref="Y842" authorId="0">
      <text>
        <r>
          <rPr>
            <sz val="9"/>
            <color indexed="81"/>
            <rFont val="Tahoma"/>
            <family val="2"/>
          </rPr>
          <t>0 Recursos propios 
1 Presupuesto de entidad nacional
2 Regalías
3 Recursos de crédito
4 SGP
5 No Aplica</t>
        </r>
      </text>
    </comment>
    <comment ref="AD842" authorId="0">
      <text>
        <r>
          <rPr>
            <b/>
            <sz val="9"/>
            <color indexed="81"/>
            <rFont val="Tahoma"/>
            <family val="2"/>
          </rPr>
          <t>0 No
1 Sí</t>
        </r>
      </text>
    </comment>
    <comment ref="AE842" authorId="0">
      <text>
        <r>
          <rPr>
            <sz val="9"/>
            <color indexed="81"/>
            <rFont val="Tahoma"/>
            <family val="2"/>
          </rPr>
          <t xml:space="preserve">
0 NA
1 No solicitadas
2 Solicitadas
3 Aprobadas</t>
        </r>
      </text>
    </comment>
    <comment ref="V843" authorId="0">
      <text>
        <r>
          <rPr>
            <b/>
            <sz val="9"/>
            <color indexed="81"/>
            <rFont val="Tahoma"/>
            <family val="2"/>
          </rPr>
          <t>0 Día(s)
1 Mes (s)
2 Año(s)</t>
        </r>
      </text>
    </comment>
    <comment ref="Y843" authorId="0">
      <text>
        <r>
          <rPr>
            <sz val="9"/>
            <color indexed="81"/>
            <rFont val="Tahoma"/>
            <family val="2"/>
          </rPr>
          <t>0 Recursos propios 
1 Presupuesto de entidad nacional
2 Regalías
3 Recursos de crédito
4 SGP
5 No Aplica</t>
        </r>
      </text>
    </comment>
    <comment ref="AD843" authorId="0">
      <text>
        <r>
          <rPr>
            <b/>
            <sz val="9"/>
            <color indexed="81"/>
            <rFont val="Tahoma"/>
            <family val="2"/>
          </rPr>
          <t>0 No
1 Sí</t>
        </r>
      </text>
    </comment>
    <comment ref="AE843" authorId="0">
      <text>
        <r>
          <rPr>
            <sz val="9"/>
            <color indexed="81"/>
            <rFont val="Tahoma"/>
            <family val="2"/>
          </rPr>
          <t xml:space="preserve">
0 NA
1 No solicitadas
2 Solicitadas
3 Aprobadas</t>
        </r>
      </text>
    </comment>
    <comment ref="V844" authorId="0">
      <text>
        <r>
          <rPr>
            <b/>
            <sz val="9"/>
            <color indexed="81"/>
            <rFont val="Tahoma"/>
            <family val="2"/>
          </rPr>
          <t>0 Día(s)
1 Mes (s)
2 Año(s)</t>
        </r>
      </text>
    </comment>
    <comment ref="Y844" authorId="0">
      <text>
        <r>
          <rPr>
            <sz val="9"/>
            <color indexed="81"/>
            <rFont val="Tahoma"/>
            <family val="2"/>
          </rPr>
          <t>0 Recursos propios 
1 Presupuesto de entidad nacional
2 Regalías
3 Recursos de crédito
4 SGP
5 No Aplica</t>
        </r>
      </text>
    </comment>
    <comment ref="AD844" authorId="0">
      <text>
        <r>
          <rPr>
            <b/>
            <sz val="9"/>
            <color indexed="81"/>
            <rFont val="Tahoma"/>
            <family val="2"/>
          </rPr>
          <t>0 No
1 Sí</t>
        </r>
      </text>
    </comment>
    <comment ref="AE844" authorId="0">
      <text>
        <r>
          <rPr>
            <sz val="9"/>
            <color indexed="81"/>
            <rFont val="Tahoma"/>
            <family val="2"/>
          </rPr>
          <t xml:space="preserve">
0 NA
1 No solicitadas
2 Solicitadas
3 Aprobadas</t>
        </r>
      </text>
    </comment>
    <comment ref="V845" authorId="0">
      <text>
        <r>
          <rPr>
            <b/>
            <sz val="9"/>
            <color indexed="81"/>
            <rFont val="Tahoma"/>
            <family val="2"/>
          </rPr>
          <t>0 Día(s)
1 Mes (s)
2 Año(s)</t>
        </r>
      </text>
    </comment>
    <comment ref="Y845" authorId="0">
      <text>
        <r>
          <rPr>
            <sz val="9"/>
            <color indexed="81"/>
            <rFont val="Tahoma"/>
            <family val="2"/>
          </rPr>
          <t>0 Recursos propios 
1 Presupuesto de entidad nacional
2 Regalías
3 Recursos de crédito
4 SGP
5 No Aplica</t>
        </r>
      </text>
    </comment>
    <comment ref="AD845" authorId="0">
      <text>
        <r>
          <rPr>
            <b/>
            <sz val="9"/>
            <color indexed="81"/>
            <rFont val="Tahoma"/>
            <family val="2"/>
          </rPr>
          <t>0 No
1 Sí</t>
        </r>
      </text>
    </comment>
    <comment ref="AE845" authorId="0">
      <text>
        <r>
          <rPr>
            <sz val="9"/>
            <color indexed="81"/>
            <rFont val="Tahoma"/>
            <family val="2"/>
          </rPr>
          <t xml:space="preserve">
0 NA
1 No solicitadas
2 Solicitadas
3 Aprobadas</t>
        </r>
      </text>
    </comment>
    <comment ref="V846" authorId="0">
      <text>
        <r>
          <rPr>
            <b/>
            <sz val="9"/>
            <color indexed="81"/>
            <rFont val="Tahoma"/>
            <family val="2"/>
          </rPr>
          <t>0 Día(s)
1 Mes (s)
2 Año(s)</t>
        </r>
      </text>
    </comment>
    <comment ref="Y846" authorId="0">
      <text>
        <r>
          <rPr>
            <sz val="9"/>
            <color indexed="81"/>
            <rFont val="Tahoma"/>
            <family val="2"/>
          </rPr>
          <t>0 Recursos propios 
1 Presupuesto de entidad nacional
2 Regalías
3 Recursos de crédito
4 SGP
5 No Aplica</t>
        </r>
      </text>
    </comment>
    <comment ref="AD846" authorId="0">
      <text>
        <r>
          <rPr>
            <b/>
            <sz val="9"/>
            <color indexed="81"/>
            <rFont val="Tahoma"/>
            <family val="2"/>
          </rPr>
          <t>0 No
1 Sí</t>
        </r>
      </text>
    </comment>
    <comment ref="AE846" authorId="0">
      <text>
        <r>
          <rPr>
            <sz val="9"/>
            <color indexed="81"/>
            <rFont val="Tahoma"/>
            <family val="2"/>
          </rPr>
          <t xml:space="preserve">
0 NA
1 No solicitadas
2 Solicitadas
3 Aprobadas</t>
        </r>
      </text>
    </comment>
    <comment ref="V847" authorId="0">
      <text>
        <r>
          <rPr>
            <b/>
            <sz val="9"/>
            <color indexed="81"/>
            <rFont val="Tahoma"/>
            <family val="2"/>
          </rPr>
          <t>0 Día(s)
1 Mes (s)
2 Año(s)</t>
        </r>
      </text>
    </comment>
    <comment ref="Y847" authorId="0">
      <text>
        <r>
          <rPr>
            <sz val="9"/>
            <color indexed="81"/>
            <rFont val="Tahoma"/>
            <family val="2"/>
          </rPr>
          <t>0 Recursos propios 
1 Presupuesto de entidad nacional
2 Regalías
3 Recursos de crédito
4 SGP
5 No Aplica</t>
        </r>
      </text>
    </comment>
    <comment ref="AD847" authorId="0">
      <text>
        <r>
          <rPr>
            <b/>
            <sz val="9"/>
            <color indexed="81"/>
            <rFont val="Tahoma"/>
            <family val="2"/>
          </rPr>
          <t>0 No
1 Sí</t>
        </r>
      </text>
    </comment>
    <comment ref="AE847" authorId="0">
      <text>
        <r>
          <rPr>
            <sz val="9"/>
            <color indexed="81"/>
            <rFont val="Tahoma"/>
            <family val="2"/>
          </rPr>
          <t xml:space="preserve">
0 NA
1 No solicitadas
2 Solicitadas
3 Aprobadas</t>
        </r>
      </text>
    </comment>
    <comment ref="V848" authorId="0">
      <text>
        <r>
          <rPr>
            <b/>
            <sz val="9"/>
            <color indexed="81"/>
            <rFont val="Tahoma"/>
            <family val="2"/>
          </rPr>
          <t>0 Día(s)
1 Mes (s)
2 Año(s)</t>
        </r>
      </text>
    </comment>
    <comment ref="Y848" authorId="0">
      <text>
        <r>
          <rPr>
            <sz val="9"/>
            <color indexed="81"/>
            <rFont val="Tahoma"/>
            <family val="2"/>
          </rPr>
          <t>0 Recursos propios 
1 Presupuesto de entidad nacional
2 Regalías
3 Recursos de crédito
4 SGP
5 No Aplica</t>
        </r>
      </text>
    </comment>
    <comment ref="AD848" authorId="0">
      <text>
        <r>
          <rPr>
            <b/>
            <sz val="9"/>
            <color indexed="81"/>
            <rFont val="Tahoma"/>
            <family val="2"/>
          </rPr>
          <t>0 No
1 Sí</t>
        </r>
      </text>
    </comment>
    <comment ref="AE848" authorId="0">
      <text>
        <r>
          <rPr>
            <sz val="9"/>
            <color indexed="81"/>
            <rFont val="Tahoma"/>
            <family val="2"/>
          </rPr>
          <t xml:space="preserve">
0 NA
1 No solicitadas
2 Solicitadas
3 Aprobadas</t>
        </r>
      </text>
    </comment>
    <comment ref="V849" authorId="0">
      <text>
        <r>
          <rPr>
            <b/>
            <sz val="9"/>
            <color indexed="81"/>
            <rFont val="Tahoma"/>
            <family val="2"/>
          </rPr>
          <t>0 Día(s)
1 Mes (s)
2 Año(s)</t>
        </r>
      </text>
    </comment>
    <comment ref="Y849" authorId="0">
      <text>
        <r>
          <rPr>
            <sz val="9"/>
            <color indexed="81"/>
            <rFont val="Tahoma"/>
            <family val="2"/>
          </rPr>
          <t>0 Recursos propios 
1 Presupuesto de entidad nacional
2 Regalías
3 Recursos de crédito
4 SGP
5 No Aplica</t>
        </r>
      </text>
    </comment>
    <comment ref="AD849" authorId="0">
      <text>
        <r>
          <rPr>
            <b/>
            <sz val="9"/>
            <color indexed="81"/>
            <rFont val="Tahoma"/>
            <family val="2"/>
          </rPr>
          <t>0 No
1 Sí</t>
        </r>
      </text>
    </comment>
    <comment ref="AE849" authorId="0">
      <text>
        <r>
          <rPr>
            <sz val="9"/>
            <color indexed="81"/>
            <rFont val="Tahoma"/>
            <family val="2"/>
          </rPr>
          <t xml:space="preserve">
0 NA
1 No solicitadas
2 Solicitadas
3 Aprobadas</t>
        </r>
      </text>
    </comment>
    <comment ref="V850" authorId="0">
      <text>
        <r>
          <rPr>
            <b/>
            <sz val="9"/>
            <color indexed="81"/>
            <rFont val="Tahoma"/>
            <family val="2"/>
          </rPr>
          <t>0 Día(s)
1 Mes (s)
2 Año(s)</t>
        </r>
      </text>
    </comment>
    <comment ref="Y850" authorId="0">
      <text>
        <r>
          <rPr>
            <sz val="9"/>
            <color indexed="81"/>
            <rFont val="Tahoma"/>
            <family val="2"/>
          </rPr>
          <t>0 Recursos propios 
1 Presupuesto de entidad nacional
2 Regalías
3 Recursos de crédito
4 SGP
5 No Aplica</t>
        </r>
      </text>
    </comment>
    <comment ref="AD850" authorId="0">
      <text>
        <r>
          <rPr>
            <b/>
            <sz val="9"/>
            <color indexed="81"/>
            <rFont val="Tahoma"/>
            <family val="2"/>
          </rPr>
          <t>0 No
1 Sí</t>
        </r>
      </text>
    </comment>
    <comment ref="AE850" authorId="0">
      <text>
        <r>
          <rPr>
            <sz val="9"/>
            <color indexed="81"/>
            <rFont val="Tahoma"/>
            <family val="2"/>
          </rPr>
          <t xml:space="preserve">
0 NA
1 No solicitadas
2 Solicitadas
3 Aprobadas</t>
        </r>
      </text>
    </comment>
    <comment ref="V851" authorId="0">
      <text>
        <r>
          <rPr>
            <b/>
            <sz val="9"/>
            <color indexed="81"/>
            <rFont val="Tahoma"/>
            <family val="2"/>
          </rPr>
          <t>0 Día(s)
1 Mes (s)
2 Año(s)</t>
        </r>
      </text>
    </comment>
    <comment ref="Y851" authorId="0">
      <text>
        <r>
          <rPr>
            <sz val="9"/>
            <color indexed="81"/>
            <rFont val="Tahoma"/>
            <family val="2"/>
          </rPr>
          <t>0 Recursos propios 
1 Presupuesto de entidad nacional
2 Regalías
3 Recursos de crédito
4 SGP
5 No Aplica</t>
        </r>
      </text>
    </comment>
    <comment ref="AD851" authorId="0">
      <text>
        <r>
          <rPr>
            <b/>
            <sz val="9"/>
            <color indexed="81"/>
            <rFont val="Tahoma"/>
            <family val="2"/>
          </rPr>
          <t>0 No
1 Sí</t>
        </r>
      </text>
    </comment>
    <comment ref="AE851" authorId="0">
      <text>
        <r>
          <rPr>
            <sz val="9"/>
            <color indexed="81"/>
            <rFont val="Tahoma"/>
            <family val="2"/>
          </rPr>
          <t xml:space="preserve">
0 NA
1 No solicitadas
2 Solicitadas
3 Aprobadas</t>
        </r>
      </text>
    </comment>
    <comment ref="V852" authorId="0">
      <text>
        <r>
          <rPr>
            <b/>
            <sz val="9"/>
            <color indexed="81"/>
            <rFont val="Tahoma"/>
            <family val="2"/>
          </rPr>
          <t>0 Día(s)
1 Mes (s)
2 Año(s)</t>
        </r>
      </text>
    </comment>
    <comment ref="Y852" authorId="0">
      <text>
        <r>
          <rPr>
            <sz val="9"/>
            <color indexed="81"/>
            <rFont val="Tahoma"/>
            <family val="2"/>
          </rPr>
          <t>0 Recursos propios 
1 Presupuesto de entidad nacional
2 Regalías
3 Recursos de crédito
4 SGP
5 No Aplica</t>
        </r>
      </text>
    </comment>
    <comment ref="AD852" authorId="0">
      <text>
        <r>
          <rPr>
            <b/>
            <sz val="9"/>
            <color indexed="81"/>
            <rFont val="Tahoma"/>
            <family val="2"/>
          </rPr>
          <t>0 No
1 Sí</t>
        </r>
      </text>
    </comment>
    <comment ref="AE852" authorId="0">
      <text>
        <r>
          <rPr>
            <sz val="9"/>
            <color indexed="81"/>
            <rFont val="Tahoma"/>
            <family val="2"/>
          </rPr>
          <t xml:space="preserve">
0 NA
1 No solicitadas
2 Solicitadas
3 Aprobadas</t>
        </r>
      </text>
    </comment>
    <comment ref="V853" authorId="0">
      <text>
        <r>
          <rPr>
            <b/>
            <sz val="9"/>
            <color indexed="81"/>
            <rFont val="Tahoma"/>
            <family val="2"/>
          </rPr>
          <t>0 Día(s)
1 Mes (s)
2 Año(s)</t>
        </r>
      </text>
    </comment>
    <comment ref="Y853" authorId="0">
      <text>
        <r>
          <rPr>
            <sz val="9"/>
            <color indexed="81"/>
            <rFont val="Tahoma"/>
            <family val="2"/>
          </rPr>
          <t>0 Recursos propios 
1 Presupuesto de entidad nacional
2 Regalías
3 Recursos de crédito
4 SGP
5 No Aplica</t>
        </r>
      </text>
    </comment>
    <comment ref="AD853" authorId="0">
      <text>
        <r>
          <rPr>
            <b/>
            <sz val="9"/>
            <color indexed="81"/>
            <rFont val="Tahoma"/>
            <family val="2"/>
          </rPr>
          <t>0 No
1 Sí</t>
        </r>
      </text>
    </comment>
    <comment ref="AE853" authorId="0">
      <text>
        <r>
          <rPr>
            <sz val="9"/>
            <color indexed="81"/>
            <rFont val="Tahoma"/>
            <family val="2"/>
          </rPr>
          <t xml:space="preserve">
0 NA
1 No solicitadas
2 Solicitadas
3 Aprobadas</t>
        </r>
      </text>
    </comment>
    <comment ref="V854" authorId="0">
      <text>
        <r>
          <rPr>
            <b/>
            <sz val="9"/>
            <color indexed="81"/>
            <rFont val="Tahoma"/>
            <family val="2"/>
          </rPr>
          <t>0 Día(s)
1 Mes (s)
2 Año(s)</t>
        </r>
      </text>
    </comment>
    <comment ref="Y854" authorId="0">
      <text>
        <r>
          <rPr>
            <sz val="9"/>
            <color indexed="81"/>
            <rFont val="Tahoma"/>
            <family val="2"/>
          </rPr>
          <t>0 Recursos propios 
1 Presupuesto de entidad nacional
2 Regalías
3 Recursos de crédito
4 SGP
5 No Aplica</t>
        </r>
      </text>
    </comment>
    <comment ref="AD854" authorId="0">
      <text>
        <r>
          <rPr>
            <b/>
            <sz val="9"/>
            <color indexed="81"/>
            <rFont val="Tahoma"/>
            <family val="2"/>
          </rPr>
          <t>0 No
1 Sí</t>
        </r>
      </text>
    </comment>
    <comment ref="AE854" authorId="0">
      <text>
        <r>
          <rPr>
            <sz val="9"/>
            <color indexed="81"/>
            <rFont val="Tahoma"/>
            <family val="2"/>
          </rPr>
          <t xml:space="preserve">
0 NA
1 No solicitadas
2 Solicitadas
3 Aprobadas</t>
        </r>
      </text>
    </comment>
    <comment ref="V855" authorId="0">
      <text>
        <r>
          <rPr>
            <b/>
            <sz val="9"/>
            <color indexed="81"/>
            <rFont val="Tahoma"/>
            <family val="2"/>
          </rPr>
          <t>0 Día(s)
1 Mes (s)
2 Año(s)</t>
        </r>
      </text>
    </comment>
    <comment ref="Y855" authorId="0">
      <text>
        <r>
          <rPr>
            <sz val="9"/>
            <color indexed="81"/>
            <rFont val="Tahoma"/>
            <family val="2"/>
          </rPr>
          <t>0 Recursos propios 
1 Presupuesto de entidad nacional
2 Regalías
3 Recursos de crédito
4 SGP
5 No Aplica</t>
        </r>
      </text>
    </comment>
    <comment ref="AD855" authorId="0">
      <text>
        <r>
          <rPr>
            <b/>
            <sz val="9"/>
            <color indexed="81"/>
            <rFont val="Tahoma"/>
            <family val="2"/>
          </rPr>
          <t>0 No
1 Sí</t>
        </r>
      </text>
    </comment>
    <comment ref="AE855" authorId="0">
      <text>
        <r>
          <rPr>
            <sz val="9"/>
            <color indexed="81"/>
            <rFont val="Tahoma"/>
            <family val="2"/>
          </rPr>
          <t xml:space="preserve">
0 NA
1 No solicitadas
2 Solicitadas
3 Aprobadas</t>
        </r>
      </text>
    </comment>
    <comment ref="V856" authorId="0">
      <text>
        <r>
          <rPr>
            <b/>
            <sz val="9"/>
            <color indexed="81"/>
            <rFont val="Tahoma"/>
            <family val="2"/>
          </rPr>
          <t>0 Día(s)
1 Mes (s)
2 Año(s)</t>
        </r>
      </text>
    </comment>
    <comment ref="Y856" authorId="0">
      <text>
        <r>
          <rPr>
            <sz val="9"/>
            <color indexed="81"/>
            <rFont val="Tahoma"/>
            <family val="2"/>
          </rPr>
          <t>0 Recursos propios 
1 Presupuesto de entidad nacional
2 Regalías
3 Recursos de crédito
4 SGP
5 No Aplica</t>
        </r>
      </text>
    </comment>
    <comment ref="AD856" authorId="0">
      <text>
        <r>
          <rPr>
            <b/>
            <sz val="9"/>
            <color indexed="81"/>
            <rFont val="Tahoma"/>
            <family val="2"/>
          </rPr>
          <t>0 No
1 Sí</t>
        </r>
      </text>
    </comment>
    <comment ref="AE856" authorId="0">
      <text>
        <r>
          <rPr>
            <sz val="9"/>
            <color indexed="81"/>
            <rFont val="Tahoma"/>
            <family val="2"/>
          </rPr>
          <t xml:space="preserve">
0 NA
1 No solicitadas
2 Solicitadas
3 Aprobadas</t>
        </r>
      </text>
    </comment>
    <comment ref="V857" authorId="0">
      <text>
        <r>
          <rPr>
            <b/>
            <sz val="9"/>
            <color indexed="81"/>
            <rFont val="Tahoma"/>
            <family val="2"/>
          </rPr>
          <t>0 Día(s)
1 Mes (s)
2 Año(s)</t>
        </r>
      </text>
    </comment>
    <comment ref="Y857" authorId="0">
      <text>
        <r>
          <rPr>
            <sz val="9"/>
            <color indexed="81"/>
            <rFont val="Tahoma"/>
            <family val="2"/>
          </rPr>
          <t>0 Recursos propios 
1 Presupuesto de entidad nacional
2 Regalías
3 Recursos de crédito
4 SGP
5 No Aplica</t>
        </r>
      </text>
    </comment>
    <comment ref="AD857" authorId="0">
      <text>
        <r>
          <rPr>
            <b/>
            <sz val="9"/>
            <color indexed="81"/>
            <rFont val="Tahoma"/>
            <family val="2"/>
          </rPr>
          <t>0 No
1 Sí</t>
        </r>
      </text>
    </comment>
    <comment ref="AE857" authorId="0">
      <text>
        <r>
          <rPr>
            <sz val="9"/>
            <color indexed="81"/>
            <rFont val="Tahoma"/>
            <family val="2"/>
          </rPr>
          <t xml:space="preserve">
0 NA
1 No solicitadas
2 Solicitadas
3 Aprobadas</t>
        </r>
      </text>
    </comment>
    <comment ref="V858" authorId="0">
      <text>
        <r>
          <rPr>
            <b/>
            <sz val="9"/>
            <color indexed="81"/>
            <rFont val="Tahoma"/>
            <family val="2"/>
          </rPr>
          <t>0 Día(s)
1 Mes (s)
2 Año(s)</t>
        </r>
      </text>
    </comment>
    <comment ref="Y858" authorId="0">
      <text>
        <r>
          <rPr>
            <sz val="9"/>
            <color indexed="81"/>
            <rFont val="Tahoma"/>
            <family val="2"/>
          </rPr>
          <t>0 Recursos propios 
1 Presupuesto de entidad nacional
2 Regalías
3 Recursos de crédito
4 SGP
5 No Aplica</t>
        </r>
      </text>
    </comment>
    <comment ref="AD858" authorId="0">
      <text>
        <r>
          <rPr>
            <b/>
            <sz val="9"/>
            <color indexed="81"/>
            <rFont val="Tahoma"/>
            <family val="2"/>
          </rPr>
          <t>0 No
1 Sí</t>
        </r>
      </text>
    </comment>
    <comment ref="AE858" authorId="0">
      <text>
        <r>
          <rPr>
            <sz val="9"/>
            <color indexed="81"/>
            <rFont val="Tahoma"/>
            <family val="2"/>
          </rPr>
          <t xml:space="preserve">
0 NA
1 No solicitadas
2 Solicitadas
3 Aprobadas</t>
        </r>
      </text>
    </comment>
    <comment ref="V859" authorId="0">
      <text>
        <r>
          <rPr>
            <b/>
            <sz val="9"/>
            <color indexed="81"/>
            <rFont val="Tahoma"/>
            <family val="2"/>
          </rPr>
          <t>0 Día(s)
1 Mes (s)
2 Año(s)</t>
        </r>
      </text>
    </comment>
    <comment ref="Y859" authorId="0">
      <text>
        <r>
          <rPr>
            <sz val="9"/>
            <color indexed="81"/>
            <rFont val="Tahoma"/>
            <family val="2"/>
          </rPr>
          <t>0 Recursos propios 
1 Presupuesto de entidad nacional
2 Regalías
3 Recursos de crédito
4 SGP
5 No Aplica</t>
        </r>
      </text>
    </comment>
    <comment ref="AD859" authorId="0">
      <text>
        <r>
          <rPr>
            <b/>
            <sz val="9"/>
            <color indexed="81"/>
            <rFont val="Tahoma"/>
            <family val="2"/>
          </rPr>
          <t>0 No
1 Sí</t>
        </r>
      </text>
    </comment>
    <comment ref="AE859" authorId="0">
      <text>
        <r>
          <rPr>
            <sz val="9"/>
            <color indexed="81"/>
            <rFont val="Tahoma"/>
            <family val="2"/>
          </rPr>
          <t xml:space="preserve">
0 NA
1 No solicitadas
2 Solicitadas
3 Aprobadas</t>
        </r>
      </text>
    </comment>
    <comment ref="V860" authorId="0">
      <text>
        <r>
          <rPr>
            <b/>
            <sz val="9"/>
            <color indexed="81"/>
            <rFont val="Tahoma"/>
            <family val="2"/>
          </rPr>
          <t>0 Día(s)
1 Mes (s)
2 Año(s)</t>
        </r>
      </text>
    </comment>
    <comment ref="Y860" authorId="0">
      <text>
        <r>
          <rPr>
            <sz val="9"/>
            <color indexed="81"/>
            <rFont val="Tahoma"/>
            <family val="2"/>
          </rPr>
          <t>0 Recursos propios 
1 Presupuesto de entidad nacional
2 Regalías
3 Recursos de crédito
4 SGP
5 No Aplica</t>
        </r>
      </text>
    </comment>
    <comment ref="AD860" authorId="0">
      <text>
        <r>
          <rPr>
            <b/>
            <sz val="9"/>
            <color indexed="81"/>
            <rFont val="Tahoma"/>
            <family val="2"/>
          </rPr>
          <t>0 No
1 Sí</t>
        </r>
      </text>
    </comment>
    <comment ref="AE860" authorId="0">
      <text>
        <r>
          <rPr>
            <sz val="9"/>
            <color indexed="81"/>
            <rFont val="Tahoma"/>
            <family val="2"/>
          </rPr>
          <t xml:space="preserve">
0 NA
1 No solicitadas
2 Solicitadas
3 Aprobadas</t>
        </r>
      </text>
    </comment>
    <comment ref="V861" authorId="0">
      <text>
        <r>
          <rPr>
            <b/>
            <sz val="9"/>
            <color indexed="81"/>
            <rFont val="Tahoma"/>
            <family val="2"/>
          </rPr>
          <t>0 Día(s)
1 Mes (s)
2 Año(s)</t>
        </r>
      </text>
    </comment>
    <comment ref="Y861" authorId="0">
      <text>
        <r>
          <rPr>
            <sz val="9"/>
            <color indexed="81"/>
            <rFont val="Tahoma"/>
            <family val="2"/>
          </rPr>
          <t>0 Recursos propios 
1 Presupuesto de entidad nacional
2 Regalías
3 Recursos de crédito
4 SGP
5 No Aplica</t>
        </r>
      </text>
    </comment>
    <comment ref="AD861" authorId="0">
      <text>
        <r>
          <rPr>
            <b/>
            <sz val="9"/>
            <color indexed="81"/>
            <rFont val="Tahoma"/>
            <family val="2"/>
          </rPr>
          <t>0 No
1 Sí</t>
        </r>
      </text>
    </comment>
    <comment ref="AE861" authorId="0">
      <text>
        <r>
          <rPr>
            <sz val="9"/>
            <color indexed="81"/>
            <rFont val="Tahoma"/>
            <family val="2"/>
          </rPr>
          <t xml:space="preserve">
0 NA
1 No solicitadas
2 Solicitadas
3 Aprobadas</t>
        </r>
      </text>
    </comment>
    <comment ref="V862" authorId="0">
      <text>
        <r>
          <rPr>
            <b/>
            <sz val="9"/>
            <color indexed="81"/>
            <rFont val="Tahoma"/>
            <family val="2"/>
          </rPr>
          <t>0 Día(s)
1 Mes (s)
2 Año(s)</t>
        </r>
      </text>
    </comment>
    <comment ref="Y862" authorId="0">
      <text>
        <r>
          <rPr>
            <sz val="9"/>
            <color indexed="81"/>
            <rFont val="Tahoma"/>
            <family val="2"/>
          </rPr>
          <t>0 Recursos propios 
1 Presupuesto de entidad nacional
2 Regalías
3 Recursos de crédito
4 SGP
5 No Aplica</t>
        </r>
      </text>
    </comment>
    <comment ref="AD862" authorId="0">
      <text>
        <r>
          <rPr>
            <b/>
            <sz val="9"/>
            <color indexed="81"/>
            <rFont val="Tahoma"/>
            <family val="2"/>
          </rPr>
          <t>0 No
1 Sí</t>
        </r>
      </text>
    </comment>
    <comment ref="AE862" authorId="0">
      <text>
        <r>
          <rPr>
            <sz val="9"/>
            <color indexed="81"/>
            <rFont val="Tahoma"/>
            <family val="2"/>
          </rPr>
          <t xml:space="preserve">
0 NA
1 No solicitadas
2 Solicitadas
3 Aprobadas</t>
        </r>
      </text>
    </comment>
    <comment ref="V863" authorId="0">
      <text>
        <r>
          <rPr>
            <b/>
            <sz val="9"/>
            <color indexed="81"/>
            <rFont val="Tahoma"/>
            <family val="2"/>
          </rPr>
          <t>0 Día(s)
1 Mes (s)
2 Año(s)</t>
        </r>
      </text>
    </comment>
    <comment ref="Y863" authorId="0">
      <text>
        <r>
          <rPr>
            <sz val="9"/>
            <color indexed="81"/>
            <rFont val="Tahoma"/>
            <family val="2"/>
          </rPr>
          <t>0 Recursos propios 
1 Presupuesto de entidad nacional
2 Regalías
3 Recursos de crédito
4 SGP
5 No Aplica</t>
        </r>
      </text>
    </comment>
    <comment ref="AD863" authorId="0">
      <text>
        <r>
          <rPr>
            <b/>
            <sz val="9"/>
            <color indexed="81"/>
            <rFont val="Tahoma"/>
            <family val="2"/>
          </rPr>
          <t>0 No
1 Sí</t>
        </r>
      </text>
    </comment>
    <comment ref="AE863" authorId="0">
      <text>
        <r>
          <rPr>
            <sz val="9"/>
            <color indexed="81"/>
            <rFont val="Tahoma"/>
            <family val="2"/>
          </rPr>
          <t xml:space="preserve">
0 NA
1 No solicitadas
2 Solicitadas
3 Aprobadas</t>
        </r>
      </text>
    </comment>
    <comment ref="V864" authorId="0">
      <text>
        <r>
          <rPr>
            <b/>
            <sz val="9"/>
            <color indexed="81"/>
            <rFont val="Tahoma"/>
            <family val="2"/>
          </rPr>
          <t>0 Día(s)
1 Mes (s)
2 Año(s)</t>
        </r>
      </text>
    </comment>
    <comment ref="Y864" authorId="0">
      <text>
        <r>
          <rPr>
            <sz val="9"/>
            <color indexed="81"/>
            <rFont val="Tahoma"/>
            <family val="2"/>
          </rPr>
          <t>0 Recursos propios 
1 Presupuesto de entidad nacional
2 Regalías
3 Recursos de crédito
4 SGP
5 No Aplica</t>
        </r>
      </text>
    </comment>
    <comment ref="AD864" authorId="0">
      <text>
        <r>
          <rPr>
            <b/>
            <sz val="9"/>
            <color indexed="81"/>
            <rFont val="Tahoma"/>
            <family val="2"/>
          </rPr>
          <t>0 No
1 Sí</t>
        </r>
      </text>
    </comment>
    <comment ref="AE864" authorId="0">
      <text>
        <r>
          <rPr>
            <sz val="9"/>
            <color indexed="81"/>
            <rFont val="Tahoma"/>
            <family val="2"/>
          </rPr>
          <t xml:space="preserve">
0 NA
1 No solicitadas
2 Solicitadas
3 Aprobadas</t>
        </r>
      </text>
    </comment>
    <comment ref="V865" authorId="0">
      <text>
        <r>
          <rPr>
            <b/>
            <sz val="9"/>
            <color indexed="81"/>
            <rFont val="Tahoma"/>
            <family val="2"/>
          </rPr>
          <t>0 Día(s)
1 Mes (s)
2 Año(s)</t>
        </r>
      </text>
    </comment>
    <comment ref="Y865" authorId="0">
      <text>
        <r>
          <rPr>
            <sz val="9"/>
            <color indexed="81"/>
            <rFont val="Tahoma"/>
            <family val="2"/>
          </rPr>
          <t>0 Recursos propios 
1 Presupuesto de entidad nacional
2 Regalías
3 Recursos de crédito
4 SGP
5 No Aplica</t>
        </r>
      </text>
    </comment>
    <comment ref="AD865" authorId="0">
      <text>
        <r>
          <rPr>
            <b/>
            <sz val="9"/>
            <color indexed="81"/>
            <rFont val="Tahoma"/>
            <family val="2"/>
          </rPr>
          <t>0 No
1 Sí</t>
        </r>
      </text>
    </comment>
    <comment ref="AE865" authorId="0">
      <text>
        <r>
          <rPr>
            <sz val="9"/>
            <color indexed="81"/>
            <rFont val="Tahoma"/>
            <family val="2"/>
          </rPr>
          <t xml:space="preserve">
0 NA
1 No solicitadas
2 Solicitadas
3 Aprobadas</t>
        </r>
      </text>
    </comment>
    <comment ref="V866" authorId="0">
      <text>
        <r>
          <rPr>
            <b/>
            <sz val="9"/>
            <color indexed="81"/>
            <rFont val="Tahoma"/>
            <family val="2"/>
          </rPr>
          <t>0 Día(s)
1 Mes (s)
2 Año(s)</t>
        </r>
      </text>
    </comment>
    <comment ref="Y866" authorId="0">
      <text>
        <r>
          <rPr>
            <sz val="9"/>
            <color indexed="81"/>
            <rFont val="Tahoma"/>
            <family val="2"/>
          </rPr>
          <t>0 Recursos propios 
1 Presupuesto de entidad nacional
2 Regalías
3 Recursos de crédito
4 SGP
5 No Aplica</t>
        </r>
      </text>
    </comment>
    <comment ref="AD866" authorId="0">
      <text>
        <r>
          <rPr>
            <b/>
            <sz val="9"/>
            <color indexed="81"/>
            <rFont val="Tahoma"/>
            <family val="2"/>
          </rPr>
          <t>0 No
1 Sí</t>
        </r>
      </text>
    </comment>
    <comment ref="AE866" authorId="0">
      <text>
        <r>
          <rPr>
            <sz val="9"/>
            <color indexed="81"/>
            <rFont val="Tahoma"/>
            <family val="2"/>
          </rPr>
          <t xml:space="preserve">
0 NA
1 No solicitadas
2 Solicitadas
3 Aprobadas</t>
        </r>
      </text>
    </comment>
    <comment ref="V867" authorId="0">
      <text>
        <r>
          <rPr>
            <b/>
            <sz val="9"/>
            <color indexed="81"/>
            <rFont val="Tahoma"/>
            <family val="2"/>
          </rPr>
          <t>0 Día(s)
1 Mes (s)
2 Año(s)</t>
        </r>
      </text>
    </comment>
    <comment ref="Y867" authorId="0">
      <text>
        <r>
          <rPr>
            <sz val="9"/>
            <color indexed="81"/>
            <rFont val="Tahoma"/>
            <family val="2"/>
          </rPr>
          <t>0 Recursos propios 
1 Presupuesto de entidad nacional
2 Regalías
3 Recursos de crédito
4 SGP
5 No Aplica</t>
        </r>
      </text>
    </comment>
    <comment ref="AD867" authorId="0">
      <text>
        <r>
          <rPr>
            <b/>
            <sz val="9"/>
            <color indexed="81"/>
            <rFont val="Tahoma"/>
            <family val="2"/>
          </rPr>
          <t>0 No
1 Sí</t>
        </r>
      </text>
    </comment>
    <comment ref="AE867" authorId="0">
      <text>
        <r>
          <rPr>
            <sz val="9"/>
            <color indexed="81"/>
            <rFont val="Tahoma"/>
            <family val="2"/>
          </rPr>
          <t xml:space="preserve">
0 NA
1 No solicitadas
2 Solicitadas
3 Aprobadas</t>
        </r>
      </text>
    </comment>
    <comment ref="V868" authorId="0">
      <text>
        <r>
          <rPr>
            <b/>
            <sz val="9"/>
            <color indexed="81"/>
            <rFont val="Tahoma"/>
            <family val="2"/>
          </rPr>
          <t>0 Día(s)
1 Mes (s)
2 Año(s)</t>
        </r>
      </text>
    </comment>
    <comment ref="Y868" authorId="0">
      <text>
        <r>
          <rPr>
            <sz val="9"/>
            <color indexed="81"/>
            <rFont val="Tahoma"/>
            <family val="2"/>
          </rPr>
          <t>0 Recursos propios 
1 Presupuesto de entidad nacional
2 Regalías
3 Recursos de crédito
4 SGP
5 No Aplica</t>
        </r>
      </text>
    </comment>
    <comment ref="AD868" authorId="0">
      <text>
        <r>
          <rPr>
            <b/>
            <sz val="9"/>
            <color indexed="81"/>
            <rFont val="Tahoma"/>
            <family val="2"/>
          </rPr>
          <t>0 No
1 Sí</t>
        </r>
      </text>
    </comment>
    <comment ref="AE868" authorId="0">
      <text>
        <r>
          <rPr>
            <sz val="9"/>
            <color indexed="81"/>
            <rFont val="Tahoma"/>
            <family val="2"/>
          </rPr>
          <t xml:space="preserve">
0 NA
1 No solicitadas
2 Solicitadas
3 Aprobadas</t>
        </r>
      </text>
    </comment>
    <comment ref="V869" authorId="0">
      <text>
        <r>
          <rPr>
            <b/>
            <sz val="9"/>
            <color indexed="81"/>
            <rFont val="Tahoma"/>
            <family val="2"/>
          </rPr>
          <t>0 Día(s)
1 Mes (s)
2 Año(s)</t>
        </r>
      </text>
    </comment>
    <comment ref="Y869" authorId="0">
      <text>
        <r>
          <rPr>
            <sz val="9"/>
            <color indexed="81"/>
            <rFont val="Tahoma"/>
            <family val="2"/>
          </rPr>
          <t>0 Recursos propios 
1 Presupuesto de entidad nacional
2 Regalías
3 Recursos de crédito
4 SGP
5 No Aplica</t>
        </r>
      </text>
    </comment>
    <comment ref="AD869" authorId="0">
      <text>
        <r>
          <rPr>
            <b/>
            <sz val="9"/>
            <color indexed="81"/>
            <rFont val="Tahoma"/>
            <family val="2"/>
          </rPr>
          <t>0 No
1 Sí</t>
        </r>
      </text>
    </comment>
    <comment ref="AE869" authorId="0">
      <text>
        <r>
          <rPr>
            <sz val="9"/>
            <color indexed="81"/>
            <rFont val="Tahoma"/>
            <family val="2"/>
          </rPr>
          <t xml:space="preserve">
0 NA
1 No solicitadas
2 Solicitadas
3 Aprobadas</t>
        </r>
      </text>
    </comment>
    <comment ref="V870" authorId="0">
      <text>
        <r>
          <rPr>
            <b/>
            <sz val="9"/>
            <color indexed="81"/>
            <rFont val="Tahoma"/>
            <family val="2"/>
          </rPr>
          <t>0 Día(s)
1 Mes (s)
2 Año(s)</t>
        </r>
      </text>
    </comment>
    <comment ref="Y870" authorId="0">
      <text>
        <r>
          <rPr>
            <sz val="9"/>
            <color indexed="81"/>
            <rFont val="Tahoma"/>
            <family val="2"/>
          </rPr>
          <t>0 Recursos propios 
1 Presupuesto de entidad nacional
2 Regalías
3 Recursos de crédito
4 SGP
5 No Aplica</t>
        </r>
      </text>
    </comment>
    <comment ref="AD870" authorId="0">
      <text>
        <r>
          <rPr>
            <b/>
            <sz val="9"/>
            <color indexed="81"/>
            <rFont val="Tahoma"/>
            <family val="2"/>
          </rPr>
          <t>0 No
1 Sí</t>
        </r>
      </text>
    </comment>
    <comment ref="AE870" authorId="0">
      <text>
        <r>
          <rPr>
            <sz val="9"/>
            <color indexed="81"/>
            <rFont val="Tahoma"/>
            <family val="2"/>
          </rPr>
          <t xml:space="preserve">
0 NA
1 No solicitadas
2 Solicitadas
3 Aprobadas</t>
        </r>
      </text>
    </comment>
    <comment ref="V871" authorId="0">
      <text>
        <r>
          <rPr>
            <b/>
            <sz val="9"/>
            <color indexed="81"/>
            <rFont val="Tahoma"/>
            <family val="2"/>
          </rPr>
          <t>0 Día(s)
1 Mes (s)
2 Año(s)</t>
        </r>
      </text>
    </comment>
    <comment ref="Y871" authorId="0">
      <text>
        <r>
          <rPr>
            <sz val="9"/>
            <color indexed="81"/>
            <rFont val="Tahoma"/>
            <family val="2"/>
          </rPr>
          <t>0 Recursos propios 
1 Presupuesto de entidad nacional
2 Regalías
3 Recursos de crédito
4 SGP
5 No Aplica</t>
        </r>
      </text>
    </comment>
    <comment ref="AD871" authorId="0">
      <text>
        <r>
          <rPr>
            <b/>
            <sz val="9"/>
            <color indexed="81"/>
            <rFont val="Tahoma"/>
            <family val="2"/>
          </rPr>
          <t>0 No
1 Sí</t>
        </r>
      </text>
    </comment>
    <comment ref="AE871" authorId="0">
      <text>
        <r>
          <rPr>
            <sz val="9"/>
            <color indexed="81"/>
            <rFont val="Tahoma"/>
            <family val="2"/>
          </rPr>
          <t xml:space="preserve">
0 NA
1 No solicitadas
2 Solicitadas
3 Aprobadas</t>
        </r>
      </text>
    </comment>
    <comment ref="V872" authorId="0">
      <text>
        <r>
          <rPr>
            <b/>
            <sz val="9"/>
            <color indexed="81"/>
            <rFont val="Tahoma"/>
            <family val="2"/>
          </rPr>
          <t>0 Día(s)
1 Mes (s)
2 Año(s)</t>
        </r>
      </text>
    </comment>
    <comment ref="Y872" authorId="0">
      <text>
        <r>
          <rPr>
            <sz val="9"/>
            <color indexed="81"/>
            <rFont val="Tahoma"/>
            <family val="2"/>
          </rPr>
          <t>0 Recursos propios 
1 Presupuesto de entidad nacional
2 Regalías
3 Recursos de crédito
4 SGP
5 No Aplica</t>
        </r>
      </text>
    </comment>
    <comment ref="AD872" authorId="0">
      <text>
        <r>
          <rPr>
            <b/>
            <sz val="9"/>
            <color indexed="81"/>
            <rFont val="Tahoma"/>
            <family val="2"/>
          </rPr>
          <t>0 No
1 Sí</t>
        </r>
      </text>
    </comment>
    <comment ref="AE872" authorId="0">
      <text>
        <r>
          <rPr>
            <sz val="9"/>
            <color indexed="81"/>
            <rFont val="Tahoma"/>
            <family val="2"/>
          </rPr>
          <t xml:space="preserve">
0 NA
1 No solicitadas
2 Solicitadas
3 Aprobadas</t>
        </r>
      </text>
    </comment>
    <comment ref="V873" authorId="0">
      <text>
        <r>
          <rPr>
            <b/>
            <sz val="9"/>
            <color indexed="81"/>
            <rFont val="Tahoma"/>
            <family val="2"/>
          </rPr>
          <t>0 Día(s)
1 Mes (s)
2 Año(s)</t>
        </r>
      </text>
    </comment>
    <comment ref="Y873" authorId="0">
      <text>
        <r>
          <rPr>
            <sz val="9"/>
            <color indexed="81"/>
            <rFont val="Tahoma"/>
            <family val="2"/>
          </rPr>
          <t>0 Recursos propios 
1 Presupuesto de entidad nacional
2 Regalías
3 Recursos de crédito
4 SGP
5 No Aplica</t>
        </r>
      </text>
    </comment>
    <comment ref="AD873" authorId="0">
      <text>
        <r>
          <rPr>
            <b/>
            <sz val="9"/>
            <color indexed="81"/>
            <rFont val="Tahoma"/>
            <family val="2"/>
          </rPr>
          <t>0 No
1 Sí</t>
        </r>
      </text>
    </comment>
    <comment ref="AE873" authorId="0">
      <text>
        <r>
          <rPr>
            <sz val="9"/>
            <color indexed="81"/>
            <rFont val="Tahoma"/>
            <family val="2"/>
          </rPr>
          <t xml:space="preserve">
0 NA
1 No solicitadas
2 Solicitadas
3 Aprobadas</t>
        </r>
      </text>
    </comment>
    <comment ref="V874" authorId="0">
      <text>
        <r>
          <rPr>
            <b/>
            <sz val="9"/>
            <color indexed="81"/>
            <rFont val="Tahoma"/>
            <family val="2"/>
          </rPr>
          <t>0 Día(s)
1 Mes (s)
2 Año(s)</t>
        </r>
      </text>
    </comment>
    <comment ref="Y874" authorId="0">
      <text>
        <r>
          <rPr>
            <sz val="9"/>
            <color indexed="81"/>
            <rFont val="Tahoma"/>
            <family val="2"/>
          </rPr>
          <t>0 Recursos propios 
1 Presupuesto de entidad nacional
2 Regalías
3 Recursos de crédito
4 SGP
5 No Aplica</t>
        </r>
      </text>
    </comment>
    <comment ref="AD874" authorId="0">
      <text>
        <r>
          <rPr>
            <b/>
            <sz val="9"/>
            <color indexed="81"/>
            <rFont val="Tahoma"/>
            <family val="2"/>
          </rPr>
          <t>0 No
1 Sí</t>
        </r>
      </text>
    </comment>
    <comment ref="AE874" authorId="0">
      <text>
        <r>
          <rPr>
            <sz val="9"/>
            <color indexed="81"/>
            <rFont val="Tahoma"/>
            <family val="2"/>
          </rPr>
          <t xml:space="preserve">
0 NA
1 No solicitadas
2 Solicitadas
3 Aprobadas</t>
        </r>
      </text>
    </comment>
    <comment ref="V875" authorId="0">
      <text>
        <r>
          <rPr>
            <b/>
            <sz val="9"/>
            <color indexed="81"/>
            <rFont val="Tahoma"/>
            <family val="2"/>
          </rPr>
          <t>0 Día(s)
1 Mes (s)
2 Año(s)</t>
        </r>
      </text>
    </comment>
    <comment ref="Y875" authorId="0">
      <text>
        <r>
          <rPr>
            <sz val="9"/>
            <color indexed="81"/>
            <rFont val="Tahoma"/>
            <family val="2"/>
          </rPr>
          <t>0 Recursos propios 
1 Presupuesto de entidad nacional
2 Regalías
3 Recursos de crédito
4 SGP
5 No Aplica</t>
        </r>
      </text>
    </comment>
    <comment ref="AD875" authorId="0">
      <text>
        <r>
          <rPr>
            <b/>
            <sz val="9"/>
            <color indexed="81"/>
            <rFont val="Tahoma"/>
            <family val="2"/>
          </rPr>
          <t>0 No
1 Sí</t>
        </r>
      </text>
    </comment>
    <comment ref="AE875" authorId="0">
      <text>
        <r>
          <rPr>
            <sz val="9"/>
            <color indexed="81"/>
            <rFont val="Tahoma"/>
            <family val="2"/>
          </rPr>
          <t xml:space="preserve">
0 NA
1 No solicitadas
2 Solicitadas
3 Aprobadas</t>
        </r>
      </text>
    </comment>
    <comment ref="V876" authorId="0">
      <text>
        <r>
          <rPr>
            <b/>
            <sz val="9"/>
            <color indexed="81"/>
            <rFont val="Tahoma"/>
            <family val="2"/>
          </rPr>
          <t>0 Día(s)
1 Mes (s)
2 Año(s)</t>
        </r>
      </text>
    </comment>
    <comment ref="Y876" authorId="0">
      <text>
        <r>
          <rPr>
            <sz val="9"/>
            <color indexed="81"/>
            <rFont val="Tahoma"/>
            <family val="2"/>
          </rPr>
          <t>0 Recursos propios 
1 Presupuesto de entidad nacional
2 Regalías
3 Recursos de crédito
4 SGP
5 No Aplica</t>
        </r>
      </text>
    </comment>
    <comment ref="AD876" authorId="0">
      <text>
        <r>
          <rPr>
            <b/>
            <sz val="9"/>
            <color indexed="81"/>
            <rFont val="Tahoma"/>
            <family val="2"/>
          </rPr>
          <t>0 No
1 Sí</t>
        </r>
      </text>
    </comment>
    <comment ref="AE876" authorId="0">
      <text>
        <r>
          <rPr>
            <sz val="9"/>
            <color indexed="81"/>
            <rFont val="Tahoma"/>
            <family val="2"/>
          </rPr>
          <t xml:space="preserve">
0 NA
1 No solicitadas
2 Solicitadas
3 Aprobadas</t>
        </r>
      </text>
    </comment>
    <comment ref="V877" authorId="0">
      <text>
        <r>
          <rPr>
            <b/>
            <sz val="9"/>
            <color indexed="81"/>
            <rFont val="Tahoma"/>
            <family val="2"/>
          </rPr>
          <t>0 Día(s)
1 Mes (s)
2 Año(s)</t>
        </r>
      </text>
    </comment>
    <comment ref="Y877" authorId="0">
      <text>
        <r>
          <rPr>
            <sz val="9"/>
            <color indexed="81"/>
            <rFont val="Tahoma"/>
            <family val="2"/>
          </rPr>
          <t>0 Recursos propios 
1 Presupuesto de entidad nacional
2 Regalías
3 Recursos de crédito
4 SGP
5 No Aplica</t>
        </r>
      </text>
    </comment>
    <comment ref="AD877" authorId="0">
      <text>
        <r>
          <rPr>
            <b/>
            <sz val="9"/>
            <color indexed="81"/>
            <rFont val="Tahoma"/>
            <family val="2"/>
          </rPr>
          <t>0 No
1 Sí</t>
        </r>
      </text>
    </comment>
    <comment ref="AE877" authorId="0">
      <text>
        <r>
          <rPr>
            <sz val="9"/>
            <color indexed="81"/>
            <rFont val="Tahoma"/>
            <family val="2"/>
          </rPr>
          <t xml:space="preserve">
0 NA
1 No solicitadas
2 Solicitadas
3 Aprobadas</t>
        </r>
      </text>
    </comment>
    <comment ref="V878" authorId="0">
      <text>
        <r>
          <rPr>
            <b/>
            <sz val="9"/>
            <color indexed="81"/>
            <rFont val="Tahoma"/>
            <family val="2"/>
          </rPr>
          <t>0 Día(s)
1 Mes (s)
2 Año(s)</t>
        </r>
      </text>
    </comment>
    <comment ref="Y878" authorId="0">
      <text>
        <r>
          <rPr>
            <sz val="9"/>
            <color indexed="81"/>
            <rFont val="Tahoma"/>
            <family val="2"/>
          </rPr>
          <t>0 Recursos propios 
1 Presupuesto de entidad nacional
2 Regalías
3 Recursos de crédito
4 SGP
5 No Aplica</t>
        </r>
      </text>
    </comment>
    <comment ref="AD878" authorId="0">
      <text>
        <r>
          <rPr>
            <b/>
            <sz val="9"/>
            <color indexed="81"/>
            <rFont val="Tahoma"/>
            <family val="2"/>
          </rPr>
          <t>0 No
1 Sí</t>
        </r>
      </text>
    </comment>
    <comment ref="AE878" authorId="0">
      <text>
        <r>
          <rPr>
            <sz val="9"/>
            <color indexed="81"/>
            <rFont val="Tahoma"/>
            <family val="2"/>
          </rPr>
          <t xml:space="preserve">
0 NA
1 No solicitadas
2 Solicitadas
3 Aprobadas</t>
        </r>
      </text>
    </comment>
    <comment ref="V879" authorId="0">
      <text>
        <r>
          <rPr>
            <b/>
            <sz val="9"/>
            <color indexed="81"/>
            <rFont val="Tahoma"/>
            <family val="2"/>
          </rPr>
          <t>0 Día(s)
1 Mes (s)
2 Año(s)</t>
        </r>
      </text>
    </comment>
    <comment ref="Y879" authorId="0">
      <text>
        <r>
          <rPr>
            <sz val="9"/>
            <color indexed="81"/>
            <rFont val="Tahoma"/>
            <family val="2"/>
          </rPr>
          <t>0 Recursos propios 
1 Presupuesto de entidad nacional
2 Regalías
3 Recursos de crédito
4 SGP
5 No Aplica</t>
        </r>
      </text>
    </comment>
    <comment ref="AD879" authorId="0">
      <text>
        <r>
          <rPr>
            <b/>
            <sz val="9"/>
            <color indexed="81"/>
            <rFont val="Tahoma"/>
            <family val="2"/>
          </rPr>
          <t>0 No
1 Sí</t>
        </r>
      </text>
    </comment>
    <comment ref="AE879" authorId="0">
      <text>
        <r>
          <rPr>
            <sz val="9"/>
            <color indexed="81"/>
            <rFont val="Tahoma"/>
            <family val="2"/>
          </rPr>
          <t xml:space="preserve">
0 NA
1 No solicitadas
2 Solicitadas
3 Aprobadas</t>
        </r>
      </text>
    </comment>
    <comment ref="V880" authorId="0">
      <text>
        <r>
          <rPr>
            <b/>
            <sz val="9"/>
            <color indexed="81"/>
            <rFont val="Tahoma"/>
            <family val="2"/>
          </rPr>
          <t>0 Día(s)
1 Mes (s)
2 Año(s)</t>
        </r>
      </text>
    </comment>
    <comment ref="Y880" authorId="0">
      <text>
        <r>
          <rPr>
            <sz val="9"/>
            <color indexed="81"/>
            <rFont val="Tahoma"/>
            <family val="2"/>
          </rPr>
          <t>0 Recursos propios 
1 Presupuesto de entidad nacional
2 Regalías
3 Recursos de crédito
4 SGP
5 No Aplica</t>
        </r>
      </text>
    </comment>
    <comment ref="AD880" authorId="0">
      <text>
        <r>
          <rPr>
            <b/>
            <sz val="9"/>
            <color indexed="81"/>
            <rFont val="Tahoma"/>
            <family val="2"/>
          </rPr>
          <t>0 No
1 Sí</t>
        </r>
      </text>
    </comment>
    <comment ref="AE880" authorId="0">
      <text>
        <r>
          <rPr>
            <sz val="9"/>
            <color indexed="81"/>
            <rFont val="Tahoma"/>
            <family val="2"/>
          </rPr>
          <t xml:space="preserve">
0 NA
1 No solicitadas
2 Solicitadas
3 Aprobadas</t>
        </r>
      </text>
    </comment>
    <comment ref="V881" authorId="0">
      <text>
        <r>
          <rPr>
            <b/>
            <sz val="9"/>
            <color indexed="81"/>
            <rFont val="Tahoma"/>
            <family val="2"/>
          </rPr>
          <t>0 Día(s)
1 Mes (s)
2 Año(s)</t>
        </r>
      </text>
    </comment>
    <comment ref="Y881" authorId="0">
      <text>
        <r>
          <rPr>
            <sz val="9"/>
            <color indexed="81"/>
            <rFont val="Tahoma"/>
            <family val="2"/>
          </rPr>
          <t>0 Recursos propios 
1 Presupuesto de entidad nacional
2 Regalías
3 Recursos de crédito
4 SGP
5 No Aplica</t>
        </r>
      </text>
    </comment>
    <comment ref="AD881" authorId="0">
      <text>
        <r>
          <rPr>
            <b/>
            <sz val="9"/>
            <color indexed="81"/>
            <rFont val="Tahoma"/>
            <family val="2"/>
          </rPr>
          <t>0 No
1 Sí</t>
        </r>
      </text>
    </comment>
    <comment ref="AE881" authorId="0">
      <text>
        <r>
          <rPr>
            <sz val="9"/>
            <color indexed="81"/>
            <rFont val="Tahoma"/>
            <family val="2"/>
          </rPr>
          <t xml:space="preserve">
0 NA
1 No solicitadas
2 Solicitadas
3 Aprobadas</t>
        </r>
      </text>
    </comment>
    <comment ref="V882" authorId="0">
      <text>
        <r>
          <rPr>
            <b/>
            <sz val="9"/>
            <color indexed="81"/>
            <rFont val="Tahoma"/>
            <family val="2"/>
          </rPr>
          <t>0 Día(s)
1 Mes (s)
2 Año(s)</t>
        </r>
      </text>
    </comment>
    <comment ref="Y882" authorId="0">
      <text>
        <r>
          <rPr>
            <sz val="9"/>
            <color indexed="81"/>
            <rFont val="Tahoma"/>
            <family val="2"/>
          </rPr>
          <t>0 Recursos propios 
1 Presupuesto de entidad nacional
2 Regalías
3 Recursos de crédito
4 SGP
5 No Aplica</t>
        </r>
      </text>
    </comment>
    <comment ref="AD882" authorId="0">
      <text>
        <r>
          <rPr>
            <b/>
            <sz val="9"/>
            <color indexed="81"/>
            <rFont val="Tahoma"/>
            <family val="2"/>
          </rPr>
          <t>0 No
1 Sí</t>
        </r>
      </text>
    </comment>
    <comment ref="AE882" authorId="0">
      <text>
        <r>
          <rPr>
            <sz val="9"/>
            <color indexed="81"/>
            <rFont val="Tahoma"/>
            <family val="2"/>
          </rPr>
          <t xml:space="preserve">
0 NA
1 No solicitadas
2 Solicitadas
3 Aprobadas</t>
        </r>
      </text>
    </comment>
    <comment ref="V883" authorId="0">
      <text>
        <r>
          <rPr>
            <b/>
            <sz val="9"/>
            <color indexed="81"/>
            <rFont val="Tahoma"/>
            <family val="2"/>
          </rPr>
          <t>0 Día(s)
1 Mes (s)
2 Año(s)</t>
        </r>
      </text>
    </comment>
    <comment ref="Y883" authorId="0">
      <text>
        <r>
          <rPr>
            <sz val="9"/>
            <color indexed="81"/>
            <rFont val="Tahoma"/>
            <family val="2"/>
          </rPr>
          <t>0 Recursos propios 
1 Presupuesto de entidad nacional
2 Regalías
3 Recursos de crédito
4 SGP
5 No Aplica</t>
        </r>
      </text>
    </comment>
    <comment ref="AD883" authorId="0">
      <text>
        <r>
          <rPr>
            <b/>
            <sz val="9"/>
            <color indexed="81"/>
            <rFont val="Tahoma"/>
            <family val="2"/>
          </rPr>
          <t>0 No
1 Sí</t>
        </r>
      </text>
    </comment>
    <comment ref="AE883" authorId="0">
      <text>
        <r>
          <rPr>
            <sz val="9"/>
            <color indexed="81"/>
            <rFont val="Tahoma"/>
            <family val="2"/>
          </rPr>
          <t xml:space="preserve">
0 NA
1 No solicitadas
2 Solicitadas
3 Aprobadas</t>
        </r>
      </text>
    </comment>
    <comment ref="V884" authorId="0">
      <text>
        <r>
          <rPr>
            <b/>
            <sz val="9"/>
            <color indexed="81"/>
            <rFont val="Tahoma"/>
            <family val="2"/>
          </rPr>
          <t>0 Día(s)
1 Mes (s)
2 Año(s)</t>
        </r>
      </text>
    </comment>
    <comment ref="Y884" authorId="0">
      <text>
        <r>
          <rPr>
            <sz val="9"/>
            <color indexed="81"/>
            <rFont val="Tahoma"/>
            <family val="2"/>
          </rPr>
          <t>0 Recursos propios 
1 Presupuesto de entidad nacional
2 Regalías
3 Recursos de crédito
4 SGP
5 No Aplica</t>
        </r>
      </text>
    </comment>
    <comment ref="AD884" authorId="0">
      <text>
        <r>
          <rPr>
            <b/>
            <sz val="9"/>
            <color indexed="81"/>
            <rFont val="Tahoma"/>
            <family val="2"/>
          </rPr>
          <t>0 No
1 Sí</t>
        </r>
      </text>
    </comment>
    <comment ref="AE884" authorId="0">
      <text>
        <r>
          <rPr>
            <sz val="9"/>
            <color indexed="81"/>
            <rFont val="Tahoma"/>
            <family val="2"/>
          </rPr>
          <t xml:space="preserve">
0 NA
1 No solicitadas
2 Solicitadas
3 Aprobadas</t>
        </r>
      </text>
    </comment>
    <comment ref="AX884" authorId="1">
      <text>
        <r>
          <rPr>
            <b/>
            <sz val="9"/>
            <color indexed="81"/>
            <rFont val="Tahoma"/>
            <family val="2"/>
          </rPr>
          <t>Orlando Arias:</t>
        </r>
        <r>
          <rPr>
            <sz val="9"/>
            <color indexed="81"/>
            <rFont val="Tahoma"/>
            <family val="2"/>
          </rPr>
          <t xml:space="preserve">
PATY ES LA REDUCCION PARA EL TRASLADO AL PROYECTO 1110</t>
        </r>
      </text>
    </comment>
    <comment ref="V885" authorId="0">
      <text>
        <r>
          <rPr>
            <b/>
            <sz val="9"/>
            <color indexed="81"/>
            <rFont val="Tahoma"/>
            <family val="2"/>
          </rPr>
          <t>0 Día(s)
1 Mes (s)
2 Año(s)</t>
        </r>
      </text>
    </comment>
    <comment ref="Y885" authorId="0">
      <text>
        <r>
          <rPr>
            <sz val="9"/>
            <color indexed="81"/>
            <rFont val="Tahoma"/>
            <family val="2"/>
          </rPr>
          <t>0 Recursos propios 
1 Presupuesto de entidad nacional
2 Regalías
3 Recursos de crédito
4 SGP
5 No Aplica</t>
        </r>
      </text>
    </comment>
    <comment ref="AD885" authorId="0">
      <text>
        <r>
          <rPr>
            <b/>
            <sz val="9"/>
            <color indexed="81"/>
            <rFont val="Tahoma"/>
            <family val="2"/>
          </rPr>
          <t>0 No
1 Sí</t>
        </r>
      </text>
    </comment>
    <comment ref="AE885" authorId="0">
      <text>
        <r>
          <rPr>
            <sz val="9"/>
            <color indexed="81"/>
            <rFont val="Tahoma"/>
            <family val="2"/>
          </rPr>
          <t xml:space="preserve">
0 NA
1 No solicitadas
2 Solicitadas
3 Aprobadas</t>
        </r>
      </text>
    </comment>
    <comment ref="V886" authorId="0">
      <text>
        <r>
          <rPr>
            <b/>
            <sz val="9"/>
            <color indexed="81"/>
            <rFont val="Tahoma"/>
            <family val="2"/>
          </rPr>
          <t>0 Día(s)
1 Mes (s)
2 Año(s)</t>
        </r>
      </text>
    </comment>
    <comment ref="Y886" authorId="0">
      <text>
        <r>
          <rPr>
            <sz val="9"/>
            <color indexed="81"/>
            <rFont val="Tahoma"/>
            <family val="2"/>
          </rPr>
          <t>0 Recursos propios 
1 Presupuesto de entidad nacional
2 Regalías
3 Recursos de crédito
4 SGP
5 No Aplica</t>
        </r>
      </text>
    </comment>
    <comment ref="AD886" authorId="0">
      <text>
        <r>
          <rPr>
            <b/>
            <sz val="9"/>
            <color indexed="81"/>
            <rFont val="Tahoma"/>
            <family val="2"/>
          </rPr>
          <t>0 No
1 Sí</t>
        </r>
      </text>
    </comment>
    <comment ref="AE886" authorId="0">
      <text>
        <r>
          <rPr>
            <sz val="9"/>
            <color indexed="81"/>
            <rFont val="Tahoma"/>
            <family val="2"/>
          </rPr>
          <t xml:space="preserve">
0 NA
1 No solicitadas
2 Solicitadas
3 Aprobadas</t>
        </r>
      </text>
    </comment>
    <comment ref="V887" authorId="0">
      <text>
        <r>
          <rPr>
            <b/>
            <sz val="9"/>
            <color indexed="81"/>
            <rFont val="Tahoma"/>
            <family val="2"/>
          </rPr>
          <t>0 Día(s)
1 Mes (s)
2 Año(s)</t>
        </r>
      </text>
    </comment>
    <comment ref="Y887" authorId="0">
      <text>
        <r>
          <rPr>
            <sz val="9"/>
            <color indexed="81"/>
            <rFont val="Tahoma"/>
            <family val="2"/>
          </rPr>
          <t>0 Recursos propios 
1 Presupuesto de entidad nacional
2 Regalías
3 Recursos de crédito
4 SGP
5 No Aplica</t>
        </r>
      </text>
    </comment>
    <comment ref="AD887" authorId="0">
      <text>
        <r>
          <rPr>
            <b/>
            <sz val="9"/>
            <color indexed="81"/>
            <rFont val="Tahoma"/>
            <family val="2"/>
          </rPr>
          <t>0 No
1 Sí</t>
        </r>
      </text>
    </comment>
    <comment ref="AE887" authorId="0">
      <text>
        <r>
          <rPr>
            <sz val="9"/>
            <color indexed="81"/>
            <rFont val="Tahoma"/>
            <family val="2"/>
          </rPr>
          <t xml:space="preserve">
0 NA
1 No solicitadas
2 Solicitadas
3 Aprobadas</t>
        </r>
      </text>
    </comment>
    <comment ref="V888" authorId="0">
      <text>
        <r>
          <rPr>
            <b/>
            <sz val="9"/>
            <color indexed="81"/>
            <rFont val="Tahoma"/>
            <family val="2"/>
          </rPr>
          <t>0 Día(s)
1 Mes (s)
2 Año(s)</t>
        </r>
      </text>
    </comment>
    <comment ref="Y888" authorId="0">
      <text>
        <r>
          <rPr>
            <sz val="9"/>
            <color indexed="81"/>
            <rFont val="Tahoma"/>
            <family val="2"/>
          </rPr>
          <t>0 Recursos propios 
1 Presupuesto de entidad nacional
2 Regalías
3 Recursos de crédito
4 SGP
5 No Aplica</t>
        </r>
      </text>
    </comment>
    <comment ref="AD888" authorId="0">
      <text>
        <r>
          <rPr>
            <b/>
            <sz val="9"/>
            <color indexed="81"/>
            <rFont val="Tahoma"/>
            <family val="2"/>
          </rPr>
          <t>0 No
1 Sí</t>
        </r>
      </text>
    </comment>
    <comment ref="AE888" authorId="0">
      <text>
        <r>
          <rPr>
            <sz val="9"/>
            <color indexed="81"/>
            <rFont val="Tahoma"/>
            <family val="2"/>
          </rPr>
          <t xml:space="preserve">
0 NA
1 No solicitadas
2 Solicitadas
3 Aprobadas</t>
        </r>
      </text>
    </comment>
    <comment ref="V889" authorId="0">
      <text>
        <r>
          <rPr>
            <b/>
            <sz val="9"/>
            <color indexed="81"/>
            <rFont val="Tahoma"/>
            <family val="2"/>
          </rPr>
          <t>0 Día(s)
1 Mes (s)
2 Año(s)</t>
        </r>
      </text>
    </comment>
    <comment ref="Y889" authorId="0">
      <text>
        <r>
          <rPr>
            <sz val="9"/>
            <color indexed="81"/>
            <rFont val="Tahoma"/>
            <family val="2"/>
          </rPr>
          <t>0 Recursos propios 
1 Presupuesto de entidad nacional
2 Regalías
3 Recursos de crédito
4 SGP
5 No Aplica</t>
        </r>
      </text>
    </comment>
    <comment ref="AD889" authorId="0">
      <text>
        <r>
          <rPr>
            <b/>
            <sz val="9"/>
            <color indexed="81"/>
            <rFont val="Tahoma"/>
            <family val="2"/>
          </rPr>
          <t>0 No
1 Sí</t>
        </r>
      </text>
    </comment>
    <comment ref="AE889" authorId="0">
      <text>
        <r>
          <rPr>
            <sz val="9"/>
            <color indexed="81"/>
            <rFont val="Tahoma"/>
            <family val="2"/>
          </rPr>
          <t xml:space="preserve">
0 NA
1 No solicitadas
2 Solicitadas
3 Aprobadas</t>
        </r>
      </text>
    </comment>
    <comment ref="V890" authorId="0">
      <text>
        <r>
          <rPr>
            <b/>
            <sz val="9"/>
            <color indexed="81"/>
            <rFont val="Tahoma"/>
            <family val="2"/>
          </rPr>
          <t>0 Día(s)
1 Mes (s)
2 Año(s)</t>
        </r>
      </text>
    </comment>
    <comment ref="Y890" authorId="0">
      <text>
        <r>
          <rPr>
            <sz val="9"/>
            <color indexed="81"/>
            <rFont val="Tahoma"/>
            <family val="2"/>
          </rPr>
          <t>0 Recursos propios 
1 Presupuesto de entidad nacional
2 Regalías
3 Recursos de crédito
4 SGP
5 No Aplica</t>
        </r>
      </text>
    </comment>
    <comment ref="AD890" authorId="0">
      <text>
        <r>
          <rPr>
            <b/>
            <sz val="9"/>
            <color indexed="81"/>
            <rFont val="Tahoma"/>
            <family val="2"/>
          </rPr>
          <t>0 No
1 Sí</t>
        </r>
      </text>
    </comment>
    <comment ref="AE890" authorId="0">
      <text>
        <r>
          <rPr>
            <sz val="9"/>
            <color indexed="81"/>
            <rFont val="Tahoma"/>
            <family val="2"/>
          </rPr>
          <t xml:space="preserve">
0 NA
1 No solicitadas
2 Solicitadas
3 Aprobadas</t>
        </r>
      </text>
    </comment>
    <comment ref="V891" authorId="0">
      <text>
        <r>
          <rPr>
            <b/>
            <sz val="9"/>
            <color indexed="81"/>
            <rFont val="Tahoma"/>
            <family val="2"/>
          </rPr>
          <t>0 Día(s)
1 Mes (s)
2 Año(s)</t>
        </r>
      </text>
    </comment>
    <comment ref="Y891" authorId="0">
      <text>
        <r>
          <rPr>
            <sz val="9"/>
            <color indexed="81"/>
            <rFont val="Tahoma"/>
            <family val="2"/>
          </rPr>
          <t>0 Recursos propios 
1 Presupuesto de entidad nacional
2 Regalías
3 Recursos de crédito
4 SGP
5 No Aplica</t>
        </r>
      </text>
    </comment>
    <comment ref="AD891" authorId="0">
      <text>
        <r>
          <rPr>
            <b/>
            <sz val="9"/>
            <color indexed="81"/>
            <rFont val="Tahoma"/>
            <family val="2"/>
          </rPr>
          <t>0 No
1 Sí</t>
        </r>
      </text>
    </comment>
    <comment ref="AE891" authorId="0">
      <text>
        <r>
          <rPr>
            <sz val="9"/>
            <color indexed="81"/>
            <rFont val="Tahoma"/>
            <family val="2"/>
          </rPr>
          <t xml:space="preserve">
0 NA
1 No solicitadas
2 Solicitadas
3 Aprobadas</t>
        </r>
      </text>
    </comment>
    <comment ref="V892" authorId="0">
      <text>
        <r>
          <rPr>
            <b/>
            <sz val="9"/>
            <color indexed="81"/>
            <rFont val="Tahoma"/>
            <family val="2"/>
          </rPr>
          <t>0 Día(s)
1 Mes (s)
2 Año(s)</t>
        </r>
      </text>
    </comment>
    <comment ref="Y892" authorId="0">
      <text>
        <r>
          <rPr>
            <sz val="9"/>
            <color indexed="81"/>
            <rFont val="Tahoma"/>
            <family val="2"/>
          </rPr>
          <t>0 Recursos propios 
1 Presupuesto de entidad nacional
2 Regalías
3 Recursos de crédito
4 SGP
5 No Aplica</t>
        </r>
      </text>
    </comment>
    <comment ref="AD892" authorId="0">
      <text>
        <r>
          <rPr>
            <b/>
            <sz val="9"/>
            <color indexed="81"/>
            <rFont val="Tahoma"/>
            <family val="2"/>
          </rPr>
          <t>0 No
1 Sí</t>
        </r>
      </text>
    </comment>
    <comment ref="AE892" authorId="0">
      <text>
        <r>
          <rPr>
            <sz val="9"/>
            <color indexed="81"/>
            <rFont val="Tahoma"/>
            <family val="2"/>
          </rPr>
          <t xml:space="preserve">
0 NA
1 No solicitadas
2 Solicitadas
3 Aprobadas</t>
        </r>
      </text>
    </comment>
    <comment ref="V893" authorId="0">
      <text>
        <r>
          <rPr>
            <b/>
            <sz val="9"/>
            <color indexed="81"/>
            <rFont val="Tahoma"/>
            <family val="2"/>
          </rPr>
          <t>0 Día(s)
1 Mes (s)
2 Año(s)</t>
        </r>
      </text>
    </comment>
    <comment ref="Y893" authorId="0">
      <text>
        <r>
          <rPr>
            <sz val="9"/>
            <color indexed="81"/>
            <rFont val="Tahoma"/>
            <family val="2"/>
          </rPr>
          <t>0 Recursos propios 
1 Presupuesto de entidad nacional
2 Regalías
3 Recursos de crédito
4 SGP
5 No Aplica</t>
        </r>
      </text>
    </comment>
    <comment ref="AD893" authorId="0">
      <text>
        <r>
          <rPr>
            <b/>
            <sz val="9"/>
            <color indexed="81"/>
            <rFont val="Tahoma"/>
            <family val="2"/>
          </rPr>
          <t>0 No
1 Sí</t>
        </r>
      </text>
    </comment>
    <comment ref="AE893" authorId="0">
      <text>
        <r>
          <rPr>
            <sz val="9"/>
            <color indexed="81"/>
            <rFont val="Tahoma"/>
            <family val="2"/>
          </rPr>
          <t xml:space="preserve">
0 NA
1 No solicitadas
2 Solicitadas
3 Aprobadas</t>
        </r>
      </text>
    </comment>
    <comment ref="V894" authorId="0">
      <text>
        <r>
          <rPr>
            <b/>
            <sz val="9"/>
            <color indexed="81"/>
            <rFont val="Tahoma"/>
            <family val="2"/>
          </rPr>
          <t>0 Día(s)
1 Mes (s)
2 Año(s)</t>
        </r>
      </text>
    </comment>
    <comment ref="Y894" authorId="0">
      <text>
        <r>
          <rPr>
            <sz val="9"/>
            <color indexed="81"/>
            <rFont val="Tahoma"/>
            <family val="2"/>
          </rPr>
          <t>0 Recursos propios 
1 Presupuesto de entidad nacional
2 Regalías
3 Recursos de crédito
4 SGP
5 No Aplica</t>
        </r>
      </text>
    </comment>
    <comment ref="AD894" authorId="0">
      <text>
        <r>
          <rPr>
            <b/>
            <sz val="9"/>
            <color indexed="81"/>
            <rFont val="Tahoma"/>
            <family val="2"/>
          </rPr>
          <t>0 No
1 Sí</t>
        </r>
      </text>
    </comment>
    <comment ref="AE894" authorId="0">
      <text>
        <r>
          <rPr>
            <sz val="9"/>
            <color indexed="81"/>
            <rFont val="Tahoma"/>
            <family val="2"/>
          </rPr>
          <t xml:space="preserve">
0 NA
1 No solicitadas
2 Solicitadas
3 Aprobadas</t>
        </r>
      </text>
    </comment>
    <comment ref="V895" authorId="0">
      <text>
        <r>
          <rPr>
            <b/>
            <sz val="9"/>
            <color indexed="81"/>
            <rFont val="Tahoma"/>
            <family val="2"/>
          </rPr>
          <t>0 Día(s)
1 Mes (s)
2 Año(s)</t>
        </r>
      </text>
    </comment>
    <comment ref="Y895" authorId="0">
      <text>
        <r>
          <rPr>
            <sz val="9"/>
            <color indexed="81"/>
            <rFont val="Tahoma"/>
            <family val="2"/>
          </rPr>
          <t>0 Recursos propios 
1 Presupuesto de entidad nacional
2 Regalías
3 Recursos de crédito
4 SGP
5 No Aplica</t>
        </r>
      </text>
    </comment>
    <comment ref="AD895" authorId="0">
      <text>
        <r>
          <rPr>
            <b/>
            <sz val="9"/>
            <color indexed="81"/>
            <rFont val="Tahoma"/>
            <family val="2"/>
          </rPr>
          <t>0 No
1 Sí</t>
        </r>
      </text>
    </comment>
    <comment ref="AE895" authorId="0">
      <text>
        <r>
          <rPr>
            <sz val="9"/>
            <color indexed="81"/>
            <rFont val="Tahoma"/>
            <family val="2"/>
          </rPr>
          <t xml:space="preserve">
0 NA
1 No solicitadas
2 Solicitadas
3 Aprobadas</t>
        </r>
      </text>
    </comment>
    <comment ref="V896" authorId="0">
      <text>
        <r>
          <rPr>
            <b/>
            <sz val="9"/>
            <color indexed="81"/>
            <rFont val="Tahoma"/>
            <family val="2"/>
          </rPr>
          <t>0 Día(s)
1 Mes (s)
2 Año(s)</t>
        </r>
      </text>
    </comment>
    <comment ref="Y896" authorId="0">
      <text>
        <r>
          <rPr>
            <sz val="9"/>
            <color indexed="81"/>
            <rFont val="Tahoma"/>
            <family val="2"/>
          </rPr>
          <t>0 Recursos propios 
1 Presupuesto de entidad nacional
2 Regalías
3 Recursos de crédito
4 SGP
5 No Aplica</t>
        </r>
      </text>
    </comment>
    <comment ref="AD896" authorId="0">
      <text>
        <r>
          <rPr>
            <b/>
            <sz val="9"/>
            <color indexed="81"/>
            <rFont val="Tahoma"/>
            <family val="2"/>
          </rPr>
          <t>0 No
1 Sí</t>
        </r>
      </text>
    </comment>
    <comment ref="AE896" authorId="0">
      <text>
        <r>
          <rPr>
            <sz val="9"/>
            <color indexed="81"/>
            <rFont val="Tahoma"/>
            <family val="2"/>
          </rPr>
          <t xml:space="preserve">
0 NA
1 No solicitadas
2 Solicitadas
3 Aprobadas</t>
        </r>
      </text>
    </comment>
    <comment ref="V897" authorId="0">
      <text>
        <r>
          <rPr>
            <b/>
            <sz val="9"/>
            <color indexed="81"/>
            <rFont val="Tahoma"/>
            <family val="2"/>
          </rPr>
          <t>0 Día(s)
1 Mes (s)
2 Año(s)</t>
        </r>
      </text>
    </comment>
    <comment ref="Y897" authorId="0">
      <text>
        <r>
          <rPr>
            <sz val="9"/>
            <color indexed="81"/>
            <rFont val="Tahoma"/>
            <family val="2"/>
          </rPr>
          <t>0 Recursos propios 
1 Presupuesto de entidad nacional
2 Regalías
3 Recursos de crédito
4 SGP
5 No Aplica</t>
        </r>
      </text>
    </comment>
    <comment ref="AD897" authorId="0">
      <text>
        <r>
          <rPr>
            <b/>
            <sz val="9"/>
            <color indexed="81"/>
            <rFont val="Tahoma"/>
            <family val="2"/>
          </rPr>
          <t>0 No
1 Sí</t>
        </r>
      </text>
    </comment>
    <comment ref="AE897" authorId="0">
      <text>
        <r>
          <rPr>
            <sz val="9"/>
            <color indexed="81"/>
            <rFont val="Tahoma"/>
            <family val="2"/>
          </rPr>
          <t xml:space="preserve">
0 NA
1 No solicitadas
2 Solicitadas
3 Aprobadas</t>
        </r>
      </text>
    </comment>
    <comment ref="V898" authorId="0">
      <text>
        <r>
          <rPr>
            <b/>
            <sz val="9"/>
            <color indexed="81"/>
            <rFont val="Tahoma"/>
            <family val="2"/>
          </rPr>
          <t>0 Día(s)
1 Mes (s)
2 Año(s)</t>
        </r>
      </text>
    </comment>
    <comment ref="Y898" authorId="0">
      <text>
        <r>
          <rPr>
            <sz val="9"/>
            <color indexed="81"/>
            <rFont val="Tahoma"/>
            <family val="2"/>
          </rPr>
          <t>0 Recursos propios 
1 Presupuesto de entidad nacional
2 Regalías
3 Recursos de crédito
4 SGP
5 No Aplica</t>
        </r>
      </text>
    </comment>
    <comment ref="AD898" authorId="0">
      <text>
        <r>
          <rPr>
            <b/>
            <sz val="9"/>
            <color indexed="81"/>
            <rFont val="Tahoma"/>
            <family val="2"/>
          </rPr>
          <t>0 No
1 Sí</t>
        </r>
      </text>
    </comment>
    <comment ref="AE898" authorId="0">
      <text>
        <r>
          <rPr>
            <sz val="9"/>
            <color indexed="81"/>
            <rFont val="Tahoma"/>
            <family val="2"/>
          </rPr>
          <t xml:space="preserve">
0 NA
1 No solicitadas
2 Solicitadas
3 Aprobadas</t>
        </r>
      </text>
    </comment>
    <comment ref="V899" authorId="0">
      <text>
        <r>
          <rPr>
            <b/>
            <sz val="9"/>
            <color indexed="81"/>
            <rFont val="Tahoma"/>
            <family val="2"/>
          </rPr>
          <t>0 Día(s)
1 Mes (s)
2 Año(s)</t>
        </r>
      </text>
    </comment>
    <comment ref="Y899" authorId="0">
      <text>
        <r>
          <rPr>
            <sz val="9"/>
            <color indexed="81"/>
            <rFont val="Tahoma"/>
            <family val="2"/>
          </rPr>
          <t>0 Recursos propios 
1 Presupuesto de entidad nacional
2 Regalías
3 Recursos de crédito
4 SGP
5 No Aplica</t>
        </r>
      </text>
    </comment>
    <comment ref="AD899" authorId="0">
      <text>
        <r>
          <rPr>
            <b/>
            <sz val="9"/>
            <color indexed="81"/>
            <rFont val="Tahoma"/>
            <family val="2"/>
          </rPr>
          <t>0 No
1 Sí</t>
        </r>
      </text>
    </comment>
    <comment ref="AE899" authorId="0">
      <text>
        <r>
          <rPr>
            <sz val="9"/>
            <color indexed="81"/>
            <rFont val="Tahoma"/>
            <family val="2"/>
          </rPr>
          <t xml:space="preserve">
0 NA
1 No solicitadas
2 Solicitadas
3 Aprobadas</t>
        </r>
      </text>
    </comment>
    <comment ref="V900" authorId="0">
      <text>
        <r>
          <rPr>
            <b/>
            <sz val="9"/>
            <color indexed="81"/>
            <rFont val="Tahoma"/>
            <family val="2"/>
          </rPr>
          <t>0 Día(s)
1 Mes (s)
2 Año(s)</t>
        </r>
      </text>
    </comment>
    <comment ref="Y900" authorId="0">
      <text>
        <r>
          <rPr>
            <sz val="9"/>
            <color indexed="81"/>
            <rFont val="Tahoma"/>
            <family val="2"/>
          </rPr>
          <t>0 Recursos propios 
1 Presupuesto de entidad nacional
2 Regalías
3 Recursos de crédito
4 SGP
5 No Aplica</t>
        </r>
      </text>
    </comment>
    <comment ref="AD900" authorId="0">
      <text>
        <r>
          <rPr>
            <b/>
            <sz val="9"/>
            <color indexed="81"/>
            <rFont val="Tahoma"/>
            <family val="2"/>
          </rPr>
          <t>0 No
1 Sí</t>
        </r>
      </text>
    </comment>
    <comment ref="AE900" authorId="0">
      <text>
        <r>
          <rPr>
            <sz val="9"/>
            <color indexed="81"/>
            <rFont val="Tahoma"/>
            <family val="2"/>
          </rPr>
          <t xml:space="preserve">
0 NA
1 No solicitadas
2 Solicitadas
3 Aprobadas</t>
        </r>
      </text>
    </comment>
    <comment ref="V901" authorId="0">
      <text>
        <r>
          <rPr>
            <b/>
            <sz val="9"/>
            <color indexed="81"/>
            <rFont val="Tahoma"/>
            <family val="2"/>
          </rPr>
          <t>0 Día(s)
1 Mes (s)
2 Año(s)</t>
        </r>
      </text>
    </comment>
    <comment ref="Y901" authorId="0">
      <text>
        <r>
          <rPr>
            <sz val="9"/>
            <color indexed="81"/>
            <rFont val="Tahoma"/>
            <family val="2"/>
          </rPr>
          <t>0 Recursos propios 
1 Presupuesto de entidad nacional
2 Regalías
3 Recursos de crédito
4 SGP
5 No Aplica</t>
        </r>
      </text>
    </comment>
    <comment ref="AD901" authorId="0">
      <text>
        <r>
          <rPr>
            <b/>
            <sz val="9"/>
            <color indexed="81"/>
            <rFont val="Tahoma"/>
            <family val="2"/>
          </rPr>
          <t>0 No
1 Sí</t>
        </r>
      </text>
    </comment>
    <comment ref="AE901" authorId="0">
      <text>
        <r>
          <rPr>
            <sz val="9"/>
            <color indexed="81"/>
            <rFont val="Tahoma"/>
            <family val="2"/>
          </rPr>
          <t xml:space="preserve">
0 NA
1 No solicitadas
2 Solicitadas
3 Aprobadas</t>
        </r>
      </text>
    </comment>
    <comment ref="V902" authorId="0">
      <text>
        <r>
          <rPr>
            <b/>
            <sz val="9"/>
            <color indexed="81"/>
            <rFont val="Tahoma"/>
            <family val="2"/>
          </rPr>
          <t>0 Día(s)
1 Mes (s)
2 Año(s)</t>
        </r>
      </text>
    </comment>
    <comment ref="Y902" authorId="0">
      <text>
        <r>
          <rPr>
            <sz val="9"/>
            <color indexed="81"/>
            <rFont val="Tahoma"/>
            <family val="2"/>
          </rPr>
          <t>0 Recursos propios 
1 Presupuesto de entidad nacional
2 Regalías
3 Recursos de crédito
4 SGP
5 No Aplica</t>
        </r>
      </text>
    </comment>
    <comment ref="AD902" authorId="0">
      <text>
        <r>
          <rPr>
            <b/>
            <sz val="9"/>
            <color indexed="81"/>
            <rFont val="Tahoma"/>
            <family val="2"/>
          </rPr>
          <t>0 No
1 Sí</t>
        </r>
      </text>
    </comment>
    <comment ref="AE902" authorId="0">
      <text>
        <r>
          <rPr>
            <sz val="9"/>
            <color indexed="81"/>
            <rFont val="Tahoma"/>
            <family val="2"/>
          </rPr>
          <t xml:space="preserve">
0 NA
1 No solicitadas
2 Solicitadas
3 Aprobadas</t>
        </r>
      </text>
    </comment>
    <comment ref="V903" authorId="0">
      <text>
        <r>
          <rPr>
            <b/>
            <sz val="9"/>
            <color indexed="81"/>
            <rFont val="Tahoma"/>
            <family val="2"/>
          </rPr>
          <t>0 Día(s)
1 Mes (s)
2 Año(s)</t>
        </r>
      </text>
    </comment>
    <comment ref="Y903" authorId="0">
      <text>
        <r>
          <rPr>
            <sz val="9"/>
            <color indexed="81"/>
            <rFont val="Tahoma"/>
            <family val="2"/>
          </rPr>
          <t>0 Recursos propios 
1 Presupuesto de entidad nacional
2 Regalías
3 Recursos de crédito
4 SGP
5 No Aplica</t>
        </r>
      </text>
    </comment>
    <comment ref="AD903" authorId="0">
      <text>
        <r>
          <rPr>
            <b/>
            <sz val="9"/>
            <color indexed="81"/>
            <rFont val="Tahoma"/>
            <family val="2"/>
          </rPr>
          <t>0 No
1 Sí</t>
        </r>
      </text>
    </comment>
    <comment ref="AE903" authorId="0">
      <text>
        <r>
          <rPr>
            <sz val="9"/>
            <color indexed="81"/>
            <rFont val="Tahoma"/>
            <family val="2"/>
          </rPr>
          <t xml:space="preserve">
0 NA
1 No solicitadas
2 Solicitadas
3 Aprobadas</t>
        </r>
      </text>
    </comment>
    <comment ref="V904" authorId="0">
      <text>
        <r>
          <rPr>
            <b/>
            <sz val="9"/>
            <color indexed="81"/>
            <rFont val="Tahoma"/>
            <family val="2"/>
          </rPr>
          <t>0 Día(s)
1 Mes (s)
2 Año(s)</t>
        </r>
      </text>
    </comment>
    <comment ref="Y904" authorId="0">
      <text>
        <r>
          <rPr>
            <sz val="9"/>
            <color indexed="81"/>
            <rFont val="Tahoma"/>
            <family val="2"/>
          </rPr>
          <t>0 Recursos propios 
1 Presupuesto de entidad nacional
2 Regalías
3 Recursos de crédito
4 SGP
5 No Aplica</t>
        </r>
      </text>
    </comment>
    <comment ref="AD904" authorId="0">
      <text>
        <r>
          <rPr>
            <b/>
            <sz val="9"/>
            <color indexed="81"/>
            <rFont val="Tahoma"/>
            <family val="2"/>
          </rPr>
          <t>0 No
1 Sí</t>
        </r>
      </text>
    </comment>
    <comment ref="AE904" authorId="0">
      <text>
        <r>
          <rPr>
            <sz val="9"/>
            <color indexed="81"/>
            <rFont val="Tahoma"/>
            <family val="2"/>
          </rPr>
          <t xml:space="preserve">
0 NA
1 No solicitadas
2 Solicitadas
3 Aprobadas</t>
        </r>
      </text>
    </comment>
    <comment ref="V905" authorId="0">
      <text>
        <r>
          <rPr>
            <b/>
            <sz val="9"/>
            <color indexed="81"/>
            <rFont val="Tahoma"/>
            <family val="2"/>
          </rPr>
          <t>0 Día(s)
1 Mes (s)
2 Año(s)</t>
        </r>
      </text>
    </comment>
    <comment ref="Y905" authorId="0">
      <text>
        <r>
          <rPr>
            <sz val="9"/>
            <color indexed="81"/>
            <rFont val="Tahoma"/>
            <family val="2"/>
          </rPr>
          <t>0 Recursos propios 
1 Presupuesto de entidad nacional
2 Regalías
3 Recursos de crédito
4 SGP
5 No Aplica</t>
        </r>
      </text>
    </comment>
    <comment ref="AD905" authorId="0">
      <text>
        <r>
          <rPr>
            <b/>
            <sz val="9"/>
            <color indexed="81"/>
            <rFont val="Tahoma"/>
            <family val="2"/>
          </rPr>
          <t>0 No
1 Sí</t>
        </r>
      </text>
    </comment>
    <comment ref="AE905" authorId="0">
      <text>
        <r>
          <rPr>
            <sz val="9"/>
            <color indexed="81"/>
            <rFont val="Tahoma"/>
            <family val="2"/>
          </rPr>
          <t xml:space="preserve">
0 NA
1 No solicitadas
2 Solicitadas
3 Aprobadas</t>
        </r>
      </text>
    </comment>
    <comment ref="V906" authorId="0">
      <text>
        <r>
          <rPr>
            <b/>
            <sz val="9"/>
            <color indexed="81"/>
            <rFont val="Tahoma"/>
            <family val="2"/>
          </rPr>
          <t>0 Día(s)
1 Mes (s)
2 Año(s)</t>
        </r>
      </text>
    </comment>
    <comment ref="Y906" authorId="0">
      <text>
        <r>
          <rPr>
            <sz val="9"/>
            <color indexed="81"/>
            <rFont val="Tahoma"/>
            <family val="2"/>
          </rPr>
          <t>0 Recursos propios 
1 Presupuesto de entidad nacional
2 Regalías
3 Recursos de crédito
4 SGP
5 No Aplica</t>
        </r>
      </text>
    </comment>
    <comment ref="AD906" authorId="0">
      <text>
        <r>
          <rPr>
            <b/>
            <sz val="9"/>
            <color indexed="81"/>
            <rFont val="Tahoma"/>
            <family val="2"/>
          </rPr>
          <t>0 No
1 Sí</t>
        </r>
      </text>
    </comment>
    <comment ref="AE906" authorId="0">
      <text>
        <r>
          <rPr>
            <sz val="9"/>
            <color indexed="81"/>
            <rFont val="Tahoma"/>
            <family val="2"/>
          </rPr>
          <t xml:space="preserve">
0 NA
1 No solicitadas
2 Solicitadas
3 Aprobadas</t>
        </r>
      </text>
    </comment>
    <comment ref="V907" authorId="0">
      <text>
        <r>
          <rPr>
            <b/>
            <sz val="9"/>
            <color indexed="81"/>
            <rFont val="Tahoma"/>
            <family val="2"/>
          </rPr>
          <t>0 Día(s)
1 Mes (s)
2 Año(s)</t>
        </r>
      </text>
    </comment>
    <comment ref="Y907" authorId="0">
      <text>
        <r>
          <rPr>
            <sz val="9"/>
            <color indexed="81"/>
            <rFont val="Tahoma"/>
            <family val="2"/>
          </rPr>
          <t>0 Recursos propios 
1 Presupuesto de entidad nacional
2 Regalías
3 Recursos de crédito
4 SGP
5 No Aplica</t>
        </r>
      </text>
    </comment>
    <comment ref="AD907" authorId="0">
      <text>
        <r>
          <rPr>
            <b/>
            <sz val="9"/>
            <color indexed="81"/>
            <rFont val="Tahoma"/>
            <family val="2"/>
          </rPr>
          <t>0 No
1 Sí</t>
        </r>
      </text>
    </comment>
    <comment ref="AE907" authorId="0">
      <text>
        <r>
          <rPr>
            <sz val="9"/>
            <color indexed="81"/>
            <rFont val="Tahoma"/>
            <family val="2"/>
          </rPr>
          <t xml:space="preserve">
0 NA
1 No solicitadas
2 Solicitadas
3 Aprobadas</t>
        </r>
      </text>
    </comment>
    <comment ref="V908" authorId="0">
      <text>
        <r>
          <rPr>
            <b/>
            <sz val="9"/>
            <color indexed="81"/>
            <rFont val="Tahoma"/>
            <family val="2"/>
          </rPr>
          <t>0 Día(s)
1 Mes (s)
2 Año(s)</t>
        </r>
      </text>
    </comment>
    <comment ref="Y908" authorId="0">
      <text>
        <r>
          <rPr>
            <sz val="9"/>
            <color indexed="81"/>
            <rFont val="Tahoma"/>
            <family val="2"/>
          </rPr>
          <t>0 Recursos propios 
1 Presupuesto de entidad nacional
2 Regalías
3 Recursos de crédito
4 SGP
5 No Aplica</t>
        </r>
      </text>
    </comment>
    <comment ref="AD908" authorId="0">
      <text>
        <r>
          <rPr>
            <b/>
            <sz val="9"/>
            <color indexed="81"/>
            <rFont val="Tahoma"/>
            <family val="2"/>
          </rPr>
          <t>0 No
1 Sí</t>
        </r>
      </text>
    </comment>
    <comment ref="AE908" authorId="0">
      <text>
        <r>
          <rPr>
            <sz val="9"/>
            <color indexed="81"/>
            <rFont val="Tahoma"/>
            <family val="2"/>
          </rPr>
          <t xml:space="preserve">
0 NA
1 No solicitadas
2 Solicitadas
3 Aprobadas</t>
        </r>
      </text>
    </comment>
    <comment ref="V909" authorId="0">
      <text>
        <r>
          <rPr>
            <b/>
            <sz val="9"/>
            <color indexed="81"/>
            <rFont val="Tahoma"/>
            <family val="2"/>
          </rPr>
          <t>0 Día(s)
1 Mes (s)
2 Año(s)</t>
        </r>
      </text>
    </comment>
    <comment ref="Y909" authorId="0">
      <text>
        <r>
          <rPr>
            <sz val="9"/>
            <color indexed="81"/>
            <rFont val="Tahoma"/>
            <family val="2"/>
          </rPr>
          <t>0 Recursos propios 
1 Presupuesto de entidad nacional
2 Regalías
3 Recursos de crédito
4 SGP
5 No Aplica</t>
        </r>
      </text>
    </comment>
    <comment ref="AD909" authorId="0">
      <text>
        <r>
          <rPr>
            <b/>
            <sz val="9"/>
            <color indexed="81"/>
            <rFont val="Tahoma"/>
            <family val="2"/>
          </rPr>
          <t>0 No
1 Sí</t>
        </r>
      </text>
    </comment>
    <comment ref="AE909" authorId="0">
      <text>
        <r>
          <rPr>
            <sz val="9"/>
            <color indexed="81"/>
            <rFont val="Tahoma"/>
            <family val="2"/>
          </rPr>
          <t xml:space="preserve">
0 NA
1 No solicitadas
2 Solicitadas
3 Aprobadas</t>
        </r>
      </text>
    </comment>
    <comment ref="V910" authorId="0">
      <text>
        <r>
          <rPr>
            <b/>
            <sz val="9"/>
            <color indexed="81"/>
            <rFont val="Tahoma"/>
            <family val="2"/>
          </rPr>
          <t>0 Día(s)
1 Mes (s)
2 Año(s)</t>
        </r>
      </text>
    </comment>
    <comment ref="Y910" authorId="0">
      <text>
        <r>
          <rPr>
            <sz val="9"/>
            <color indexed="81"/>
            <rFont val="Tahoma"/>
            <family val="2"/>
          </rPr>
          <t>0 Recursos propios 
1 Presupuesto de entidad nacional
2 Regalías
3 Recursos de crédito
4 SGP
5 No Aplica</t>
        </r>
      </text>
    </comment>
    <comment ref="AD910" authorId="0">
      <text>
        <r>
          <rPr>
            <b/>
            <sz val="9"/>
            <color indexed="81"/>
            <rFont val="Tahoma"/>
            <family val="2"/>
          </rPr>
          <t>0 No
1 Sí</t>
        </r>
      </text>
    </comment>
    <comment ref="AE910" authorId="0">
      <text>
        <r>
          <rPr>
            <sz val="9"/>
            <color indexed="81"/>
            <rFont val="Tahoma"/>
            <family val="2"/>
          </rPr>
          <t xml:space="preserve">
0 NA
1 No solicitadas
2 Solicitadas
3 Aprobadas</t>
        </r>
      </text>
    </comment>
    <comment ref="V911" authorId="0">
      <text>
        <r>
          <rPr>
            <b/>
            <sz val="9"/>
            <color indexed="81"/>
            <rFont val="Tahoma"/>
            <family val="2"/>
          </rPr>
          <t>0 Día(s)
1 Mes (s)
2 Año(s)</t>
        </r>
      </text>
    </comment>
    <comment ref="Y911" authorId="0">
      <text>
        <r>
          <rPr>
            <sz val="9"/>
            <color indexed="81"/>
            <rFont val="Tahoma"/>
            <family val="2"/>
          </rPr>
          <t>0 Recursos propios 
1 Presupuesto de entidad nacional
2 Regalías
3 Recursos de crédito
4 SGP
5 No Aplica</t>
        </r>
      </text>
    </comment>
    <comment ref="AD911" authorId="0">
      <text>
        <r>
          <rPr>
            <b/>
            <sz val="9"/>
            <color indexed="81"/>
            <rFont val="Tahoma"/>
            <family val="2"/>
          </rPr>
          <t>0 No
1 Sí</t>
        </r>
      </text>
    </comment>
    <comment ref="AE911" authorId="0">
      <text>
        <r>
          <rPr>
            <sz val="9"/>
            <color indexed="81"/>
            <rFont val="Tahoma"/>
            <family val="2"/>
          </rPr>
          <t xml:space="preserve">
0 NA
1 No solicitadas
2 Solicitadas
3 Aprobadas</t>
        </r>
      </text>
    </comment>
    <comment ref="V912" authorId="0">
      <text>
        <r>
          <rPr>
            <b/>
            <sz val="9"/>
            <color indexed="81"/>
            <rFont val="Tahoma"/>
            <family val="2"/>
          </rPr>
          <t>0 Día(s)
1 Mes (s)
2 Año(s)</t>
        </r>
      </text>
    </comment>
    <comment ref="Y912" authorId="0">
      <text>
        <r>
          <rPr>
            <sz val="9"/>
            <color indexed="81"/>
            <rFont val="Tahoma"/>
            <family val="2"/>
          </rPr>
          <t>0 Recursos propios 
1 Presupuesto de entidad nacional
2 Regalías
3 Recursos de crédito
4 SGP
5 No Aplica</t>
        </r>
      </text>
    </comment>
    <comment ref="AD912" authorId="0">
      <text>
        <r>
          <rPr>
            <b/>
            <sz val="9"/>
            <color indexed="81"/>
            <rFont val="Tahoma"/>
            <family val="2"/>
          </rPr>
          <t>0 No
1 Sí</t>
        </r>
      </text>
    </comment>
    <comment ref="AE912" authorId="0">
      <text>
        <r>
          <rPr>
            <sz val="9"/>
            <color indexed="81"/>
            <rFont val="Tahoma"/>
            <family val="2"/>
          </rPr>
          <t xml:space="preserve">
0 NA
1 No solicitadas
2 Solicitadas
3 Aprobadas</t>
        </r>
      </text>
    </comment>
    <comment ref="V913" authorId="0">
      <text>
        <r>
          <rPr>
            <b/>
            <sz val="9"/>
            <color indexed="81"/>
            <rFont val="Tahoma"/>
            <family val="2"/>
          </rPr>
          <t>0 Día(s)
1 Mes (s)
2 Año(s)</t>
        </r>
      </text>
    </comment>
    <comment ref="Y913" authorId="0">
      <text>
        <r>
          <rPr>
            <sz val="9"/>
            <color indexed="81"/>
            <rFont val="Tahoma"/>
            <family val="2"/>
          </rPr>
          <t>0 Recursos propios 
1 Presupuesto de entidad nacional
2 Regalías
3 Recursos de crédito
4 SGP
5 No Aplica</t>
        </r>
      </text>
    </comment>
    <comment ref="AD913" authorId="0">
      <text>
        <r>
          <rPr>
            <b/>
            <sz val="9"/>
            <color indexed="81"/>
            <rFont val="Tahoma"/>
            <family val="2"/>
          </rPr>
          <t>0 No
1 Sí</t>
        </r>
      </text>
    </comment>
    <comment ref="AE913" authorId="0">
      <text>
        <r>
          <rPr>
            <sz val="9"/>
            <color indexed="81"/>
            <rFont val="Tahoma"/>
            <family val="2"/>
          </rPr>
          <t xml:space="preserve">
0 NA
1 No solicitadas
2 Solicitadas
3 Aprobadas</t>
        </r>
      </text>
    </comment>
    <comment ref="V914" authorId="0">
      <text>
        <r>
          <rPr>
            <b/>
            <sz val="9"/>
            <color indexed="81"/>
            <rFont val="Tahoma"/>
            <family val="2"/>
          </rPr>
          <t>0 Día(s)
1 Mes (s)
2 Año(s)</t>
        </r>
      </text>
    </comment>
    <comment ref="Y914" authorId="0">
      <text>
        <r>
          <rPr>
            <sz val="9"/>
            <color indexed="81"/>
            <rFont val="Tahoma"/>
            <family val="2"/>
          </rPr>
          <t>0 Recursos propios 
1 Presupuesto de entidad nacional
2 Regalías
3 Recursos de crédito
4 SGP
5 No Aplica</t>
        </r>
      </text>
    </comment>
    <comment ref="AD914" authorId="0">
      <text>
        <r>
          <rPr>
            <b/>
            <sz val="9"/>
            <color indexed="81"/>
            <rFont val="Tahoma"/>
            <family val="2"/>
          </rPr>
          <t>0 No
1 Sí</t>
        </r>
      </text>
    </comment>
    <comment ref="AE914" authorId="0">
      <text>
        <r>
          <rPr>
            <sz val="9"/>
            <color indexed="81"/>
            <rFont val="Tahoma"/>
            <family val="2"/>
          </rPr>
          <t xml:space="preserve">
0 NA
1 No solicitadas
2 Solicitadas
3 Aprobadas</t>
        </r>
      </text>
    </comment>
    <comment ref="V915" authorId="0">
      <text>
        <r>
          <rPr>
            <b/>
            <sz val="9"/>
            <color indexed="81"/>
            <rFont val="Tahoma"/>
            <family val="2"/>
          </rPr>
          <t>0 Día(s)
1 Mes (s)
2 Año(s)</t>
        </r>
      </text>
    </comment>
    <comment ref="Y915" authorId="0">
      <text>
        <r>
          <rPr>
            <sz val="9"/>
            <color indexed="81"/>
            <rFont val="Tahoma"/>
            <family val="2"/>
          </rPr>
          <t>0 Recursos propios 
1 Presupuesto de entidad nacional
2 Regalías
3 Recursos de crédito
4 SGP
5 No Aplica</t>
        </r>
      </text>
    </comment>
    <comment ref="AD915" authorId="0">
      <text>
        <r>
          <rPr>
            <b/>
            <sz val="9"/>
            <color indexed="81"/>
            <rFont val="Tahoma"/>
            <family val="2"/>
          </rPr>
          <t>0 No
1 Sí</t>
        </r>
      </text>
    </comment>
    <comment ref="AE915" authorId="0">
      <text>
        <r>
          <rPr>
            <sz val="9"/>
            <color indexed="81"/>
            <rFont val="Tahoma"/>
            <family val="2"/>
          </rPr>
          <t xml:space="preserve">
0 NA
1 No solicitadas
2 Solicitadas
3 Aprobadas</t>
        </r>
      </text>
    </comment>
    <comment ref="V916" authorId="0">
      <text>
        <r>
          <rPr>
            <b/>
            <sz val="9"/>
            <color indexed="81"/>
            <rFont val="Tahoma"/>
            <family val="2"/>
          </rPr>
          <t>0 Día(s)
1 Mes (s)
2 Año(s)</t>
        </r>
      </text>
    </comment>
    <comment ref="Y916" authorId="0">
      <text>
        <r>
          <rPr>
            <sz val="9"/>
            <color indexed="81"/>
            <rFont val="Tahoma"/>
            <family val="2"/>
          </rPr>
          <t>0 Recursos propios 
1 Presupuesto de entidad nacional
2 Regalías
3 Recursos de crédito
4 SGP
5 No Aplica</t>
        </r>
      </text>
    </comment>
    <comment ref="AD916" authorId="0">
      <text>
        <r>
          <rPr>
            <b/>
            <sz val="9"/>
            <color indexed="81"/>
            <rFont val="Tahoma"/>
            <family val="2"/>
          </rPr>
          <t>0 No
1 Sí</t>
        </r>
      </text>
    </comment>
    <comment ref="AE916" authorId="0">
      <text>
        <r>
          <rPr>
            <sz val="9"/>
            <color indexed="81"/>
            <rFont val="Tahoma"/>
            <family val="2"/>
          </rPr>
          <t xml:space="preserve">
0 NA
1 No solicitadas
2 Solicitadas
3 Aprobadas</t>
        </r>
      </text>
    </comment>
    <comment ref="V917" authorId="0">
      <text>
        <r>
          <rPr>
            <b/>
            <sz val="9"/>
            <color indexed="81"/>
            <rFont val="Tahoma"/>
            <family val="2"/>
          </rPr>
          <t>0 Día(s)
1 Mes (s)
2 Año(s)</t>
        </r>
      </text>
    </comment>
    <comment ref="Y917" authorId="0">
      <text>
        <r>
          <rPr>
            <sz val="9"/>
            <color indexed="81"/>
            <rFont val="Tahoma"/>
            <family val="2"/>
          </rPr>
          <t>0 Recursos propios 
1 Presupuesto de entidad nacional
2 Regalías
3 Recursos de crédito
4 SGP
5 No Aplica</t>
        </r>
      </text>
    </comment>
    <comment ref="AD917" authorId="0">
      <text>
        <r>
          <rPr>
            <b/>
            <sz val="9"/>
            <color indexed="81"/>
            <rFont val="Tahoma"/>
            <family val="2"/>
          </rPr>
          <t>0 No
1 Sí</t>
        </r>
      </text>
    </comment>
    <comment ref="AE917" authorId="0">
      <text>
        <r>
          <rPr>
            <sz val="9"/>
            <color indexed="81"/>
            <rFont val="Tahoma"/>
            <family val="2"/>
          </rPr>
          <t xml:space="preserve">
0 NA
1 No solicitadas
2 Solicitadas
3 Aprobadas</t>
        </r>
      </text>
    </comment>
    <comment ref="V918" authorId="0">
      <text>
        <r>
          <rPr>
            <b/>
            <sz val="9"/>
            <color indexed="81"/>
            <rFont val="Tahoma"/>
            <family val="2"/>
          </rPr>
          <t>0 Día(s)
1 Mes (s)
2 Año(s)</t>
        </r>
      </text>
    </comment>
    <comment ref="Y918" authorId="0">
      <text>
        <r>
          <rPr>
            <sz val="9"/>
            <color indexed="81"/>
            <rFont val="Tahoma"/>
            <family val="2"/>
          </rPr>
          <t>0 Recursos propios 
1 Presupuesto de entidad nacional
2 Regalías
3 Recursos de crédito
4 SGP
5 No Aplica</t>
        </r>
      </text>
    </comment>
    <comment ref="AD918" authorId="0">
      <text>
        <r>
          <rPr>
            <b/>
            <sz val="9"/>
            <color indexed="81"/>
            <rFont val="Tahoma"/>
            <family val="2"/>
          </rPr>
          <t>0 No
1 Sí</t>
        </r>
      </text>
    </comment>
    <comment ref="AE918" authorId="0">
      <text>
        <r>
          <rPr>
            <sz val="9"/>
            <color indexed="81"/>
            <rFont val="Tahoma"/>
            <family val="2"/>
          </rPr>
          <t xml:space="preserve">
0 NA
1 No solicitadas
2 Solicitadas
3 Aprobadas</t>
        </r>
      </text>
    </comment>
    <comment ref="V919" authorId="0">
      <text>
        <r>
          <rPr>
            <b/>
            <sz val="9"/>
            <color indexed="81"/>
            <rFont val="Tahoma"/>
            <family val="2"/>
          </rPr>
          <t>0 Día(s)
1 Mes (s)
2 Año(s)</t>
        </r>
      </text>
    </comment>
    <comment ref="Y919" authorId="0">
      <text>
        <r>
          <rPr>
            <sz val="9"/>
            <color indexed="81"/>
            <rFont val="Tahoma"/>
            <family val="2"/>
          </rPr>
          <t>0 Recursos propios 
1 Presupuesto de entidad nacional
2 Regalías
3 Recursos de crédito
4 SGP
5 No Aplica</t>
        </r>
      </text>
    </comment>
    <comment ref="AD919" authorId="0">
      <text>
        <r>
          <rPr>
            <b/>
            <sz val="9"/>
            <color indexed="81"/>
            <rFont val="Tahoma"/>
            <family val="2"/>
          </rPr>
          <t>0 No
1 Sí</t>
        </r>
      </text>
    </comment>
    <comment ref="AE919" authorId="0">
      <text>
        <r>
          <rPr>
            <sz val="9"/>
            <color indexed="81"/>
            <rFont val="Tahoma"/>
            <family val="2"/>
          </rPr>
          <t xml:space="preserve">
0 NA
1 No solicitadas
2 Solicitadas
3 Aprobadas</t>
        </r>
      </text>
    </comment>
    <comment ref="V920" authorId="0">
      <text>
        <r>
          <rPr>
            <b/>
            <sz val="9"/>
            <color indexed="81"/>
            <rFont val="Tahoma"/>
            <family val="2"/>
          </rPr>
          <t>0 Día(s)
1 Mes (s)
2 Año(s)</t>
        </r>
      </text>
    </comment>
    <comment ref="Y920" authorId="0">
      <text>
        <r>
          <rPr>
            <sz val="9"/>
            <color indexed="81"/>
            <rFont val="Tahoma"/>
            <family val="2"/>
          </rPr>
          <t>0 Recursos propios 
1 Presupuesto de entidad nacional
2 Regalías
3 Recursos de crédito
4 SGP
5 No Aplica</t>
        </r>
      </text>
    </comment>
    <comment ref="AD920" authorId="0">
      <text>
        <r>
          <rPr>
            <b/>
            <sz val="9"/>
            <color indexed="81"/>
            <rFont val="Tahoma"/>
            <family val="2"/>
          </rPr>
          <t>0 No
1 Sí</t>
        </r>
      </text>
    </comment>
    <comment ref="AE920" authorId="0">
      <text>
        <r>
          <rPr>
            <sz val="9"/>
            <color indexed="81"/>
            <rFont val="Tahoma"/>
            <family val="2"/>
          </rPr>
          <t xml:space="preserve">
0 NA
1 No solicitadas
2 Solicitadas
3 Aprobadas</t>
        </r>
      </text>
    </comment>
    <comment ref="V921" authorId="0">
      <text>
        <r>
          <rPr>
            <b/>
            <sz val="9"/>
            <color indexed="81"/>
            <rFont val="Tahoma"/>
            <family val="2"/>
          </rPr>
          <t>0 Día(s)
1 Mes (s)
2 Año(s)</t>
        </r>
      </text>
    </comment>
    <comment ref="Y921" authorId="0">
      <text>
        <r>
          <rPr>
            <sz val="9"/>
            <color indexed="81"/>
            <rFont val="Tahoma"/>
            <family val="2"/>
          </rPr>
          <t>0 Recursos propios 
1 Presupuesto de entidad nacional
2 Regalías
3 Recursos de crédito
4 SGP
5 No Aplica</t>
        </r>
      </text>
    </comment>
    <comment ref="AD921" authorId="0">
      <text>
        <r>
          <rPr>
            <b/>
            <sz val="9"/>
            <color indexed="81"/>
            <rFont val="Tahoma"/>
            <family val="2"/>
          </rPr>
          <t>0 No
1 Sí</t>
        </r>
      </text>
    </comment>
    <comment ref="AE921" authorId="0">
      <text>
        <r>
          <rPr>
            <sz val="9"/>
            <color indexed="81"/>
            <rFont val="Tahoma"/>
            <family val="2"/>
          </rPr>
          <t xml:space="preserve">
0 NA
1 No solicitadas
2 Solicitadas
3 Aprobadas</t>
        </r>
      </text>
    </comment>
    <comment ref="V922" authorId="0">
      <text>
        <r>
          <rPr>
            <b/>
            <sz val="9"/>
            <color indexed="81"/>
            <rFont val="Tahoma"/>
            <family val="2"/>
          </rPr>
          <t>0 Día(s)
1 Mes (s)
2 Año(s)</t>
        </r>
      </text>
    </comment>
    <comment ref="Y922" authorId="0">
      <text>
        <r>
          <rPr>
            <sz val="9"/>
            <color indexed="81"/>
            <rFont val="Tahoma"/>
            <family val="2"/>
          </rPr>
          <t>0 Recursos propios 
1 Presupuesto de entidad nacional
2 Regalías
3 Recursos de crédito
4 SGP
5 No Aplica</t>
        </r>
      </text>
    </comment>
    <comment ref="AD922" authorId="0">
      <text>
        <r>
          <rPr>
            <b/>
            <sz val="9"/>
            <color indexed="81"/>
            <rFont val="Tahoma"/>
            <family val="2"/>
          </rPr>
          <t>0 No
1 Sí</t>
        </r>
      </text>
    </comment>
    <comment ref="AE922" authorId="0">
      <text>
        <r>
          <rPr>
            <sz val="9"/>
            <color indexed="81"/>
            <rFont val="Tahoma"/>
            <family val="2"/>
          </rPr>
          <t xml:space="preserve">
0 NA
1 No solicitadas
2 Solicitadas
3 Aprobadas</t>
        </r>
      </text>
    </comment>
    <comment ref="V923" authorId="0">
      <text>
        <r>
          <rPr>
            <b/>
            <sz val="9"/>
            <color indexed="81"/>
            <rFont val="Tahoma"/>
            <family val="2"/>
          </rPr>
          <t>0 Día(s)
1 Mes (s)
2 Año(s)</t>
        </r>
      </text>
    </comment>
    <comment ref="Y923" authorId="0">
      <text>
        <r>
          <rPr>
            <sz val="9"/>
            <color indexed="81"/>
            <rFont val="Tahoma"/>
            <family val="2"/>
          </rPr>
          <t>0 Recursos propios 
1 Presupuesto de entidad nacional
2 Regalías
3 Recursos de crédito
4 SGP
5 No Aplica</t>
        </r>
      </text>
    </comment>
    <comment ref="AD923" authorId="0">
      <text>
        <r>
          <rPr>
            <b/>
            <sz val="9"/>
            <color indexed="81"/>
            <rFont val="Tahoma"/>
            <family val="2"/>
          </rPr>
          <t>0 No
1 Sí</t>
        </r>
      </text>
    </comment>
    <comment ref="AE923" authorId="0">
      <text>
        <r>
          <rPr>
            <sz val="9"/>
            <color indexed="81"/>
            <rFont val="Tahoma"/>
            <family val="2"/>
          </rPr>
          <t xml:space="preserve">
0 NA
1 No solicitadas
2 Solicitadas
3 Aprobadas</t>
        </r>
      </text>
    </comment>
    <comment ref="V924" authorId="0">
      <text>
        <r>
          <rPr>
            <b/>
            <sz val="9"/>
            <color indexed="81"/>
            <rFont val="Tahoma"/>
            <family val="2"/>
          </rPr>
          <t>0 Día(s)
1 Mes (s)
2 Año(s)</t>
        </r>
      </text>
    </comment>
    <comment ref="Y924" authorId="0">
      <text>
        <r>
          <rPr>
            <sz val="9"/>
            <color indexed="81"/>
            <rFont val="Tahoma"/>
            <family val="2"/>
          </rPr>
          <t>0 Recursos propios 
1 Presupuesto de entidad nacional
2 Regalías
3 Recursos de crédito
4 SGP
5 No Aplica</t>
        </r>
      </text>
    </comment>
    <comment ref="AD924" authorId="0">
      <text>
        <r>
          <rPr>
            <b/>
            <sz val="9"/>
            <color indexed="81"/>
            <rFont val="Tahoma"/>
            <family val="2"/>
          </rPr>
          <t>0 No
1 Sí</t>
        </r>
      </text>
    </comment>
    <comment ref="AE924" authorId="0">
      <text>
        <r>
          <rPr>
            <sz val="9"/>
            <color indexed="81"/>
            <rFont val="Tahoma"/>
            <family val="2"/>
          </rPr>
          <t xml:space="preserve">
0 NA
1 No solicitadas
2 Solicitadas
3 Aprobadas</t>
        </r>
      </text>
    </comment>
    <comment ref="V925" authorId="0">
      <text>
        <r>
          <rPr>
            <b/>
            <sz val="9"/>
            <color indexed="81"/>
            <rFont val="Tahoma"/>
            <family val="2"/>
          </rPr>
          <t>0 Día(s)
1 Mes (s)
2 Año(s)</t>
        </r>
      </text>
    </comment>
    <comment ref="Y925" authorId="0">
      <text>
        <r>
          <rPr>
            <sz val="9"/>
            <color indexed="81"/>
            <rFont val="Tahoma"/>
            <family val="2"/>
          </rPr>
          <t>0 Recursos propios 
1 Presupuesto de entidad nacional
2 Regalías
3 Recursos de crédito
4 SGP
5 No Aplica</t>
        </r>
      </text>
    </comment>
    <comment ref="AD925" authorId="0">
      <text>
        <r>
          <rPr>
            <b/>
            <sz val="9"/>
            <color indexed="81"/>
            <rFont val="Tahoma"/>
            <family val="2"/>
          </rPr>
          <t>0 No
1 Sí</t>
        </r>
      </text>
    </comment>
    <comment ref="AE925" authorId="0">
      <text>
        <r>
          <rPr>
            <sz val="9"/>
            <color indexed="81"/>
            <rFont val="Tahoma"/>
            <family val="2"/>
          </rPr>
          <t xml:space="preserve">
0 NA
1 No solicitadas
2 Solicitadas
3 Aprobadas</t>
        </r>
      </text>
    </comment>
    <comment ref="V926" authorId="0">
      <text>
        <r>
          <rPr>
            <b/>
            <sz val="9"/>
            <color indexed="81"/>
            <rFont val="Tahoma"/>
            <family val="2"/>
          </rPr>
          <t>0 Día(s)
1 Mes (s)
2 Año(s)</t>
        </r>
      </text>
    </comment>
    <comment ref="Y926" authorId="0">
      <text>
        <r>
          <rPr>
            <sz val="9"/>
            <color indexed="81"/>
            <rFont val="Tahoma"/>
            <family val="2"/>
          </rPr>
          <t>0 Recursos propios 
1 Presupuesto de entidad nacional
2 Regalías
3 Recursos de crédito
4 SGP
5 No Aplica</t>
        </r>
      </text>
    </comment>
    <comment ref="AD926" authorId="0">
      <text>
        <r>
          <rPr>
            <b/>
            <sz val="9"/>
            <color indexed="81"/>
            <rFont val="Tahoma"/>
            <family val="2"/>
          </rPr>
          <t>0 No
1 Sí</t>
        </r>
      </text>
    </comment>
    <comment ref="AE926" authorId="0">
      <text>
        <r>
          <rPr>
            <sz val="9"/>
            <color indexed="81"/>
            <rFont val="Tahoma"/>
            <family val="2"/>
          </rPr>
          <t xml:space="preserve">
0 NA
1 No solicitadas
2 Solicitadas
3 Aprobadas</t>
        </r>
      </text>
    </comment>
    <comment ref="V927" authorId="0">
      <text>
        <r>
          <rPr>
            <b/>
            <sz val="9"/>
            <color indexed="81"/>
            <rFont val="Tahoma"/>
            <family val="2"/>
          </rPr>
          <t>0 Día(s)
1 Mes (s)
2 Año(s)</t>
        </r>
      </text>
    </comment>
    <comment ref="Y927" authorId="0">
      <text>
        <r>
          <rPr>
            <sz val="9"/>
            <color indexed="81"/>
            <rFont val="Tahoma"/>
            <family val="2"/>
          </rPr>
          <t>0 Recursos propios 
1 Presupuesto de entidad nacional
2 Regalías
3 Recursos de crédito
4 SGP
5 No Aplica</t>
        </r>
      </text>
    </comment>
    <comment ref="AD927" authorId="0">
      <text>
        <r>
          <rPr>
            <b/>
            <sz val="9"/>
            <color indexed="81"/>
            <rFont val="Tahoma"/>
            <family val="2"/>
          </rPr>
          <t>0 No
1 Sí</t>
        </r>
      </text>
    </comment>
    <comment ref="AE927" authorId="0">
      <text>
        <r>
          <rPr>
            <sz val="9"/>
            <color indexed="81"/>
            <rFont val="Tahoma"/>
            <family val="2"/>
          </rPr>
          <t xml:space="preserve">
0 NA
1 No solicitadas
2 Solicitadas
3 Aprobadas</t>
        </r>
      </text>
    </comment>
    <comment ref="V928" authorId="0">
      <text>
        <r>
          <rPr>
            <b/>
            <sz val="9"/>
            <color indexed="81"/>
            <rFont val="Tahoma"/>
            <family val="2"/>
          </rPr>
          <t>0 Día(s)
1 Mes (s)
2 Año(s)</t>
        </r>
      </text>
    </comment>
    <comment ref="Y928" authorId="0">
      <text>
        <r>
          <rPr>
            <sz val="9"/>
            <color indexed="81"/>
            <rFont val="Tahoma"/>
            <family val="2"/>
          </rPr>
          <t>0 Recursos propios 
1 Presupuesto de entidad nacional
2 Regalías
3 Recursos de crédito
4 SGP
5 No Aplica</t>
        </r>
      </text>
    </comment>
    <comment ref="AD928" authorId="0">
      <text>
        <r>
          <rPr>
            <b/>
            <sz val="9"/>
            <color indexed="81"/>
            <rFont val="Tahoma"/>
            <family val="2"/>
          </rPr>
          <t>0 No
1 Sí</t>
        </r>
      </text>
    </comment>
    <comment ref="AE928" authorId="0">
      <text>
        <r>
          <rPr>
            <sz val="9"/>
            <color indexed="81"/>
            <rFont val="Tahoma"/>
            <family val="2"/>
          </rPr>
          <t xml:space="preserve">
0 NA
1 No solicitadas
2 Solicitadas
3 Aprobadas</t>
        </r>
      </text>
    </comment>
    <comment ref="V929" authorId="0">
      <text>
        <r>
          <rPr>
            <b/>
            <sz val="9"/>
            <color indexed="81"/>
            <rFont val="Tahoma"/>
            <family val="2"/>
          </rPr>
          <t>0 Día(s)
1 Mes (s)
2 Año(s)</t>
        </r>
      </text>
    </comment>
    <comment ref="Y929" authorId="0">
      <text>
        <r>
          <rPr>
            <sz val="9"/>
            <color indexed="81"/>
            <rFont val="Tahoma"/>
            <family val="2"/>
          </rPr>
          <t>0 Recursos propios 
1 Presupuesto de entidad nacional
2 Regalías
3 Recursos de crédito
4 SGP
5 No Aplica</t>
        </r>
      </text>
    </comment>
    <comment ref="AD929" authorId="0">
      <text>
        <r>
          <rPr>
            <b/>
            <sz val="9"/>
            <color indexed="81"/>
            <rFont val="Tahoma"/>
            <family val="2"/>
          </rPr>
          <t>0 No
1 Sí</t>
        </r>
      </text>
    </comment>
    <comment ref="AE929" authorId="0">
      <text>
        <r>
          <rPr>
            <sz val="9"/>
            <color indexed="81"/>
            <rFont val="Tahoma"/>
            <family val="2"/>
          </rPr>
          <t xml:space="preserve">
0 NA
1 No solicitadas
2 Solicitadas
3 Aprobadas</t>
        </r>
      </text>
    </comment>
    <comment ref="V930" authorId="0">
      <text>
        <r>
          <rPr>
            <b/>
            <sz val="9"/>
            <color indexed="81"/>
            <rFont val="Tahoma"/>
            <family val="2"/>
          </rPr>
          <t>0 Día(s)
1 Mes (s)
2 Año(s)</t>
        </r>
      </text>
    </comment>
    <comment ref="Y930" authorId="0">
      <text>
        <r>
          <rPr>
            <sz val="9"/>
            <color indexed="81"/>
            <rFont val="Tahoma"/>
            <family val="2"/>
          </rPr>
          <t>0 Recursos propios 
1 Presupuesto de entidad nacional
2 Regalías
3 Recursos de crédito
4 SGP
5 No Aplica</t>
        </r>
      </text>
    </comment>
    <comment ref="AD930" authorId="0">
      <text>
        <r>
          <rPr>
            <b/>
            <sz val="9"/>
            <color indexed="81"/>
            <rFont val="Tahoma"/>
            <family val="2"/>
          </rPr>
          <t>0 No
1 Sí</t>
        </r>
      </text>
    </comment>
    <comment ref="AE930" authorId="0">
      <text>
        <r>
          <rPr>
            <sz val="9"/>
            <color indexed="81"/>
            <rFont val="Tahoma"/>
            <family val="2"/>
          </rPr>
          <t xml:space="preserve">
0 NA
1 No solicitadas
2 Solicitadas
3 Aprobadas</t>
        </r>
      </text>
    </comment>
    <comment ref="V931" authorId="0">
      <text>
        <r>
          <rPr>
            <b/>
            <sz val="9"/>
            <color indexed="81"/>
            <rFont val="Tahoma"/>
            <family val="2"/>
          </rPr>
          <t>0 Día(s)
1 Mes (s)
2 Año(s)</t>
        </r>
      </text>
    </comment>
    <comment ref="Y931" authorId="0">
      <text>
        <r>
          <rPr>
            <sz val="9"/>
            <color indexed="81"/>
            <rFont val="Tahoma"/>
            <family val="2"/>
          </rPr>
          <t>0 Recursos propios 
1 Presupuesto de entidad nacional
2 Regalías
3 Recursos de crédito
4 SGP
5 No Aplica</t>
        </r>
      </text>
    </comment>
    <comment ref="AD931" authorId="0">
      <text>
        <r>
          <rPr>
            <b/>
            <sz val="9"/>
            <color indexed="81"/>
            <rFont val="Tahoma"/>
            <family val="2"/>
          </rPr>
          <t>0 No
1 Sí</t>
        </r>
      </text>
    </comment>
    <comment ref="AE931" authorId="0">
      <text>
        <r>
          <rPr>
            <sz val="9"/>
            <color indexed="81"/>
            <rFont val="Tahoma"/>
            <family val="2"/>
          </rPr>
          <t xml:space="preserve">
0 NA
1 No solicitadas
2 Solicitadas
3 Aprobadas</t>
        </r>
      </text>
    </comment>
    <comment ref="V932" authorId="0">
      <text>
        <r>
          <rPr>
            <b/>
            <sz val="9"/>
            <color indexed="81"/>
            <rFont val="Tahoma"/>
            <family val="2"/>
          </rPr>
          <t>0 Día(s)
1 Mes (s)
2 Año(s)</t>
        </r>
      </text>
    </comment>
    <comment ref="Y932" authorId="0">
      <text>
        <r>
          <rPr>
            <sz val="9"/>
            <color indexed="81"/>
            <rFont val="Tahoma"/>
            <family val="2"/>
          </rPr>
          <t>0 Recursos propios 
1 Presupuesto de entidad nacional
2 Regalías
3 Recursos de crédito
4 SGP
5 No Aplica</t>
        </r>
      </text>
    </comment>
    <comment ref="AD932" authorId="0">
      <text>
        <r>
          <rPr>
            <b/>
            <sz val="9"/>
            <color indexed="81"/>
            <rFont val="Tahoma"/>
            <family val="2"/>
          </rPr>
          <t>0 No
1 Sí</t>
        </r>
      </text>
    </comment>
    <comment ref="AE932" authorId="0">
      <text>
        <r>
          <rPr>
            <sz val="9"/>
            <color indexed="81"/>
            <rFont val="Tahoma"/>
            <family val="2"/>
          </rPr>
          <t xml:space="preserve">
0 NA
1 No solicitadas
2 Solicitadas
3 Aprobadas</t>
        </r>
      </text>
    </comment>
    <comment ref="V933" authorId="0">
      <text>
        <r>
          <rPr>
            <b/>
            <sz val="9"/>
            <color indexed="81"/>
            <rFont val="Tahoma"/>
            <family val="2"/>
          </rPr>
          <t>0 Día(s)
1 Mes (s)
2 Año(s)</t>
        </r>
      </text>
    </comment>
    <comment ref="Y933" authorId="0">
      <text>
        <r>
          <rPr>
            <sz val="9"/>
            <color indexed="81"/>
            <rFont val="Tahoma"/>
            <family val="2"/>
          </rPr>
          <t>0 Recursos propios 
1 Presupuesto de entidad nacional
2 Regalías
3 Recursos de crédito
4 SGP
5 No Aplica</t>
        </r>
      </text>
    </comment>
    <comment ref="AD933" authorId="0">
      <text>
        <r>
          <rPr>
            <b/>
            <sz val="9"/>
            <color indexed="81"/>
            <rFont val="Tahoma"/>
            <family val="2"/>
          </rPr>
          <t>0 No
1 Sí</t>
        </r>
      </text>
    </comment>
    <comment ref="AE933" authorId="0">
      <text>
        <r>
          <rPr>
            <sz val="9"/>
            <color indexed="81"/>
            <rFont val="Tahoma"/>
            <family val="2"/>
          </rPr>
          <t xml:space="preserve">
0 NA
1 No solicitadas
2 Solicitadas
3 Aprobadas</t>
        </r>
      </text>
    </comment>
    <comment ref="V934" authorId="0">
      <text>
        <r>
          <rPr>
            <b/>
            <sz val="9"/>
            <color indexed="81"/>
            <rFont val="Tahoma"/>
            <family val="2"/>
          </rPr>
          <t>0 Día(s)
1 Mes (s)
2 Año(s)</t>
        </r>
      </text>
    </comment>
    <comment ref="Y934" authorId="0">
      <text>
        <r>
          <rPr>
            <sz val="9"/>
            <color indexed="81"/>
            <rFont val="Tahoma"/>
            <family val="2"/>
          </rPr>
          <t>0 Recursos propios 
1 Presupuesto de entidad nacional
2 Regalías
3 Recursos de crédito
4 SGP
5 No Aplica</t>
        </r>
      </text>
    </comment>
    <comment ref="AD934" authorId="0">
      <text>
        <r>
          <rPr>
            <b/>
            <sz val="9"/>
            <color indexed="81"/>
            <rFont val="Tahoma"/>
            <family val="2"/>
          </rPr>
          <t>0 No
1 Sí</t>
        </r>
      </text>
    </comment>
    <comment ref="AE934" authorId="0">
      <text>
        <r>
          <rPr>
            <sz val="9"/>
            <color indexed="81"/>
            <rFont val="Tahoma"/>
            <family val="2"/>
          </rPr>
          <t xml:space="preserve">
0 NA
1 No solicitadas
2 Solicitadas
3 Aprobadas</t>
        </r>
      </text>
    </comment>
    <comment ref="V935" authorId="0">
      <text>
        <r>
          <rPr>
            <b/>
            <sz val="9"/>
            <color indexed="81"/>
            <rFont val="Tahoma"/>
            <family val="2"/>
          </rPr>
          <t>0 Día(s)
1 Mes (s)
2 Año(s)</t>
        </r>
      </text>
    </comment>
    <comment ref="Y935" authorId="0">
      <text>
        <r>
          <rPr>
            <sz val="9"/>
            <color indexed="81"/>
            <rFont val="Tahoma"/>
            <family val="2"/>
          </rPr>
          <t>0 Recursos propios 
1 Presupuesto de entidad nacional
2 Regalías
3 Recursos de crédito
4 SGP
5 No Aplica</t>
        </r>
      </text>
    </comment>
    <comment ref="AD935" authorId="0">
      <text>
        <r>
          <rPr>
            <b/>
            <sz val="9"/>
            <color indexed="81"/>
            <rFont val="Tahoma"/>
            <family val="2"/>
          </rPr>
          <t>0 No
1 Sí</t>
        </r>
      </text>
    </comment>
    <comment ref="AE935" authorId="0">
      <text>
        <r>
          <rPr>
            <sz val="9"/>
            <color indexed="81"/>
            <rFont val="Tahoma"/>
            <family val="2"/>
          </rPr>
          <t xml:space="preserve">
0 NA
1 No solicitadas
2 Solicitadas
3 Aprobadas</t>
        </r>
      </text>
    </comment>
    <comment ref="V936" authorId="0">
      <text>
        <r>
          <rPr>
            <b/>
            <sz val="9"/>
            <color indexed="81"/>
            <rFont val="Tahoma"/>
            <family val="2"/>
          </rPr>
          <t>0 Día(s)
1 Mes (s)
2 Año(s)</t>
        </r>
      </text>
    </comment>
    <comment ref="Y936" authorId="0">
      <text>
        <r>
          <rPr>
            <sz val="9"/>
            <color indexed="81"/>
            <rFont val="Tahoma"/>
            <family val="2"/>
          </rPr>
          <t>0 Recursos propios 
1 Presupuesto de entidad nacional
2 Regalías
3 Recursos de crédito
4 SGP
5 No Aplica</t>
        </r>
      </text>
    </comment>
    <comment ref="AD936" authorId="0">
      <text>
        <r>
          <rPr>
            <b/>
            <sz val="9"/>
            <color indexed="81"/>
            <rFont val="Tahoma"/>
            <family val="2"/>
          </rPr>
          <t>0 No
1 Sí</t>
        </r>
      </text>
    </comment>
    <comment ref="AE936" authorId="0">
      <text>
        <r>
          <rPr>
            <sz val="9"/>
            <color indexed="81"/>
            <rFont val="Tahoma"/>
            <family val="2"/>
          </rPr>
          <t xml:space="preserve">
0 NA
1 No solicitadas
2 Solicitadas
3 Aprobadas</t>
        </r>
      </text>
    </comment>
    <comment ref="V937" authorId="0">
      <text>
        <r>
          <rPr>
            <b/>
            <sz val="9"/>
            <color indexed="81"/>
            <rFont val="Tahoma"/>
            <family val="2"/>
          </rPr>
          <t>0 Día(s)
1 Mes (s)
2 Año(s)</t>
        </r>
      </text>
    </comment>
    <comment ref="Y937" authorId="0">
      <text>
        <r>
          <rPr>
            <sz val="9"/>
            <color indexed="81"/>
            <rFont val="Tahoma"/>
            <family val="2"/>
          </rPr>
          <t>0 Recursos propios 
1 Presupuesto de entidad nacional
2 Regalías
3 Recursos de crédito
4 SGP
5 No Aplica</t>
        </r>
      </text>
    </comment>
    <comment ref="AD937" authorId="0">
      <text>
        <r>
          <rPr>
            <b/>
            <sz val="9"/>
            <color indexed="81"/>
            <rFont val="Tahoma"/>
            <family val="2"/>
          </rPr>
          <t>0 No
1 Sí</t>
        </r>
      </text>
    </comment>
    <comment ref="AE937" authorId="0">
      <text>
        <r>
          <rPr>
            <sz val="9"/>
            <color indexed="81"/>
            <rFont val="Tahoma"/>
            <family val="2"/>
          </rPr>
          <t xml:space="preserve">
0 NA
1 No solicitadas
2 Solicitadas
3 Aprobadas</t>
        </r>
      </text>
    </comment>
    <comment ref="V938" authorId="0">
      <text>
        <r>
          <rPr>
            <b/>
            <sz val="9"/>
            <color indexed="81"/>
            <rFont val="Tahoma"/>
            <family val="2"/>
          </rPr>
          <t>0 Día(s)
1 Mes (s)
2 Año(s)</t>
        </r>
      </text>
    </comment>
    <comment ref="Y938" authorId="0">
      <text>
        <r>
          <rPr>
            <sz val="9"/>
            <color indexed="81"/>
            <rFont val="Tahoma"/>
            <family val="2"/>
          </rPr>
          <t>0 Recursos propios 
1 Presupuesto de entidad nacional
2 Regalías
3 Recursos de crédito
4 SGP
5 No Aplica</t>
        </r>
      </text>
    </comment>
    <comment ref="AD938" authorId="0">
      <text>
        <r>
          <rPr>
            <b/>
            <sz val="9"/>
            <color indexed="81"/>
            <rFont val="Tahoma"/>
            <family val="2"/>
          </rPr>
          <t>0 No
1 Sí</t>
        </r>
      </text>
    </comment>
    <comment ref="AE938" authorId="0">
      <text>
        <r>
          <rPr>
            <sz val="9"/>
            <color indexed="81"/>
            <rFont val="Tahoma"/>
            <family val="2"/>
          </rPr>
          <t xml:space="preserve">
0 NA
1 No solicitadas
2 Solicitadas
3 Aprobadas</t>
        </r>
      </text>
    </comment>
    <comment ref="V939" authorId="0">
      <text>
        <r>
          <rPr>
            <b/>
            <sz val="9"/>
            <color indexed="81"/>
            <rFont val="Tahoma"/>
            <family val="2"/>
          </rPr>
          <t>0 Día(s)
1 Mes (s)
2 Año(s)</t>
        </r>
      </text>
    </comment>
    <comment ref="Y939" authorId="0">
      <text>
        <r>
          <rPr>
            <sz val="9"/>
            <color indexed="81"/>
            <rFont val="Tahoma"/>
            <family val="2"/>
          </rPr>
          <t>0 Recursos propios 
1 Presupuesto de entidad nacional
2 Regalías
3 Recursos de crédito
4 SGP
5 No Aplica</t>
        </r>
      </text>
    </comment>
    <comment ref="AD939" authorId="0">
      <text>
        <r>
          <rPr>
            <b/>
            <sz val="9"/>
            <color indexed="81"/>
            <rFont val="Tahoma"/>
            <family val="2"/>
          </rPr>
          <t>0 No
1 Sí</t>
        </r>
      </text>
    </comment>
    <comment ref="AE939" authorId="0">
      <text>
        <r>
          <rPr>
            <sz val="9"/>
            <color indexed="81"/>
            <rFont val="Tahoma"/>
            <family val="2"/>
          </rPr>
          <t xml:space="preserve">
0 NA
1 No solicitadas
2 Solicitadas
3 Aprobadas</t>
        </r>
      </text>
    </comment>
    <comment ref="V940" authorId="0">
      <text>
        <r>
          <rPr>
            <b/>
            <sz val="9"/>
            <color indexed="81"/>
            <rFont val="Tahoma"/>
            <family val="2"/>
          </rPr>
          <t>0 Día(s)
1 Mes (s)
2 Año(s)</t>
        </r>
      </text>
    </comment>
    <comment ref="Y940" authorId="0">
      <text>
        <r>
          <rPr>
            <sz val="9"/>
            <color indexed="81"/>
            <rFont val="Tahoma"/>
            <family val="2"/>
          </rPr>
          <t>0 Recursos propios 
1 Presupuesto de entidad nacional
2 Regalías
3 Recursos de crédito
4 SGP
5 No Aplica</t>
        </r>
      </text>
    </comment>
    <comment ref="AD940" authorId="0">
      <text>
        <r>
          <rPr>
            <b/>
            <sz val="9"/>
            <color indexed="81"/>
            <rFont val="Tahoma"/>
            <family val="2"/>
          </rPr>
          <t>0 No
1 Sí</t>
        </r>
      </text>
    </comment>
    <comment ref="AE940" authorId="0">
      <text>
        <r>
          <rPr>
            <sz val="9"/>
            <color indexed="81"/>
            <rFont val="Tahoma"/>
            <family val="2"/>
          </rPr>
          <t xml:space="preserve">
0 NA
1 No solicitadas
2 Solicitadas
3 Aprobadas</t>
        </r>
      </text>
    </comment>
    <comment ref="V941" authorId="0">
      <text>
        <r>
          <rPr>
            <b/>
            <sz val="9"/>
            <color indexed="81"/>
            <rFont val="Tahoma"/>
            <family val="2"/>
          </rPr>
          <t>0 Día(s)
1 Mes (s)
2 Año(s)</t>
        </r>
      </text>
    </comment>
    <comment ref="Y941" authorId="0">
      <text>
        <r>
          <rPr>
            <sz val="9"/>
            <color indexed="81"/>
            <rFont val="Tahoma"/>
            <family val="2"/>
          </rPr>
          <t>0 Recursos propios 
1 Presupuesto de entidad nacional
2 Regalías
3 Recursos de crédito
4 SGP
5 No Aplica</t>
        </r>
      </text>
    </comment>
    <comment ref="AD941" authorId="0">
      <text>
        <r>
          <rPr>
            <b/>
            <sz val="9"/>
            <color indexed="81"/>
            <rFont val="Tahoma"/>
            <family val="2"/>
          </rPr>
          <t>0 No
1 Sí</t>
        </r>
      </text>
    </comment>
    <comment ref="AE941" authorId="0">
      <text>
        <r>
          <rPr>
            <sz val="9"/>
            <color indexed="81"/>
            <rFont val="Tahoma"/>
            <family val="2"/>
          </rPr>
          <t xml:space="preserve">
0 NA
1 No solicitadas
2 Solicitadas
3 Aprobadas</t>
        </r>
      </text>
    </comment>
    <comment ref="V942" authorId="0">
      <text>
        <r>
          <rPr>
            <b/>
            <sz val="9"/>
            <color indexed="81"/>
            <rFont val="Tahoma"/>
            <family val="2"/>
          </rPr>
          <t>0 Día(s)
1 Mes (s)
2 Año(s)</t>
        </r>
      </text>
    </comment>
    <comment ref="Y942" authorId="0">
      <text>
        <r>
          <rPr>
            <sz val="9"/>
            <color indexed="81"/>
            <rFont val="Tahoma"/>
            <family val="2"/>
          </rPr>
          <t>0 Recursos propios 
1 Presupuesto de entidad nacional
2 Regalías
3 Recursos de crédito
4 SGP
5 No Aplica</t>
        </r>
      </text>
    </comment>
    <comment ref="AD942" authorId="0">
      <text>
        <r>
          <rPr>
            <b/>
            <sz val="9"/>
            <color indexed="81"/>
            <rFont val="Tahoma"/>
            <family val="2"/>
          </rPr>
          <t>0 No
1 Sí</t>
        </r>
      </text>
    </comment>
    <comment ref="AE942" authorId="0">
      <text>
        <r>
          <rPr>
            <sz val="9"/>
            <color indexed="81"/>
            <rFont val="Tahoma"/>
            <family val="2"/>
          </rPr>
          <t xml:space="preserve">
0 NA
1 No solicitadas
2 Solicitadas
3 Aprobadas</t>
        </r>
      </text>
    </comment>
    <comment ref="AZ942" authorId="1">
      <text>
        <r>
          <rPr>
            <b/>
            <sz val="9"/>
            <color indexed="81"/>
            <rFont val="Tahoma"/>
            <family val="2"/>
          </rPr>
          <t>Orlando Arias:</t>
        </r>
        <r>
          <rPr>
            <sz val="9"/>
            <color indexed="81"/>
            <rFont val="Tahoma"/>
            <family val="2"/>
          </rPr>
          <t xml:space="preserve">
REVISAR PORQUE SE REDUGERON LOS 60,336,878 QUE SE VAN A ADICIONAR</t>
        </r>
      </text>
    </comment>
    <comment ref="V943" authorId="0">
      <text>
        <r>
          <rPr>
            <b/>
            <sz val="9"/>
            <color indexed="81"/>
            <rFont val="Tahoma"/>
            <family val="2"/>
          </rPr>
          <t>0 Día(s)
1 Mes (s)
2 Año(s)</t>
        </r>
      </text>
    </comment>
    <comment ref="Y943" authorId="0">
      <text>
        <r>
          <rPr>
            <sz val="9"/>
            <color indexed="81"/>
            <rFont val="Tahoma"/>
            <family val="2"/>
          </rPr>
          <t>0 Recursos propios 
1 Presupuesto de entidad nacional
2 Regalías
3 Recursos de crédito
4 SGP
5 No Aplica</t>
        </r>
      </text>
    </comment>
    <comment ref="AD943" authorId="0">
      <text>
        <r>
          <rPr>
            <b/>
            <sz val="9"/>
            <color indexed="81"/>
            <rFont val="Tahoma"/>
            <family val="2"/>
          </rPr>
          <t>0 No
1 Sí</t>
        </r>
      </text>
    </comment>
    <comment ref="AE943" authorId="0">
      <text>
        <r>
          <rPr>
            <sz val="9"/>
            <color indexed="81"/>
            <rFont val="Tahoma"/>
            <family val="2"/>
          </rPr>
          <t xml:space="preserve">
0 NA
1 No solicitadas
2 Solicitadas
3 Aprobadas</t>
        </r>
      </text>
    </comment>
    <comment ref="V945" authorId="0">
      <text>
        <r>
          <rPr>
            <b/>
            <sz val="9"/>
            <color indexed="81"/>
            <rFont val="Tahoma"/>
            <family val="2"/>
          </rPr>
          <t>0 Día(s)
1 Mes (s)
2 Año(s)</t>
        </r>
      </text>
    </comment>
    <comment ref="Y945" authorId="0">
      <text>
        <r>
          <rPr>
            <sz val="9"/>
            <color indexed="81"/>
            <rFont val="Tahoma"/>
            <family val="2"/>
          </rPr>
          <t>0 Recursos propios 
1 Presupuesto de entidad nacional
2 Regalías
3 Recursos de crédito
4 SGP
5 No Aplica</t>
        </r>
      </text>
    </comment>
    <comment ref="AD945" authorId="0">
      <text>
        <r>
          <rPr>
            <b/>
            <sz val="9"/>
            <color indexed="81"/>
            <rFont val="Tahoma"/>
            <family val="2"/>
          </rPr>
          <t>0 No
1 Sí</t>
        </r>
      </text>
    </comment>
    <comment ref="AE945" authorId="0">
      <text>
        <r>
          <rPr>
            <sz val="9"/>
            <color indexed="81"/>
            <rFont val="Tahoma"/>
            <family val="2"/>
          </rPr>
          <t xml:space="preserve">
0 NA
1 No solicitadas
2 Solicitadas
3 Aprobadas</t>
        </r>
      </text>
    </comment>
    <comment ref="V946" authorId="0">
      <text>
        <r>
          <rPr>
            <b/>
            <sz val="9"/>
            <color indexed="81"/>
            <rFont val="Tahoma"/>
            <family val="2"/>
          </rPr>
          <t>0 Día(s)
1 Mes (s)
2 Año(s)</t>
        </r>
      </text>
    </comment>
    <comment ref="Y946" authorId="0">
      <text>
        <r>
          <rPr>
            <sz val="9"/>
            <color indexed="81"/>
            <rFont val="Tahoma"/>
            <family val="2"/>
          </rPr>
          <t>0 Recursos propios 
1 Presupuesto de entidad nacional
2 Regalías
3 Recursos de crédito
4 SGP
5 No Aplica</t>
        </r>
      </text>
    </comment>
    <comment ref="AD946" authorId="0">
      <text>
        <r>
          <rPr>
            <b/>
            <sz val="9"/>
            <color indexed="81"/>
            <rFont val="Tahoma"/>
            <family val="2"/>
          </rPr>
          <t>0 No
1 Sí</t>
        </r>
      </text>
    </comment>
    <comment ref="AE946" authorId="0">
      <text>
        <r>
          <rPr>
            <sz val="9"/>
            <color indexed="81"/>
            <rFont val="Tahoma"/>
            <family val="2"/>
          </rPr>
          <t xml:space="preserve">
0 NA
1 No solicitadas
2 Solicitadas
3 Aprobadas</t>
        </r>
      </text>
    </comment>
    <comment ref="V947" authorId="0">
      <text>
        <r>
          <rPr>
            <b/>
            <sz val="9"/>
            <color indexed="81"/>
            <rFont val="Tahoma"/>
            <family val="2"/>
          </rPr>
          <t>0 Día(s)
1 Mes (s)
2 Año(s)</t>
        </r>
      </text>
    </comment>
    <comment ref="Y947" authorId="0">
      <text>
        <r>
          <rPr>
            <sz val="9"/>
            <color indexed="81"/>
            <rFont val="Tahoma"/>
            <family val="2"/>
          </rPr>
          <t>0 Recursos propios 
1 Presupuesto de entidad nacional
2 Regalías
3 Recursos de crédito
4 SGP
5 No Aplica</t>
        </r>
      </text>
    </comment>
    <comment ref="AD947" authorId="0">
      <text>
        <r>
          <rPr>
            <b/>
            <sz val="9"/>
            <color indexed="81"/>
            <rFont val="Tahoma"/>
            <family val="2"/>
          </rPr>
          <t>0 No
1 Sí</t>
        </r>
      </text>
    </comment>
    <comment ref="AE947" authorId="0">
      <text>
        <r>
          <rPr>
            <sz val="9"/>
            <color indexed="81"/>
            <rFont val="Tahoma"/>
            <family val="2"/>
          </rPr>
          <t xml:space="preserve">
0 NA
1 No solicitadas
2 Solicitadas
3 Aprobadas</t>
        </r>
      </text>
    </comment>
    <comment ref="V948" authorId="0">
      <text>
        <r>
          <rPr>
            <b/>
            <sz val="9"/>
            <color indexed="81"/>
            <rFont val="Tahoma"/>
            <family val="2"/>
          </rPr>
          <t>0 Día(s)
1 Mes (s)
2 Año(s)</t>
        </r>
      </text>
    </comment>
    <comment ref="Y948" authorId="0">
      <text>
        <r>
          <rPr>
            <sz val="9"/>
            <color indexed="81"/>
            <rFont val="Tahoma"/>
            <family val="2"/>
          </rPr>
          <t>0 Recursos propios 
1 Presupuesto de entidad nacional
2 Regalías
3 Recursos de crédito
4 SGP
5 No Aplica</t>
        </r>
      </text>
    </comment>
    <comment ref="AD948" authorId="0">
      <text>
        <r>
          <rPr>
            <b/>
            <sz val="9"/>
            <color indexed="81"/>
            <rFont val="Tahoma"/>
            <family val="2"/>
          </rPr>
          <t>0 No
1 Sí</t>
        </r>
      </text>
    </comment>
    <comment ref="AE948" authorId="0">
      <text>
        <r>
          <rPr>
            <sz val="9"/>
            <color indexed="81"/>
            <rFont val="Tahoma"/>
            <family val="2"/>
          </rPr>
          <t xml:space="preserve">
0 NA
1 No solicitadas
2 Solicitadas
3 Aprobadas</t>
        </r>
      </text>
    </comment>
    <comment ref="V949" authorId="0">
      <text>
        <r>
          <rPr>
            <b/>
            <sz val="9"/>
            <color indexed="81"/>
            <rFont val="Tahoma"/>
            <family val="2"/>
          </rPr>
          <t>0 Día(s)
1 Mes (s)
2 Año(s)</t>
        </r>
      </text>
    </comment>
    <comment ref="Y949" authorId="0">
      <text>
        <r>
          <rPr>
            <sz val="9"/>
            <color indexed="81"/>
            <rFont val="Tahoma"/>
            <family val="2"/>
          </rPr>
          <t>0 Recursos propios 
1 Presupuesto de entidad nacional
2 Regalías
3 Recursos de crédito
4 SGP
5 No Aplica</t>
        </r>
      </text>
    </comment>
    <comment ref="AD949" authorId="0">
      <text>
        <r>
          <rPr>
            <b/>
            <sz val="9"/>
            <color indexed="81"/>
            <rFont val="Tahoma"/>
            <family val="2"/>
          </rPr>
          <t>0 No
1 Sí</t>
        </r>
      </text>
    </comment>
    <comment ref="AE949" authorId="0">
      <text>
        <r>
          <rPr>
            <sz val="9"/>
            <color indexed="81"/>
            <rFont val="Tahoma"/>
            <family val="2"/>
          </rPr>
          <t xml:space="preserve">
0 NA
1 No solicitadas
2 Solicitadas
3 Aprobadas</t>
        </r>
      </text>
    </comment>
    <comment ref="V950" authorId="0">
      <text>
        <r>
          <rPr>
            <b/>
            <sz val="9"/>
            <color indexed="81"/>
            <rFont val="Tahoma"/>
            <family val="2"/>
          </rPr>
          <t>0 Día(s)
1 Mes (s)
2 Año(s)</t>
        </r>
      </text>
    </comment>
    <comment ref="Y950" authorId="0">
      <text>
        <r>
          <rPr>
            <sz val="9"/>
            <color indexed="81"/>
            <rFont val="Tahoma"/>
            <family val="2"/>
          </rPr>
          <t>0 Recursos propios 
1 Presupuesto de entidad nacional
2 Regalías
3 Recursos de crédito
4 SGP
5 No Aplica</t>
        </r>
      </text>
    </comment>
    <comment ref="AD950" authorId="0">
      <text>
        <r>
          <rPr>
            <b/>
            <sz val="9"/>
            <color indexed="81"/>
            <rFont val="Tahoma"/>
            <family val="2"/>
          </rPr>
          <t>0 No
1 Sí</t>
        </r>
      </text>
    </comment>
    <comment ref="AE950" authorId="0">
      <text>
        <r>
          <rPr>
            <sz val="9"/>
            <color indexed="81"/>
            <rFont val="Tahoma"/>
            <family val="2"/>
          </rPr>
          <t xml:space="preserve">
0 NA
1 No solicitadas
2 Solicitadas
3 Aprobadas</t>
        </r>
      </text>
    </comment>
    <comment ref="V951" authorId="0">
      <text>
        <r>
          <rPr>
            <b/>
            <sz val="9"/>
            <color indexed="81"/>
            <rFont val="Tahoma"/>
            <family val="2"/>
          </rPr>
          <t>0 Día(s)
1 Mes (s)
2 Año(s)</t>
        </r>
      </text>
    </comment>
    <comment ref="Y951" authorId="0">
      <text>
        <r>
          <rPr>
            <sz val="9"/>
            <color indexed="81"/>
            <rFont val="Tahoma"/>
            <family val="2"/>
          </rPr>
          <t>0 Recursos propios 
1 Presupuesto de entidad nacional
2 Regalías
3 Recursos de crédito
4 SGP
5 No Aplica</t>
        </r>
      </text>
    </comment>
    <comment ref="AD951" authorId="0">
      <text>
        <r>
          <rPr>
            <b/>
            <sz val="9"/>
            <color indexed="81"/>
            <rFont val="Tahoma"/>
            <family val="2"/>
          </rPr>
          <t>0 No
1 Sí</t>
        </r>
      </text>
    </comment>
    <comment ref="AE951" authorId="0">
      <text>
        <r>
          <rPr>
            <sz val="9"/>
            <color indexed="81"/>
            <rFont val="Tahoma"/>
            <family val="2"/>
          </rPr>
          <t xml:space="preserve">
0 NA
1 No solicitadas
2 Solicitadas
3 Aprobadas</t>
        </r>
      </text>
    </comment>
    <comment ref="V952" authorId="0">
      <text>
        <r>
          <rPr>
            <b/>
            <sz val="9"/>
            <color indexed="81"/>
            <rFont val="Tahoma"/>
            <family val="2"/>
          </rPr>
          <t>0 Día(s)
1 Mes (s)
2 Año(s)</t>
        </r>
      </text>
    </comment>
    <comment ref="Y952" authorId="0">
      <text>
        <r>
          <rPr>
            <sz val="9"/>
            <color indexed="81"/>
            <rFont val="Tahoma"/>
            <family val="2"/>
          </rPr>
          <t>0 Recursos propios 
1 Presupuesto de entidad nacional
2 Regalías
3 Recursos de crédito
4 SGP
5 No Aplica</t>
        </r>
      </text>
    </comment>
    <comment ref="AD952" authorId="0">
      <text>
        <r>
          <rPr>
            <b/>
            <sz val="9"/>
            <color indexed="81"/>
            <rFont val="Tahoma"/>
            <family val="2"/>
          </rPr>
          <t>0 No
1 Sí</t>
        </r>
      </text>
    </comment>
    <comment ref="AE952" authorId="0">
      <text>
        <r>
          <rPr>
            <sz val="9"/>
            <color indexed="81"/>
            <rFont val="Tahoma"/>
            <family val="2"/>
          </rPr>
          <t xml:space="preserve">
0 NA
1 No solicitadas
2 Solicitadas
3 Aprobadas</t>
        </r>
      </text>
    </comment>
    <comment ref="V953" authorId="0">
      <text>
        <r>
          <rPr>
            <b/>
            <sz val="9"/>
            <color indexed="81"/>
            <rFont val="Tahoma"/>
            <family val="2"/>
          </rPr>
          <t>0 Día(s)
1 Mes (s)
2 Año(s)</t>
        </r>
      </text>
    </comment>
    <comment ref="Y953" authorId="0">
      <text>
        <r>
          <rPr>
            <sz val="9"/>
            <color indexed="81"/>
            <rFont val="Tahoma"/>
            <family val="2"/>
          </rPr>
          <t>0 Recursos propios 
1 Presupuesto de entidad nacional
2 Regalías
3 Recursos de crédito
4 SGP
5 No Aplica</t>
        </r>
      </text>
    </comment>
    <comment ref="AD953" authorId="0">
      <text>
        <r>
          <rPr>
            <b/>
            <sz val="9"/>
            <color indexed="81"/>
            <rFont val="Tahoma"/>
            <family val="2"/>
          </rPr>
          <t>0 No
1 Sí</t>
        </r>
      </text>
    </comment>
    <comment ref="AE953" authorId="0">
      <text>
        <r>
          <rPr>
            <sz val="9"/>
            <color indexed="81"/>
            <rFont val="Tahoma"/>
            <family val="2"/>
          </rPr>
          <t xml:space="preserve">
0 NA
1 No solicitadas
2 Solicitadas
3 Aprobadas</t>
        </r>
      </text>
    </comment>
    <comment ref="V954" authorId="0">
      <text>
        <r>
          <rPr>
            <b/>
            <sz val="9"/>
            <color indexed="81"/>
            <rFont val="Tahoma"/>
            <family val="2"/>
          </rPr>
          <t>0 Día(s)
1 Mes (s)
2 Año(s)</t>
        </r>
      </text>
    </comment>
    <comment ref="Y954" authorId="0">
      <text>
        <r>
          <rPr>
            <sz val="9"/>
            <color indexed="81"/>
            <rFont val="Tahoma"/>
            <family val="2"/>
          </rPr>
          <t>0 Recursos propios 
1 Presupuesto de entidad nacional
2 Regalías
3 Recursos de crédito
4 SGP
5 No Aplica</t>
        </r>
      </text>
    </comment>
    <comment ref="AD954" authorId="0">
      <text>
        <r>
          <rPr>
            <b/>
            <sz val="9"/>
            <color indexed="81"/>
            <rFont val="Tahoma"/>
            <family val="2"/>
          </rPr>
          <t>0 No
1 Sí</t>
        </r>
      </text>
    </comment>
    <comment ref="AE954" authorId="0">
      <text>
        <r>
          <rPr>
            <sz val="9"/>
            <color indexed="81"/>
            <rFont val="Tahoma"/>
            <family val="2"/>
          </rPr>
          <t xml:space="preserve">
0 NA
1 No solicitadas
2 Solicitadas
3 Aprobadas</t>
        </r>
      </text>
    </comment>
    <comment ref="V955" authorId="0">
      <text>
        <r>
          <rPr>
            <b/>
            <sz val="9"/>
            <color indexed="81"/>
            <rFont val="Tahoma"/>
            <family val="2"/>
          </rPr>
          <t>0 Día(s)
1 Mes (s)
2 Año(s)</t>
        </r>
      </text>
    </comment>
    <comment ref="Y955" authorId="0">
      <text>
        <r>
          <rPr>
            <sz val="9"/>
            <color indexed="81"/>
            <rFont val="Tahoma"/>
            <family val="2"/>
          </rPr>
          <t>0 Recursos propios 
1 Presupuesto de entidad nacional
2 Regalías
3 Recursos de crédito
4 SGP
5 No Aplica</t>
        </r>
      </text>
    </comment>
    <comment ref="AD955" authorId="0">
      <text>
        <r>
          <rPr>
            <b/>
            <sz val="9"/>
            <color indexed="81"/>
            <rFont val="Tahoma"/>
            <family val="2"/>
          </rPr>
          <t>0 No
1 Sí</t>
        </r>
      </text>
    </comment>
    <comment ref="AE955" authorId="0">
      <text>
        <r>
          <rPr>
            <sz val="9"/>
            <color indexed="81"/>
            <rFont val="Tahoma"/>
            <family val="2"/>
          </rPr>
          <t xml:space="preserve">
0 NA
1 No solicitadas
2 Solicitadas
3 Aprobadas</t>
        </r>
      </text>
    </comment>
    <comment ref="V956" authorId="0">
      <text>
        <r>
          <rPr>
            <b/>
            <sz val="9"/>
            <color indexed="81"/>
            <rFont val="Tahoma"/>
            <family val="2"/>
          </rPr>
          <t>0 Día(s)
1 Mes (s)
2 Año(s)</t>
        </r>
      </text>
    </comment>
    <comment ref="Y956" authorId="0">
      <text>
        <r>
          <rPr>
            <sz val="9"/>
            <color indexed="81"/>
            <rFont val="Tahoma"/>
            <family val="2"/>
          </rPr>
          <t>0 Recursos propios 
1 Presupuesto de entidad nacional
2 Regalías
3 Recursos de crédito
4 SGP
5 No Aplica</t>
        </r>
      </text>
    </comment>
    <comment ref="AD956" authorId="0">
      <text>
        <r>
          <rPr>
            <b/>
            <sz val="9"/>
            <color indexed="81"/>
            <rFont val="Tahoma"/>
            <family val="2"/>
          </rPr>
          <t>0 No
1 Sí</t>
        </r>
      </text>
    </comment>
    <comment ref="AE956" authorId="0">
      <text>
        <r>
          <rPr>
            <sz val="9"/>
            <color indexed="81"/>
            <rFont val="Tahoma"/>
            <family val="2"/>
          </rPr>
          <t xml:space="preserve">
0 NA
1 No solicitadas
2 Solicitadas
3 Aprobadas</t>
        </r>
      </text>
    </comment>
    <comment ref="V957" authorId="0">
      <text>
        <r>
          <rPr>
            <b/>
            <sz val="9"/>
            <color indexed="81"/>
            <rFont val="Tahoma"/>
            <family val="2"/>
          </rPr>
          <t>0 Día(s)
1 Mes (s)
2 Año(s)</t>
        </r>
      </text>
    </comment>
    <comment ref="Y957" authorId="0">
      <text>
        <r>
          <rPr>
            <sz val="9"/>
            <color indexed="81"/>
            <rFont val="Tahoma"/>
            <family val="2"/>
          </rPr>
          <t>0 Recursos propios 
1 Presupuesto de entidad nacional
2 Regalías
3 Recursos de crédito
4 SGP
5 No Aplica</t>
        </r>
      </text>
    </comment>
    <comment ref="AD957" authorId="0">
      <text>
        <r>
          <rPr>
            <b/>
            <sz val="9"/>
            <color indexed="81"/>
            <rFont val="Tahoma"/>
            <family val="2"/>
          </rPr>
          <t>0 No
1 Sí</t>
        </r>
      </text>
    </comment>
    <comment ref="AE957" authorId="0">
      <text>
        <r>
          <rPr>
            <sz val="9"/>
            <color indexed="81"/>
            <rFont val="Tahoma"/>
            <family val="2"/>
          </rPr>
          <t xml:space="preserve">
0 NA
1 No solicitadas
2 Solicitadas
3 Aprobadas</t>
        </r>
      </text>
    </comment>
    <comment ref="V958" authorId="0">
      <text>
        <r>
          <rPr>
            <b/>
            <sz val="9"/>
            <color indexed="81"/>
            <rFont val="Tahoma"/>
            <family val="2"/>
          </rPr>
          <t>0 Día(s)
1 Mes (s)
2 Año(s)</t>
        </r>
      </text>
    </comment>
    <comment ref="Y958" authorId="0">
      <text>
        <r>
          <rPr>
            <sz val="9"/>
            <color indexed="81"/>
            <rFont val="Tahoma"/>
            <family val="2"/>
          </rPr>
          <t>0 Recursos propios 
1 Presupuesto de entidad nacional
2 Regalías
3 Recursos de crédito
4 SGP
5 No Aplica</t>
        </r>
      </text>
    </comment>
    <comment ref="AD958" authorId="0">
      <text>
        <r>
          <rPr>
            <b/>
            <sz val="9"/>
            <color indexed="81"/>
            <rFont val="Tahoma"/>
            <family val="2"/>
          </rPr>
          <t>0 No
1 Sí</t>
        </r>
      </text>
    </comment>
    <comment ref="AE958" authorId="0">
      <text>
        <r>
          <rPr>
            <sz val="9"/>
            <color indexed="81"/>
            <rFont val="Tahoma"/>
            <family val="2"/>
          </rPr>
          <t xml:space="preserve">
0 NA
1 No solicitadas
2 Solicitadas
3 Aprobadas</t>
        </r>
      </text>
    </comment>
    <comment ref="V959" authorId="0">
      <text>
        <r>
          <rPr>
            <b/>
            <sz val="9"/>
            <color indexed="81"/>
            <rFont val="Tahoma"/>
            <family val="2"/>
          </rPr>
          <t>0 Día(s)
1 Mes (s)
2 Año(s)</t>
        </r>
      </text>
    </comment>
    <comment ref="Y959" authorId="0">
      <text>
        <r>
          <rPr>
            <sz val="9"/>
            <color indexed="81"/>
            <rFont val="Tahoma"/>
            <family val="2"/>
          </rPr>
          <t>0 Recursos propios 
1 Presupuesto de entidad nacional
2 Regalías
3 Recursos de crédito
4 SGP
5 No Aplica</t>
        </r>
      </text>
    </comment>
    <comment ref="AD959" authorId="0">
      <text>
        <r>
          <rPr>
            <b/>
            <sz val="9"/>
            <color indexed="81"/>
            <rFont val="Tahoma"/>
            <family val="2"/>
          </rPr>
          <t>0 No
1 Sí</t>
        </r>
      </text>
    </comment>
    <comment ref="AE959" authorId="0">
      <text>
        <r>
          <rPr>
            <sz val="9"/>
            <color indexed="81"/>
            <rFont val="Tahoma"/>
            <family val="2"/>
          </rPr>
          <t xml:space="preserve">
0 NA
1 No solicitadas
2 Solicitadas
3 Aprobadas</t>
        </r>
      </text>
    </comment>
    <comment ref="V961" authorId="0">
      <text>
        <r>
          <rPr>
            <b/>
            <sz val="9"/>
            <color indexed="81"/>
            <rFont val="Tahoma"/>
            <family val="2"/>
          </rPr>
          <t>0 Día(s)
1 Mes (s)
2 Año(s)</t>
        </r>
      </text>
    </comment>
    <comment ref="Y961" authorId="0">
      <text>
        <r>
          <rPr>
            <sz val="9"/>
            <color indexed="81"/>
            <rFont val="Tahoma"/>
            <family val="2"/>
          </rPr>
          <t>0 Recursos propios 
1 Presupuesto de entidad nacional
2 Regalías
3 Recursos de crédito
4 SGP
5 No Aplica</t>
        </r>
      </text>
    </comment>
    <comment ref="AD961" authorId="0">
      <text>
        <r>
          <rPr>
            <b/>
            <sz val="9"/>
            <color indexed="81"/>
            <rFont val="Tahoma"/>
            <family val="2"/>
          </rPr>
          <t>0 No
1 Sí</t>
        </r>
      </text>
    </comment>
    <comment ref="AE961" authorId="0">
      <text>
        <r>
          <rPr>
            <sz val="9"/>
            <color indexed="81"/>
            <rFont val="Tahoma"/>
            <family val="2"/>
          </rPr>
          <t xml:space="preserve">
0 NA
1 No solicitadas
2 Solicitadas
3 Aprobadas</t>
        </r>
      </text>
    </comment>
    <comment ref="V962" authorId="0">
      <text>
        <r>
          <rPr>
            <b/>
            <sz val="9"/>
            <color indexed="81"/>
            <rFont val="Tahoma"/>
            <family val="2"/>
          </rPr>
          <t>0 Día(s)
1 Mes (s)
2 Año(s)</t>
        </r>
      </text>
    </comment>
    <comment ref="Y962" authorId="0">
      <text>
        <r>
          <rPr>
            <sz val="9"/>
            <color indexed="81"/>
            <rFont val="Tahoma"/>
            <family val="2"/>
          </rPr>
          <t>0 Recursos propios 
1 Presupuesto de entidad nacional
2 Regalías
3 Recursos de crédito
4 SGP
5 No Aplica</t>
        </r>
      </text>
    </comment>
    <comment ref="AD962" authorId="0">
      <text>
        <r>
          <rPr>
            <b/>
            <sz val="9"/>
            <color indexed="81"/>
            <rFont val="Tahoma"/>
            <family val="2"/>
          </rPr>
          <t>0 No
1 Sí</t>
        </r>
      </text>
    </comment>
    <comment ref="AE962" authorId="0">
      <text>
        <r>
          <rPr>
            <sz val="9"/>
            <color indexed="81"/>
            <rFont val="Tahoma"/>
            <family val="2"/>
          </rPr>
          <t xml:space="preserve">
0 NA
1 No solicitadas
2 Solicitadas
3 Aprobadas</t>
        </r>
      </text>
    </comment>
    <comment ref="V963" authorId="0">
      <text>
        <r>
          <rPr>
            <b/>
            <sz val="9"/>
            <color indexed="81"/>
            <rFont val="Tahoma"/>
            <family val="2"/>
          </rPr>
          <t>0 Día(s)
1 Mes (s)
2 Año(s)</t>
        </r>
      </text>
    </comment>
    <comment ref="Y963" authorId="0">
      <text>
        <r>
          <rPr>
            <sz val="9"/>
            <color indexed="81"/>
            <rFont val="Tahoma"/>
            <family val="2"/>
          </rPr>
          <t>0 Recursos propios 
1 Presupuesto de entidad nacional
2 Regalías
3 Recursos de crédito
4 SGP
5 No Aplica</t>
        </r>
      </text>
    </comment>
    <comment ref="AD963" authorId="0">
      <text>
        <r>
          <rPr>
            <b/>
            <sz val="9"/>
            <color indexed="81"/>
            <rFont val="Tahoma"/>
            <family val="2"/>
          </rPr>
          <t>0 No
1 Sí</t>
        </r>
      </text>
    </comment>
    <comment ref="AE963" authorId="0">
      <text>
        <r>
          <rPr>
            <sz val="9"/>
            <color indexed="81"/>
            <rFont val="Tahoma"/>
            <family val="2"/>
          </rPr>
          <t xml:space="preserve">
0 NA
1 No solicitadas
2 Solicitadas
3 Aprobadas</t>
        </r>
      </text>
    </comment>
    <comment ref="V964" authorId="0">
      <text>
        <r>
          <rPr>
            <b/>
            <sz val="9"/>
            <color indexed="81"/>
            <rFont val="Tahoma"/>
            <family val="2"/>
          </rPr>
          <t>0 Día(s)
1 Mes (s)
2 Año(s)</t>
        </r>
      </text>
    </comment>
    <comment ref="Y964" authorId="0">
      <text>
        <r>
          <rPr>
            <sz val="9"/>
            <color indexed="81"/>
            <rFont val="Tahoma"/>
            <family val="2"/>
          </rPr>
          <t>0 Recursos propios 
1 Presupuesto de entidad nacional
2 Regalías
3 Recursos de crédito
4 SGP
5 No Aplica</t>
        </r>
      </text>
    </comment>
    <comment ref="AD964" authorId="0">
      <text>
        <r>
          <rPr>
            <b/>
            <sz val="9"/>
            <color indexed="81"/>
            <rFont val="Tahoma"/>
            <family val="2"/>
          </rPr>
          <t>0 No
1 Sí</t>
        </r>
      </text>
    </comment>
    <comment ref="AE964" authorId="0">
      <text>
        <r>
          <rPr>
            <sz val="9"/>
            <color indexed="81"/>
            <rFont val="Tahoma"/>
            <family val="2"/>
          </rPr>
          <t xml:space="preserve">
0 NA
1 No solicitadas
2 Solicitadas
3 Aprobadas</t>
        </r>
      </text>
    </comment>
    <comment ref="V965" authorId="0">
      <text>
        <r>
          <rPr>
            <b/>
            <sz val="9"/>
            <color indexed="81"/>
            <rFont val="Tahoma"/>
            <family val="2"/>
          </rPr>
          <t>0 Día(s)
1 Mes (s)
2 Año(s)</t>
        </r>
      </text>
    </comment>
    <comment ref="Y965" authorId="0">
      <text>
        <r>
          <rPr>
            <sz val="9"/>
            <color indexed="81"/>
            <rFont val="Tahoma"/>
            <family val="2"/>
          </rPr>
          <t>0 Recursos propios 
1 Presupuesto de entidad nacional
2 Regalías
3 Recursos de crédito
4 SGP
5 No Aplica</t>
        </r>
      </text>
    </comment>
    <comment ref="AD965" authorId="0">
      <text>
        <r>
          <rPr>
            <b/>
            <sz val="9"/>
            <color indexed="81"/>
            <rFont val="Tahoma"/>
            <family val="2"/>
          </rPr>
          <t>0 No
1 Sí</t>
        </r>
      </text>
    </comment>
    <comment ref="AE965" authorId="0">
      <text>
        <r>
          <rPr>
            <sz val="9"/>
            <color indexed="81"/>
            <rFont val="Tahoma"/>
            <family val="2"/>
          </rPr>
          <t xml:space="preserve">
0 NA
1 No solicitadas
2 Solicitadas
3 Aprobadas</t>
        </r>
      </text>
    </comment>
    <comment ref="V966" authorId="0">
      <text>
        <r>
          <rPr>
            <b/>
            <sz val="9"/>
            <color indexed="81"/>
            <rFont val="Tahoma"/>
            <family val="2"/>
          </rPr>
          <t>0 Día(s)
1 Mes (s)
2 Año(s)</t>
        </r>
      </text>
    </comment>
    <comment ref="Y966" authorId="0">
      <text>
        <r>
          <rPr>
            <sz val="9"/>
            <color indexed="81"/>
            <rFont val="Tahoma"/>
            <family val="2"/>
          </rPr>
          <t>0 Recursos propios 
1 Presupuesto de entidad nacional
2 Regalías
3 Recursos de crédito
4 SGP
5 No Aplica</t>
        </r>
      </text>
    </comment>
    <comment ref="AD966" authorId="0">
      <text>
        <r>
          <rPr>
            <b/>
            <sz val="9"/>
            <color indexed="81"/>
            <rFont val="Tahoma"/>
            <family val="2"/>
          </rPr>
          <t>0 No
1 Sí</t>
        </r>
      </text>
    </comment>
    <comment ref="AE966" authorId="0">
      <text>
        <r>
          <rPr>
            <sz val="9"/>
            <color indexed="81"/>
            <rFont val="Tahoma"/>
            <family val="2"/>
          </rPr>
          <t xml:space="preserve">
0 NA
1 No solicitadas
2 Solicitadas
3 Aprobadas</t>
        </r>
      </text>
    </comment>
    <comment ref="V967" authorId="0">
      <text>
        <r>
          <rPr>
            <b/>
            <sz val="9"/>
            <color indexed="81"/>
            <rFont val="Tahoma"/>
            <family val="2"/>
          </rPr>
          <t>0 Día(s)
1 Mes (s)
2 Año(s)</t>
        </r>
      </text>
    </comment>
    <comment ref="Y967" authorId="0">
      <text>
        <r>
          <rPr>
            <sz val="9"/>
            <color indexed="81"/>
            <rFont val="Tahoma"/>
            <family val="2"/>
          </rPr>
          <t>0 Recursos propios 
1 Presupuesto de entidad nacional
2 Regalías
3 Recursos de crédito
4 SGP
5 No Aplica</t>
        </r>
      </text>
    </comment>
    <comment ref="AD967" authorId="0">
      <text>
        <r>
          <rPr>
            <b/>
            <sz val="9"/>
            <color indexed="81"/>
            <rFont val="Tahoma"/>
            <family val="2"/>
          </rPr>
          <t>0 No
1 Sí</t>
        </r>
      </text>
    </comment>
    <comment ref="AE967" authorId="0">
      <text>
        <r>
          <rPr>
            <sz val="9"/>
            <color indexed="81"/>
            <rFont val="Tahoma"/>
            <family val="2"/>
          </rPr>
          <t xml:space="preserve">
0 NA
1 No solicitadas
2 Solicitadas
3 Aprobadas</t>
        </r>
      </text>
    </comment>
  </commentList>
</comments>
</file>

<file path=xl/comments3.xml><?xml version="1.0" encoding="utf-8"?>
<comments xmlns="http://schemas.openxmlformats.org/spreadsheetml/2006/main">
  <authors>
    <author>JCTR</author>
  </authors>
  <commentList>
    <comment ref="H25" authorId="0">
      <text>
        <r>
          <rPr>
            <b/>
            <sz val="9"/>
            <color indexed="81"/>
            <rFont val="Tahoma"/>
            <family val="2"/>
          </rPr>
          <t>JCTR:</t>
        </r>
        <r>
          <rPr>
            <sz val="9"/>
            <color indexed="81"/>
            <rFont val="Tahoma"/>
            <family val="2"/>
          </rPr>
          <t xml:space="preserve">
Se solicita Adición del componente en traslado desde apoyo transversal (ARL) por 2.606.000
Se solicita reducción del componente en 35.900.583 desde Apoyo Transversal
</t>
        </r>
      </text>
    </comment>
  </commentList>
</comments>
</file>

<file path=xl/sharedStrings.xml><?xml version="1.0" encoding="utf-8"?>
<sst xmlns="http://schemas.openxmlformats.org/spreadsheetml/2006/main" count="13841" uniqueCount="1821">
  <si>
    <t>Presupuesto</t>
  </si>
  <si>
    <t>Concepto de Gasto</t>
  </si>
  <si>
    <t>Fuente</t>
  </si>
  <si>
    <t>Producto PMR</t>
  </si>
  <si>
    <t>GIROS TOTAL</t>
  </si>
  <si>
    <t xml:space="preserve">Componentes </t>
  </si>
  <si>
    <t xml:space="preserve">OBJETIVO: </t>
  </si>
  <si>
    <t xml:space="preserve">RESPONSABLE: </t>
  </si>
  <si>
    <t xml:space="preserve">ESTRATEGIA: </t>
  </si>
  <si>
    <t xml:space="preserve">Modificaciones: </t>
  </si>
  <si>
    <t>Programacion PMR</t>
  </si>
  <si>
    <t xml:space="preserve">Fecha de Actualización:  </t>
  </si>
  <si>
    <t>Indique el PMR</t>
  </si>
  <si>
    <t>Meta Plan de Desarrollo         2016-2020</t>
  </si>
  <si>
    <t>TOTAL INVERSION 2016</t>
  </si>
  <si>
    <t>DE-F-6 V2 XX/09/2017</t>
  </si>
  <si>
    <t>Subdirectora de Divulgación</t>
  </si>
  <si>
    <t>Formar estudiantes y docentes que apropien, valoren, conserven y divulguen el patrimonio cultural de la ciudad.</t>
  </si>
  <si>
    <t>Permitir a la ciudadanía de las zonas urbanas y rurales, mejores oportunidades para su desarrollo en condiciones de igualdad.</t>
  </si>
  <si>
    <t xml:space="preserve">3-3-1-15-1-11-1024-124 </t>
  </si>
  <si>
    <t>Fomentar el sentido de pertenencia por el patrimonio cultural de la ciudad, como factor de desarrollo socio - cultural de la ciudadanía.</t>
  </si>
  <si>
    <t>Orientar la oferta del sector hacia la promoción de nuevas percepciones, actitudes y hábitos ciudadanos que favorezcan la acción colectiva para el cuidado del entorno, el disfrute del espacio público como un patrimonio común.</t>
  </si>
  <si>
    <t>Plan de Desarrollo Bogotá Mejor Para Todos</t>
  </si>
  <si>
    <t>PLAN DE ACCION PRESUPUESTO DE INVERSION 2017</t>
  </si>
  <si>
    <t>PILAR O EJE: 03 Construcción de comunidad y cultura ciudadana</t>
  </si>
  <si>
    <t>PROGRAMA: 25 Cambio cultural y construcción del tejido social para la vida</t>
  </si>
  <si>
    <t>Proyecto estratégico:  158 Valoración y apropiación social del patrimonio cultural</t>
  </si>
  <si>
    <t>1107. Divulgación y apropiación del patrimonio cultural del Distrito Capital</t>
  </si>
  <si>
    <t>PILAR O EJE: 01 Igualdad de calidad de vida</t>
  </si>
  <si>
    <t>PROGRAMA: 11 Mejores oportunidades para el desarrollo a través de la cultura, la recreación y el deporte</t>
  </si>
  <si>
    <t>Proyecto estratégico:  124 Formación para la transformación del ser</t>
  </si>
  <si>
    <t>Proyecto Entidad: 1024  Formación en patrimonio cultural</t>
  </si>
  <si>
    <t xml:space="preserve">(3-3-1-15-3-25-1107-158 </t>
  </si>
  <si>
    <t>PILAR O EJE: 07 Gobierno legítimo, fortalecimiento local y eficiencia</t>
  </si>
  <si>
    <t>PROGRAMA: 42 Transparencia, gestión pública y servicio a la ciudadanía</t>
  </si>
  <si>
    <t>Proyecto estratégico:  185 Fortalecimiento a la gestión publica efectiva y eficiente</t>
  </si>
  <si>
    <t>Proyecto Entidad: 1110. Fortalecimiento y desarrollo de la gestión institucional</t>
  </si>
  <si>
    <t>Subdirector de Gestión Corporativa</t>
  </si>
  <si>
    <t>Fortalecer la gestión institucional, mediante la implementación, el mantenimiento y la sostenibilidad del Sistema Integrado de Gestión, con el fin de promover la mejora en los servicios ofrecidos a la ciudadanía y el cumplimiento de la misión institucional.</t>
  </si>
  <si>
    <t>Implementación de modelo de gobierno abierto para el Distrito Capital</t>
  </si>
  <si>
    <t>3-3-1-15-7-42-1110-185</t>
  </si>
  <si>
    <t>PILAR O EJE: 02 Democracia urbana</t>
  </si>
  <si>
    <t>PROGRAMA: 17 Espacio público, derecho de todos</t>
  </si>
  <si>
    <t>Proyecto estratégico: 140 Recuperación del patrimonio material de la ciudad</t>
  </si>
  <si>
    <t>Proyecto Entidad: 1112. Instrumentos de planeación y gestión para la preservación y sostenibilidad del patrimonio cultural</t>
  </si>
  <si>
    <t>Subdirectora General</t>
  </si>
  <si>
    <t>Determinar acciones de protección, conservación y sostenibilidad en el tiempo, para Bienes de Interés Cultural del Distrito Capital, mediante el estudio, formulación, gestión y adopción de planes, programas e instrumentos de gestión y financiación del patrimonio cultural.</t>
  </si>
  <si>
    <t>Generación de espacio público asociado al desarrollo y fortalecimiento de la infraestructura cultural, patrimonial, recreativa y deportiva de la ciudad.</t>
  </si>
  <si>
    <t>3-3-1-15-2-17-1112-140</t>
  </si>
  <si>
    <t>Subdirector de Intervencion</t>
  </si>
  <si>
    <t>Avanzar en la recuperación, conservación y protección de los bienes muebles e inmuebles que constituyen el patrimonio cultural construido de Bogotá, para su promoción y disfrute por parte de la ciudadanía.</t>
  </si>
  <si>
    <t>Recuperación para el uso adecuado y disfrute del espacio público, sostenibilidad del espacio público, generación del espacio público asociado al desarrollo y fortalecimiento de la infraestructura cultural, patrimonial, recreativa y deportiva de la ciudad</t>
  </si>
  <si>
    <t xml:space="preserve">3-3-1-15-2-17-1114-140 </t>
  </si>
  <si>
    <t>Museo de Bogotá en operación</t>
  </si>
  <si>
    <t>Activación del patrimonio</t>
  </si>
  <si>
    <t>03 - Recursos Administrados 20 - Administrados de Destinación Específica</t>
  </si>
  <si>
    <t>0185 - Actividades De Investigación Para La Valoración, Protección, Conservación, Sostenibilidad Y Apropiación Del Patrimonio Cultural</t>
  </si>
  <si>
    <t>Alcanzar 1.700.000 asistencias al Museo de Bogotá, a recorridos y rutas patrimoniales y a otras prácticas patrimoniales</t>
  </si>
  <si>
    <t xml:space="preserve">Lograr 545.700 asistentes a la oferta generada por el Instituto en actividades de patrimonio cultural </t>
  </si>
  <si>
    <t>Apoyar 20 iniciativas de la ciudadanía en temas de patrimonio cultural.</t>
  </si>
  <si>
    <t>Ofrecer 1.033 actividades que contribuyan a activar el patrimonio cultural</t>
  </si>
  <si>
    <t xml:space="preserve">13. Oferta cultural para la valoración y divulgación del patrimonio material e  inmaterial de la ciudad </t>
  </si>
  <si>
    <t xml:space="preserve">Bienes de Interés Cultural de tipo inmueble intervenidos </t>
  </si>
  <si>
    <t>01- Recursos del Distrito - 12 Otros Distrito</t>
  </si>
  <si>
    <t>Meta Entidad 2018</t>
  </si>
  <si>
    <t>1.009 Bienes de Interés Cultural (BIC) intervenidos</t>
  </si>
  <si>
    <t xml:space="preserve">Intervenir 172 Bienes de Interés Cultural  (BIC) del D.C. a través de obras de adecuación, ampliación, conservación, consolidación estructural, rehabilitación y mantenimiento y/o restauración  </t>
  </si>
  <si>
    <t>4. Obras de Intervención en Bienes muebles - inmuebles y sectores que conforman el patrimonio cultural del D.C.</t>
  </si>
  <si>
    <t>Bienes de Interés Cultural de tipo inmueble intervenidos (Voto Nacional II etapa naves)</t>
  </si>
  <si>
    <t>Bienes de Interés Cultural de tipo inmueble intervenidos (Convenios Interadministrativos)</t>
  </si>
  <si>
    <t xml:space="preserve">Intervención Monumentos </t>
  </si>
  <si>
    <t>Bienes de Interés Cultural de tipo inmueble intervenidos (sede Casa Tito)</t>
  </si>
  <si>
    <t>Bienes de Interés Cultural de tipo inmueble intervenidos (sede principal)</t>
  </si>
  <si>
    <t>Bienes de Interés Cultural de tipo inmueble intervenidos (Casa Colorada)</t>
  </si>
  <si>
    <t>Bienes de Interés Cultural de tipo inmueble intervenidos (edificio Monumento a los Héroes)</t>
  </si>
  <si>
    <t>Bienes de Interés Cultural de tipo inmueble intervenidos (Plaza Santamaria)</t>
  </si>
  <si>
    <t xml:space="preserve">Asesorar tecnicamente el 100% de las solicitudes para la protección del patrimonio cultural material del D.C. </t>
  </si>
  <si>
    <t>TOTAL INVERSION 2018</t>
  </si>
  <si>
    <t>Concepto</t>
  </si>
  <si>
    <t>´01-12</t>
  </si>
  <si>
    <t>1-01-0525</t>
  </si>
  <si>
    <t>´01-555</t>
  </si>
  <si>
    <t>´03-490</t>
  </si>
  <si>
    <t>´01-41</t>
  </si>
  <si>
    <t>´01-265</t>
  </si>
  <si>
    <t>´03-21</t>
  </si>
  <si>
    <t>´03-20</t>
  </si>
  <si>
    <t>1-03-0103</t>
  </si>
  <si>
    <t>3-04-0316</t>
  </si>
  <si>
    <t>PLAN DE ACCION PRESUPUESTO DE INVERSION 2018</t>
  </si>
  <si>
    <t xml:space="preserve">Fuente </t>
  </si>
  <si>
    <t>´0066</t>
  </si>
  <si>
    <t>´0185</t>
  </si>
  <si>
    <t>´0187</t>
  </si>
  <si>
    <t>Formación en catedra de patrimonio en colegios
del distrito capital</t>
  </si>
  <si>
    <t>Formacion a docentes</t>
  </si>
  <si>
    <t>Sistematizacion de la experiencia</t>
  </si>
  <si>
    <t>Saldo</t>
  </si>
  <si>
    <t>4-01-0187 - Actividades De Formación En Arte, Cultura, Patrimonio, Recreación Y Deporte</t>
  </si>
  <si>
    <t>Realizar 634.250 atenciones a niños, niñas y adolescentes  en el marco del programa Jornada Única  y Tiempo Escolar durante el cuatrenio</t>
  </si>
  <si>
    <t>Atender a 1,179 niños/as y adolescentesa través de la formación en patrimonio cultural dentro del programa de la jornada única y estrategias de uso del tiempo escolar</t>
  </si>
  <si>
    <t>12. Formación en Cátedra de Patrimonio en colegios distritales</t>
  </si>
  <si>
    <t>Sistematizar 1 experiencias de la formación a niños/as, adolescentes y docentes en patrimonio cultural.</t>
  </si>
  <si>
    <t>Transparencia y atención a la ciudadanía</t>
  </si>
  <si>
    <t>Adquisición de equipos, materiales y suministros</t>
  </si>
  <si>
    <t>Incrementar a un 90% la sostenibilidad del sistema integrado de gestión, para prestar un mejor servicio en la atención a la ciudadanía.</t>
  </si>
  <si>
    <t>10. Procesos articulados dentro del sistema integrado de gestión.</t>
  </si>
  <si>
    <t>Incrementar a un 70% la sostenibilidad del sistema integrado de gestión, para prestar un mejor servicio en la atención a la ciudadanía.</t>
  </si>
  <si>
    <t>Mantener el 100% de las sedes misionales a cargo de la entidad.</t>
  </si>
  <si>
    <t xml:space="preserve">Administración y mantenimiento de escenarios culturales  </t>
  </si>
  <si>
    <t>Adquisición de Vehículo</t>
  </si>
  <si>
    <t>Formular el Plan Especial de Manejo y Protección del Centro Historico</t>
  </si>
  <si>
    <t>15. Instrumentos técnicos de gestión para la preservación del patrimonio cultural</t>
  </si>
  <si>
    <t>Formular y adoptar 0,90 del Plan Especial de Manejo y Protección del Centro Histórico</t>
  </si>
  <si>
    <t>Formular el 1,5 de planes urbanos en ambitos patrimoniales</t>
  </si>
  <si>
    <t>Formular y adoptar 2 instrumentos de financiamiento para la recuperación y sostenibilidad del patrimonio
cultural.</t>
  </si>
  <si>
    <t>Meta plan de desarrollo</t>
  </si>
  <si>
    <t>Atender 4.343 formadores en las áreas de patrimonio, artes, recreación y deporte</t>
  </si>
  <si>
    <t>Realizar 20 procesos de investigación, sistematización y memoria</t>
  </si>
  <si>
    <t>Meta Entidad</t>
  </si>
  <si>
    <t>Aserorar tecnicamente el 100 % De Las Solicitudes para la proteccion del Patrimonio Cultural Material del Distrito Capital</t>
  </si>
  <si>
    <t>Componentes</t>
  </si>
  <si>
    <t>Estímulos a iniciativas de la ciudadanía en temas de patrimonio cultural</t>
  </si>
  <si>
    <t>Fortalecimiento de los subsistemas del sistema integrado de gestión</t>
  </si>
  <si>
    <t>Personal de apoyo transversal a la gestión institucional</t>
  </si>
  <si>
    <t>Desarrollar actividades de comunicación e información</t>
  </si>
  <si>
    <t>Plan especial de manejo y protección del centro histórico</t>
  </si>
  <si>
    <t>Planes y proyectos urbanos en ámbitos patrimoniales</t>
  </si>
  <si>
    <t>Instrumentos de gestión, financiación e incentivos para la recuperación y sostenibilidad del patrimonio cultural</t>
  </si>
  <si>
    <t>Bienes de Interés Cultural de tipo inmueble intervenidos (Estudios de Consultoria)</t>
  </si>
  <si>
    <t>Bienes de Interés Cultural de tipo inmueble intervenidos - (Palacio Liévano - obras de restauración fachadas)</t>
  </si>
  <si>
    <t>Bienes de Interés Cultural de tipo inmueble intervenidos (Edificio Claustro del Concejo de Bogotá - construcción rampa de acceso al edificio)</t>
  </si>
  <si>
    <t>Bienes de Interés Cultural de tipo inmueble intervenidos (Ermita de San Miguel - Calle del embudo)</t>
  </si>
  <si>
    <t>Bienes de Interés Cultural de tipo inmueble intervenidos (Apoyo Transversal)</t>
  </si>
  <si>
    <t>Programa Enlucimiento de fachadas</t>
  </si>
  <si>
    <t>Actividades de seguimiento arqueológico en intervenciones y acciones sobre bienes de interés cultural</t>
  </si>
  <si>
    <t>Asesoría técnica para la protección y promoción del patrimonio cultural material del distrito capita</t>
  </si>
  <si>
    <t>Fuentes</t>
  </si>
  <si>
    <t>01- Recursos del Distrto  12 - Otros Distrito</t>
  </si>
  <si>
    <t>01 - Recursos del Distrito  265 - Recursos de Balance Plusvalía</t>
  </si>
  <si>
    <t>01 - Recursos del Distrito  41 - Plusvalía</t>
  </si>
  <si>
    <t>01 - Recursos del Distrito  555 - Impuesto al Consumo de Telefonía Movil</t>
  </si>
  <si>
    <t>03 - Recursos Administrados  20 - Administrados de Destinación Específica</t>
  </si>
  <si>
    <t>03 - Recursos Administrados  21 - Administrados de Libre Destinación</t>
  </si>
  <si>
    <t>03- Recursos Administrados  490 - Rendimiento Financieros de Libre Destinación</t>
  </si>
  <si>
    <t>Conceptos</t>
  </si>
  <si>
    <t>PLAN ANUAL DE ADQUISICIONES</t>
  </si>
  <si>
    <t>A. INFORMACIÓN GENERAL DE LA ENTIDAD</t>
  </si>
  <si>
    <t>Nombre</t>
  </si>
  <si>
    <t>INSTITUTO DISTRITAL DE PATRIMONIO CULTURAL - IDPC</t>
  </si>
  <si>
    <t>Dirección</t>
  </si>
  <si>
    <t>Teléfono</t>
  </si>
  <si>
    <t>Página web</t>
  </si>
  <si>
    <t>www.idpc.gov.co</t>
  </si>
  <si>
    <t>Misión y visión</t>
  </si>
  <si>
    <t>Perspectiva estratégica</t>
  </si>
  <si>
    <t>Información de contacto</t>
  </si>
  <si>
    <t>Valor total del PAA</t>
  </si>
  <si>
    <t>Límite de contratación menor cuantía</t>
  </si>
  <si>
    <t>Límite de contratación mínima cuantía</t>
  </si>
  <si>
    <t>B. ADQUISICIONES PLANEADAS</t>
  </si>
  <si>
    <t>Código de control</t>
  </si>
  <si>
    <t>Nombre del proyecto</t>
  </si>
  <si>
    <t>Descripción</t>
  </si>
  <si>
    <t>Fecha estimada de inicio de proceso de selección</t>
  </si>
  <si>
    <t xml:space="preserve">Modalidad de selección </t>
  </si>
  <si>
    <t>Fuente de los recursos</t>
  </si>
  <si>
    <t>Concepto de gasto</t>
  </si>
  <si>
    <t>Valor total estimado inicial</t>
  </si>
  <si>
    <t>Crear</t>
  </si>
  <si>
    <t>Aumentar</t>
  </si>
  <si>
    <t>Reducir</t>
  </si>
  <si>
    <t>Nuevo valor estimado</t>
  </si>
  <si>
    <t>Nº CDP</t>
  </si>
  <si>
    <t>Nº RP</t>
  </si>
  <si>
    <t>Fecha RP</t>
  </si>
  <si>
    <t>PROYECTOS</t>
  </si>
  <si>
    <t>1024  Formación en patrimonio cultural</t>
  </si>
  <si>
    <t>1110. Fortalecimiento y desarrollo de la gestión institucional</t>
  </si>
  <si>
    <t>1112. Instrumentos de planeación y gestión para la preservación y sostenibilidad del patrimonio cultural</t>
  </si>
  <si>
    <t>1114. Intervención y conservación de los bienes muebles e inmuebles en sectores de interés cultural del Distrito Capital</t>
  </si>
  <si>
    <t>Licitación Pública</t>
  </si>
  <si>
    <t>Menor Cuantía</t>
  </si>
  <si>
    <t>Mínima Cuantía</t>
  </si>
  <si>
    <t>Subasta Inversa</t>
  </si>
  <si>
    <t>3-3-1-15-01-11-1024-124</t>
  </si>
  <si>
    <t>Componente</t>
  </si>
  <si>
    <t>Código_Proyecto</t>
  </si>
  <si>
    <t>Tipo de Gasto</t>
  </si>
  <si>
    <t>Tipo_Gasto</t>
  </si>
  <si>
    <t>Concepto_Gasto</t>
  </si>
  <si>
    <t>Recurrencia</t>
  </si>
  <si>
    <t>Detalle_Fuente</t>
  </si>
  <si>
    <t>Formación para la transformación del ser</t>
  </si>
  <si>
    <t>04-INVESTIGACION Y ESTUDIOS</t>
  </si>
  <si>
    <t>01-INVESTIGACIÓN BÁSICA APLICADA Y ESTUDIOS PROPIOS DEL SECTOR</t>
  </si>
  <si>
    <t>0187-Actividades de formación en arte, cultura, patrimonio, recreación y deporte</t>
  </si>
  <si>
    <t>01-Recursos del Distrito</t>
  </si>
  <si>
    <t>12-Otros Distrito</t>
  </si>
  <si>
    <t>3-3-1-15-02-17-1112-140</t>
  </si>
  <si>
    <t>Recuperación del patrimonio material de la ciudad</t>
  </si>
  <si>
    <t>0185-Actividades de investigación para la valoración, protección, conservación, sostenibilidad y apropiación del Patrimonio Cultural</t>
  </si>
  <si>
    <t>Fecha estimada de inicio de proceso de selección (mes)</t>
  </si>
  <si>
    <t>Fecha estimada de presentación de ofertas (mes)</t>
  </si>
  <si>
    <t>Duración estimada del contrato (intervalo: días, meses, años)</t>
  </si>
  <si>
    <t>Valor total estimado</t>
  </si>
  <si>
    <t>Valor estimado en la vigencia actual</t>
  </si>
  <si>
    <t>¿Se requieren vigencias futuras?</t>
  </si>
  <si>
    <t>Estado de solicitud de vigencias futuras</t>
  </si>
  <si>
    <t>Unidad de contratación (referencia)</t>
  </si>
  <si>
    <t>Ubicación</t>
  </si>
  <si>
    <t xml:space="preserve">Nombre del responsable </t>
  </si>
  <si>
    <t xml:space="preserve">Teléfono del responsable </t>
  </si>
  <si>
    <t xml:space="preserve">Correo electrónico del responsable </t>
  </si>
  <si>
    <t>3-3-1-15-02-17-1114-140</t>
  </si>
  <si>
    <t>01-INFRAESTRUCTURA</t>
  </si>
  <si>
    <t>01-CONSTRUCCION, ADECUACION Y AMPLIACION DE INFRAESTRUCTURA PROPIA DEL SECTOR</t>
  </si>
  <si>
    <t>265-Recursos de Balance Plusvalía</t>
  </si>
  <si>
    <t>41-Plusvalía</t>
  </si>
  <si>
    <t>555-Impuesto al Consumo de Telefonía Móvil</t>
  </si>
  <si>
    <t>03-Recursos Administrados</t>
  </si>
  <si>
    <t>20-Administrados de Destinación Específica</t>
  </si>
  <si>
    <t>21-Administrados de Libre Destinación</t>
  </si>
  <si>
    <t>490-Rendimientos Financieros de Libre Destinación</t>
  </si>
  <si>
    <t>03-MEJORAMIENTO Y MANTENIMIENTO DE INFRAESTRUCTURA PROPIA DEL SECTOR</t>
  </si>
  <si>
    <t>0103-Administración, mantenimiento y mejoramiento de los bienes muebles e inmuebles ubicados en el espacio público del Distrito Capital</t>
  </si>
  <si>
    <t>03-RECURSO HUMANO</t>
  </si>
  <si>
    <t>04-GASTOS DE PERSONAL OPERATIVO</t>
  </si>
  <si>
    <t>0316-Personal de apoyo para las actividades de valoración, protección y conservación del Patrimonio Cultural</t>
  </si>
  <si>
    <t>3-3-1-15-03-25-1107-158</t>
  </si>
  <si>
    <t>Valoración y apropiación social del patrimonio cultural</t>
  </si>
  <si>
    <t>01-DIVULGACION, ASISTENCIA TECNICA Y CAPACITACION DE LA POBLACION</t>
  </si>
  <si>
    <t>0066-Fomento, apoyo y divulgación de eventos y expresiones artísticas, culturales y del patrimonio</t>
  </si>
  <si>
    <t>3-3-1-15-07-42-1110-185</t>
  </si>
  <si>
    <t>Fortalecimiento a la gestión pública efectiva y eficiente</t>
  </si>
  <si>
    <t>0020-Mantenimiento y mejoramiento de la infraestructura cultural</t>
  </si>
  <si>
    <t>02-DOTACION</t>
  </si>
  <si>
    <t>01-ADQUISICIÓN Y/O PRODUCCIÓN DE EQUIPOS, MATERIALES, SUMINISTROS Y SERVICIOS PROPIOS DEL SECTOR</t>
  </si>
  <si>
    <t>0242-Adquisición de vehículo</t>
  </si>
  <si>
    <t>0114-Adquisición de Equipos, materiales, suministros</t>
  </si>
  <si>
    <t>03-ADQUISICIÓN DE EQUIPOS, MATERIALES, SUMINISTROS Y SERVICIOS ADMISTRATIVOS</t>
  </si>
  <si>
    <t>05-ADMINISTRACION INSTITUCIONAL</t>
  </si>
  <si>
    <t>02-ADMINISTRACIÓN, CONTROL Y ORGANIZACIÓN INSTITUCIONAL PARA APOYO A LA GESTIÓN DEL DISTRITO</t>
  </si>
  <si>
    <t>0020-Personal contratado para las actividades propias de los procesos de mejoramiento de gestión de la entidad</t>
  </si>
  <si>
    <t>0152-Adquisición de equipos y software para el mejoramiento de la gestión institucional</t>
  </si>
  <si>
    <t>Descripción (SECOP)</t>
  </si>
  <si>
    <t>DIAS FERIADOS</t>
  </si>
  <si>
    <t>Acuerdo Marco de Precios</t>
  </si>
  <si>
    <t>Contratación Directa / Prestación de servicios profesionales y de apoyo a la gestión</t>
  </si>
  <si>
    <t>Concurso de Méritos</t>
  </si>
  <si>
    <t>Contratación Directa / Convenio de Asociación</t>
  </si>
  <si>
    <t>Contratación Directa</t>
  </si>
  <si>
    <t>Contratación Directa / Convenio Interadministrativo</t>
  </si>
  <si>
    <t>Contratación Directa / Contrato Interadministrativo</t>
  </si>
  <si>
    <t>Duración de la Contratación</t>
  </si>
  <si>
    <t>Modalidad de selección (Descripción)</t>
  </si>
  <si>
    <t>Códigos UNSPSC (Separados por ";")</t>
  </si>
  <si>
    <t>CCE-02</t>
  </si>
  <si>
    <t>Licitación pública</t>
  </si>
  <si>
    <t>CCE-03</t>
  </si>
  <si>
    <t>Concurso de méritos con precalificación</t>
  </si>
  <si>
    <t>CCE-04</t>
  </si>
  <si>
    <t>CCE-05</t>
  </si>
  <si>
    <t>Contratación directa (con ofertas)</t>
  </si>
  <si>
    <t>CCE-06</t>
  </si>
  <si>
    <t>CCE-07</t>
  </si>
  <si>
    <t>CCE-10</t>
  </si>
  <si>
    <t>Mínima cuantía</t>
  </si>
  <si>
    <t>CCE-16</t>
  </si>
  <si>
    <t>Contratación directa</t>
  </si>
  <si>
    <t>CCE-99</t>
  </si>
  <si>
    <t>Contratación directa / Contrato Interadministrativo</t>
  </si>
  <si>
    <t>Contratación directa / Convenio de Asociación</t>
  </si>
  <si>
    <t>Contratación directa / Convenio Interadministrativo</t>
  </si>
  <si>
    <t>Contratación directa / Prestación de servicios profesionales y de apoyo a la gestión</t>
  </si>
  <si>
    <t>Modalidad</t>
  </si>
  <si>
    <t>ASESORA JURIDICA</t>
  </si>
  <si>
    <t>CO-DC-11001</t>
  </si>
  <si>
    <t>3550800</t>
  </si>
  <si>
    <t>juan.acosta@idpc.gov.co</t>
  </si>
  <si>
    <t>margarita.castaneda@idpc.gov.co</t>
  </si>
  <si>
    <t>maria.villamil@idpc.gov.co</t>
  </si>
  <si>
    <t>Responsable</t>
  </si>
  <si>
    <t>Juan Fernando Acosta Mirkow (Subdirección de Gestión Corporativa)</t>
  </si>
  <si>
    <t>Margarita Lucía Castañeda Vargas (Subdirección de Divulgación)</t>
  </si>
  <si>
    <t>María Victoria Villamil Páez (Subdirección General)</t>
  </si>
  <si>
    <t>Componente SEGPLAN</t>
  </si>
  <si>
    <t>Fuente PREDIS</t>
  </si>
  <si>
    <t>Componente de Gasto</t>
  </si>
  <si>
    <t>Viabilidad</t>
  </si>
  <si>
    <t>Valor CDP</t>
  </si>
  <si>
    <t>Valor RP</t>
  </si>
  <si>
    <t>Saldo RP</t>
  </si>
  <si>
    <t>SALDO</t>
  </si>
  <si>
    <t>Fecha CDP</t>
  </si>
  <si>
    <t>Número de Contrato</t>
  </si>
  <si>
    <t>Tercero</t>
  </si>
  <si>
    <t>PROYECTO</t>
  </si>
  <si>
    <t>MPDD1024 - MPDD1114 - MPDD1112 - MPDD1107 - MPDD1110</t>
  </si>
  <si>
    <t>MPDD1024</t>
  </si>
  <si>
    <t>MPDD1114</t>
  </si>
  <si>
    <t>MPDD1112</t>
  </si>
  <si>
    <t>MPDD1107</t>
  </si>
  <si>
    <t>MPDD1110</t>
  </si>
  <si>
    <t>MPPDD1110</t>
  </si>
  <si>
    <t>MPPDD1024</t>
  </si>
  <si>
    <t>MPPDD1112</t>
  </si>
  <si>
    <t>MPPDD1114</t>
  </si>
  <si>
    <t>MPPDD1107</t>
  </si>
  <si>
    <t>Formación en catedra de patrimonio en colegios del distrito capital</t>
  </si>
  <si>
    <t>PMR</t>
  </si>
  <si>
    <t>13. Oferta cultural para la valoración y divulgación del patrimonio material e  inmaterial de la ciud</t>
  </si>
  <si>
    <t>Monumentos en espacios públicos a intervenir</t>
  </si>
  <si>
    <t>GIROS ENERO</t>
  </si>
  <si>
    <t xml:space="preserve">GIROS FEBRERO </t>
  </si>
  <si>
    <t>GIROS MARZO</t>
  </si>
  <si>
    <t>GIROS ABRIL</t>
  </si>
  <si>
    <t>GIROS MAYO</t>
  </si>
  <si>
    <t>GIROS JUNIO</t>
  </si>
  <si>
    <t>GIROS JULIO</t>
  </si>
  <si>
    <t>GIROS AGOSTO</t>
  </si>
  <si>
    <t>GIROS SEPTIEMBRE</t>
  </si>
  <si>
    <t>GIROS OCTUBRE</t>
  </si>
  <si>
    <t>GIROS NOVIEMBRE</t>
  </si>
  <si>
    <t>GIROS DICIEMBRE</t>
  </si>
  <si>
    <t>A. CAMPOS DEL FORMATO SECOP</t>
  </si>
  <si>
    <t>C. Alineación Clasificación de la Inversión</t>
  </si>
  <si>
    <t>Rubro</t>
  </si>
  <si>
    <t>D. Seguimiento Financiero</t>
  </si>
  <si>
    <t>Funcionamiento Gastos Generales</t>
  </si>
  <si>
    <t>3-1-2-00-00-00-0000-00</t>
  </si>
  <si>
    <t>3-1-1-00-00-00-0000-00</t>
  </si>
  <si>
    <t>01-Recursos del Distrito 12-Otros Distrito</t>
  </si>
  <si>
    <t>01-Recursos del Distrito 265-Recursos de Balance Plusvalía</t>
  </si>
  <si>
    <t>01-Recursos del Distrito 41-Plusvalía</t>
  </si>
  <si>
    <t>01-Recursos del Distrito 555-Impuesto al Consumo de Telefonía Móvil</t>
  </si>
  <si>
    <t>03-Recursos Administrados 20-Administrados de Destinación Específica</t>
  </si>
  <si>
    <t>03-Recursos Administrados 21-Administrados de Libre Destinación</t>
  </si>
  <si>
    <t>03-Recursos Administrados 490-Rendimientos Financieros de Libre Destinación</t>
  </si>
  <si>
    <t>FUENTES</t>
  </si>
  <si>
    <t>CONCEP_PREDIS1024</t>
  </si>
  <si>
    <t>CONCEP_PREDIS1114</t>
  </si>
  <si>
    <t>Código
Concepto PREDIS</t>
  </si>
  <si>
    <t>CONCEP_PREDIS1112</t>
  </si>
  <si>
    <t>CONCEP_PREDIS1107</t>
  </si>
  <si>
    <t>CONCEP_PREDIS1110</t>
  </si>
  <si>
    <t>N.A.</t>
  </si>
  <si>
    <t>Subasta inversa</t>
  </si>
  <si>
    <t>Menor cuantía</t>
  </si>
  <si>
    <t>Acuerdo marco de precios</t>
  </si>
  <si>
    <t>Concurso de méritos</t>
  </si>
  <si>
    <t>No aplica</t>
  </si>
  <si>
    <t>Se incluye en SECOP</t>
  </si>
  <si>
    <t>Cantidad de Procesos</t>
  </si>
  <si>
    <t>Valor CDP's</t>
  </si>
  <si>
    <t>Valor CRP's</t>
  </si>
  <si>
    <t>Valor total Giros</t>
  </si>
  <si>
    <t>Total general</t>
  </si>
  <si>
    <t>Alcanzar 1700.000 asistencias al Museo de Bogotá recorridos, rutas patrimoniales y otras practicas patrimoniales</t>
  </si>
  <si>
    <t>Realizar 634.250 atenciones a niños/as y adolecentes en el marco del programa de Jornada unica y tiempo escolar durante el cuatrenio</t>
  </si>
  <si>
    <t>Atender 4.343 formadores en las areas de patrimnio, artes, recreación y deporte</t>
  </si>
  <si>
    <t>Formular un Plan Especial de Manejo y Proteccion del Centro Historico</t>
  </si>
  <si>
    <t>Incrementar al 90% las sostenibilidad del SIG en el Gobierno Distrital</t>
  </si>
  <si>
    <t>1023  Formación en patrimonio cultural</t>
  </si>
  <si>
    <t>MPDD1023</t>
  </si>
  <si>
    <t>Atender a  4.250  Niños/as Y Adolescentes a través de la formación en Patrimonio Cultural dentro del Programa De La Jornada Única y como sstrategias de uso del tiempo escolar durante el periodo 2016 - 2020.</t>
  </si>
  <si>
    <t>Capacitar a 35 docentes como formadores de la cátedra de patrimonio, dentro del programa de la Jornada Única y como estrategias de uso del tiempo escolar, durante el periodo 2016-2020</t>
  </si>
  <si>
    <t>Sistematizar  cuatro (4) Experiencias de la formación a niños/as, adolescentes y docentes en Patrimonio Cultural.</t>
  </si>
  <si>
    <t>Formular y Adoptar un (1) Plan Especial de Manejo y Protección Del Centro Histórico</t>
  </si>
  <si>
    <t>Formular tres (3) Planes Urbanos en Ámbitos Patrimoniales</t>
  </si>
  <si>
    <t>Formular y Adoptar tres (3) Instrumentos de financiamiento para la recuperación y sostenibilidad del Patrimonio Cultural.</t>
  </si>
  <si>
    <t>Lograr 1.700.000  asistencias a la oferta generada por el Instituto en actividades de Patrimonio Cultural</t>
  </si>
  <si>
    <t>Apoyar 136 iniciativas de la ciudadanía en temas de Patrimonio Cultural, a través de Estímulos</t>
  </si>
  <si>
    <t>Ofrecer 5.920 actividades que contribuyan a activar el Patrimonio Cultural</t>
  </si>
  <si>
    <t>Incrementar a un 90 % la sostenibilidad del Sistema Integrado De Gestión, para prestar un mejor servicio en la atención a la ciudadanía.</t>
  </si>
  <si>
    <t>Mantener el 100% de la sedes misionales de la entidad</t>
  </si>
  <si>
    <t>Atender a 1.179 niños/as y adolescentes a través de la formación en patrimonio cultural dentro del programa de 
jornada única y como estrategias de uso del tiempo escolar durante el
periodo 2016 - 2020.</t>
  </si>
  <si>
    <t>Capacitar a 10 docentes como formadores de la cátedra de patrimonio, dentro del programa de la jornada única y como estrategias de uso del tiempo escolar, durante el
periodo 2016-2020.</t>
  </si>
  <si>
    <t>Sistematizar 1 experiencias de formación a niños/as, adolescentes y docentes en patrimonio cultural</t>
  </si>
  <si>
    <t>Apoyar 40 iniciativas de la ciudadanía en temas de patrimonio cultural.</t>
  </si>
  <si>
    <t>Mantener el 100% de las sedes misionales a cargo de la entidad</t>
  </si>
  <si>
    <t xml:space="preserve">Formular y adoptar 0,30 (0,90) del plan especial de manejo y protección del Centro Histórico </t>
  </si>
  <si>
    <t>Formular 0,95 (1,50) planes y proyectos urbanos en ámbitos patrimoniales</t>
  </si>
  <si>
    <t>Asesorar técnicamente el 100% de las solicitudes para la protección del patrimonio cultural material del Distrito Capital</t>
  </si>
  <si>
    <t>ME20181024</t>
  </si>
  <si>
    <t>ME20181112</t>
  </si>
  <si>
    <t>ME20181114</t>
  </si>
  <si>
    <t>ME20181107</t>
  </si>
  <si>
    <t>ME20181110</t>
  </si>
  <si>
    <t>Administración y mantenimiento de sedes misionales</t>
  </si>
  <si>
    <t>Personal de apoyo transversal - Bienes de Interés Cultural de tipo inmueble intervenidos</t>
  </si>
  <si>
    <t>Asesoría técnica para la protección y promoción del patrimonio cultural material del distrito capital</t>
  </si>
  <si>
    <t>Programa Fachadas</t>
  </si>
  <si>
    <t>Estímulos a iniciativas de la ciudadanía en temas</t>
  </si>
  <si>
    <t>Adquisición de vehículos</t>
  </si>
  <si>
    <t>Bienes de Interés Cultural de tipo inmueble intervenidos (Palacio Liévano -obras de restauración fachada-)</t>
  </si>
  <si>
    <t>Bienes de Interés Cultural de tipo inmueble intervenidos (Edificio Claustro del Concejo de Bogotá -construcción rampa de acceso al edificio-)</t>
  </si>
  <si>
    <t>Bienes de Interés Cultural de tipo inmueble intervenidos (Plaza de mercado La Concorida III etapa de intervención -Galeria de Arte Santafe-)</t>
  </si>
  <si>
    <t>No. Viabilidad</t>
  </si>
  <si>
    <t>Bienes de Interés Cultural de tipo inmueble intervenidos (Templete del Libertador Parque de los Periodistas)</t>
  </si>
  <si>
    <t>Bienes de Interés Cultural de tipo inmueble intervenidos  (Proyecto Plaza de Bolívar en el Distrito Capital)</t>
  </si>
  <si>
    <t>Misión: El Instituto Distrital de Patrimonio Cultural promueve y gestiona la preservación y sostenibilidad del patrimonio cultural de Bogotá, mediante la implementación de estrategias y acciones de identificación, valoración, protección, recuperación y divulgación, con el fin de garantizar el ejercicio efectivo de los derechos patrimoniales y culturales de la ciudadanía y afianzar el sentido de apropiación social del patrimonio cultural. Visión: En el año 2020, el Instituto Distrital de Patrimonio Cultural se ha consolidado como la entidad que gestiona procesos de sostenibilidad del patrimonio cultural como bien colectivo para su reconocimiento, uso y disfrute.</t>
  </si>
  <si>
    <t>Obj. 1.: Fomentar la apropiación social del patrimonio cultural tangible e intangible. Obj. 2.: Gestionar la recuperación de Bienes y Sectores de Interés Cultural en el Distrito Capital. Obj. 3.: Promover la inversión pública y privada con el fin de garantizar la sostenibilidad del patrimonio cultural. Obj. 4.: Divulgar los valores de patrimonio cultural en todo el Distrito Capital. Obj. 5.: Fortalecer la gestión y administración institucional.</t>
  </si>
  <si>
    <t>Nombre Asesoría Jurídica  
Teléfono: 3550800  
Correo electrónico: juridica@idpc.gov.co</t>
  </si>
  <si>
    <t>Casa Fernández: Calle 8 # 8-52</t>
  </si>
  <si>
    <t>Valor Inicial</t>
  </si>
  <si>
    <t>Valor en PAA</t>
  </si>
  <si>
    <t>Diferencia</t>
  </si>
  <si>
    <t>VALIDADOR</t>
  </si>
  <si>
    <t>Valor Viabilidad</t>
  </si>
  <si>
    <t>KEY 1</t>
  </si>
  <si>
    <t>Bienes de Interés Cultural de tipo inmueble intervenidos (Edificio Claustro del Concejo de Bogotá -rampa-)</t>
  </si>
  <si>
    <t>Bienes de Interés Cultural de tipo inmueble intervenidos (La Concorida III etapa  y Galeria de Arte Santafe)</t>
  </si>
  <si>
    <t>Instrumentos de gestión, financiación e incentivos</t>
  </si>
  <si>
    <t>Vo. Bo.</t>
  </si>
  <si>
    <t>MAURICIO URIBE GONZALEZ</t>
  </si>
  <si>
    <t>Director General</t>
  </si>
  <si>
    <t>DORYS PATRICIA NOY</t>
  </si>
  <si>
    <t>Sudirectora de Intervención</t>
  </si>
  <si>
    <t>MARÍA VICTORIA VILLAMIL</t>
  </si>
  <si>
    <t>Código de control 2</t>
  </si>
  <si>
    <t>_CPI1114</t>
  </si>
  <si>
    <t>0525-Recuperación y aprovechamiento de bienes de interés cultural</t>
  </si>
  <si>
    <t>Formación a docentes</t>
  </si>
  <si>
    <t>Sistematización de la experiencia</t>
  </si>
  <si>
    <t>Bienes de Interés Cultural de tipo inmueble intervenidos (Plaza Santamaría)</t>
  </si>
  <si>
    <t>Bienes de Interés Cultural de tipo inmueble intervenidos (La Concordia III etapa  y Galería de Arte Santafé)</t>
  </si>
  <si>
    <t>FESTIVOS</t>
  </si>
  <si>
    <t>Estructuración</t>
  </si>
  <si>
    <t>Proceso de Selección</t>
  </si>
  <si>
    <t>Adjudiación</t>
  </si>
  <si>
    <t>Línea</t>
  </si>
  <si>
    <t>Insumos</t>
  </si>
  <si>
    <t>Equipos</t>
  </si>
  <si>
    <t>Químicos</t>
  </si>
  <si>
    <t>Trasportes</t>
  </si>
  <si>
    <t>Fachada Lievano (Obra)</t>
  </si>
  <si>
    <t>Licitación</t>
  </si>
  <si>
    <t>Fachada Lievano (Interventoría)</t>
  </si>
  <si>
    <t>Concurso de Mértitos</t>
  </si>
  <si>
    <t>Voto (Obra)</t>
  </si>
  <si>
    <t>Voto (Interventoría)</t>
  </si>
  <si>
    <t>Proyecto Plaza de Bolívar</t>
  </si>
  <si>
    <t>Concejo (Rampa)</t>
  </si>
  <si>
    <t>Casa Sede (Etapa 2) (Obra)</t>
  </si>
  <si>
    <t>Casa Sede (Etapa 2) (Interventoría)</t>
  </si>
  <si>
    <t>Casa Tito (Etapa 2) (Obra)</t>
  </si>
  <si>
    <t>Casa Tito (Etapa 2) (Interventoría)</t>
  </si>
  <si>
    <t>Casa Colorada (Obra)</t>
  </si>
  <si>
    <t>Casa Colorada (Consultoría)</t>
  </si>
  <si>
    <t>Héroes</t>
  </si>
  <si>
    <t>Concordia (Obra)</t>
  </si>
  <si>
    <t>Concordia (Interventoría)</t>
  </si>
  <si>
    <t>Plaza de Toros (Obra)</t>
  </si>
  <si>
    <t>Plaza de Toros (Interventoría)</t>
  </si>
  <si>
    <t>AJUSTES DE FECHAS DIANA COVALEDA</t>
  </si>
  <si>
    <t>Tiempo Estimado Jurídica</t>
  </si>
  <si>
    <t>FECHA CRP</t>
  </si>
  <si>
    <t xml:space="preserve"> </t>
  </si>
  <si>
    <t>_CPI1024</t>
  </si>
  <si>
    <t>_CPI1112</t>
  </si>
  <si>
    <t>_CPI1107</t>
  </si>
  <si>
    <t>_CPI1110</t>
  </si>
  <si>
    <t>Mes CRP</t>
  </si>
  <si>
    <t>Observaciones Subdirección General</t>
  </si>
  <si>
    <t>Proyecto Entidad: 1114. Intervención y conservacion de los bienes muebles e inmuebles en sectores de interés cultural del Distrito Capital</t>
  </si>
  <si>
    <t>(Anteproyecto) Formación en catedra de patrimonio en colegios del distrito capital</t>
  </si>
  <si>
    <t>(PAA Vigente) Formación en catedra de patrimonio en colegios del distrito capital</t>
  </si>
  <si>
    <t>(Anteproyecto) Formación a docentes</t>
  </si>
  <si>
    <t>(PAA Vigente) Formación a docentes</t>
  </si>
  <si>
    <t>Capacitar a 10 docentes como formadores de la cátedra de patrimonio, dentro del programa de la jornada única y como estrategias de uso del tiempo escolar</t>
  </si>
  <si>
    <t>(Anteproyecto) Sistematizacion de la experiencia</t>
  </si>
  <si>
    <t>(PAA Vigente) Sistematizacion de la experiencia</t>
  </si>
  <si>
    <t>Nombre del Proceso</t>
  </si>
  <si>
    <t>Direccionamiento Estratégico</t>
  </si>
  <si>
    <t>Código</t>
  </si>
  <si>
    <t xml:space="preserve">    DE-F08</t>
  </si>
  <si>
    <t>Nombre del Formato</t>
  </si>
  <si>
    <t xml:space="preserve">PLAN DE ACCIÓN PRESUPUESTO DE INVERSIÓN </t>
  </si>
  <si>
    <t>Versión</t>
  </si>
  <si>
    <t>(Anteproyecto) Museo de Bogotá en operación</t>
  </si>
  <si>
    <t>(PAA Vigente) Museo de Bogotá en operación</t>
  </si>
  <si>
    <t>(Anteproyecto) Estímulos a iniciativas de la ciudadanía en temas</t>
  </si>
  <si>
    <t>(PAA Vigente) Estímulos a iniciativas de la ciudadanía en temas</t>
  </si>
  <si>
    <t>(Anteproyecto) Activación del patrimonio</t>
  </si>
  <si>
    <t>(PAA Vigente) Activación del patrimonio</t>
  </si>
  <si>
    <t>KEY 2</t>
  </si>
  <si>
    <t>Total PAA</t>
  </si>
  <si>
    <t>Total Anteproyecto</t>
  </si>
  <si>
    <t>(Anteproyecto) Administración y mantenimiento de sedes misionales</t>
  </si>
  <si>
    <t>(PAA VIGENTE) Administración y mantenimiento de sedes misionales</t>
  </si>
  <si>
    <t>(Anteproyecto) Adquisición de equipos, materiales y suministros</t>
  </si>
  <si>
    <t>(PAA VIGENTE) Adquisición de equipos, materiales y suministros</t>
  </si>
  <si>
    <t>(Anteproyecto) Adquisición de vehículos</t>
  </si>
  <si>
    <t>(PAA VIGENTE) Adquisición de vehículos</t>
  </si>
  <si>
    <t>(PAA VIGENTE) Desarrollar actividades de comunicación e información</t>
  </si>
  <si>
    <t>(Anteproyecto) Desarrollar actividades de comunicación e información</t>
  </si>
  <si>
    <t>(Anteproyecto) Fortalecimiento de los subsistemas del sistema integrado de gestión</t>
  </si>
  <si>
    <t>(PAA VIGENTE) Fortalecimiento de los subsistemas del sistema integrado de gestión</t>
  </si>
  <si>
    <t>(Anteproyecto) Personal de apoyo transversal a la gestión institucional</t>
  </si>
  <si>
    <t>(PAA VIGENTE) Personal de apoyo transversal a la gestión institucional</t>
  </si>
  <si>
    <t>(Anteproyecto) Transparencia y atención a la ciudadanía</t>
  </si>
  <si>
    <t>(PAA VIGENTE) Transparencia y atención a la ciudadanía</t>
  </si>
  <si>
    <t>Anteproyecto</t>
  </si>
  <si>
    <t>Anteprotecto</t>
  </si>
  <si>
    <t>(Anteproyecto) Plan especial de manejo y protección del centro histórico</t>
  </si>
  <si>
    <t>(Anteproyecto) Planes y proyectos urbanos en ámbitos patrimoniales</t>
  </si>
  <si>
    <t>(PAA VIGENTE) Planes y proyectos urbanos en ámbitos patrimoniales</t>
  </si>
  <si>
    <t>(PAA VIGENTE) Plan especial de manejo y protección del centro histórico</t>
  </si>
  <si>
    <t>(Anteproyecto) Instrumentos de gestión, financiación e incentivos</t>
  </si>
  <si>
    <t>(PAA VIGENTE) Instrumentos de gestión, financiación e incentivos</t>
  </si>
  <si>
    <t>(ANTEPROYECTO) Bienes de Interés Cultural de tipo inmueble intervenidos (sede Casa Tito)</t>
  </si>
  <si>
    <t>(ANTEPROYECTO) Bienes de Interés Cultural de tipo inmueble intervenidos (sede principal)</t>
  </si>
  <si>
    <t>(ANTEPROYECTO) Bienes de Interés Cultural de tipo inmueble intervenidos (edificio Monumento a los Héroes)</t>
  </si>
  <si>
    <t>(ANTEPROYECTO) Bienes de Interés Cultural de tipo inmueble intervenidos (Plaza Santamaría)</t>
  </si>
  <si>
    <t>(ANTEPROYECTO) Bienes de Interés Cultural de tipo inmueble intervenidos (Templete del Libertador Parque de los Periodistas)</t>
  </si>
  <si>
    <t>(ANTEPROYECTO - Proyectos de Consultoría) Bienes de Interés Cultural de tipo inmueble intervenidos  (Proyecto Plaza de Bolívar en el Distrito Capital)</t>
  </si>
  <si>
    <t>(ANTEPROYECTO) Bienes de Interés Cultural de tipo inmueble intervenidos (Casa Colorada)</t>
  </si>
  <si>
    <t>(ANTEPROYECTO) Bienes de Interés Cultural de tipo inmueble intervenidos (Voto Nacional II etapa naves)</t>
  </si>
  <si>
    <t>(ANTEPROYECTO) Bienes de Interés Cultural de tipo inmueble intervenidos (Palacio Liévano -obras de restauración fachada-)</t>
  </si>
  <si>
    <t>(ANTEPROYECTO) Bienes de Interés Cultural de tipo inmueble intervenidos (Edificio Claustro del Concejo de Bogotá -rampa-)</t>
  </si>
  <si>
    <t>(ANTEPROYECTO) Bienes de Interés Cultural de tipo inmueble intervenidos (La Concordia III etapa  y Galería de Arte Santafé)</t>
  </si>
  <si>
    <t>(ANTEPROYECTO) Bienes de Interés Cultural de tipo inmueble intervenidos (Ermita de San Miguel - Calle del embudo)</t>
  </si>
  <si>
    <t>(ANTEPROYECTO) Personal de apoyo transversal - Bienes de Interés Cultural de tipo inmueble intervenidos</t>
  </si>
  <si>
    <t>(ANTEPROYECTO) Programa Fachadas</t>
  </si>
  <si>
    <t>(ANTEPROYECTO) Actividades de seguimiento arqueológico en intervenciones y acciones sobre bienes de interés cultural</t>
  </si>
  <si>
    <t>(ANTEPROYECTO) Monumentos en espacios públicos a intervenir</t>
  </si>
  <si>
    <t>(ANTEPROYECTO) Asesoría técnica para la protección y promoción del patrimonio cultural material del distrito capital</t>
  </si>
  <si>
    <t>1024-124</t>
  </si>
  <si>
    <t>1112-140</t>
  </si>
  <si>
    <t>1114-140</t>
  </si>
  <si>
    <t>1107-158</t>
  </si>
  <si>
    <t>1110-185</t>
  </si>
  <si>
    <t>01-265</t>
  </si>
  <si>
    <t>01-12</t>
  </si>
  <si>
    <t>03-20</t>
  </si>
  <si>
    <t>01-41</t>
  </si>
  <si>
    <t>01-555</t>
  </si>
  <si>
    <t>03-21</t>
  </si>
  <si>
    <t>03-490</t>
  </si>
  <si>
    <t>Cód. Fuente</t>
  </si>
  <si>
    <t>Key 3</t>
  </si>
  <si>
    <t>GIROS ACUMULADOS</t>
  </si>
  <si>
    <t>Modificaciones</t>
  </si>
  <si>
    <t>VALOR EN CDP</t>
  </si>
  <si>
    <t>VALOR EN CRP</t>
  </si>
  <si>
    <t>%</t>
  </si>
  <si>
    <t>Total P. 1024</t>
  </si>
  <si>
    <t>Total P. 1112</t>
  </si>
  <si>
    <t>Total P. 1107</t>
  </si>
  <si>
    <t>Total P. 1110</t>
  </si>
  <si>
    <t>Total INVERSIÓN</t>
  </si>
  <si>
    <t>Saldo por Comprometer</t>
  </si>
  <si>
    <t>Key 4
Rbr - Fuente - Clasificación</t>
  </si>
  <si>
    <t>Saldo por Concepto</t>
  </si>
  <si>
    <t>Anteproyecto de PPTO</t>
  </si>
  <si>
    <t>Key 5</t>
  </si>
  <si>
    <t>Mes Registro RP</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</si>
  <si>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</si>
  <si>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</si>
  <si>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Duración estimada del contrato (número)</t>
  </si>
  <si>
    <t>Formular y adoptar 0,75 (2) instrumentos de financiamiento para la recuperación y sostenibilidad del patrimonio cultural</t>
  </si>
  <si>
    <t>Ofrecer 1.640 actividades que contribuyan a activar el patrimonio cultural</t>
  </si>
  <si>
    <t>Saldo Apropiacion</t>
  </si>
  <si>
    <t>Bienes de Interés Cultural de tipo inmueble intervenidos (Plaza de mercado La Concorida II etapa de intervención -Galeria de Arte Santafe-)</t>
  </si>
  <si>
    <t>Bienes de Interés Cultural de tipo inmueble intervenidos( Plaza de mercado La Concorida II etapa de intervención  - Galeria de Arte Santafe)</t>
  </si>
  <si>
    <t>Bienes de Interés Cultural de tipo inmueble intervenidos (Voto Nacional II etapa cúpula y presbiterio)</t>
  </si>
  <si>
    <t>Bienes de Interés Cultural de tipo inmueble intervenidos (Voto Nacional II cúpula y presbiterio)</t>
  </si>
  <si>
    <t>Duración estimada del contrato (Número)</t>
  </si>
  <si>
    <t>Diferencia 1</t>
  </si>
  <si>
    <t>Diferencia 2</t>
  </si>
  <si>
    <t>01-Recursos del Distrito 146-Recursos del balance de libre destinación</t>
  </si>
  <si>
    <t>01-146</t>
  </si>
  <si>
    <t>Carolina Fernández Borda (Subdirección de Intervención)</t>
  </si>
  <si>
    <t>carolina.fernandez@idpc.gov.co</t>
  </si>
  <si>
    <t>Bienes de Interés Cultural de tipo inmueble intervenidos (Centro Bicentenario)</t>
  </si>
  <si>
    <t>Intervenir1400 Bienes considerados de interés cultural de Distrito Capital</t>
  </si>
  <si>
    <t>Intervenir 530,5 Bienes de Interés Cultural del Distrito Capital, a través de obras de adecuación, ampliación, conservación, consolidación estructural, rehabilitación, mantenimiento y/o restauración</t>
  </si>
  <si>
    <t>Intervenir 1.400 Bienes De Interés Cultural Del Distrito Capital, a través de obras de adecuación, ampliación, conservación, consolidación estructural, rehabilitación, mantenimiento y/o restauración.</t>
  </si>
  <si>
    <t>Intervenir 1400 Bienes considerados de interés cultural de Distrito Capital</t>
  </si>
  <si>
    <t>Bienes de Interés Cultural de tipo inmueble intervenidos (La Concordia III etapa  y Galería de Arte Santafe)</t>
  </si>
  <si>
    <t>Bienes de Interés Cultural de tipo inmueble intervenidos  (Proyecto Galerías Liévano)</t>
  </si>
  <si>
    <t>N-A</t>
  </si>
  <si>
    <t>0525-recuperación y aprovechamiento de bienes de interés cultural</t>
  </si>
  <si>
    <t>0020-Mantenimiento y Mejoramiento de la infraestructura cultural</t>
  </si>
  <si>
    <t>0242-Adquisición de Vehículo</t>
  </si>
  <si>
    <t>0114-Adquisición de equipos, materiales, suministros</t>
  </si>
  <si>
    <t>Cod</t>
  </si>
  <si>
    <t>Proy</t>
  </si>
  <si>
    <t>Mod</t>
  </si>
  <si>
    <t>MOD</t>
  </si>
  <si>
    <t>Vinculado</t>
  </si>
  <si>
    <t>Total FUENTES 18-DIC</t>
  </si>
  <si>
    <t>Comparación</t>
  </si>
  <si>
    <t>Sí</t>
  </si>
  <si>
    <t>No</t>
  </si>
  <si>
    <t>1024.  Formación en patrimonio cultural</t>
  </si>
  <si>
    <t>Funcionamiento Servicios Personales indirectos</t>
  </si>
  <si>
    <t>80111601;80111600;</t>
  </si>
  <si>
    <t>Prestar servicios profesionales al Instituto Distrital de Patrimonio Cultural para apoyar en la implementación en aula del programa de formación en patrimonio cultural CIVINAUTAS, dirigido a estudiantes de colegios distritales.</t>
  </si>
  <si>
    <t>Prestar servicios profesionales al Instituto Distrital de Patrimonio Cultural para acompañar el componente de apropiación social del patrimonio de los procesos de formación en patrimonio cultural, en el marco del proyecto de inversión 1024 - Formación en patrimonio cultural.</t>
  </si>
  <si>
    <t>Valor correspondiente para reconocer el pago de la planilla integrada de aportes a riesgos laborales con tarifa tipo V de los contratistas de la Subdirección de Divulgación.</t>
  </si>
  <si>
    <t>43211507;43211600;43212100;43211503;43201827;43201802;</t>
  </si>
  <si>
    <t>Adquisición de equipos de cómputo y periféricos requeridos para el desarrollo administrativo y misional del Instituto Distrital de Patrimonio Cultural.</t>
  </si>
  <si>
    <t>93141701;93141702;93141707;93141708;81141601;</t>
  </si>
  <si>
    <t>Prestar los servicios requeridos por el Instituto Distrital de Patrimonio Cultural para atender las actividades y proyectos relacionados con la formación y divulgación del patrimonio cultural del Distrito Capital.</t>
  </si>
  <si>
    <t xml:space="preserve"> Prestar servicios profesionales al Instituto Distrital de Patrimonio Cultural para apoyar las actividades administrativas del programa de formación en patrimonio cultural CIVINAUTAS, dirigido a estudiantes de colegios distritales.</t>
  </si>
  <si>
    <t>Prestar servicios profesionales al Instituto Distrital de Patrimonio Cultural para orientar los procesos de formación en patrimonio cultural, en el marco del proyecto de inversión 1024 - Formación en patrimonio cultural.</t>
  </si>
  <si>
    <t>82121801;82121506;</t>
  </si>
  <si>
    <t>Contratar la impresión del material divulgativo requerido para la ejecución de los procesos misionales de la Subdirección de Divulgación del Instituto Distrital de Patrimonio Cultural.</t>
  </si>
  <si>
    <t>44121600;44121700;44110000;44122000;</t>
  </si>
  <si>
    <t>Suministro de papelería, elementos de oficina, útiles escolares y material fungible requeridos para el desarrollo administrativo y misional del Instituto Distrital de Patrimonio Cultural.</t>
  </si>
  <si>
    <t>Prestar servicios profesionales al Instituto Distrital de Patrimonio Cultural para acompañar el componente pedagógico de los procesos de formación en patrimonio cultural, en el marco del proyecto de inversión 1024 - Formación en patrimonio cultural.</t>
  </si>
  <si>
    <t>Contratar el proceso de impresión, encuadernación y acabados de los impresos y publicaciones requeridos para el desarrollo de los proyectos misionales adelantados por la Subdirección de Divulgación del Instituto Distrital de Patrimonio Cultural.</t>
  </si>
  <si>
    <t>Prestar servicios profesionales al Instituto Distrital de Patrimonio Cultural como apoyo en la gestión territorial de los procesos de formación, en el marco del proyecto de inversión 1024 - Formación en patrimonio cultural.</t>
  </si>
  <si>
    <t>81111500;43232100;43232400;81112100;</t>
  </si>
  <si>
    <t>Contratar el desarrollo y diseño de la página web, así como las herramientas digitales conexas requeridas por el Instituto Distrital de Patrimonio Cultural para la formación y divulgación del patrimonio cultural del Distrito Capital.</t>
  </si>
  <si>
    <t>Prestar servicios profesionales al Instituto Distrital de Patrimonio Cultural para apoyar la gestión logística de los recorridos de ciudad realizados en el marco del proyecto de invesión 1024 - Formación en patrimonio cultural.</t>
  </si>
  <si>
    <t>80111600;</t>
  </si>
  <si>
    <t>Prestar servicios profesionales al Instituto Distrital de Patrimonio Cultural como apoyo a la gestión en los procesos editoriales y de investigación desarrollados por la Subdirección de Divulgación de los Valores del Patrimonio Cultural.</t>
  </si>
  <si>
    <t>Prestar servicios profesionales al Instituto Distrital de Patrimonio Cultural para administrar y actualizar los contenidos de la página web y redes sociales de la entidad, así como la generación de contenidos requeridos para el desarrollo de la estrategia de comunicaciones y de apropiación social del patrimonio cultural.</t>
  </si>
  <si>
    <t>Prestar servicios profesionales al Instituto Distrital de Patrimonio Cultural para apoyar las acciones de diseño gráfico del Museo de Bogotá.</t>
  </si>
  <si>
    <t>Prestar servicios profesionales al Instituto Distrital de Patrimonio Cultural para acompañar la planeación y desarrollo de los procesos de contratación sin límite de cuantía, así como el impulso de los trámites jurídico/legales que se generen en el marco de las funciones de la Subdirección de Divulgación de los Valores del Patrimonio Cultural.</t>
  </si>
  <si>
    <t>Prestar servicios profesionales al Instituto Distrital de Patrimonio Cultural para orientar la planificación de las líneas de acción del Museo de Bogotá.</t>
  </si>
  <si>
    <t>Prestar servicios profesionales  al Instituto Distrital de Patrimonio Cultural para llevar a cabo los procesos de corrección de estilo de los textos y publicaciones adelantadas por la Subdirección de Divulgación de los Valores del Patrimonio Cultural.</t>
  </si>
  <si>
    <t>43211600;</t>
  </si>
  <si>
    <t>Gastos de TI MdB</t>
  </si>
  <si>
    <t>52161520;52161514;52161505;52161535;52161547;</t>
  </si>
  <si>
    <t>Adquisición de equipos de comunicación, audio, video y conexos requeridos para el desarrollo de las actividades misionales adelantadas por la Subdirección de Divulgación de los Valores del Patrimonio Cultural.</t>
  </si>
  <si>
    <t>Prestar servicios profesionales al Instituto Distrital de Patrimonio Cultural para apoyar el diseño museográfico de los proyectos adelantados por el Museo de Bogotá.</t>
  </si>
  <si>
    <t>Prestar servicios profesionales al Instituto Distrital de Patrimonio Cultural para realizar el registro fotográfico y audiovisual requerido para la ejecución de la estrategia de apropiación social del patrimonio cultural.</t>
  </si>
  <si>
    <t>Prestar servicios profesionales al Instituto Distrital de Patrimonio Cultural para orientar las actividades periodísticas y de prensa requeridas en la estrategia de apropiación social del patrimonio cultural.</t>
  </si>
  <si>
    <t>Prestar servicios profesionales al Instituto Distrital de Patrimonio Cultural para orientar las estrategias encaminados a la salvaguardia y apropiación social del patrimonio cultural inmaterial.</t>
  </si>
  <si>
    <t>Prestar servicios profesionales al Instituto Distrital de Patrimonio Cultural para apoyar las actividades de comunicación y generación de contenidos requeridos para el desarrollo de la estrategia de apropiación social del patrimonio cultural.</t>
  </si>
  <si>
    <t>Adquisición de equipos de cómputo y periféricos requeridos para el desarrollo administrativo y misional del Instituto Distrital de Patrimonio Cultural</t>
  </si>
  <si>
    <t>Prestar servicios profesionales al Instituto Distrital del Patrimonio Cultural para apoyar la ejecucón de los trámites y procesos requeridos para la producción de los eventos generados en el marco de la estrategia de apropiación social del patrimonio cultural.</t>
  </si>
  <si>
    <t>Prestar servicios profesionales al Instituto Distrital de Patrimonio Cultural en las actividades relacionadas con el desarrollo del guion curatorial para la exposición temporal del Museo de Bogotá sobre el Bicentenario de la ciudad.</t>
  </si>
  <si>
    <t>Prestar servicios profesionales al Instituto Distrital de Patrimonio Cultural en el desarrollo del guion curatorial para la exposición temporal del Museo de Bogotá sobre Bogotá, en medios impresos.</t>
  </si>
  <si>
    <t>Prestar servicios profesionales al Instituto Distrital de Patrimonio Cultural en el desarrollo del guion curatorial para la exposición temporal del Museo de Bogotá sobre la obra fotográfica "Germán Téllez".</t>
  </si>
  <si>
    <t>Adquisición de equipos de control ambiental para las salas de exposición del Museo de Bogotá y para el archivo de gestión del Instituto Distrital de Patrimonio Cultural.</t>
  </si>
  <si>
    <t>Prestar servicios al Instituto Distrital de Patrimonio Cultural como apoyo a la gestión en la planificación y ejecución del portafolio de servicios educativos y culturales del Museo de Bogotá.</t>
  </si>
  <si>
    <t>Prestar servicios profesionales al Instituto Distrital de Patrimonio Cultural para orientar las actividades de curaduría y museología del Museo de Bogotá.</t>
  </si>
  <si>
    <t>Prestar servicios profesionales al Instituto Distrital de Patrimonio Cultural para apoyar el desarrollo de estrategias orientadas a la apropiación social y salvaguardia del Patrimonio Cultural Inmaterial.</t>
  </si>
  <si>
    <t>Prestar servicios profesionales al Instituto Distrital de Patrimonio Cultural para acompañar la producción audiovisual y multimedial requerida para el desarrollo de la estrategia de apropiación social del patrimonio cultural.</t>
  </si>
  <si>
    <t>Prestar servicios profesionales al Instituto Distrital de Patrimonio Cultural para orientar el diseño gráfico y diagramación de los productos de divulgación en el marco del proyecto de apropiación social del Patrimonio Cultural Inmaterial "Patrimonios Locales".</t>
  </si>
  <si>
    <t>Prestar servicios profesionales al Instituto Distrital de Patrimonio Cultural para apoyar los procesos documentales del Centro de Documentación.</t>
  </si>
  <si>
    <t>Prestar servicios profesionales al Instituto Distrital de Patrimonio Cultural en las actividades de producción de contenidos audiovisuales requeridos para el desarrollo de la estrategia de apropiación social del patrimonio cultural.</t>
  </si>
  <si>
    <t>Prestar servicios profesionales al Instituto Distrital de Patrimonio Cultural para apoyar los procesos de control presupuestal, seguimiento a indicadores y sistema integrado de gestión, requerido en el marco de las funciones de la Subdirección de Divulgación de los Valores del Patrimonio Cultural.</t>
  </si>
  <si>
    <t>Prestar servicios profesionales al Instituto Distrital de Patrimonio Cultural para apoyar el desarrollo de los contenidos requeridos para la publicación sobre la Iglesia San Ignacio de Bogotá.</t>
  </si>
  <si>
    <t>93141707; 90151501; 80111617;</t>
  </si>
  <si>
    <t>Diseño, fabricación e instalación de una estructura protectora removible para el Tranvía de Mulas, pieza museográfica central de la sala – Sobre rieles: el Tranvía en Bogotá-, del Museo de Bogotá.
Observación: Este recurso debe tramitarse con SDH y SDP</t>
  </si>
  <si>
    <t>23240000;24110000;24141500;27110000;30110000;30151800;30151900;30161500;30161600;30190000;31160000;31200000;31210000;39121700;40140000;31162800;39100000;</t>
  </si>
  <si>
    <t>Contratar insumos de ferretería, materiales y herramientas requeridas para la ejecución de intervenciones técnicas necesarias para el enlucimiento de fachadas, limpieza y mantenimiento de los Bienes de Interés Cultural muebles en espacio público e instalaciones que se utilizan para la prestación del servicio del Instituto Distrital de Patrimonio Cultural, en la ciudad de Bogotá D.C.</t>
  </si>
  <si>
    <t>Prestar servicios profesionales al Instituto Distrital de Patrimonio Cultural para apoyar la planificación y ejecución del programa de recorridos urbanos en el marco de la estrategia de apropiación social del patrimonio cultural.</t>
  </si>
  <si>
    <t>Prestar servicios profesionales al Instituto Distrital de Patrimonio Cultural para apoyar los procesos de investigación, estructuración y redacción de guiones museológicos requeridos por el Museo de Bogotá.</t>
  </si>
  <si>
    <t>Prestar servicios de apoyo a la gestión al Instituto Distrital de Patrimonio Cultural en la ejecución de recorridos naturales realizados en el marco de la estrategia de apropiación social del patrimonio cultural.</t>
  </si>
  <si>
    <t>Prestar servicios de apoyo a la gestión al Instituto Distrital de Patrimonio Cultural en los trámites administrativos y operativos generados en la operación del Museo de Bogotá.</t>
  </si>
  <si>
    <t>Prestar servicios de apoyo a la gestión al Instituto Distrital de Patrimonio Cultural en las actividades administrativas y operativas desarrollados por la Subdirección de Divulgación de los Valores del Patrimonio Cultural.</t>
  </si>
  <si>
    <t>Prestar servicios profesionales al Instituto Distrital de Patrimonio Cultural para realizar el registro fotográfico y audiovisual requerido para la ejecución de la estrategia de comunicaciones de la entidad.</t>
  </si>
  <si>
    <t>81141504; 39111504; 39111522</t>
  </si>
  <si>
    <t>Contratar la iluminación museográfica requerida para las salas de exposición del Museo de Bogotá del Instituto Distrital de Patrimonio Cultural.</t>
  </si>
  <si>
    <t>Prestar servicios profesionales al Instituto Distrital de Patrimonio Cultural para apoyar el desarrollo de los contenidos requeridos para la publicación sobre inmuebles de valor patrimonial en Bogotá.</t>
  </si>
  <si>
    <t>Prestar servicios profesionales al Instituto Distrital de Patrimonio Cultural para orientar los procesos museográficos requeridos por el Museo de Bogotá.</t>
  </si>
  <si>
    <t>Prestar servicios profesionales al Instituto Distrital de Patrimonio Cultural para acompañar el componente pedagógico y didáctico del portafolio de servicios educativos y culturales del Museo de Bogotá.</t>
  </si>
  <si>
    <t>Prestar servicios profesionales al Instituto Distrital de Patrimonio Cultural en la ejecución de los procesos de mediación y generación de contenidos pedagógicos del portafolio de servicios educativos y culturales del Museo de Bogotá.</t>
  </si>
  <si>
    <t xml:space="preserve"> Prestar servicios profesionales al Instituto Distrital de Patrimonio Cultural para apoyar las acciones de diseño gráfico del Museo de Bogotá .</t>
  </si>
  <si>
    <t>Prestar servicios profesionales al Instituto Distrital de Patrimonio Cultural para apoyar las estrategias relacionadas con la apropiación social del patrimonio cultural inmaterial de la ciudad, así como otras actividades y proyectos de la Subdirección de Divulgación de los Valores del Patrimonio Cultural.</t>
  </si>
  <si>
    <t>Prestar servicios profesionales al Instituto Distrital de Patrimonio Cultural para orientar la estrategia de apropiación social del patrimonio cultural.</t>
  </si>
  <si>
    <t xml:space="preserve">Prestar servicios profesionales al Instituto Distrital de Patrimonio Cultural para apoyar los procesos de inventario, catalogación y organización de los fondos documentales que conforman el Centro de Documentación. </t>
  </si>
  <si>
    <t>Prestar servicios profesionales al Instituto Distrital de Patrimonio Cultural para apoyar el diseño de piezas gráficas y de comunicación requeridas para la ejecución de la estrategia de comunicaciones de la entidad y de apropiación social del patrimonio cultural.</t>
  </si>
  <si>
    <t>55101500; 55101524</t>
  </si>
  <si>
    <t>Adquisición de material bibliográfico requerido para el incremento de los fondos documentales del Centro de Dcumentación del Instituto Distrital de Patrimonio Cultural.</t>
  </si>
  <si>
    <t>43231500;81111500;</t>
  </si>
  <si>
    <t>Contratar la adquisición de licencias de software para los equipos de cómputo de Instituto Distrital de Patrimonio Cultural.</t>
  </si>
  <si>
    <t>Prestar servicios profesionales al Instituto Distrital de Patrimonio Cultural para orientar la estructuración e implementación de las acciones de fomento a las prácticas del patrimonio cultural.</t>
  </si>
  <si>
    <t>Prestar servicios profesionales al Instituto Distrital de Patrimonio Cultural para acompañar el desarrollo del componente histórico de la estrategia de apropiación social del patrimonio cultural.</t>
  </si>
  <si>
    <t>Prestar servicios profesionales al Instituto Distrital de Patrimonio Cultural para orientar la planeación e implementación de la oferta de servicios educativos y culturales del Museo de Bogotá.</t>
  </si>
  <si>
    <t>Prestar servicios profesionales al Instituto Distrital de Patrimonio Cultural para llevar a cabo las actividades de registro y catalogación de la colección del Museo de Bogotá.</t>
  </si>
  <si>
    <t>Prestar servicios profesionales al Instituto Distrital de Patrimonio Cultural para apoyar las actividades de comunicación interna y organización de archivo fotográfico de la Subdirección de Divulgación de los Valores del Patrimonio Cultural.</t>
  </si>
  <si>
    <t>Prestar servicios profesionales al Instituto Distrital de Patrimonio Cultural para acompañar el diseño, programación y desarrollo de las actividades del portafolio de servicios educativos y culturales del Museo de Bogotá.</t>
  </si>
  <si>
    <t>Contratar el  saneamiento ambiental requerido para las las sedes del Museo de Bogotá del Instituto Distrital de Patrimonio Cultural.</t>
  </si>
  <si>
    <t>Prestar servicios profesionales al Instituto Distrital de Patrimonio Cultural para orientar los procesos de gestión de la colección del Museo de Bogotá</t>
  </si>
  <si>
    <t>Prestar servicios de apoyo a la gestión al Instituto Distrital de Patrimonio Cultural en los procesos de montaje y actividades logísticas requeridas por el Museo de Bogotá.</t>
  </si>
  <si>
    <t>Prestar servicios profesionales al Instituto Distrital de Patrimonio Cultural para apoyar el desarrollo del plan de exposiciones temporales del Museo de Bogotá y los requerimientos asociados a los planes y proyectos especiales de la entidad.</t>
  </si>
  <si>
    <t xml:space="preserve">Prestar servicios profesionales al Instituto Distrital de Patrimonio Cultural para orientar el Programa de Patrimonios Locales y otras iniciativas que contribuyan a la salvaguardia y apropiación social del Patrimonio Cultural Inmaterial. </t>
  </si>
  <si>
    <t>Museo de la ciudad autoconstruida</t>
  </si>
  <si>
    <t>Prestar servicios profesionales al Instituto Distrital de Patrimonio Cultural para apoyar la implementación de las acciones de fomento a las prácticas del patrimonio cultural.</t>
  </si>
  <si>
    <t>Prestar servicios profesionales al Instituto Distrital de Patrimonio Cultural en el seguimiento a la ejecución de los procesos de planeación presupuestal y contractual, realizados en el marco de los proyectos a cargo de la Subdirección de Divulgación de los Valores del Patrimonio Cultural.</t>
  </si>
  <si>
    <t>Prestar servicios profesionales al Instituto Distrital de Patrimonio Cultural para apoyar el desarrollo de los contenidos requeridos para la publicación sobre monumentos en espacio público de Bogotá.</t>
  </si>
  <si>
    <t>Prestar servicios profesionales al Instituto Distrital de Patrimonio Cultural para apoyar el desarrollo de los contenidos requeridos para la publicación sobre el Plan Especial de Manejo y Protección PEMP del Centro Histórico de Bogotá.</t>
  </si>
  <si>
    <t>76111500;90101700;72102103;</t>
  </si>
  <si>
    <t>Contratar la prestación del servicio integral de aseo, cafetería y fumigación, incluidos los insumos, para las sedes del Instituto Distrital de Patrimonio Cultural.</t>
  </si>
  <si>
    <t>Prestar servicios profesionales al Instituto Distrital de Patrimonio Cultural para apoyar las acciones de diseño gráfico y diagramación de las publicaciones y proyectos editoriales adelantados en el marco de la estrategia de apropiación social del patrimonio cultural</t>
  </si>
  <si>
    <t>Prestar servicios profesionales al Instituto Distrital de Patrimonio Cultural para llevar a cabo las actividades periodísticas requeridas en la estrategia de apropiación social del patrimonio cultural.</t>
  </si>
  <si>
    <t>Prestar servicios profesionales al Instituto Distrital de Patrimonio Cultural para apoyar la gestión de prensa generada en el marco de la estrategia de comunicaciones del IDPC.</t>
  </si>
  <si>
    <t>Prestar servicios profesionales al Instituto Distrital de Patrimonio Cultural para apoyar el desarrollo de los contenidos requeridos para la publicación sobre los proyectos evaluados y aprobados por el IDPC en contextos patrimoniales.</t>
  </si>
  <si>
    <t>Prestar servicios de apoyo a la gestión al Instituto Distrital de Patrimonio Cultural en los procesos de digitalización de la Colección del Museo de Bogotá.</t>
  </si>
  <si>
    <t>Prestar servicios profesionales al Instituto Distrital de Patrimonio Cultural para llevar a cabo la restauración de piezas pertenecientes a la Colección del Museo de Bogotá.</t>
  </si>
  <si>
    <t xml:space="preserve">Prestar servicios profesionales al Instituto Distrital de Patrimonio Cultural para acompañar el componente histórico de los procesos curatoriales desarrollados por el Museo de Bogotá. </t>
  </si>
  <si>
    <t>Adquisición de mobiliario requerido para la operación del Museo de Bogotá del Instituto Distrital de Patrimonio Cultural.</t>
  </si>
  <si>
    <t>Prestar servicios de apoyo a la gestión al Instituto Distrital de Patrimonio Cultural como guía de los recorridos urbanos realizados en el marco de la estrategia de apropiación social del patrimonio cultural.</t>
  </si>
  <si>
    <t xml:space="preserve">Prestar servicios profesionales al Instituto Distrital de Patrimonio Cultural para apoyar las actividades de implementación del proyecto de apropiación social del Patrimonio Cultural Inmaterial "Patrimonios Locales". </t>
  </si>
  <si>
    <t xml:space="preserve">Prestar servicios profesionales al Instituto Distrital de Patrimonio Cultural para apoyar las actividades de implementación del proyecto de apropiación social del Patrimonio Cultural Inmaterial "Patrimonios Locales".  </t>
  </si>
  <si>
    <t>Contratar el servicio de transporte para el traslado de piezas de carácter museal o de valor patrimonial requerido para los proyectos museológicos adelantados por el Museo de Bogotá del Instituto distrital de Patrimonio Cultural.</t>
  </si>
  <si>
    <t>Prestar servicios al Instituto Distrital de Patrimonio Cultural para llevar a cabo el proceso de desarme, traslado y armado del tranvía de mulas, pieza museográfica central de la sala: "Sobre rieles, el tranvía en Bogotá" del Museo de Bogotá.</t>
  </si>
  <si>
    <t>80111600;92121500;92121700;92121701;</t>
  </si>
  <si>
    <t>Prestación de los servicios de vigilancia y seguridad privada, en la modalidad de vigilancia fija armada, con medios técnicos y tecnológicos, a los bienes muebles e inmuebles que conforman el patrimonio de la entidad y de los cuales es o llegare a ser legalmente responsable.</t>
  </si>
  <si>
    <t>Prestar servicios profesionales al Instituto Distrital de Patrimonio Cultural para orientar la ejecución de los proyectos editoriales y de investigación desarrollados en el marco de la estrategia de apropiación social del patrimonio cultural.</t>
  </si>
  <si>
    <t>Prestar servicios profesionales al Instituto Distrital de Patrimonio Cultural para apoyar las actividades relacionadas con el diseño gráfico y diagramación de las publicaciones y proyectos editoriales adelantados en el marco de la estrategia de apropiación social del patrimonio cultural.</t>
  </si>
  <si>
    <t>Prestar servicios profesionales al Instituto Distrital de Patrimonio Cultural para acompañar el desarrollo de publicaciones generadas en el marco de la estrategia de apropiación social del patrimonio cultural.</t>
  </si>
  <si>
    <t>SALDO DEL COMPONENTE MUSEO EN OPERACIÓN</t>
  </si>
  <si>
    <t>Becas</t>
  </si>
  <si>
    <t xml:space="preserve">Premios </t>
  </si>
  <si>
    <t>Convocatoria dirigida a grupos étnicos</t>
  </si>
  <si>
    <t>Amparar jurados que evaluarán las propuestas del Programa Distrital de Estímulos 2019.</t>
  </si>
  <si>
    <t>Programa Distrital de Apoyos Concertados - 2019</t>
  </si>
  <si>
    <t>81141504;41112305;41112306;41111966;41114408;</t>
  </si>
  <si>
    <t>Contratar el mantenimiento de equipos de medición ambiental de propiedad del Instituto Distrital de Patrimonio Cultural.</t>
  </si>
  <si>
    <t>Prestar servicios profesionales jurídicos al Instituto Distrital de Patrimonio Cultural, para adelantar acciones jurídicas y de seguimiento contractual y administrativo relacionadas con los procesos liderados por la Subdirección General o quien haga sus veces.</t>
  </si>
  <si>
    <t>Prestar servicios de apoyo a la gestión al Instituto Distrital de Patrimonio Cultural en las actividades administrativas de la Dirección General de la entidad.</t>
  </si>
  <si>
    <t>Prestar servicios profesionales especializados a la Dirección General del Instituto Distrital de Patrimonio Cultural, relacionados con el acompañamiento de las acciones estratégicas de mejoramiento y seguimiento institucional, para el normal funcionamiento de la entidad.</t>
  </si>
  <si>
    <t xml:space="preserve">Prestar servicios de apoyo a la gestión al Instituto Distrital de Patrimonio Cultural para apoyar las actividades logisticas de divulgación, participación ciudadana y control social. </t>
  </si>
  <si>
    <t xml:space="preserve">Prestar servicios profesionales al Instituto Distrital de Patrimonio Cultural para apoyar las actividades logísticas requeridas en la implementación del modelo de participacion y control social. </t>
  </si>
  <si>
    <t>Prestar servicios profesionales al Instituto Distrital de Patrimonio Cultural en el apoyo jurídico que requiera la entidad en las etapas precontractual, contractual y post-contractual.</t>
  </si>
  <si>
    <t>Prestar servicios de apoyo a la gestión al Instituto Distrital de Patrimonio Cultural, en el desarrollo de las actividades relacionadas con la liquidación de prestaciones sociales y demás temas de la gestión del talento humano de la entidad.</t>
  </si>
  <si>
    <t>Prestar servicios profesionales al Instituto Distrital de Patrimonio Cultural para apoyar a la Asesoría Jurídica o quien haga sus veces, en la emisión de conceptos jurídicos, así como en la proyección y revisión de los documentos de índole jurídico que le sean asignados, y   apoyando los procesos de selección en todas las etapas de la gestión contractual, especialmente las relacionadas con la etapa post-contractual.</t>
  </si>
  <si>
    <t>Prestar servicios de apoyo a la gestión  al Instituto Distrital de Patrimonio Cultural para ejecutar las actividades relacionadas con el Programa de gestión Documental - PGD  y el Plan Institucional de Archivos PINAR.</t>
  </si>
  <si>
    <t>Prestar servicios profesionales al Instituto Distrital de Patrimonio Cultural apoyando la aplicación de los lineamientos enmarcados en la Ley de Transparencia  y del Derecho de Acceso a la Información Pública.</t>
  </si>
  <si>
    <t xml:space="preserve">Prestar servicios profesionales al Instituto de Patrimonio Cultural para realizar acciones de soporte relacionadas con la gestión documental de la entidad y el aplicativo ORFEO. </t>
  </si>
  <si>
    <t>Prestar servicios profesionales al Instituto Distrital de Patrimonio Cultural en las actividades de soporte técnico y los trámites precontractuales para la adquisición de bienes y servicios relacionados con el sistema de información y tecnología de la entidad.</t>
  </si>
  <si>
    <t>Prestar servicios de profesionales al Instituto Distrital de Patrimonio Cultural en las actividades relacionadas con la publicación y seguimiento de la actividad contractual en los portales de contratación.</t>
  </si>
  <si>
    <t>Prestar servicios de apoyo a la gestión al Instituto Distrital de Patrimonio Cultural brindando atención al público en temas relacionados con los trámites de solicitudes requeridas a la entidad.</t>
  </si>
  <si>
    <t>Prestar servicios profesionales al Instituto Distrital de Patrimonio Cultural apoyando la aplicación de la Política Pública Distrital de Servicio a la Ciudadanía y la implementación del Modelo de atención a la ciudadanía de la entidad.</t>
  </si>
  <si>
    <t>Prestar servicios de apoyo a la gestión al Instituto Distrital de Patrimonio Cultural en la realización de las actividades de comunicación de la Subdirección de Gestión Corporativa.</t>
  </si>
  <si>
    <t>Prestar servicios profesionales al Instituto Distrital de Patrimonio Cultural para apoyar la implementación de políticas y acciones para el mantenimiento y mejora del Sistema Integrado de Gestión en el marco del Modelo Integrado de Planeación y Gestión - MIPG.</t>
  </si>
  <si>
    <t xml:space="preserve">Prestar servicios profesionales al Instituto Distrital de Patrimonio Cultural para apoyar las actividades relacionadas con la adquisición, actualización y mantenimiento de los sistemas de información e infraestructura tecnológica y las acciones de fortalecimiento e implementación de la estrategia de Gobierno en Línea. </t>
  </si>
  <si>
    <t>Prestar servicios profesionales al Instituto Distrital de Patrimonio Cultural orientando la implementación de la Ley de Transparencia y del Derecho de Acceso a la Información Pública y la Política Pública Distrital de Servicio a la Ciudadanía.</t>
  </si>
  <si>
    <t>Prestar servicios profesionales al Instituto Distrital de Patrimonio Cultural para dar lineamientos y orientación en la implementación, sostenibilidad y mejora del Sistema Integrado de Gestión en el marco del Modelo Integrado de Planeación y Gestión - MIPG.</t>
  </si>
  <si>
    <t>Prestar servicios profesionales al Instituto Distrital de Patrimonio Cultural para apoyar las actividades relacionadas con el SDQS y la atención de PQRS de la entidad.</t>
  </si>
  <si>
    <t>24101508;</t>
  </si>
  <si>
    <t>Compra de estantes rodantes para las cajas de archivo  requeridas para la organización del archivo de gestión  del Instituto Distrital de Patrimonio Cultural</t>
  </si>
  <si>
    <t>Prestar servicios profesionales al Instituto Distrital de Patrimonio Cultural para la ejecución de las actividades relacionados con el Sistema Integrado de Conservación  en concordancia con la normatividad vigente.</t>
  </si>
  <si>
    <t>Prestar servicios profesionales al Instituto Distrital de Patrimonio Cultural para apoyar la formulación e implementación de políticas y acciones que promuevan la sostenibilidad del Sistema Integrado de Gestión en el marco del Modelo Integrado de Planeación y Gestión - MIPG.</t>
  </si>
  <si>
    <t>Prestación de servicios profesionales especializados al Instituto Distrital de Patrimonio Cultural para apoyar el cumplimiento de las actividades relacionadas con las responsabilidades financieras, presupuestales, contables, tributarias, contractuales y de control de la entidad.</t>
  </si>
  <si>
    <t>Prestar servicios profesionales al Instituto Distrital de Patrimonio Cultural para apoyar a la Asesoría Jurídica o quien haga sus veces, en los procesos de selección sin límite de cuantía, en las etapas precontractual, contractual y post-contractual.</t>
  </si>
  <si>
    <t>Prestar servicios de apoyo a la gestión al Instituto Distrital de Patrimonio Cultural en las actividades operativas relacionadas con la recepción, organización documental y de correspondencia de la entidad.</t>
  </si>
  <si>
    <t xml:space="preserve">Prestar servicios de apoyo a la gestión al Instituto Distrital de Patrimonio Cultural para orientar las acciones de préstamos, consultas y organización de los archivos de la entidad. </t>
  </si>
  <si>
    <t>Prestar servicios profesionales al Instituto Distrital de Patrimonio Cultural para el apoyo jurídico que requiera la entidad en las etapas precontractual, contractual y post-contractual.</t>
  </si>
  <si>
    <t>Prestar servicios profesionales al Instituto Distrital de Patrimonio Cultural para apoyar a la Asesoría Jurídica o quien haga sus veces, en las actividades propias de sus funciones, especialmente las relacionadas con la etapa post-contractual.</t>
  </si>
  <si>
    <t>Prestar servicios profesionales al Instituto Distrital de Patrimonio Cultural para apoyar las actividades técnicas requeridas en aplicación del Sistema de Información Geográfica -SIG_PC-.</t>
  </si>
  <si>
    <t>Prestar servicios de apoyo a la gestión al Instituto Distrital de Patrimonio Cultural, en las actividades operativas y de mantenimiento requeridas por la entidad.</t>
  </si>
  <si>
    <t>Prestar servicios de apoyo a la gestión al Instituto Distrital de Patrimonio Cultural para apoyar a la Asesoría Jurídica o quien haga sus veces, en las actividades relacionadas con la organización y administración del archivo documental.</t>
  </si>
  <si>
    <t>Prestar servicios profesionales al Instituto Distrital de Patrimonio Cultural para apoyar el proceso de modernización del Instituto, repuesta a peticiones, requerimientos de entes de control, y demás temas relacionados con la Gestión del Talento Humano de la entidad.</t>
  </si>
  <si>
    <t>Prestar servicios de apoyo a la gestión al Instituto Distrital de Patrimonio Cultural en el seguimiento a los planes de mejoramiento, metas, indicadores y actividades relacionadas con los procesos de contratación de la Subdirección de Gestión Corporativa.</t>
  </si>
  <si>
    <t>Contratar el arrendamiento de equipos de impresión para el Instituto Distrital de Patrimonio Cultural, incluido el mantenimiento y soporte técnico preventivo y correctivo programado con suministro de tóner permanente, así como el soporte técnico extraordinario cada vez que se requiera.</t>
  </si>
  <si>
    <t>Prestar servicios profesionales al Instituto Distrital de Patrimonio Cultural para apoyar jurídicamente la proyección y trámites de documentos precontractuales requeridos por la Subdirección de Gestión Corporativa.</t>
  </si>
  <si>
    <t>Prestar servicios profesionales al Instituto Distrital de Patrimonio Cultural en las actividades relacionadas con la gestión financiera y presupuestal de la entidad.</t>
  </si>
  <si>
    <t>Prestar servicios profesionales al Instituto Distrital de Patrimonio Cultural para realizar el soporte, mantenimiento, actualización y desarrollo de la plataforma del sistema de gestión ORFEO.</t>
  </si>
  <si>
    <t>Prestar servicios profesionales al Instituto Distrital de Patrimonio Cultural para brindar el apoyo jurídico requerido en las actuaciones disciplinarias que se adelanten dentro de los procesos de competencia de la entidad.</t>
  </si>
  <si>
    <t>Prestar servicios de apoyo a la gestión al Instituto Distrital de Patrimonio Cultural en las actividades de soporte técnico del sistema de  información y tecnología de la entidad.</t>
  </si>
  <si>
    <t>Prestar servicios de apoyo a la gestión al Instituto Distrital de Patrimonio Cultural para acompañar a la Asesoría Jurídica o quien haga sus veces, en temas judiciales y de cartera de la entidad.</t>
  </si>
  <si>
    <t>Prestar servicios profesionales al Instituto Distrital de Patrimonio Cultural apoyando la proyección y trámite de los documentos precontractuales, seguimiento, control y modificaciones al plan de adquisiciones de la Subdirección de Gestión Corporativa.</t>
  </si>
  <si>
    <t>Prestar servicios profesionales al Instituto Distrital de Patrimonio Cultural para apoyar la Implementacion del modelo de participación ciudadana y control social.</t>
  </si>
  <si>
    <t>Prestar servicios profesionales al Instituto Distrital de Patrimonio Cultural para apoyar las actividades relacionadas con el proceso de Direccionamiento Estratégico.</t>
  </si>
  <si>
    <t>Prestar servicios de apoyo a la gestión al Instituto Distrital de Patrimonio Cultural en las actividades operativas requeridas en el área de almacén e inventarios.</t>
  </si>
  <si>
    <t>Prestar servicios profesionales al Instituto Distrital de Patrimonio Cultural para apoyar los procesos de planeación relacionados con los programas, planes y proyectos del Instituto.</t>
  </si>
  <si>
    <t>Prestar servicios profesionales al Instituto Distrital de Patrimonio Cultural para desarrollar actividades de apoyo al proceso de operación del Subsistema Interno de Gestión Documental y Archivos -SIGA.</t>
  </si>
  <si>
    <t xml:space="preserve">Prestar servicios de apoyo a la gestión al Instituto Distrital de Patrimonio Cultural para ejecutar actividades operativas requeridas por la Subdirección General o quien haga sus veces. </t>
  </si>
  <si>
    <t>Prestar servicios profesionales al Instituto Distrital de Patrimonio Cultural para orientar, consolidar e implementar el modelo de participación ciudadana y control social.</t>
  </si>
  <si>
    <t>Adquisición de licencias de software especializados para los equipos de cómputo del IDPC</t>
  </si>
  <si>
    <t>Prestar servicios profesionales al Instituto Distrital de Patrimonio Cultural para asesorar a la Dirección General en el manejo de las relaciones interinstitucionales e internacionales, a través del acompañamiento y gestión de estrategias, planes y proyectos, para el fomento y apropiación del patrimonio cultural en el Distrito Capital.</t>
  </si>
  <si>
    <t>Prestar servicios asistenciales al Instituto Distrital de Patrimonio Cultural para apoyar la gestión requerida en la digitalización y organización de archivos relacionada con el Subsistema Interno de Gestión Documental y Archivos -SIGA.</t>
  </si>
  <si>
    <t xml:space="preserve">Prestar servicios profesionales al Instituto Distrital de Patrimonio Cultural para dar lineamientos en la Planeación Estratégica Institucional. </t>
  </si>
  <si>
    <t>Prestar servicios profesionales al Instituto Distrital de Patrimonio Cultural para apoyar jurídicamente en la realización de las actividades de la gestión del Talento Humano de la entidad.</t>
  </si>
  <si>
    <t>Prestar servicios profesionales al Instituto Distrital de Patrimonio Cultural para realizar acciones relacionadas con la implementación y consolidación del Sistema de Información Geográfica -SIG_PC-.</t>
  </si>
  <si>
    <t>Prestar servicios de apoyo a la gestión al Instituto Distrital de Patrimonio Cultural en el desarrollo de actividades administrativas de la Subdirección de Gestión Corporativa.</t>
  </si>
  <si>
    <t>Prestar servicios profesionales al Instituto Distrital de Patrimonio Cultural para dar lineamientos, formular y orientar las acciones para la sostenibilidad del Subsistema Interno de Gestión Documental y Archivos -SIGA.</t>
  </si>
  <si>
    <t>Prestar servicios profesionales al Instituto Distrital de Patrimonio Cultural para orientar y formular acciones para el fortalecimiento y mantenimiento del Subsistema de Gestión Ambiental en el marco del Sistema Integrado de Gestión.</t>
  </si>
  <si>
    <t>56101700;56101703</t>
  </si>
  <si>
    <t>Adquisición de mobiliario para la sede administrativa del Instituto Distrital de Patrimonio Cultural.</t>
  </si>
  <si>
    <t>Prestar servicios profesionales al Instituto Distrital de Patrimonio Cultural en las actividades relacionadas con la vinculación, permanencia, retiro de los servidores públicos y demás temas relacionados con la gestión del talento humano de la entidad.</t>
  </si>
  <si>
    <t>Prestar servicios profesionales al Instituto Distrital de Patrimonio Cultural para apoyar las actividades relacionadas con el procesamiento de datos que permita la obtención de información confiable y oportuna de carácter financiero, contable y tributario de la entidad.</t>
  </si>
  <si>
    <t xml:space="preserve">Prestar servicios profesionales al Instituto Distrital de Patrimonio Cultural para apoyar los procesos   administrativos de la Subdirección General o quien haga sus veces. </t>
  </si>
  <si>
    <t xml:space="preserve">Prestar servicios de apoyo a la gestión al Instituto Distrital de Patrimonio Cultural para la organización de los archivos de la Entidad. </t>
  </si>
  <si>
    <t xml:space="preserve">
Prestar servicios profesionales al Instituto Distrital de Patrimonio Cultural para apoyar las actividades requeridas en el seguimiento a la ejecución presupuestal de inversión y a las metas de los proyectos de inversión del Instituto.
</t>
  </si>
  <si>
    <t>Prestar servicios de apoyo a la gestión al Instituto Distrital de Patrimonio Cultural en las actividades relacionadas con los préstamos, consultas y organización de los archivos de la Asesoría Jurídica o quien haga sus veces, en el marco del Subsistema Interno de Gestión Documental y Archivos (SIGA).</t>
  </si>
  <si>
    <t>Prestar servicios profesionales al Instituto Distrital de Patrimonio Cultural para adelantar acciones relacionadas con los procesos de planeación, seguimiento y control de los programas, planes y proyectos del Instituto.</t>
  </si>
  <si>
    <t xml:space="preserve">Prestar servicios profesionales al Instituto Distrital de Patrimonio Cultural para apoyar el control y seguimiento a presupuesto, metas e indicadores y  Sistema Integrado de Gestión requerido. </t>
  </si>
  <si>
    <t>Prestar servicios profesionales al Instituto Distrital de Patrimonio Cultural para apoyar el diseño, formulación, actualización, seguimiento y mejoramiento del Sistema de Gestión de Seguridad y Salud en el Trabajo de la entidad.</t>
  </si>
  <si>
    <t>Incrementar la sostenibilidad del sistema integrado de gestión, para prestar un mejor servicio en la atención a la ciudadanía.</t>
  </si>
  <si>
    <t>Prestar servicios profesionales al Instituto Distrital de Patrimonio Cultural en las actividades relacionadas con el mantenimiento preventivo y correctivo de los bienes muebles e inmuebles propiedad de la entidad.</t>
  </si>
  <si>
    <t>Prestar servicios profesionales al Instituto Distrital de Patrimonio Cultural, acompañando jurídicamente los procesos contractuales, así como la revisión, seguimiento y control de la gestión administrativa a cargo de la Subdirección de Gestión Corporativa.</t>
  </si>
  <si>
    <t>Contratar un programa de seguros que ampare los bienes e intereses patrimoniales del Instituto Distrital de Patrimonio Cultural y aquellos por los cuales sea o llegare a ser responsable.</t>
  </si>
  <si>
    <t>Prestar servicios de apoyo a la gestión al Instituto Distrital de Patrimonio Cultural en las actividades relacionadas con la implementación del SECOP II.</t>
  </si>
  <si>
    <t>Adición y prórroga del contrato 305 de 2018 que tiene por objeto: prestación de los servicios de vigilancia y seguridad privada, en la modalidad de vigilancia fija armada, con medios técnicos y tecnológicos, a los bienes muebles e inmuebles que conforman el patrimonio de la entidad y de los cuales es o llegare a ser legalmente responsable.</t>
  </si>
  <si>
    <t>Prestar servicios de apoyo a la gestión al Instituto Distrital de Patrimonio Cultural, en las actividades asistenciales que requiera la Asesoría Jurídica o quien haga sus veces.</t>
  </si>
  <si>
    <t>72103300;72151400;72121100;72121400</t>
  </si>
  <si>
    <t>Contratar la prestación del servicio de mantenimiento preventivo y correctivo de bienes inmuebles propiedad y a cargo del Instituto Distrital de Patrimonio Cultural.</t>
  </si>
  <si>
    <t>43211507;43211600;43212100;43211503;43201827;43201802</t>
  </si>
  <si>
    <t>80161800;81112401;81112400</t>
  </si>
  <si>
    <t>Contratar el alquiler e instalación de computadores de escritorio con su respectiva configuración y puesta en funcionamiento en las instalaciones del Instituto Distrital de Patrimonio Cultural.</t>
  </si>
  <si>
    <t>planilla riesgo 5</t>
  </si>
  <si>
    <t>43201402;43201835;43212200;43212201;43232907;71151106;</t>
  </si>
  <si>
    <t>Contratar la renovación y ampliación del almacenamiento de la solución de respaldo de información para el Instituto Distrital de Patrimonio Cultural.</t>
  </si>
  <si>
    <t>43231500;81111500</t>
  </si>
  <si>
    <t>Prestar servicios profesionales especializados al Instituto Distrital de Patrimonio Cultural apoyando a la Asesoría Jurídica o quien haga sus veces, en la defensa judicial de los intereses patrimoniales de la entidad.</t>
  </si>
  <si>
    <t>Servicios Públicos</t>
  </si>
  <si>
    <t xml:space="preserve">Prestar servicios profesionales al Instituto Distrital de Patrimonio Cultural para elaborar insumos arquitectónicos en la formulación de proyectos y del Plan Especial de Manejo y Protección -PEMP- del Centro Histórico de Bogotá D.C, a partir de la consolidación de la formulación del mismo. </t>
  </si>
  <si>
    <t xml:space="preserve">Prestar servicios profesionales al Instituto Distrital de Patrimonio Cultural para realizar  insumos en el componente ambiental en la formulación de proyectos del Instituto. </t>
  </si>
  <si>
    <t>Prestar servicios profesionales al Instituto Distrital de Patrimonio Cultural en las actividades relacionadas con la propuesta de norma e instrumentos del Plan Especial de Manejo y Protección -PEMP- del Centro Histórico de Bogotá D.C.</t>
  </si>
  <si>
    <t>Prestar servicios profesionales al Instituto Distrital de Patrimonio Cultural para la consolidación de la propuesta de norma e instrumentos del Plan Especial de Manejo y Protección -PEMP- del Centro Histórico de Bogotá D.C., y otros proyectos asociados.</t>
  </si>
  <si>
    <t xml:space="preserve">Prestar servicios profesionales al Instituto Distrital de Patrimonio Cultural en la ejecución de las actividades de edición de textos e imágenes y montaje para la consolidación de la valoración e inventario de los bienes del patrimonio cultural inmueble del Plan Especial de Manejo y Protección- PEMP- del Centro Histórico de Bogotá D.C.  </t>
  </si>
  <si>
    <t>Prestar servicios profesionales al Instituto Distrital de Patrimonio Cultural para orientar el direccionamiento estratégico del Plan Especial de Manejo y Protección -PEMP- del Centro Histórico de Bogotá D.C.</t>
  </si>
  <si>
    <t xml:space="preserve">Prestar servicios profesionales al Instituto Distrital de Patrimonio Cultural para apoyar la formulación de los aspectos administrativos y de gobernanza en el marco del modelo de gestión del Plan Especial de Manejo y Protección -PEMP- del Centro Histórico de Bogotá D.C. </t>
  </si>
  <si>
    <t>Prestar servicios profesionales al Instituto Distrital de Patrimonio Cultural para apoyar las acciones requeridas para la consolidación normativa y arquitectónica de la propuesta de espacio público para el Plan Especial de Manejo y Protección -PEMP- del Centro Histórico de Bogotá D.C y otros proyectos.</t>
  </si>
  <si>
    <t xml:space="preserve">Prestar servicios profesionales al Instituto Distrital de Patrimonio Cultural apoyando la consolidación de la propuesta para la norma urbana patrimonial del Plan Especial de Manejo y Protección -PEMP- del Centro Histórico de Bogotá D.C y otros proyectos. </t>
  </si>
  <si>
    <t>Prestar servicios profesionales al Instituto Distrital de Patrimonio Cultural para apoyar las acciones requeridas para el desarrollo de la propuesta de norma urbana e instrumentos del Plan Especial de Manejo y Protección -PEMP- del Centro Histórico de Bogotá D.C.</t>
  </si>
  <si>
    <t>Prestar servicios de apoyo a la gestión al Instituto Distrital de Patrimonio Cultural para apoyar las acciones requeridas en la consolidación de la propuesta normativa del Plan Especial de Manejo y Protección -PEMP- del Centro Histórico de Bogotá D.C.</t>
  </si>
  <si>
    <t xml:space="preserve">Prestar servicios profesionales al Instituto Distrital de Patrimonio Cultural para formular y desarrollar insumos relacionados con el direccionamiento estratégico del Plan Especial de Manejo y Protección -PEMP- del Centro Histórico de Bogotá D.C y otros proyectos asociados.  </t>
  </si>
  <si>
    <t>Prestar servicios profesionales al Instituto Distrital de Patrimonio Cultural para ejecutar insumos urbano arquitectónicos de proyectos y de las intervenciones integrales del Plan Especial de Manejo y Protección -PEMP- del Centro Histórico de Bogotá D.C. a partir de la consolidación de la formulación del mismo.</t>
  </si>
  <si>
    <t xml:space="preserve">Prestar servicios profesionales al Instituto Distrital de Patrimonio Cultural en el desarrollo de insumos urbano arquitectonicos para los planes, programas y proyectos del Instituto. </t>
  </si>
  <si>
    <t xml:space="preserve">Prestar servicios profesionales al Instituto Distrital de Patrimonio Cultural en el elaborar de los productos relacionados con los programas, planes, proyectos e intervenciones integrales del Instituto. </t>
  </si>
  <si>
    <t xml:space="preserve">Prestar servicios profesionales al Instituto Distrital de Patrimonio Cultural en la ejecución de las actividades de planimetría y montaje para la consolidación de la valoración e inventario de los bienes del patrimonio cultural inmueble del Plan Especial de Manejo y Protección- PEMP- del Centro Histórico de Bogotá D.C.  </t>
  </si>
  <si>
    <t xml:space="preserve">Prestar servicios profesionales al Instituto Distrital de Patrimonio Cultural para ejecutar  insumos urbano-territoriales en la formulación de proyectos y del Plan Especial de Manejo y Protección -PEMP- del Centro Histórico de Bogotá D.C, a partir de la consolidación de la formulación del mismo. </t>
  </si>
  <si>
    <t xml:space="preserve">Prestar servicios profesionales al Instituto Distrital de Patrimonio Cultural  para formular y desarrollar insumos relacionados con la gestión de los programas, planes, proyectos e intervenciones integrales del Instituto. </t>
  </si>
  <si>
    <t>Prestar servicios profesionales al Instituto Distrital de Patrimonio Cultural en la revisión, verificación y consolidación de la información fotográfica como insumo para las fichas del inventario- valoración y normativa del patrimonio cultural inmueble del Plan Especial de Manejo y protección –PEMP- del Centro Histórico de Bogotá D.C.</t>
  </si>
  <si>
    <t>Prestar servicios profesionales al Instituto Distrital de Patrimonio Cultural para adelantar la modelación de escenarios de accesibilidad y movilidad para planes y proyectos del Instituto.</t>
  </si>
  <si>
    <t xml:space="preserve">Prestar servicios profesionales al Instituto Distrital de Patrimonio Cultural en la ejecución de insumos documentales para la consolidación de la valoración e inventario de los bienes del patrimonio cultural inmueble del Plan Especial de Manejo y Protección- PEMP- del Centro Histórico de Bogotá D.C.  </t>
  </si>
  <si>
    <t>Prestar servicios profesionales al Instituto Distrital de Patrimonio Cultural para apoyar las actividades de revisión, verificación y consolidación de las fichas del inventario y valoración del patrimonio cultural inmueble en el marco del Plan Especial de Manejo y Protección- PEMP- del Centro Histórico de Bogotá D.C.</t>
  </si>
  <si>
    <t>Prestar servicios profesionales al Instituto Distrital de Patrimonio Cultural para apoyar las actividades de seguimiento y ajustes al inventario y valoración del patrimonio cultural inmueble en el marco del Plan Especial de Manejo y Protección- PEMP- del Centro Histórico de Bogotá D.C.</t>
  </si>
  <si>
    <t>Prestar servicios profesionales al Instituto Distrital de Patrimonio Cultural en la orientación de la gestión de los programas, planes, proyectos e intervenciones integrales del Plan Especial de Manejo y Protección -PEMP- del Centro Histórico de Bogotá D.C., y otros proyectos.</t>
  </si>
  <si>
    <t>Prestar servicios profesionales al Instituto Distrital de Patrimonio Cultural en el direccionamiento de proyectos e intervenciones integrales   del Plan Especial de Manejo y Protección -PEMP- del Centro Histórico de Bogotá D.C.</t>
  </si>
  <si>
    <t xml:space="preserve">Prestar servicios profesionales al Instituto Distrital de Patrimonio Cultural para realizar una propuesta de estructura legal e institucional del modelo de gestión del Plan Especial de Manejo y Protección -PEMP- del Centro Histórico de Bogotá D.C. </t>
  </si>
  <si>
    <t>Prestar servicios profesionales al Instituto Distrital de Patrimonio Cultural en el direccionamiento de norma e instrumentos del Plan Especial de Manejo y Protección -PEMP- del Centro Histórico de Bogotá D.C.</t>
  </si>
  <si>
    <t xml:space="preserve">Prestar servicios profesionales al Instituto Distrital de Patrimonio Cultural para elaborar insumos en el componente de innovación en la formulación de proyectos del Instituto. </t>
  </si>
  <si>
    <t xml:space="preserve"> Prestar servicios profesionales al Instituto Distrital de Patrimonio Cultural para realizar insumos arquitectonicos y de espacialización de proyectos en la formulación de proyectos y del Plan Especial de Manejo y Protección -PEMP- del Centro Histórico de Bogotá D.C, a partir de la consolidación de la formulación del mismo. </t>
  </si>
  <si>
    <t xml:space="preserve">Prestar servicios profesionales al Instituto Distrital de Patrimonio Cultural para apoyar la producción de insumos técnicos relacionados con el direccionamiento estratégico del Plan Especial de Manejo y Protección -PEMP- del Centro Histórico de Bogotá D.C y otros proyectos asociados.  </t>
  </si>
  <si>
    <t xml:space="preserve">Prestar servicios profesionales al Instituto Distrital de Patrimonio Cultural en la ejecución de las actividades de información gráfica, edición y montaje para la consolidación de la valoración e inventario de los bienes del patrimonio cultural inmueble del Plan Especial de Manejo y Protección- PEMP- del Centro Histórico de Bogotá D.C.  </t>
  </si>
  <si>
    <t>Prestar servicios de apoyo a la gestión del Instituto Distrital de Patrimonio Cultural en la producción de insumos documentales relacionados con los planes y proyectos del Instituto.</t>
  </si>
  <si>
    <t>Prestar servicios profesionales al Instituto Distrital de Patrimonio Cultural para el direccionamiento, verificación y consolidación del inventario y valoración del patrimonio cultural inmueble en el marco de la propuesta integral del Patrimonio Inmueble del Plan Especial de Manejo y Protección -PEMP - del Centro Histórico de Bogota D.C-</t>
  </si>
  <si>
    <t>Prestar servicios profesionales al Instituto Distrital de Patrimonio Cultural para apoyar la propuesta normativa y de instrumentos derivados del Plan Especial de Manejo y Protección -PEMP- del Centro Histórico de Bogotá D.C.</t>
  </si>
  <si>
    <t>Prestar servicios profesionales al Instituto Distrital de Patrimonio Cultural para apoyar la consolidación de la propuesta normativa y de instrumentos derivados del Plan Especial de Manejo y Protección -PEMP- del Centro Histórico de Bogotá D.C., y otros proyectos.</t>
  </si>
  <si>
    <t>Prestar servicios profesionales al Instituto Distrital de Patrimonio Cultural para avanzar en el desarrollo normativo y de instrumentos del componente patrimonial del Plan Especial de Manejo y Protección -PEMP- del Centro Histórico de Bogotá D.C.</t>
  </si>
  <si>
    <t>Prestar servicios profesionales al Instituto Distrital de Patrimonio Cultural para la consolidación del desarrollo normativo y de instrumentos del componente patrimonial del Plan Especial de Manejo y Protección -PEMP- del Centro Histórico de Bogotá D.C., y otros proyectos.</t>
  </si>
  <si>
    <t xml:space="preserve">Prestar servicios profesionales al Instituto Distrital de Patrimonio Cultural para orientar y desarrollar estrategias, programas y proyectos en el marco de la aplicación de instrumentos de financiación y gestión  para la recuperación de los sectores y Bienes de Interés Cultural en el Distrito Capital. </t>
  </si>
  <si>
    <t xml:space="preserve">Prestar servicios profesionales al Instituto Distrital de Patrimonio Cultural para desarrollar actividades técnicas y operativas de los planes, programas y proyectos del instituto. </t>
  </si>
  <si>
    <t xml:space="preserve">Prestar servicios profesionales al Instituto Distrital de Patrimonio Cultural para realizar insumos en el componente de accesibilidad y movilidad en la formulación  de proyectos del Instituto. </t>
  </si>
  <si>
    <t xml:space="preserve">Prestar servicios profesionales al Instituto Distrital de Patrimonio Cultural para apoyar las actividades técnicas y administrativas de los planes, programas y proyectos del Instituto. </t>
  </si>
  <si>
    <t>Prestar servicios profesionales al Instituto Distrital de Patrimonio Cultural para apoyar el desarrollo de insumos y actividades relacionadas con las estrategias, programas y proyectos en el marco de la aplicación de instrumentos de financiación y gestión  para la recuperación de los sectores y Bienes de Interés Cultural en el Distrito Capital</t>
  </si>
  <si>
    <t xml:space="preserve">Prestar servicios profesionales al Instituto Distrital de Patrimonio Cultural para ejecutar  actividades relacionadas con las estrategias, programas y proyectos en el marco de la aplicación de instrumentos de financiación y gestión para la recuperación de los sectores y Bienes de Interés Cultural en el Distrito Capital. </t>
  </si>
  <si>
    <t xml:space="preserve">Prestar servicios profesionales al Instituto Distrital de Patrimonio Cultural para apoyar la orientación y desarrollo del proceso de participación ciudadana y divulgación del Plan Especial de Manejo y Protección (PEMP) del Centro Histórico de Bogotá D.C y otros proyectos. </t>
  </si>
  <si>
    <t>Prestar servicios profesionales al Instituto Distrital de Patrimonio Cultural en la consolidación normativa y arquitectónica de la propuesta de espacio público para el Plan Especial de Manejo y Protección -PEMP- del Centro Histórico de Bogotá D.C y otros proyectos.</t>
  </si>
  <si>
    <t xml:space="preserve">Prestar servicios profesionales al Instituto Distrital de Patrimonio Cultural para elaborar insumos en el componente habitacional en la formulación  de proyectos del Instituto. </t>
  </si>
  <si>
    <t xml:space="preserve">Prestar servicios profesionales al Instituto Distrital de Patrimonio Cultural para orientar el direccionamiento estratégico de los planes, programas y proyectos del Instituto. </t>
  </si>
  <si>
    <t>80111601;80161504</t>
  </si>
  <si>
    <t>Prestar servicios de apoyo a la gestión al Instituto Distrital de Patrimonio Cultural para el seguimiento y revisión de la radicación en debida forma de las solicitudes de trámites y servicios  para la evaluación de proyectos de intervención y atención al público a cargo de la Subdirección de Intervención.</t>
  </si>
  <si>
    <t>Prestar servicios de apoyo a la gestión al Instituto Distrital de Patrimonio Cultural para atención y notificación al usuario, y demás actividades administrativas de la Subdirección de Intervención.</t>
  </si>
  <si>
    <t>80111617;93141707;80101604;80111614;93151516</t>
  </si>
  <si>
    <t>Prestar servicios profesionales al Instituto Distrital de Patrimonio Cultural para orientar y brindar acompañamiento en el Sistema de Información Geográfico relacionado con la evaluación de solicitudes de intervención de Bienes de Interés Cultural ubicados en el espacio público y de espacio público en Sectores de Interés Cultural.</t>
  </si>
  <si>
    <t>Prestar servicios profesionales al Instituto Distrital de Patrimonio Cultural apoyando el soporte técnico del Sistema de Información Geográfico relacionado con la evaluación de solicitudes de intervención de Bienes de Interés Cultural ubicados en el espacio público y de espacio público en Sectores de Interés Cultural.</t>
  </si>
  <si>
    <t>80111600;93141707</t>
  </si>
  <si>
    <t>Prestar servicios profesionales al Instituto Distrital de Patrimonio Cultural para apoyar las actividades de gestión del Sistema de Información Geográfico para el inventario de bienes inmuebles del  Distrito Capital a cargo de la Subdirección de Intervención.</t>
  </si>
  <si>
    <t>Prestar servicios profesionales especializados al Instituto Distrital de Patrimonio Cultural para orientar y apoyar la verificación técnica de la documentación expedida en relación a la evaluación y asesoría técnica de las solicitudes de intervención en Bienes de Interés Cultural del Distrito Capital.</t>
  </si>
  <si>
    <t>Prestar servicios profesionales al Instituto Distrital de Patrimonio Cultura en el apoyo de las actividades administrativas relacionadas con la evaluación y la asesoría técnica de solicitudes de intervención para la protección del patrimonio cultural.</t>
  </si>
  <si>
    <t>Prestar servicios profesionales al Instituto Distrital de Patrimonio Cultural para el acompañamiento y apoyo en las actividades de asesoría técnica a terceros, revisión, evaluación, verificación y análisis de las solicitudes de intervención de los Bienes de Interés Cultural (BIC) del Distrito Capital.</t>
  </si>
  <si>
    <t>Prestar servicios profesionales al Instituto Distrital de Patrimonio Cultural para apoyar la revisión y acompañamiento del componente estructural y de ingeniería de las acciones y solicitudes de intervención en Bienes de Interés Cultural (BIC).</t>
  </si>
  <si>
    <t>Prestar servicios profesionales al Instituto Distrital de Patrimonio Cultural para orientar y apoyar la verificación técnica de la documentación expedida con ocasión de las solicitudes de intervención de anteproyectos y conceptos de norma en Bienes de Interés Cultural (BIC) de Bogotá que se radican ante la entidad.</t>
  </si>
  <si>
    <t>Prestar servicios profesionales al Instituto Distrital de Patrimonio Cultural apoyando las actividades de elaboración y redacción de conceptos técnicos respecto a las normas aplicables para intervenciones sobre los inmuebles de interés cultural del Distrito Capital.</t>
  </si>
  <si>
    <t>Prestar servicios profesionales al Instituto Distrital de Patrimonio Cultural apoyando las actividades de soporte técnico, revisión, evaluación, verificación y análisis de las solicitudes de reparaciones locativas que se presentan sobre los bienes de interés cultural del Distrito Capital.</t>
  </si>
  <si>
    <t>Prestar servicios profesionales al Instituto Distrital de Patrimonio Cultural para apoyar las actividades de soporte técnico y evaluación de las solicitudes y acciones de control urbano que se presenten sobre BIC y SIC del Distrito Capital.</t>
  </si>
  <si>
    <t>Prestar servicios profesionales al Instituto Distrital de Patrimonio Cultural para apoyar las actividades de soporte técnico y evaluación de las solicitudes de equiparación a estrato 1 y de control urbano de intervenciones en BIC.</t>
  </si>
  <si>
    <t>Prestar servicios profesionales al Instituto Distrital de Patrimonio Cultural en el acompañamiento técnico y verificación de los proyectos de manejo y protección del patrimonio cultural, y solicitudes de inclusiones, exclusiones y cambios de categoria de BIC del Distrito Capital.</t>
  </si>
  <si>
    <t>Prestar servicios profesionales al Instituto Distrital de Patrimonio Cultural, apoyando los tramites de evaluación de los proyectos de manejo y protección del patrimonio cultural, y solicitudes de intervención sobre Bienes y Sectores de Interés Cultural.</t>
  </si>
  <si>
    <t>Prestar servicios profesionales al Instituto Distrital de Patrimonio Cultural para orientar, dar lineamientos y desarrollar acciones relacionadas con el sistema de espacio publico de Bogota DC.</t>
  </si>
  <si>
    <t>Prestar servicios profesionales al Instituto Distrital de Patrimonio Cultural para apoyar las actividades tecnicas relacionadas con el sistema de  espacio público de Bogota DC.</t>
  </si>
  <si>
    <t>Prestar servicios profesionales al Instituto Distrital de Patrimonio Cultural para apoyar las actividades tecnicas relacionadas con el sistema de  espacio público de Sectores de Interés Cultural.</t>
  </si>
  <si>
    <t xml:space="preserve">Prestar servicios profesionales al Instituto Distrital de Patrimonio Cultural para desarrollar actividades de formulacion, gestion, segumiento y evaluacion  relacionadas con los instrumentos de planeación y normativos de la ciudad de Bogotá. </t>
  </si>
  <si>
    <t>Prestar servicios profesionales especializados al Instituto Distrital de Patrimonio Cultural, como apoyo jurídico a la evaluación de las solicitudes de intervención sobre Bienes y Sectores de Interés Cultural.</t>
  </si>
  <si>
    <t>80111617;93141707;80121601;93142006</t>
  </si>
  <si>
    <t>Prestar servicios profesionales al Instituto Distrital de Patrimonio Cultural, como apoyo jurídico a la evaluación de las solicitudes de intervención sobre Bienes y Sectores de Interés Cultural.</t>
  </si>
  <si>
    <t>81101505;80111617;80111618;72101500;72121400;72141500;72151900;72152700;72154000;93151516;93141707;</t>
  </si>
  <si>
    <t>Ejecutar bajo la modalidad de precios unitarios los primeros auxilios del inmueble denominado Casa Cadel.</t>
  </si>
  <si>
    <t>Ejecutar bajo la modalidad de precios unitarios los primeros auxilios del inmueble ubicado en la Calle 12b N. 3 - 07, denominado "Casa Colorada".</t>
  </si>
  <si>
    <t>93142009;93141707;80101604;</t>
  </si>
  <si>
    <t>Prestar servicios profesionales de apoyo a la supervisión al proyecto de primeros auxilios del inmueble denominado Casa Colorada.</t>
  </si>
  <si>
    <t>Realizar los estudios y propuesta para los primeros auxilios, el apuntalamiento y sobre cubierta requerida para el inmueble ubicado en la Calle 12b N. 3 - 07, denominado "Casa Colorada".</t>
  </si>
  <si>
    <t>72101500;72101507;93141713;81101505;80111617;80111618;72121400;72141500;72151900;72152700;72154000;93151516;93141707;</t>
  </si>
  <si>
    <t>Ejecutar bajo la modalidad de precios unitarios fijos las obras requeridas para el inmueble ubicado en la Calle 12B No. 2-58, denominado Casa Genoveva en la ciudad de Bogotá, D. C.</t>
  </si>
  <si>
    <t>Pago de expensas con cargo variable para la modificación de la Licencia de Construcción del predio Calle 12b N° 2-58, denominado Sede Principal o Casa Genoveva en la ciudad de Bogotá, D. C.</t>
  </si>
  <si>
    <t>80101600;80101604;80111614;80111617;80111618;81101500;81141500;93141700;94101600;94101608;</t>
  </si>
  <si>
    <t>Realizar la interventoría integral de la obra cuyo objeto es: "Ejecutar bajo la modalidad de precios unitarios fijos las obras requeridas para el inmueble ubicado en la Calle 12B No. 2-58, denominado Casa Genoveva en la ciudad de Bogotá, D. C."</t>
  </si>
  <si>
    <t>30151800;30151900;31211500;31211700;31211800;31211900;40141700;81101505;80111617;80111618;72101500;72121400;72141500;72151900;72152700;72154000;93151516;9314170;</t>
  </si>
  <si>
    <t>Ejecutar las obras por precios unitarios fijos para la restauración de las naves de la Basílica Menor del Sagrado Corazón de Jesús - Iglesia del Voto Nacional.</t>
  </si>
  <si>
    <t>Pago de trámites y documentación inherente al Proyecto de Intervención de la Iglesia del Voto Nacional del predio ubicado en la Carrera 15 N° 10-43 en la Ciudad de Bogotá, D. C.</t>
  </si>
  <si>
    <t>Prestar servicios profesionales al Instituto Distrital de Patrimonio Cultural  para apoyar la revisión y organización de los insumos técnicos y documentación inherente al proyecto de intervención de BIC Voto Nacional.</t>
  </si>
  <si>
    <t>80101600;80101604;80111614;80111617;80111610;81101500;81141500;93141700;94101605;94101608;</t>
  </si>
  <si>
    <t>Realizar la interventoría integral del contrato de obra que tiene por objeto: "Ejecutar las obras por precios unitarios fijos para la restauración de las naves de la Basílica Menor del Sagrado Corazón de Jesús - Iglesia del Voto Nacional."</t>
  </si>
  <si>
    <t xml:space="preserve">Ejecutar bajo la modalidad de precios unitarios fijos las obras en la Fachada de la Plaza de Toros la Santamaría, en la ciudad de Bogotá D.C. </t>
  </si>
  <si>
    <t>Pago de trámites y documentación inherente al Proyecto de Intervención en la fachada de la Plaza de Toros La Santamaría.</t>
  </si>
  <si>
    <t>81101505;80111617;80111618;72101500;72121400;72141500;72151900;72152700;72154000;93151516;93141707;81141500;80101604;80111614;</t>
  </si>
  <si>
    <t>Realizar la interventoría integral de la obra que tiene por objeto "Ejecutar bajo la modalidad de precios unitarios fijos las obras en la Fachada de la Plaza de Toros la Santamaría, en la ciudad de Bogotá D.C. "</t>
  </si>
  <si>
    <t>Valor presupuestado para adelantar un traslado presupuestal al rubro Pasivos Exigibles por concepto del saldo a favor del Convenio Interadministrativo No. 363 de 2017 suscrito con la Universidad Nacional.</t>
  </si>
  <si>
    <t>Ejecutar bajo la modalidad de precios unitarios la obra de intervención de la del inmueble ubicado en la Calle 12 B N° 2-91 denominado Casa Tito.</t>
  </si>
  <si>
    <t>Pago de expensas con cargo variable para la Licencia de Construcción del predio denominado Casa Tito</t>
  </si>
  <si>
    <t>Realizar la interventoría integral de la obra cuyo objeto es: "Ejecutar bajo la modalidad de precios unitarios la obra de intervención de la del inmueble ubicado en la Calle 12 B N° 2-91 denominado Casa Tito."</t>
  </si>
  <si>
    <t>93141707;39121107;</t>
  </si>
  <si>
    <t>Realizar los estudios y diseños para la intervención integral de bienes muebles-inmuebles en el espacio público de la ciudad de Bogotá, D.C.</t>
  </si>
  <si>
    <t>93141707;</t>
  </si>
  <si>
    <t>Realizar la consultoría para elaborar los estudios técnicos, jurídicos, financieros y diseños definitivos para la construcción de las Galerías comerciales del edificio Liévano primera planta colindante con la carrera 8 entre calle 10 y calle 11.</t>
  </si>
  <si>
    <t>Realizar la intervención y mantenimiento de las Fachadas de las Iglesias Sanfrancisco, Egipto y Candelaria en la ciudad de Bogotá.</t>
  </si>
  <si>
    <t>Realizar la interventoría integral para la intervención y mantenimiento de las Fachadas de las Iglesias Sanfrancisco, Egipto y Candelaria en la ciudad de Bogotá.</t>
  </si>
  <si>
    <t>25101600;78101800;78121600</t>
  </si>
  <si>
    <t>Contratar el servicio de transporte terrestre de carga con conductor y combustible, para transportar insumos, materiales, herramientas y equipos que requiera el Instituto Distrital de Patrimonio Cultural dentro del perímetro urbano de la ciudad de Bogotá D.C.</t>
  </si>
  <si>
    <t xml:space="preserve">23240000;24110000;24141500;27110000;30110000;30151800;30151900;30161500;30161600;30190000;31160000;31200000;31210000;39121700;40140000;31162800;39100000
</t>
  </si>
  <si>
    <t>80111618;93141707</t>
  </si>
  <si>
    <t xml:space="preserve">Prestar servicios de apoyo a la gestión al Instituto Distrital de Patrimonio Cultural en áreas de seguridad industrial y acompañamiento en las labores de campo adelantadas por la Subdirección de Intervención. </t>
  </si>
  <si>
    <t>80111618;80111611;93141707;72101500;80101604;80111614;80111617;81101500;93142009</t>
  </si>
  <si>
    <t xml:space="preserve">Prestar servicios de apoyo a la gestión al Instituto Distrital de Patrimonio Cultural en la administración, el recibo y/o entrega de materiales, herramienta y equipos, control de inventarios y el buen uso de los mismos; en el marco de las acciones del Programa de Enlucimiento de Fachadas. </t>
  </si>
  <si>
    <t>80111618; 93141707</t>
  </si>
  <si>
    <t>Prestar servicios de apoyo a la gestión al Instituto Distrital de Patrimonio Cultural para el monitoreo de las acciones de intervención adelantadas en el marco del Programa de enlucimiento de fachadas "El Patrimonio se Luce", de acuerdo con la programación establecida.</t>
  </si>
  <si>
    <t>Prestar servicios de apoyo a la gestión al Instituto Distrital de Patrimonio Cultural para la correcta ejecución de las intervenciones adelantadas por el Programa de enlucimiento de fachadas "El Patrimonio se Luce", de acuerdo con la programación establecida.</t>
  </si>
  <si>
    <t>80101604;80111614;93141707</t>
  </si>
  <si>
    <t>Prestar servicios profesionales al Instituto Distrital de Patrimonio Cultural  para apoyar las actividades logísticas y técnicas orientadas a la sensibilización y apropiación de la cultura ciudadana como instrumento de gestión social en el marco del programa de enlucimiento de fachadas "El Patrimonio se Luce".</t>
  </si>
  <si>
    <t>93141707;80101604;80111618;80111614;81101505;80111617;93151516</t>
  </si>
  <si>
    <t>Prestar servicios profesionales al Instituto Distrital de Patrimonio Cultural para apoyar el seguimiento en obra de las jornadas de enlucimiento que realice el programa de Fachadas y de las acciones de intervención sobre Bienes de Interés Cultural en espacio público.</t>
  </si>
  <si>
    <t>Prestar servicios profesionales al Instituto Distrital de Patrimonio Cultural para apoyar el seguimiento técnico y administrativo en sitio de las intervenciones adelantadas por el Programa de Enlucimiento de Fachadas.</t>
  </si>
  <si>
    <t>80111617;93141707;80101604;80111614;81101505;80111618;93151516</t>
  </si>
  <si>
    <t>Prestar servicios profesionales al Instituto Distrital de Patrimonio Cultural para apoyar la gestión y seguimiento administrativo de las acciones de intevención en espacio público y fachadas que se adelantan en el marco del Programa Enlucimiento de Fachadas.</t>
  </si>
  <si>
    <t>Prestar servicios profesionales al Instituto Distrital de Patrimonio Cultural para apoyar las acciones de intervención sobre fachadas y espacio público.</t>
  </si>
  <si>
    <t>Prestar servicios profesionales al Instituto Distrital de Patrimonio Cultural para orientar y verificar la implementación de las acciones de intervención y protección del Programa El Patrimonio se Luce.</t>
  </si>
  <si>
    <t>Prestar servicios profesionales al Instituto Distrital de Patrimonio Cultural, apoyando las actividades preliminares de campo, en el marco de las acciones de intevención en espacio público y fachadas.</t>
  </si>
  <si>
    <t>Valor dirigido para reconocer la afiliación de riesgos laborales Nivel 5 de los contratistas de la Subdirección de Intervención.</t>
  </si>
  <si>
    <t>93141707;80111618</t>
  </si>
  <si>
    <t>Prestar servicios de apoyo a la gestión al Instituto Distrital de Patrimonio Cultural para la correcta ejecución de las intervenciones adelantadas sobre bienes muebles en espacio público, de acuerdo con la programación establecida.</t>
  </si>
  <si>
    <t>Prestar servicios de apoyo a la gestión al Instituto Distrital de Patrimonio Cultural para la correcta ejecución de las intervenciones de mantenimiento y conservación que se adelantan sobre bienes muebles en espacio público, de acuerdo con la programación establecida.</t>
  </si>
  <si>
    <t>93141707;80101604</t>
  </si>
  <si>
    <t>Prestar servicios profesionales al Instituto Distrital de Patrimonio Cultural para acompañar el seguimiento a las acciones de intervención de los bienes muebles - inmuebles en el espacio público y colecciones públicas de la ciudad de Bogotá. D.C.</t>
  </si>
  <si>
    <t xml:space="preserve">Prestar servicios profesionales al Instituto Distrital de Patrimonio Cultural para apoyar el seguimiento desde la disciplina de conservación - restauración a las actividades de mantenimiento, administración y conservación de los bienes muebles - inmuebles en el espacio público de Bogotá D.C. </t>
  </si>
  <si>
    <t>Prestar servicios profesionales al Instituto Distrital de Patrimonio Cultural para apoyar el seguimiento técnico en sitio de las intervenciones adelantadas sobre bienes muebles en espacio público de Bogotá D.C.</t>
  </si>
  <si>
    <t>Prestar servicios profesionales al Instituto Distrital de Patrimonio Cultural para apoyar la gestión del Grupo de Bienes Muebles en las actividades relacionadas con la intervención y conservación de patrimonio mueble ubicado en el espación público de Bogotá, en especial bajo el Programa Adopta un Monumento de la entidad.</t>
  </si>
  <si>
    <t>Prestar servicios profesionales al Instituto Distrital de Patrimonio Cultural para orientar y realizar el fomento y seguimiento de las acciones de administración, mantenimiento, conservación y restauración de los bienes muebles de la ciudad de Bogotá. D.C.</t>
  </si>
  <si>
    <t>Prestar servicios profesionales al Instituto Distrital de Patrimonio Cultural para orientar, guiar y realizar el seguimiento técnico de las intervenciones adelantadas por la entidad en Bienes Muebles ubicados en el espacio público de Bogotá D.C.</t>
  </si>
  <si>
    <t>Prestar servicios profesionales al Instituto Distrital de Patrimonio Cultural para realizar la gestión interinstitucional (público-privada) del Programa Adopta un Monumento para la protección, mantenimiento, administración y conservación de los bienes muebles - inmuebles en el espacio público de Bogotá, D.C.</t>
  </si>
  <si>
    <t>12163800;12181500;12191600;15101500;41113000;41121800;47131800;51102700;51171500;51191700</t>
  </si>
  <si>
    <t>Suministro de productos químicos e insumos especiales requeridos para las intervenciones técnicas que se realizan sobre los Bienes de Interés Cultural muebles e inmuebles en la ciudad de Bogotá D.C.</t>
  </si>
  <si>
    <t>81141500;80101604;80111614;81101505;80111617;80111618;72101500;72121400;72141500;72151900;72152700;72154000;93151516;93141707;</t>
  </si>
  <si>
    <t>Ejecución de obras de primeros auxilios requeridas en el monumento a Los Héroes en la ciudad de Bogotá, D.C.</t>
  </si>
  <si>
    <t>Ejecución de obras requeridas en el monumento Banderas en la ciudad de Bogotá, D.C.</t>
  </si>
  <si>
    <t>81101701;80101600;80101604;93141707;81101516</t>
  </si>
  <si>
    <t>Realizar el proyecto eléctrico y de iluminación para el monumento Simón Bolívar ubicado en la Plaza de Bolívar.</t>
  </si>
  <si>
    <t>80101604;93141707 </t>
  </si>
  <si>
    <t>Prestar servicios al Instituto Distrital de Patrimonio Cultural para apoyar el seguimiento administrativo y jurídico de los procesos contractuales y proyectos de intervención a cargo de la Subdirección de Intervención.</t>
  </si>
  <si>
    <t>80111600;80101604</t>
  </si>
  <si>
    <t>Prestar servicios de apoyo a la gestión al Instituto Distrital de Patrimonio Cultural en actividades técnicas y de seguimiento en los procesos de ejecución y terminación de proyectos de obra, interventoría o convenios ejecutados por el Instituto.</t>
  </si>
  <si>
    <t>80111601;80111701;80161504</t>
  </si>
  <si>
    <t>80111601;80161504;80161501</t>
  </si>
  <si>
    <t>Prestar servicios de apoyo a la gestión al Instituto Distrital de Patrimonio Cultural en la asistencia y desarrollo de actividades operativas de la Subdirección de Intervención.</t>
  </si>
  <si>
    <t>Prestar servicios de apoyo a la gestión al Instituto Distrital de Patrimonio Cultural para acompañar la recepción, registro de documentos y expedientes en el marco de los procesos adelantados por la Subdirección de Intervención.</t>
  </si>
  <si>
    <t>Prestar servicios de apoyo administrativo al Instituto Distrital de Patrimonio Cultural en los procesos contractuales de la Subdirección de Intervención.</t>
  </si>
  <si>
    <t>80111600;93141500;80161504</t>
  </si>
  <si>
    <t>Prestar servicios profesionales al  Instituto Distrital de Patrimonio Cultural apoyando la estructuración e implementación de estrategias de gestión social y participación ciudadana para el reconocimiento y valoración del patrimonio en el marco de los planes, programas y proyectos de preservación del patrimonio cultural del Distrito Capital.</t>
  </si>
  <si>
    <t>Prestar servicios profesionales al Instituto Distrital de Patrimonio Cultural apoyando la estructuración técnica de los procesos precontractuales para las acciones de gestión e intervención del patrimonio cultural del Distrito Capital.</t>
  </si>
  <si>
    <t>80121704</t>
  </si>
  <si>
    <t>80111601;80111701</t>
  </si>
  <si>
    <t>Prestar servicios profesionales al Instituto Distrital de Patrimonio Cultural en la planeación, seguimiento y control de la ejecución administrativa y de metas del proyecto de inversión de la Subdirección de Intervención.</t>
  </si>
  <si>
    <t>Prestar servicios profesionales al Instituto Distrital de Patrimonio Cultural en las actividades administrativas y de apoyo a la ejecución de los proyectos de inversión de la Subdirección de Intervención.</t>
  </si>
  <si>
    <t>80161504</t>
  </si>
  <si>
    <t>Prestar servicios profesionales al Instituto Distrital de Patrimonio Cultural para apoyar el apoyo jurídico en las etapas de estructuración y ejecución de los contratos que requiera la subdirección de intervención de conformidad con las normas vigentes que rigen la contratación pública. </t>
  </si>
  <si>
    <t>Prestar servicios profesionales al Instituto Distrital de Patrimonio Cultural para apoyar la estructuración técnica y presupuestos de los procesos de selección que se desarrollan para la gestión e intervención del patrimonio cultural del Distrito Capital.</t>
  </si>
  <si>
    <t>80101604;80111601;93151501;93151502</t>
  </si>
  <si>
    <t>Prestar servicios profesionales al Instituto Distrital de Patrimonio Cultural para apoyar la planeación y control administrativo y de la gestión financiera, en el desarrollo de las acciones de intervención y protección del patrimonio cultural del Distrito Capital.</t>
  </si>
  <si>
    <t>93141707;80101604;93142009</t>
  </si>
  <si>
    <t>Prestar servicios profesionales al Instituto Distrital de Patrimonio Cultural para brindar asesoría técnica y seguimiento integral de los procesos y acciones de protección e intervención del patrimonio cultural a cargo de la Subdirección de Intervención.</t>
  </si>
  <si>
    <t>80101604;80111618</t>
  </si>
  <si>
    <t>Prestar servicios profesionales al Instituto Distrital de Patrimonio Cultural para brindar soporte, seguimiento y apoyo a los procesos y proyectos de intervención y/o protección de patrimonio cultural, para garantizar su desarrollo y cumplimiento.</t>
  </si>
  <si>
    <t>Prestar servicios profesionales al Instituto Distrital de Patrimonio Cultural para el apoyo y acompañamiento jurídico en las etapas de estructuración, ejecución y liquidación de los contratos que requiera la subdirección de intervención de conformidad con las normas vigentes que rigen la contratación pública. </t>
  </si>
  <si>
    <t>80111600;80161504</t>
  </si>
  <si>
    <t>Prestar servicios profesionales al Instituto Distrital de Patrimonio Cultural para realizar el acompañamiento de los contratos relacionados con la ejecución de la restauración integral de la Iglesia del Voto Nacional.</t>
  </si>
  <si>
    <t>Prestar servicios profesionales al Instituto Distrital de Patrimonio Cultural para realizar el monitoreo, seguimiento y apoyo a los procesos y proyectos de intervención y/o protección de patrimonio cultural, para garantizar su desarrollo y cumplimiento.</t>
  </si>
  <si>
    <t>80101600;80101604;80111617;80111614</t>
  </si>
  <si>
    <t>Prestar servicios profesionales al Instituto Distrital de Patrimonio Cultural para realizar la planificación, programación y control de las acciones de intervención y protección a cargo de la Subdirección de Intervención.</t>
  </si>
  <si>
    <t>80111600;80111614;93141707</t>
  </si>
  <si>
    <t>Prestar servicios profesionales al Instituto Distrital de Patrimonio Cultural, para acompañar la revisión de los estudios y emisión de conceptos de las obras de intervención que desarrolle la Entidad.</t>
  </si>
  <si>
    <t>80111600;93141707;80101604;80111618;</t>
  </si>
  <si>
    <t>Prestar servicios profesionales especializados para apoyar al Instituto Distrital de Patrimonio Cultural en los temas relacionados con estructuración y ejecución de obras en proyectos de conservación y restauración en bienes inmuebles de interés cultural.</t>
  </si>
  <si>
    <t>Prestar servicios profesionales para apoyar las actividades técnicas y operativas para el desarrollo de los proyectos de protección e intervención del patrimonio a cargo de la Subdirección de Intervención.</t>
  </si>
  <si>
    <t>81151705;93141707</t>
  </si>
  <si>
    <t>Prestar servicios profesionales al Instituto Distrital de Patrimonio Cultural para apoyar el desarrollo y seguimiento del manejo arqueológico en los proyectos de Intervención en los que el Instituto se vea involucrado.</t>
  </si>
  <si>
    <t>Prestar servicios profesionales al Instituto Distrital de Patrimonio Cultural para orientar el acompañamiento y seguimiento en el desarrollo del manejo arqueológico en los proyectos de Intervención en los que el Instituto se vea involucrado.</t>
  </si>
  <si>
    <t>Adición y prorroga al contrato 305 de 2018 que tiene por objeto: prestación de los servicios de vigilancia y seguridad privada, en la modalidad de vigilancia fija armada, con medios técnicos y tecnológicos, a los bienes muebles e inmuebles que conforman el patrimonio de la entidad y de los cuales es o llegare a ser legalmente responsable.</t>
  </si>
  <si>
    <t>43191508;43191511</t>
  </si>
  <si>
    <t>Contratar el servicio de telefonía IP para las sedes del IDPC</t>
  </si>
  <si>
    <t>Contratar insumos de ferretería, materiales y herramientas requeridas para la ejecución de intervenciones técnicas necesarias para el enlucimiento de fachadas, limpieza y mantenimiento de los Bienes de Interés Cultural muebles en espacio público e instalaciones que se utilizan para la prestación del servicio del Instituto Distrital de Patrimonio Cultural en la ciudad de Bogotá D.C.</t>
  </si>
  <si>
    <t>Contratar el actualización, mantenimiento y soporte del Software SIIGO del Instituto Distrital de Patrimonio Cultural.</t>
  </si>
  <si>
    <t>43201402;</t>
  </si>
  <si>
    <t>Adquirir la renovación de las licencias, soporte y capacitación del Equipo de Seguridad Perimetral Fortigate 100D de propiedad del Instituto Distrital de Patrimonio Cultural.</t>
  </si>
  <si>
    <t>43233201;43233203;43233205;81112208;43231512;</t>
  </si>
  <si>
    <t>Adquirir la renovación y actualización de licencias de software antivirus del Instituto Distrital de Patrimonio Cultural.</t>
  </si>
  <si>
    <t>Contratar la actualización, mantenimiento y soporte del software de talento humano y nómina del Instituto Distrital de Patrimonio Cultural.</t>
  </si>
  <si>
    <t>72101506;72154010;</t>
  </si>
  <si>
    <t>Prestación de servicios para el mantenimiento preventivo y correctivo del ascensor de casa Museo de Bogotá Calle 10 No.3-45-51-55.</t>
  </si>
  <si>
    <t>Prestación de servicios para el mantenimiento preventivo y correctivo del ascensor de casa Museo de Bogotá Cra 4 No.10-02.</t>
  </si>
  <si>
    <t>Contratar el mantenimiento correctivo preventivo del ascensor de carga de la sede demoninada el Palomar del Príncipe del Instituto Distrital de Patrimonio Cultural.</t>
  </si>
  <si>
    <t>72154066;72103302;</t>
  </si>
  <si>
    <t>Contratar el mantenimiento preventivo y correctivo de equipos de cómputo, impresoras, servidores, plantas telefónicas y UPS del Instituto Distrital de Patrimonio Cultural.</t>
  </si>
  <si>
    <t>43231600;32131023;</t>
  </si>
  <si>
    <t>Adquisición de certificados de firma digital para el componente tecnológico que soporta el proceso de gestión de pagos del sistema OPGET, de la Secretaría Distrital de Hacienda, firmas de archivos digitales a entidades estatales, respectivo dispositivo criptográfico de almacenamiento del certificado digital (Token).</t>
  </si>
  <si>
    <t>25172504;</t>
  </si>
  <si>
    <t>Contratar el suministro de llantas para los vehículos del Instituto Distrital de Patrimonio Cultural.</t>
  </si>
  <si>
    <t>15101506;</t>
  </si>
  <si>
    <t>Contratar el suministro de combustible para los vehículos del Instituto Distrital de Patrimonio Cultural.</t>
  </si>
  <si>
    <t>44101500;</t>
  </si>
  <si>
    <t>Contratar el arrendamiento de equipos de fotocopiado multifuncional, incluido el mantenimiento y soporte técnico preventivo y correctivo programado, con suministro de tóner permanente, así como soporte técnico extraordinario cada vez que se requiera</t>
  </si>
  <si>
    <t>78102205;</t>
  </si>
  <si>
    <t>Contratar la prestación de servicios de mensajería externa para el Instituto Distrital de Patrimonio Cultural.</t>
  </si>
  <si>
    <t>43233501;81112102;</t>
  </si>
  <si>
    <t>Contratar la renovación de los servicios de Google Apps y Google Vault (copias de respaldo) que incluye el correo electrónico, herramientas de colaboración y comunicación para el dominio Instituto Distrital de Patrimonio Cultural.gov.co del Instituto Distrital de Patrimonio Cultural, basado en tecnologías de computación en la nube.</t>
  </si>
  <si>
    <t>55101531;</t>
  </si>
  <si>
    <t>Suscripción a libro electrónico denominado Contratación Estatal en Colombia www.contratacionestatal.com en la modalidad de licencia de uso.</t>
  </si>
  <si>
    <t>78181507;</t>
  </si>
  <si>
    <t>Prestación de servicios para el mantenimiento preventivo y correctivo de los vehículos del Instituto Distrital de Patrimonio Cultural, con suministros de repuestos, baterías y accesorios.</t>
  </si>
  <si>
    <t>46191601;</t>
  </si>
  <si>
    <t>Contratar la revisión, recarga y mantenimiento de los extintores del Instituto Distrital de Patrimonio Cultural.</t>
  </si>
  <si>
    <t>72154022;</t>
  </si>
  <si>
    <t>Prestar servicios para el mantenimiento preventivo y correctivo de las bombas hidráulicas y lavado de tanques de los inmuebles de propiedad del Instituto Distrital de Patrimonio Cultural.</t>
  </si>
  <si>
    <t>Contratar el servicio de catering y apoyo logístico para los eventos institucionales.</t>
  </si>
  <si>
    <t>76122304;</t>
  </si>
  <si>
    <t>Contratar la prestación de servicio de recolección, transporte, tratamiento y/o disposición final de los residuos peligrosos producidos durante la gestión del Instituto Distrital de Patrimonio Cultural.</t>
  </si>
  <si>
    <t>93141808;93141506;86111604;</t>
  </si>
  <si>
    <t>Contratar la prestación de servicios para desarrollar y/o adquirir los bienes y servicios de capacitación, bienestar e incentivos y exámenes médicos ocupacionales para los funcionarios del Instituto Distrital de Patrimonio Cultural.</t>
  </si>
  <si>
    <t>Caja menor</t>
  </si>
  <si>
    <t>78111808;</t>
  </si>
  <si>
    <t>Contratar el servicio público de transporte terrestre automotor especial incluido conductor para atender la gestión institucional del Instituto Distrital de Patrimonio Cultural.</t>
  </si>
  <si>
    <t xml:space="preserve">planilla riesgo V </t>
  </si>
  <si>
    <t>Prestar los servicios de apoyo a la gestión al Instituto Distrital de Patrimonio Cultural para el arreglo y mantenimiento de los jardines y zonas verdes existentes en sus instalaciones.</t>
  </si>
  <si>
    <t>Honorarios Junta Directiva</t>
  </si>
  <si>
    <t>Prestar servicios de apoyo a la gestión en la conducción de los vehículos de propiedad del Instituto Distrital de Patrimonio Cultural.</t>
  </si>
  <si>
    <t>Prestar servicios de apoyo a la gestión en la conducción y traslado del personal y bienes en los vehículos de propiedad del Instituto Distrital de Patrimonio Cultural.</t>
  </si>
  <si>
    <t>Prestar servicios de apoyo a la gestión en el mantenimiento de los bienes de propiedad del  Instituto Distrital de Patrimonio Cultural.</t>
  </si>
  <si>
    <t>Prestar servicios profesionales al Instituto Distrital de Patrimonio Cultural en temas de derecho urbano y administrativo relacionados con la sostenibilidad jurídica del patrimonio cultural del Distrito Capital.</t>
  </si>
  <si>
    <t>Juan Fernando Acosta Mirkow (Dirección General)</t>
  </si>
  <si>
    <t>cinterno@idpc.gov.co</t>
  </si>
  <si>
    <t>juridica@idpc.gov.co</t>
  </si>
  <si>
    <t>Juliana Torres Berrocal (Asesora Jurídica)</t>
  </si>
  <si>
    <t>Eleana Marcela Páez (Asesoría de Control Interno)</t>
  </si>
  <si>
    <t>Atender niños/as y adolescentes a través de la formación en patrimonio cultural dentro del programa de 
jornada única y como estrategias de uso del tiempo escolar durante el
periodo 2016 - 2020.</t>
  </si>
  <si>
    <t>Ofrecer actividades que contribuyan a activar el patrimonio cultural</t>
  </si>
  <si>
    <t xml:space="preserve">Lograr asistentes a la oferta generada por el Instituto en actividades de patrimonio cultural </t>
  </si>
  <si>
    <t>Apoyar iniciativas de la ciudadanía en temas de patrimonio cultural.</t>
  </si>
  <si>
    <t>Mantener las sedes misionales a cargo de la entidad</t>
  </si>
  <si>
    <t xml:space="preserve">Formular y adoptar el plan especial de manejo y protección del Centro Histórico </t>
  </si>
  <si>
    <t>Formular planes y proyectos urbanos en ámbitos patrimoniales</t>
  </si>
  <si>
    <t>Formular y adoptar instrumentos de financiamiento para la recuperación y sostenibilidad del patrimonio cultural</t>
  </si>
  <si>
    <t>Asesorar técnicamente las solicitudes para la protección del patrimonio cultural material del Distrito Capital</t>
  </si>
  <si>
    <t>Intervenir Bienes de Interés Cultural del Distrito Capital, a través de obras de adecuación, ampliación, conservación, consolidación estructural, rehabilitación, mantenimiento y/o restauración</t>
  </si>
  <si>
    <t>Administración y mantenimiento de escenarios culturales</t>
  </si>
  <si>
    <t>147-Otros Recursos del balance de destinación específica</t>
  </si>
  <si>
    <t>347-Rendimientos Financieros Destinación Específica</t>
  </si>
  <si>
    <t>146-Recursos del balance de libre destinación</t>
  </si>
  <si>
    <t>265-Recursos del Balance Plusvalía</t>
  </si>
  <si>
    <t>270-Recursos del Balance Reaforo Plusvalía</t>
  </si>
  <si>
    <t>555-Impuesto Nacional al Consumo de Telefonía Móvil</t>
  </si>
  <si>
    <t>Posible contratista</t>
  </si>
  <si>
    <t>Articulación</t>
  </si>
  <si>
    <t>Alexandra María Rodriguez</t>
  </si>
  <si>
    <t>Angela María Cadena</t>
  </si>
  <si>
    <t>ARL N. 5</t>
  </si>
  <si>
    <t>ARL Civinautas</t>
  </si>
  <si>
    <t>Camilo Casas</t>
  </si>
  <si>
    <t>Adquisición de computadores y equipos de computación</t>
  </si>
  <si>
    <t xml:space="preserve">Computadores </t>
  </si>
  <si>
    <t>Logística</t>
  </si>
  <si>
    <t>Contrato Inter/Tequendama
Exposición
Refrigerios</t>
  </si>
  <si>
    <t>Diana Pedraza</t>
  </si>
  <si>
    <t>Fabio López</t>
  </si>
  <si>
    <t>Impresos y publicaciones</t>
  </si>
  <si>
    <t>Material divulgativo (civinautas)
Kits Reimpresi</t>
  </si>
  <si>
    <t>Nuevo mediador</t>
  </si>
  <si>
    <t>Papelería</t>
  </si>
  <si>
    <t>papelería</t>
  </si>
  <si>
    <t>Paula Ávila</t>
  </si>
  <si>
    <t>Publicaciones Civinautas</t>
  </si>
  <si>
    <t>Sara Beatriz Acuña</t>
  </si>
  <si>
    <t>Desarrollo web</t>
  </si>
  <si>
    <t>Sitio web IDPC</t>
  </si>
  <si>
    <t>Yaneth Mora</t>
  </si>
  <si>
    <t>Yenny Lorena Bohórquez</t>
  </si>
  <si>
    <t>Yenny Sanchez</t>
  </si>
  <si>
    <t>Album familiar</t>
  </si>
  <si>
    <t>Alejandra Toro</t>
  </si>
  <si>
    <t>Ana María Collazos</t>
  </si>
  <si>
    <t>Andres López</t>
  </si>
  <si>
    <t>Angela Santa María</t>
  </si>
  <si>
    <t>Bibiana Castro Ramirez</t>
  </si>
  <si>
    <t>Adquisición de computadores y equipos de computación (probablemente personal?)</t>
  </si>
  <si>
    <t>Cableado, puntos de red, accespoint</t>
  </si>
  <si>
    <t>Adquisición de equipos de comunicación</t>
  </si>
  <si>
    <t>Cámara, tv, audio, comunicaciones, discos duro MdB, cámara MdB</t>
  </si>
  <si>
    <t>Carlos Arturo Rojas</t>
  </si>
  <si>
    <t>Carlos Lema</t>
  </si>
  <si>
    <t>Carolina Martinez</t>
  </si>
  <si>
    <t>Catalina Cavallier</t>
  </si>
  <si>
    <t>Clement Roux</t>
  </si>
  <si>
    <t>Computadores MdB y Comunicaciones, tablets educativa, licenias MdB, portátil</t>
  </si>
  <si>
    <t>Constanza Medina</t>
  </si>
  <si>
    <t>Contrato Inter/Tequendama</t>
  </si>
  <si>
    <t>Curador Bicentenario</t>
  </si>
  <si>
    <t>Curador Bogotá Impresa</t>
  </si>
  <si>
    <t>Curador Germán Tellez</t>
  </si>
  <si>
    <t>Saneamiento y control ambiental</t>
  </si>
  <si>
    <t>Deshumidificadores</t>
  </si>
  <si>
    <t>Diana Gómez</t>
  </si>
  <si>
    <t>Diana Marcela García</t>
  </si>
  <si>
    <t>Diego Andrés Muñoz</t>
  </si>
  <si>
    <t>Diego Robayo</t>
  </si>
  <si>
    <t>Diseñador gráfico productos Patrimonios Locales</t>
  </si>
  <si>
    <t>Diseñador pequeño Reemplazo de Juan Sebastian Carranza</t>
  </si>
  <si>
    <t>Eda Lucía</t>
  </si>
  <si>
    <t>Edgar Andrés Gutierrez</t>
  </si>
  <si>
    <t>Elkin Buitrago</t>
  </si>
  <si>
    <t>Ernesto Moore</t>
  </si>
  <si>
    <t>Estructura tranvía</t>
  </si>
  <si>
    <t>Ferretería</t>
  </si>
  <si>
    <t>Ferreteria</t>
  </si>
  <si>
    <t>Francisco Guerrero</t>
  </si>
  <si>
    <t>Gina León</t>
  </si>
  <si>
    <t>Giovany Alfonso</t>
  </si>
  <si>
    <t>Gloria Carrillo</t>
  </si>
  <si>
    <t>Gloria Rodriguez</t>
  </si>
  <si>
    <t>Hanz Ripel</t>
  </si>
  <si>
    <t>Iluminación</t>
  </si>
  <si>
    <t>Investigador inmuebles</t>
  </si>
  <si>
    <t>Irene Carolina Corredor</t>
  </si>
  <si>
    <t>Johana Galindo</t>
  </si>
  <si>
    <t>José Leonardo Cristancho</t>
  </si>
  <si>
    <t>Juan Felipe Espinosa</t>
  </si>
  <si>
    <t>Juan Pablo Henao</t>
  </si>
  <si>
    <t>Juan Ricardo Barragán</t>
  </si>
  <si>
    <t>Juan Sebastian Pinto</t>
  </si>
  <si>
    <t>Laura Mejia</t>
  </si>
  <si>
    <t>Leonardo Ochica</t>
  </si>
  <si>
    <t>Libros centro de docuemntación</t>
  </si>
  <si>
    <t>Licencias de software</t>
  </si>
  <si>
    <t>Licencias Museo</t>
  </si>
  <si>
    <t>Liliana Pamplona</t>
  </si>
  <si>
    <t>Lorena Cantor</t>
  </si>
  <si>
    <t>Luis Alfredo Barón</t>
  </si>
  <si>
    <t>Marcela Tristancho</t>
  </si>
  <si>
    <t>Maria Antonieta García</t>
  </si>
  <si>
    <t>Maria Clara Mendez</t>
  </si>
  <si>
    <t>Maria Faride Pardo</t>
  </si>
  <si>
    <t>Mauricio Martinez</t>
  </si>
  <si>
    <t>Mediciones ambientales</t>
  </si>
  <si>
    <t>Melissa Solozano</t>
  </si>
  <si>
    <t>Miguel Rodriguez</t>
  </si>
  <si>
    <t>Monica Angela Lascar</t>
  </si>
  <si>
    <t>Mónica Sarmiento Rosa</t>
  </si>
  <si>
    <t>Adecuación de la Sede del Museo de la Autocontrucción</t>
  </si>
  <si>
    <t>Museo de la autoconstrucción</t>
  </si>
  <si>
    <t>Nathaly Bonilla</t>
  </si>
  <si>
    <t>Paola Gaitán</t>
  </si>
  <si>
    <t>Paula Matiz</t>
  </si>
  <si>
    <t>PEMP</t>
  </si>
  <si>
    <t>Aseo y cafetería</t>
  </si>
  <si>
    <t>Personal</t>
  </si>
  <si>
    <t>Por definir</t>
  </si>
  <si>
    <t>Proyectos</t>
  </si>
  <si>
    <t>Publicaciones</t>
  </si>
  <si>
    <t>Publicaciones: 367000000
Material educativo MdB: 30 mill
Material divulgativo (PCI): 50 mill</t>
  </si>
  <si>
    <t>Reemplazo de Juan David Angarita</t>
  </si>
  <si>
    <t>Restaurador (a)</t>
  </si>
  <si>
    <t>Sandra Mendoza</t>
  </si>
  <si>
    <t>Mobiliario</t>
  </si>
  <si>
    <t>Siillas y atril/Sala educativa</t>
  </si>
  <si>
    <t>Sonia Cuartas</t>
  </si>
  <si>
    <t>Suministros</t>
  </si>
  <si>
    <t>Tallerista Patrimonios Locales 1</t>
  </si>
  <si>
    <t>Tallerista Patrimonios Locales 2</t>
  </si>
  <si>
    <t>Tallerista Patrimonios Locales 3</t>
  </si>
  <si>
    <t>Transporte carga especial</t>
  </si>
  <si>
    <t>Transporte</t>
  </si>
  <si>
    <t>Traslado Tranvía</t>
  </si>
  <si>
    <t>Vigilancia</t>
  </si>
  <si>
    <t>Wilson Pacheco</t>
  </si>
  <si>
    <t>Ximena Bernal</t>
  </si>
  <si>
    <t>Yesica Milena Acosta</t>
  </si>
  <si>
    <t>Yolanda López</t>
  </si>
  <si>
    <t>ADRIANA BERNAO ( PROF. MAS DE 5AÑOS)</t>
  </si>
  <si>
    <t>Alejandra Quintero</t>
  </si>
  <si>
    <t>Alexander  Morales</t>
  </si>
  <si>
    <t xml:space="preserve">ANA MILENA PRADA </t>
  </si>
  <si>
    <t>ANDERSON JURIDÍCA</t>
  </si>
  <si>
    <t>Andrea rincon</t>
  </si>
  <si>
    <t xml:space="preserve">ANDRÉS CÁRDENAS </t>
  </si>
  <si>
    <t>Andres Moncada</t>
  </si>
  <si>
    <t>Angela Castro</t>
  </si>
  <si>
    <t>ANGELICA ESPERANZA ACUÑA HERNANDEZ  (Profesional en archivistica)</t>
  </si>
  <si>
    <t xml:space="preserve">Angie Morales </t>
  </si>
  <si>
    <t>Apoyo secop</t>
  </si>
  <si>
    <t xml:space="preserve">aseo </t>
  </si>
  <si>
    <t>atención palomar</t>
  </si>
  <si>
    <t>Camila Acero</t>
  </si>
  <si>
    <t xml:space="preserve">Camilo Moreno </t>
  </si>
  <si>
    <t>CARLOS HERNANDO SANDOVAL MORA</t>
  </si>
  <si>
    <t>Carlos Yusty</t>
  </si>
  <si>
    <t xml:space="preserve">CARPETAS </t>
  </si>
  <si>
    <t>Catalina Nagy</t>
  </si>
  <si>
    <t xml:space="preserve">CHARLY ALEXANDER ROCIASCO </t>
  </si>
  <si>
    <t>Cindy Orjuela</t>
  </si>
  <si>
    <t xml:space="preserve">COMPRA ARCHIVADORES </t>
  </si>
  <si>
    <t xml:space="preserve">CONSERVADOR </t>
  </si>
  <si>
    <t>CRISTIAN STEPH VELASQUEZ ALEJO</t>
  </si>
  <si>
    <t>Cristina Salinas</t>
  </si>
  <si>
    <t>DANIEL ROJAS</t>
  </si>
  <si>
    <t>Danilo Sanchez</t>
  </si>
  <si>
    <t>DARIO FERDEY YAIMA TOCANCIPA</t>
  </si>
  <si>
    <t>David Wilches</t>
  </si>
  <si>
    <t>David wilchez</t>
  </si>
  <si>
    <t xml:space="preserve">DEBORATH GASCÓN </t>
  </si>
  <si>
    <t xml:space="preserve">Edicson Sanchez </t>
  </si>
  <si>
    <t>edwin alexander leon gonzalez</t>
  </si>
  <si>
    <t>Edwin Ruiz</t>
  </si>
  <si>
    <t>Elena Sánchez</t>
  </si>
  <si>
    <t>fotocopiado</t>
  </si>
  <si>
    <t>Giovana morales</t>
  </si>
  <si>
    <t xml:space="preserve">Helbert  Mauricio Guzman </t>
  </si>
  <si>
    <t>Helbert  Silva</t>
  </si>
  <si>
    <t>idelber</t>
  </si>
  <si>
    <t>Irma Castañeda</t>
  </si>
  <si>
    <t>Jaiber Sarmiento</t>
  </si>
  <si>
    <t>Jeimmy Quiroga</t>
  </si>
  <si>
    <t>Jenny Quevedo</t>
  </si>
  <si>
    <t xml:space="preserve">JOSE ANTONIO SOCIAL </t>
  </si>
  <si>
    <t xml:space="preserve">JOSÉ FRANCISCO RORIGUEZ TELLEZ </t>
  </si>
  <si>
    <t>Juan Alvarado</t>
  </si>
  <si>
    <t>JUAN CARLOS TARAPUEZ ROA</t>
  </si>
  <si>
    <t>JULIO CESAR CARRILLO SILVA</t>
  </si>
  <si>
    <t xml:space="preserve">KRISTHIAM ANDRES CARRIZOSA </t>
  </si>
  <si>
    <t xml:space="preserve">LAURA ZIMERMMANN </t>
  </si>
  <si>
    <t xml:space="preserve">LICENCIAS </t>
  </si>
  <si>
    <t>Luz Marina Serna</t>
  </si>
  <si>
    <t xml:space="preserve">LUZ MARINA ZAPATA </t>
  </si>
  <si>
    <t>LUZ PATRICIA QUINTANILLA PARRA</t>
  </si>
  <si>
    <t>Magally morea</t>
  </si>
  <si>
    <t>Marcela Ramírez</t>
  </si>
  <si>
    <t xml:space="preserve">MARIA ISABEL VANEGAS </t>
  </si>
  <si>
    <t>Mariela Cajamarca</t>
  </si>
  <si>
    <t>MAURICIO DE JESUS ARAQUE TEJADA</t>
  </si>
  <si>
    <t>MEDIDORES DE CONTROL AMBIENTAL ESPACIOS ARCHIVO (Bodegas de Almacenamiento) - Datalogger; Luxómetro ; Medidor de CO2</t>
  </si>
  <si>
    <t>MILLER ALEJANDRO CASTRO PEREZ</t>
  </si>
  <si>
    <t>muebles casa sede</t>
  </si>
  <si>
    <t xml:space="preserve">NANCY ZAMORA </t>
  </si>
  <si>
    <t>Natalia Torres</t>
  </si>
  <si>
    <t>Nubia  Lizarazo</t>
  </si>
  <si>
    <t>OLGA LUCIA VERGARA ARENAS</t>
  </si>
  <si>
    <t>OMAR ALEXANDER PATIÑO PINEDA</t>
  </si>
  <si>
    <t xml:space="preserve">ORLANDO ARIAS CAICEDO </t>
  </si>
  <si>
    <t>OSCAR FABIAN UYABAN DUEÑAS</t>
  </si>
  <si>
    <t>Paola Andrea Gonzáles Armero</t>
  </si>
  <si>
    <t xml:space="preserve">PLANEACIÓN </t>
  </si>
  <si>
    <t xml:space="preserve">Profesional seguimiento </t>
  </si>
  <si>
    <t>Ronald Morera</t>
  </si>
  <si>
    <t>Salud ocupacional</t>
  </si>
  <si>
    <t xml:space="preserve">SANDRA NORIEGA </t>
  </si>
  <si>
    <t>Sandra Palacios</t>
  </si>
  <si>
    <t>Sandra Romo</t>
  </si>
  <si>
    <t>Seguros</t>
  </si>
  <si>
    <t>seguros</t>
  </si>
  <si>
    <t>Víctor Alfonso</t>
  </si>
  <si>
    <t>vigilancia</t>
  </si>
  <si>
    <t>Vigilancia (Adición)</t>
  </si>
  <si>
    <t>Yurani Giraldo</t>
  </si>
  <si>
    <t>Alquiler e instalación de computadores</t>
  </si>
  <si>
    <t>Back-up</t>
  </si>
  <si>
    <t>Servicios públicos</t>
  </si>
  <si>
    <t xml:space="preserve">ALICIA BELLO </t>
  </si>
  <si>
    <t xml:space="preserve">AMBIENTE </t>
  </si>
  <si>
    <t>ANA MARÍA FLÓREZ FLÓREZ</t>
  </si>
  <si>
    <t>Andrea Céspedes</t>
  </si>
  <si>
    <t xml:space="preserve">ANGULO &amp; VELANDIA S.A.S.GERENCIA ESTRATEGICA </t>
  </si>
  <si>
    <t xml:space="preserve">Apoyo 1 </t>
  </si>
  <si>
    <t>Apoyo 2</t>
  </si>
  <si>
    <t xml:space="preserve">APOYO ESPACIO PUBLICO </t>
  </si>
  <si>
    <t>Apoyo norma patrimonio 1- DIEGO ORTIZ</t>
  </si>
  <si>
    <t xml:space="preserve">Apoyo norma patrimonio 2- HERNÁN ALDANA  </t>
  </si>
  <si>
    <t xml:space="preserve">Apoyo norma urbano 3 SANDRA SABOGAL </t>
  </si>
  <si>
    <t xml:space="preserve">Apoyo norma urbano 4 </t>
  </si>
  <si>
    <t xml:space="preserve">APOYO PROFESIONAL </t>
  </si>
  <si>
    <t xml:space="preserve">ARQ, REEMPLAZO SERGIO </t>
  </si>
  <si>
    <t xml:space="preserve">ARQ. APOYO </t>
  </si>
  <si>
    <t>Camilo Becerra</t>
  </si>
  <si>
    <t xml:space="preserve">CARLOS LINCE </t>
  </si>
  <si>
    <t xml:space="preserve">CLAUDIA SILVA </t>
  </si>
  <si>
    <t xml:space="preserve">DIEGO MENESES </t>
  </si>
  <si>
    <t xml:space="preserve">ESCENARIOS DE MOVILIDAD (PEMP CH Y OTROS) </t>
  </si>
  <si>
    <t xml:space="preserve">Especialista inventario </t>
  </si>
  <si>
    <t xml:space="preserve">GABRIELA PINILLA </t>
  </si>
  <si>
    <t>GERENCIA DE GESTIÓN (CLAUDIA CARRIZOSA)</t>
  </si>
  <si>
    <t xml:space="preserve">GERENCIA DE PROYECTOS (DAVID DELGADO) </t>
  </si>
  <si>
    <t>GERENCIA LEGAL ( PINILLA)</t>
  </si>
  <si>
    <t>GERENCIA PATRIMONIO - MIGUEL ANGEL VILLAMIZAR</t>
  </si>
  <si>
    <t xml:space="preserve">INNOVACIÓN </t>
  </si>
  <si>
    <t>Javier Mateus</t>
  </si>
  <si>
    <t>Jhon Morales</t>
  </si>
  <si>
    <t xml:space="preserve">Johan Camilo Prieto </t>
  </si>
  <si>
    <t xml:space="preserve">JORGE RODRIGUEZ </t>
  </si>
  <si>
    <t xml:space="preserve">JUAN CAMILO GONZALEZ </t>
  </si>
  <si>
    <t>Juan Carlos Sarmiento</t>
  </si>
  <si>
    <t>Juan José Alvear</t>
  </si>
  <si>
    <t>Juan Pablo Sánchez</t>
  </si>
  <si>
    <t xml:space="preserve">JULIAN VALENCIA </t>
  </si>
  <si>
    <t>Laura Moreno</t>
  </si>
  <si>
    <t>LEONOR GOMEZ</t>
  </si>
  <si>
    <t>LINA MARCELA MORENO ROA</t>
  </si>
  <si>
    <t>MARIA DEL PILAR ZAMBRANO GOMEZ</t>
  </si>
  <si>
    <t>MAURICIO CORTES - GERENCIA FINANCIERA</t>
  </si>
  <si>
    <t>MONICA COY</t>
  </si>
  <si>
    <t xml:space="preserve">MOVILIDAD MAGDA </t>
  </si>
  <si>
    <t>NATALIA ACHIARDI</t>
  </si>
  <si>
    <t xml:space="preserve">NATALY BALLESTEROS </t>
  </si>
  <si>
    <t>PAOLA ALEJANDRA</t>
  </si>
  <si>
    <t xml:space="preserve">PAOLA LUNA </t>
  </si>
  <si>
    <t>SERGIO IVAN ROJAS BERRIO</t>
  </si>
  <si>
    <t xml:space="preserve">VIVIENDA </t>
  </si>
  <si>
    <t xml:space="preserve">Yenifer Andrea </t>
  </si>
  <si>
    <t>YOLANDA OVIEDO</t>
  </si>
  <si>
    <t>Asesoría a Terceros</t>
  </si>
  <si>
    <t>BIC o Casa Cadel</t>
  </si>
  <si>
    <t>BIC o Casa Colorada IDPC</t>
  </si>
  <si>
    <t>BIC o Casa Genoveva IDPC</t>
  </si>
  <si>
    <t>BIC o Iglesia Voto Nacional</t>
  </si>
  <si>
    <t>BIC o Plaza Santamaría</t>
  </si>
  <si>
    <t>BIC o Sede Casa Tito IDPC</t>
  </si>
  <si>
    <t>Estudios y diseños para la intervención integral de bienes muebles</t>
  </si>
  <si>
    <t>Galerías del Palacio Liévano</t>
  </si>
  <si>
    <t xml:space="preserve">Intervención y mantenimiento de las Fachadas de las Iglesias San Francisco, Egipto y Candelaria </t>
  </si>
  <si>
    <t>Transporte carga</t>
  </si>
  <si>
    <t>Intervención y Protección en Fachadas</t>
  </si>
  <si>
    <t>Intervención y Protección en Monumentos del Distrito</t>
  </si>
  <si>
    <t>Insumos químicos</t>
  </si>
  <si>
    <t>Monumento a Los Héroes</t>
  </si>
  <si>
    <t>Monumento Banderas</t>
  </si>
  <si>
    <t>Monumento Simón Bolívar ubicado en la Plaza de Bolívar (Iluminación)</t>
  </si>
  <si>
    <t>Personal de apoyo transversal</t>
  </si>
  <si>
    <t>Personal de seguimiento arqueológico</t>
  </si>
  <si>
    <t>Mantenimiento ascensores</t>
  </si>
  <si>
    <t>Mantenimiento equipos de cómputo</t>
  </si>
  <si>
    <t>Transporte pasajeros</t>
  </si>
  <si>
    <t>ARL</t>
  </si>
  <si>
    <t>Hugo Pedraza</t>
  </si>
  <si>
    <t>junta</t>
  </si>
  <si>
    <t>Quintiliano García</t>
  </si>
  <si>
    <t>Samuel Huerfano</t>
  </si>
  <si>
    <t>Ximena Aguillón</t>
  </si>
  <si>
    <t>Prestar servicios profesionales al Instituto Distrital de Patrimonio Cultural, en las actividades de la asesoría de Control Interno incluidas en el Plan Anual de Auditorias.</t>
  </si>
  <si>
    <t>(Cód. 1) Prestar servicios profesionales al Instituto Distrital de Patrimonio Cultural para apoyar en la implementación en aula del programa de formación en patrimonio cultural CIVINAUTAS, dirigido a estudiantes de colegios distritales.</t>
  </si>
  <si>
    <t>(Cód. 2) Prestar servicios profesionales al Instituto Distrital de Patrimonio Cultural para acompañar el componente de apropiación social del patrimonio de los procesos de formación en patrimonio cultural, en el marco del proyecto de inversión 1024 - Formación en patrimonio cultural.</t>
  </si>
  <si>
    <t>(Cód. 3) Prestar servicios profesionales al Instituto Distrital de Patrimonio Cultural para apoyar en la implementación en aula del programa de formación en patrimonio cultural CIVINAUTAS, dirigido a estudiantes de colegios distritales.</t>
  </si>
  <si>
    <t>(Cód. 4) Adquisición de equipos de cómputo y periféricos requeridos para el desarrollo administrativo y misional del Instituto Distrital de Patrimonio Cultural.</t>
  </si>
  <si>
    <t>(Cód. 5) Prestar los servicios requeridos por el Instituto Distrital de Patrimonio Cultural para atender las actividades y proyectos relacionados con la formación y divulgación del patrimonio cultural del Distrito Capital.</t>
  </si>
  <si>
    <t>(Cód. 6)  Prestar servicios profesionales al Instituto Distrital de Patrimonio Cultural para apoyar las actividades administrativas del programa de formación en patrimonio cultural CIVINAUTAS, dirigido a estudiantes de colegios distritales.</t>
  </si>
  <si>
    <t>(Cód. 7) Prestar servicios profesionales al Instituto Distrital de Patrimonio Cultural para orientar los procesos de formación en patrimonio cultural, en el marco del proyecto de inversión 1024 - Formación en patrimonio cultural.</t>
  </si>
  <si>
    <t>(Cód. 8) Contratar la impresión del material divulgativo requerido para la ejecución de los procesos misionales de la Subdirección de Divulgación del Instituto Distrital de Patrimonio Cultural.</t>
  </si>
  <si>
    <t>(Cód. 9) Prestar servicios profesionales al Instituto Distrital de Patrimonio Cultural para apoyar en la implementación en aula del programa de formación en patrimonio cultural CIVINAUTAS, dirigido a estudiantes de colegios distritales.</t>
  </si>
  <si>
    <t>(Cód. 10) Prestar servicios profesionales al Instituto Distrital de Patrimonio Cultural para apoyar en la implementación en aula del programa de formación en patrimonio cultural CIVINAUTAS, dirigido a estudiantes de colegios distritales.</t>
  </si>
  <si>
    <t>(Cód. 11) Prestar servicios profesionales al Instituto Distrital de Patrimonio Cultural para apoyar en la implementación en aula del programa de formación en patrimonio cultural CIVINAUTAS, dirigido a estudiantes de colegios distritales.</t>
  </si>
  <si>
    <t>(Cód. 12) Prestar servicios profesionales al Instituto Distrital de Patrimonio Cultural para apoyar en la implementación en aula del programa de formación en patrimonio cultural CIVINAUTAS, dirigido a estudiantes de colegios distritales.</t>
  </si>
  <si>
    <t>(Cód. 13) Suministro de papelería, elementos de oficina, útiles escolares y material fungible requeridos para el desarrollo administrativo y misional del Instituto Distrital de Patrimonio Cultural.</t>
  </si>
  <si>
    <t>(Cód. 14) Prestar servicios profesionales al Instituto Distrital de Patrimonio Cultural para acompañar el componente pedagógico de los procesos de formación en patrimonio cultural, en el marco del proyecto de inversión 1024 - Formación en patrimonio cultural.</t>
  </si>
  <si>
    <t>(Cód. 15) Contratar el proceso de impresión, encuadernación y acabados de los impresos y publicaciones requeridos para el desarrollo de los proyectos misionales adelantados por la Subdirección de Divulgación del Instituto Distrital de Patrimonio Cultural.</t>
  </si>
  <si>
    <t>(Cód. 16) Prestar servicios profesionales al Instituto Distrital de Patrimonio Cultural como apoyo en la gestión territorial de los procesos de formación, en el marco del proyecto de inversión 1024 - Formación en patrimonio cultural.</t>
  </si>
  <si>
    <t>(Cód. 17) Contratar el desarrollo y diseño de la página web, así como las herramientas digitales conexas requeridas por el Instituto Distrital de Patrimonio Cultural para la formación y divulgación del patrimonio cultural del Distrito Capital.</t>
  </si>
  <si>
    <t>(Cód. 18) Prestar servicios profesionales al Instituto Distrital de Patrimonio Cultural para apoyar la gestión logística de los recorridos de ciudad realizados en el marco del proyecto de invesión 1024 - Formación en patrimonio cultural.</t>
  </si>
  <si>
    <t>(Cód. 19) Prestar servicios profesionales al Instituto Distrital de Patrimonio Cultural para apoyar en la implementación en aula del programa de formación en patrimonio cultural CIVINAUTAS, dirigido a estudiantes de colegios distritales.</t>
  </si>
  <si>
    <t>(Cód. 20) Prestar servicios profesionales al Instituto Distrital de Patrimonio Cultural para apoyar en la implementación en aula del programa de formación en patrimonio cultural CIVINAUTAS, dirigido a estudiantes de colegios distritales.</t>
  </si>
  <si>
    <t>(Cód. 21) Prestar servicios profesionales al Instituto Distrital de Patrimonio Cultural como apoyo a la gestión en los procesos editoriales y de investigación desarrollados por la Subdirección de Divulgación de los Valores del Patrimonio Cultural.</t>
  </si>
  <si>
    <t>(Cód. 22) Prestar servicios profesionales al Instituto Distrital de Patrimonio Cultural para administrar y actualizar los contenidos de la página web y redes sociales de la entidad, así como la generación de contenidos requeridos para el desarrollo de la estrategia de comunicaciones y de apropiación social del patrimonio cultural.</t>
  </si>
  <si>
    <t>(Cód. 23) Prestar servicios profesionales al Instituto Distrital de Patrimonio Cultural para apoyar las acciones de diseño gráfico del Museo de Bogotá.</t>
  </si>
  <si>
    <t>(Cód. 24) Prestar servicios profesionales al Instituto Distrital de Patrimonio Cultural para acompañar la planeación y desarrollo de los procesos de contratación sin límite de cuantía, así como el impulso de los trámites jurídico/legales que se generen en el marco de las funciones de la Subdirección de Divulgación de los Valores del Patrimonio Cultural.</t>
  </si>
  <si>
    <t>(Cód. 25) Prestar servicios profesionales al Instituto Distrital de Patrimonio Cultural para orientar la planificación de las líneas de acción del Museo de Bogotá.</t>
  </si>
  <si>
    <t>(Cód. 26) Prestar servicios profesionales  al Instituto Distrital de Patrimonio Cultural para llevar a cabo los procesos de corrección de estilo de los textos y publicaciones adelantadas por la Subdirección de Divulgación de los Valores del Patrimonio Cultural.</t>
  </si>
  <si>
    <t>(Cód. 27) Gastos de TI MdB</t>
  </si>
  <si>
    <t>(Cód. 28) Adquisición de equipos de comunicación, audio, video y conexos requeridos para el desarrollo de las actividades misionales adelantadas por la Subdirección de Divulgación de los Valores del Patrimonio Cultural.</t>
  </si>
  <si>
    <t>(Cód. 29) Prestar servicios profesionales al Instituto Distrital de Patrimonio Cultural para apoyar el diseño museográfico de los proyectos adelantados por el Museo de Bogotá.</t>
  </si>
  <si>
    <t>(Cód. 30) Prestar servicios profesionales al Instituto Distrital de Patrimonio Cultural para realizar el registro fotográfico y audiovisual requerido para la ejecución de la estrategia de apropiación social del patrimonio cultural.</t>
  </si>
  <si>
    <t>(Cód. 31) Prestar servicios profesionales al Instituto Distrital de Patrimonio Cultural para orientar las actividades periodísticas y de prensa requeridas en la estrategia de apropiación social del patrimonio cultural.</t>
  </si>
  <si>
    <t>(Cód. 32) Prestar servicios profesionales al Instituto Distrital de Patrimonio Cultural para orientar las estrategias encaminados a la salvaguardia y apropiación social del patrimonio cultural inmaterial.</t>
  </si>
  <si>
    <t>(Cód. 33) Prestar servicios profesionales al Instituto Distrital de Patrimonio Cultural para apoyar las actividades de comunicación y generación de contenidos requeridos para el desarrollo de la estrategia de apropiación social del patrimonio cultural.</t>
  </si>
  <si>
    <t>(Cód. 34) Adquisición de equipos de cómputo y periféricos requeridos para el desarrollo administrativo y misional del Instituto Distrital de Patrimonio Cultural</t>
  </si>
  <si>
    <t>(Cód. 35) Prestar servicios profesionales al Instituto Distrital del Patrimonio Cultural para apoyar la ejecucón de los trámites y procesos requeridos para la producción de los eventos generados en el marco de la estrategia de apropiación social del patrimonio cultural.</t>
  </si>
  <si>
    <t>(Cód. 36) Prestar los servicios requeridos por el Instituto Distrital de Patrimonio Cultural para atender las actividades y proyectos relacionados con la formación y divulgación del patrimonio cultural del Distrito Capital.</t>
  </si>
  <si>
    <t>(Cód. 37) Prestar servicios profesionales al Instituto Distrital de Patrimonio Cultural en las actividades relacionadas con el desarrollo del guion curatorial para la exposición temporal del Museo de Bogotá sobre el Bicentenario de la ciudad.</t>
  </si>
  <si>
    <t>(Cód. 38) Prestar servicios profesionales al Instituto Distrital de Patrimonio Cultural en el desarrollo del guion curatorial para la exposición temporal del Museo de Bogotá sobre Bogotá, en medios impresos.</t>
  </si>
  <si>
    <t>(Cód. 39) Prestar servicios profesionales al Instituto Distrital de Patrimonio Cultural en el desarrollo del guion curatorial para la exposición temporal del Museo de Bogotá sobre la obra fotográfica "Germán Téllez".</t>
  </si>
  <si>
    <t>(Cód. 40) Adquisición de equipos de control ambiental para las salas de exposición del Museo de Bogotá y para el archivo de gestión del Instituto Distrital de Patrimonio Cultural.</t>
  </si>
  <si>
    <t>(Cód. 41) Prestar servicios al Instituto Distrital de Patrimonio Cultural como apoyo a la gestión en la planificación y ejecución del portafolio de servicios educativos y culturales del Museo de Bogotá.</t>
  </si>
  <si>
    <t>(Cód. 42) Prestar servicios profesionales al Instituto Distrital de Patrimonio Cultural para orientar las actividades de curaduría y museología del Museo de Bogotá.</t>
  </si>
  <si>
    <t>(Cód. 43) Prestar servicios profesionales al Instituto Distrital de Patrimonio Cultural para apoyar el desarrollo de estrategias orientadas a la apropiación social y salvaguardia del Patrimonio Cultural Inmaterial.</t>
  </si>
  <si>
    <t>(Cód. 44) Prestar servicios profesionales al Instituto Distrital de Patrimonio Cultural para acompañar la producción audiovisual y multimedial requerida para el desarrollo de la estrategia de apropiación social del patrimonio cultural.</t>
  </si>
  <si>
    <t>(Cód. 45) Prestar servicios profesionales al Instituto Distrital de Patrimonio Cultural para orientar el diseño gráfico y diagramación de los productos de divulgación en el marco del proyecto de apropiación social del Patrimonio Cultural Inmaterial "Patrimonios Locales".</t>
  </si>
  <si>
    <t>(Cód. 46) Prestar servicios profesionales al Instituto Distrital de Patrimonio Cultural para apoyar el diseño museográfico de los proyectos adelantados por el Museo de Bogotá.</t>
  </si>
  <si>
    <t>(Cód. 47) Prestar servicios profesionales al Instituto Distrital de Patrimonio Cultural para apoyar los procesos documentales del Centro de Documentación.</t>
  </si>
  <si>
    <t>(Cód. 48) Prestar servicios profesionales al Instituto Distrital de Patrimonio Cultural en las actividades de producción de contenidos audiovisuales requeridos para el desarrollo de la estrategia de apropiación social del patrimonio cultural.</t>
  </si>
  <si>
    <t>(Cód. 49) Prestar servicios profesionales al Instituto Distrital de Patrimonio Cultural para apoyar los procesos de control presupuestal, seguimiento a indicadores y sistema integrado de gestión, requerido en el marco de las funciones de la Subdirección de Divulgación de los Valores del Patrimonio Cultural.</t>
  </si>
  <si>
    <t>(Cód. 50) Prestar servicios profesionales al Instituto Distrital de Patrimonio Cultural para apoyar el desarrollo de los contenidos requeridos para la publicación sobre la Iglesia San Ignacio de Bogotá.</t>
  </si>
  <si>
    <t>(Cód. 51) Contratar insumos de ferretería, materiales y herramientas requeridas para la ejecución de intervenciones técnicas necesarias para el enlucimiento de fachadas, limpieza y mantenimiento de los Bienes de Interés Cultural muebles en espacio público e instalaciones que se utilizan para la prestación del servicio del Instituto Distrital de Patrimonio Cultural, en la ciudad de Bogotá D.C.</t>
  </si>
  <si>
    <t>(Cód. 52) Prestar servicios profesionales al Instituto Distrital de Patrimonio Cultural para apoyar la planificación y ejecución del programa de recorridos urbanos en el marco de la estrategia de apropiación social del patrimonio cultural.</t>
  </si>
  <si>
    <t>(Cód. 53) Prestar servicios profesionales al Instituto Distrital de Patrimonio Cultural para apoyar los procesos de investigación, estructuración y redacción de guiones museológicos requeridos por el Museo de Bogotá.</t>
  </si>
  <si>
    <t>(Cód. 54) Prestar servicios de apoyo a la gestión al Instituto Distrital de Patrimonio Cultural en la ejecución de recorridos naturales realizados en el marco de la estrategia de apropiación social del patrimonio cultural.</t>
  </si>
  <si>
    <t>(Cód. 55) Prestar servicios de apoyo a la gestión al Instituto Distrital de Patrimonio Cultural en los trámites administrativos y operativos generados en la operación del Museo de Bogotá.</t>
  </si>
  <si>
    <t>(Cód. 56) Prestar servicios de apoyo a la gestión al Instituto Distrital de Patrimonio Cultural en las actividades administrativas y operativas desarrollados por la Subdirección de Divulgación de los Valores del Patrimonio Cultural.</t>
  </si>
  <si>
    <t>(Cód. 57) Prestar servicios profesionales al Instituto Distrital de Patrimonio Cultural para realizar el registro fotográfico y audiovisual requerido para la ejecución de la estrategia de comunicaciones de la entidad.</t>
  </si>
  <si>
    <t>(Cód. 58) Contratar la iluminación museográfica requerida para las salas de exposición del Museo de Bogotá del Instituto Distrital de Patrimonio Cultural.</t>
  </si>
  <si>
    <t>(Cód. 59) Prestar servicios profesionales al Instituto Distrital de Patrimonio Cultural para apoyar el desarrollo de los contenidos requeridos para la publicación sobre inmuebles de valor patrimonial en Bogotá.</t>
  </si>
  <si>
    <t>(Cód. 60) Prestar servicios profesionales al Instituto Distrital de Patrimonio Cultural para orientar los procesos museográficos requeridos por el Museo de Bogotá.</t>
  </si>
  <si>
    <t>(Cód. 61) Prestar servicios profesionales al Instituto Distrital de Patrimonio Cultural para acompañar el componente pedagógico y didáctico del portafolio de servicios educativos y culturales del Museo de Bogotá.</t>
  </si>
  <si>
    <t>(Cód. 62) Prestar servicios profesionales al Instituto Distrital de Patrimonio Cultural en la ejecución de los procesos de mediación y generación de contenidos pedagógicos del portafolio de servicios educativos y culturales del Museo de Bogotá.</t>
  </si>
  <si>
    <t>(Cód. 63)  Prestar servicios profesionales al Instituto Distrital de Patrimonio Cultural para apoyar las acciones de diseño gráfico del Museo de Bogotá .</t>
  </si>
  <si>
    <t>(Cód. 64) Prestar servicios profesionales al Instituto Distrital de Patrimonio Cultural para apoyar las estrategias relacionadas con la apropiación social del patrimonio cultural inmaterial de la ciudad, así como otras actividades y proyectos de la Subdirección de Divulgación de los Valores del Patrimonio Cultural.</t>
  </si>
  <si>
    <t>(Cód. 65) Prestar servicios profesionales al Instituto Distrital de Patrimonio Cultural para orientar la estrategia de apropiación social del patrimonio cultural.</t>
  </si>
  <si>
    <t>(Cód. 66) Prestar servicios profesionales al Instituto Distrital de Patrimonio Cultural en la ejecución de los procesos de mediación y generación de contenidos pedagógicos del portafolio de servicios educativos y culturales del Museo de Bogotá.</t>
  </si>
  <si>
    <t xml:space="preserve">(Cód. 67) Prestar servicios profesionales al Instituto Distrital de Patrimonio Cultural para apoyar los procesos de inventario, catalogación y organización de los fondos documentales que conforman el Centro de Documentación. </t>
  </si>
  <si>
    <t>(Cód. 68) Prestar servicios profesionales al Instituto Distrital de Patrimonio Cultural para apoyar el diseño de piezas gráficas y de comunicación requeridas para la ejecución de la estrategia de comunicaciones de la entidad y de apropiación social del patrimonio cultural.</t>
  </si>
  <si>
    <t>(Cód. 69) Adquisición de material bibliográfico requerido para el incremento de los fondos documentales del Centro de Dcumentación del Instituto Distrital de Patrimonio Cultural.</t>
  </si>
  <si>
    <t>(Cód. 70) Contratar la adquisición de licencias de software para los equipos de cómputo de Instituto Distrital de Patrimonio Cultural.</t>
  </si>
  <si>
    <t>(Cód. 71) Prestar servicios profesionales al Instituto Distrital de Patrimonio Cultural para orientar la estructuración e implementación de las acciones de fomento a las prácticas del patrimonio cultural.</t>
  </si>
  <si>
    <t>(Cód. 72) Prestar servicios profesionales al Instituto Distrital de Patrimonio Cultural como apoyo a la gestión en los procesos editoriales y de investigación desarrollados por la Subdirección de Divulgación de los Valores del Patrimonio Cultural.</t>
  </si>
  <si>
    <t>(Cód. 73) Prestar servicios profesionales al Instituto Distrital de Patrimonio Cultural para acompañar el desarrollo del componente histórico de la estrategia de apropiación social del patrimonio cultural.</t>
  </si>
  <si>
    <t>(Cód. 74) Prestar servicios profesionales al Instituto Distrital de Patrimonio Cultural para orientar la planeación e implementación de la oferta de servicios educativos y culturales del Museo de Bogotá.</t>
  </si>
  <si>
    <t>(Cód. 75) Prestar servicios profesionales al Instituto Distrital de Patrimonio Cultural para llevar a cabo las actividades de registro y catalogación de la colección del Museo de Bogotá.</t>
  </si>
  <si>
    <t>(Cód. 76) Prestar servicios profesionales al Instituto Distrital de Patrimonio Cultural en la ejecución de los procesos de mediación y generación de contenidos pedagógicos del portafolio de servicios educativos y culturales del Museo de Bogotá.</t>
  </si>
  <si>
    <t>(Cód. 77) Prestar servicios profesionales al Instituto Distrital de Patrimonio Cultural para apoyar las actividades de comunicación interna y organización de archivo fotográfico de la Subdirección de Divulgación de los Valores del Patrimonio Cultural.</t>
  </si>
  <si>
    <t>(Cód. 78) Prestar servicios profesionales al Instituto Distrital de Patrimonio Cultural para acompañar el diseño, programación y desarrollo de las actividades del portafolio de servicios educativos y culturales del Museo de Bogotá.</t>
  </si>
  <si>
    <t>(Cód. 79) Contratar el  saneamiento ambiental requerido para las las sedes del Museo de Bogotá del Instituto Distrital de Patrimonio Cultural.</t>
  </si>
  <si>
    <t>(Cód. 80) Prestar servicios profesionales al Instituto Distrital de Patrimonio Cultural para orientar los procesos de gestión de la colección del Museo de Bogotá</t>
  </si>
  <si>
    <t>(Cód. 81) Prestar servicios de apoyo a la gestión al Instituto Distrital de Patrimonio Cultural en los procesos de montaje y actividades logísticas requeridas por el Museo de Bogotá.</t>
  </si>
  <si>
    <t>(Cód. 82) Prestar servicios profesionales al Instituto Distrital de Patrimonio Cultural para apoyar el desarrollo del plan de exposiciones temporales del Museo de Bogotá y los requerimientos asociados a los planes y proyectos especiales de la entidad.</t>
  </si>
  <si>
    <t xml:space="preserve">(Cód. 83) Prestar servicios profesionales al Instituto Distrital de Patrimonio Cultural para orientar el Programa de Patrimonios Locales y otras iniciativas que contribuyan a la salvaguardia y apropiación social del Patrimonio Cultural Inmaterial. </t>
  </si>
  <si>
    <t>(Cód. 84) Museo de la ciudad autoconstruida</t>
  </si>
  <si>
    <t>(Cód. 85) Prestar servicios profesionales al Instituto Distrital de Patrimonio Cultural para apoyar la implementación de las acciones de fomento a las prácticas del patrimonio cultural.</t>
  </si>
  <si>
    <t>(Cód. 86) Prestar servicios profesionales al Instituto Distrital de Patrimonio Cultural en el seguimiento a la ejecución de los procesos de planeación presupuestal y contractual, realizados en el marco de los proyectos a cargo de la Subdirección de Divulgación de los Valores del Patrimonio Cultural.</t>
  </si>
  <si>
    <t>(Cód. 87) Prestar servicios profesionales al Instituto Distrital de Patrimonio Cultural para apoyar el desarrollo de los contenidos requeridos para la publicación sobre monumentos en espacio público de Bogotá.</t>
  </si>
  <si>
    <t>(Cód. 88) Prestar servicios profesionales al Instituto Distrital de Patrimonio Cultural para apoyar el desarrollo de los contenidos requeridos para la publicación sobre el Plan Especial de Manejo y Protección PEMP del Centro Histórico de Bogotá.</t>
  </si>
  <si>
    <t>(Cód. 89) Contratar la prestación del servicio integral de aseo, cafetería y fumigación, incluidos los insumos, para las sedes del Instituto Distrital de Patrimonio Cultural.</t>
  </si>
  <si>
    <t>(Cód. 90) Prestar servicios profesionales al Instituto Distrital de Patrimonio Cultural para apoyar las acciones de diseño gráfico y diagramación de las publicaciones y proyectos editoriales adelantados en el marco de la estrategia de apropiación social del patrimonio cultural</t>
  </si>
  <si>
    <t>(Cód. 91) Prestar servicios profesionales al Instituto Distrital de Patrimonio Cultural para llevar a cabo las actividades periodísticas requeridas en la estrategia de apropiación social del patrimonio cultural.</t>
  </si>
  <si>
    <t>(Cód. 92) Prestar servicios profesionales al Instituto Distrital de Patrimonio Cultural para apoyar la gestión de prensa generada en el marco de la estrategia de comunicaciones del IDPC.</t>
  </si>
  <si>
    <t>(Cód. 93) Prestar servicios profesionales al Instituto Distrital de Patrimonio Cultural para apoyar el desarrollo de los contenidos requeridos para la publicación sobre los proyectos evaluados y aprobados por el IDPC en contextos patrimoniales.</t>
  </si>
  <si>
    <t>(Cód. 94) Contratar el proceso de impresión, encuadernación y acabados de los impresos y publicaciones requeridos para el desarrollo de los proyectos misionales adelantados por la Subdirección de Divulgación del Instituto Distrital de Patrimonio Cultural.</t>
  </si>
  <si>
    <t>(Cód. 95) Prestar servicios de apoyo a la gestión al Instituto Distrital de Patrimonio Cultural en los procesos de digitalización de la Colección del Museo de Bogotá.</t>
  </si>
  <si>
    <t>(Cód. 96) Prestar servicios profesionales al Instituto Distrital de Patrimonio Cultural para llevar a cabo la restauración de piezas pertenecientes a la Colección del Museo de Bogotá.</t>
  </si>
  <si>
    <t xml:space="preserve">(Cód. 97) Prestar servicios profesionales al Instituto Distrital de Patrimonio Cultural para acompañar el componente histórico de los procesos curatoriales desarrollados por el Museo de Bogotá. </t>
  </si>
  <si>
    <t>(Cód. 98) Adquisición de mobiliario requerido para la operación del Museo de Bogotá del Instituto Distrital de Patrimonio Cultural.</t>
  </si>
  <si>
    <t>(Cód. 99) Contratar el desarrollo y diseño de la página web, así como las herramientas digitales conexas requeridas por el Instituto Distrital de Patrimonio Cultural para la formación y divulgación del patrimonio cultural del Distrito Capital.</t>
  </si>
  <si>
    <t>(Cód. 100) Prestar servicios de apoyo a la gestión al Instituto Distrital de Patrimonio Cultural como guía de los recorridos urbanos realizados en el marco de la estrategia de apropiación social del patrimonio cultural.</t>
  </si>
  <si>
    <t>(Cód. 101) Contratar la prestación del servicio integral de aseo, cafetería y fumigación, incluidos los insumos, para las sedes del Instituto Distrital de Patrimonio Cultural.</t>
  </si>
  <si>
    <t xml:space="preserve">(Cód. 102) Prestar servicios profesionales al Instituto Distrital de Patrimonio Cultural para apoyar las actividades de implementación del proyecto de apropiación social del Patrimonio Cultural Inmaterial "Patrimonios Locales". </t>
  </si>
  <si>
    <t xml:space="preserve">(Cód. 103) Prestar servicios profesionales al Instituto Distrital de Patrimonio Cultural para apoyar las actividades de implementación del proyecto de apropiación social del Patrimonio Cultural Inmaterial "Patrimonios Locales".  </t>
  </si>
  <si>
    <t xml:space="preserve">(Cód. 104) Prestar servicios profesionales al Instituto Distrital de Patrimonio Cultural para apoyar las actividades de implementación del proyecto de apropiación social del Patrimonio Cultural Inmaterial "Patrimonios Locales".  </t>
  </si>
  <si>
    <t>(Cód. 105) Contratar el servicio de transporte para el traslado de piezas de carácter museal o de valor patrimonial requerido para los proyectos museológicos adelantados por el Museo de Bogotá del Instituto distrital de Patrimonio Cultural.</t>
  </si>
  <si>
    <t>(Cód. 106) Prestar servicios al Instituto Distrital de Patrimonio Cultural para llevar a cabo el proceso de desarme, traslado y armado del tranvía de mulas, pieza museográfica central de la sala: "Sobre rieles, el tranvía en Bogotá" del Museo de Bogotá.</t>
  </si>
  <si>
    <t>(Cód. 107) Prestación de los servicios de vigilancia y seguridad privada, en la modalidad de vigilancia fija armada, con medios técnicos y tecnológicos, a los bienes muebles e inmuebles que conforman el patrimonio de la entidad y de los cuales es o llegare a ser legalmente responsable.</t>
  </si>
  <si>
    <t>(Cód. 108) Prestar servicios de apoyo a la gestión al Instituto Distrital de Patrimonio Cultural como guía de los recorridos urbanos realizados en el marco de la estrategia de apropiación social del patrimonio cultural.</t>
  </si>
  <si>
    <t>(Cód. 109) Prestar servicios profesionales al Instituto Distrital de Patrimonio Cultural para orientar la ejecución de los proyectos editoriales y de investigación desarrollados en el marco de la estrategia de apropiación social del patrimonio cultural.</t>
  </si>
  <si>
    <t>(Cód. 110) Prestar servicios profesionales al Instituto Distrital de Patrimonio Cultural para apoyar las actividades relacionadas con el diseño gráfico y diagramación de las publicaciones y proyectos editoriales adelantados en el marco de la estrategia de apropiación social del patrimonio cultural.</t>
  </si>
  <si>
    <t>(Cód. 111) Prestar servicios profesionales al Instituto Distrital de Patrimonio Cultural para acompañar el desarrollo de publicaciones generadas en el marco de la estrategia de apropiación social del patrimonio cultural.</t>
  </si>
  <si>
    <t>(Cód. 112) Contratar el mantenimiento de equipos de medición ambiental de propiedad del Instituto Distrital de Patrimonio Cultural.</t>
  </si>
  <si>
    <t>(Cód. 113) Prestar servicios profesionales jurídicos al Instituto Distrital de Patrimonio Cultural, para adelantar acciones jurídicas y de seguimiento contractual y administrativo relacionadas con los procesos liderados por la Subdirección General o quien haga sus veces.</t>
  </si>
  <si>
    <t>(Cód. 114) Prestar servicios de apoyo a la gestión al Instituto Distrital de Patrimonio Cultural en las actividades administrativas de la Dirección General de la entidad.</t>
  </si>
  <si>
    <t>(Cód. 115) Prestar servicios profesionales especializados a la Dirección General del Instituto Distrital de Patrimonio Cultural, relacionados con el acompañamiento de las acciones estratégicas de mejoramiento y seguimiento institucional, para el normal funcionamiento de la entidad.</t>
  </si>
  <si>
    <t xml:space="preserve">(Cód. 116) Prestar servicios profesionales al Instituto Distrital de Patrimonio Cultural para apoyar las actividades logísticas requeridas en la implementación del modelo de participacion y control social. </t>
  </si>
  <si>
    <t>(Cód. 117) Prestar servicios profesionales al Instituto Distrital de Patrimonio Cultural en el apoyo jurídico que requiera la entidad en las etapas precontractual, contractual y post-contractual.</t>
  </si>
  <si>
    <t>(Cód. 118) Prestar servicios de apoyo a la gestión al Instituto Distrital de Patrimonio Cultural, en el desarrollo de las actividades relacionadas con la liquidación de prestaciones sociales y demás temas de la gestión del talento humano de la entidad.</t>
  </si>
  <si>
    <t>(Cód. 119) Prestar servicios profesionales al Instituto Distrital de Patrimonio Cultural para apoyar a la Asesoría Jurídica o quien haga sus veces, en la emisión de conceptos jurídicos, así como en la proyección y revisión de los documentos de índole jurídico que le sean asignados, y   apoyando los procesos de selección en todas las etapas de la gestión contractual, especialmente las relacionadas con la etapa post-contractual.</t>
  </si>
  <si>
    <t>(Cód. 120) Prestar servicios de apoyo a la gestión  al Instituto Distrital de Patrimonio Cultural para ejecutar las actividades relacionadas con el Programa de gestión Documental - PGD  y el Plan Institucional de Archivos PINAR.</t>
  </si>
  <si>
    <t>(Cód. 121) Prestar servicios profesionales al Instituto Distrital de Patrimonio Cultural apoyando la aplicación de los lineamientos enmarcados en la Ley de Transparencia  y del Derecho de Acceso a la Información Pública.</t>
  </si>
  <si>
    <t xml:space="preserve">(Cód. 122) Prestar servicios profesionales al Instituto de Patrimonio Cultural para realizar acciones de soporte relacionadas con la gestión documental de la entidad y el aplicativo ORFEO. </t>
  </si>
  <si>
    <t>(Cód. 123) Prestar servicios profesionales al Instituto Distrital de Patrimonio Cultural en las actividades de soporte técnico y los trámites precontractuales para la adquisición de bienes y servicios relacionados con el sistema de información y tecnología de la entidad.</t>
  </si>
  <si>
    <t>(Cód. 124) Prestar servicios de profesionales al Instituto Distrital de Patrimonio Cultural en las actividades relacionadas con la publicación y seguimiento de la actividad contractual en los portales de contratación.</t>
  </si>
  <si>
    <t>(Cód. 125) Contratar la prestación del servicio integral de aseo, cafetería y fumigación, incluidos los insumos, para las sedes del Instituto Distrital de Patrimonio Cultural.</t>
  </si>
  <si>
    <t>(Cód. 126) Prestar servicios de apoyo a la gestión al Instituto Distrital de Patrimonio Cultural brindando atención al público en temas relacionados con los trámites de solicitudes requeridas a la entidad.</t>
  </si>
  <si>
    <t>(Cód. 127) Prestar servicios profesionales al Instituto Distrital de Patrimonio Cultural apoyando la aplicación de la Política Pública Distrital de Servicio a la Ciudadanía y la implementación del Modelo de atención a la ciudadanía de la entidad.</t>
  </si>
  <si>
    <t>(Cód. 128) Prestar servicios de apoyo a la gestión al Instituto Distrital de Patrimonio Cultural en la realización de las actividades de comunicación de la Subdirección de Gestión Corporativa.</t>
  </si>
  <si>
    <t>(Cód. 129) Prestar servicios profesionales al Instituto Distrital de Patrimonio Cultural para apoyar la implementación de políticas y acciones para el mantenimiento y mejora del Sistema Integrado de Gestión en el marco del Modelo Integrado de Planeación y Gestión - MIPG.</t>
  </si>
  <si>
    <t>(Cód. 130) Prestar servicios profesionales al Instituto Distrital de Patrimonio Cultural para apoyar la implementación de políticas y acciones para el mantenimiento y mejora del Sistema Integrado de Gestión en el marco del Modelo Integrado de Planeación y Gestión - MIPG.</t>
  </si>
  <si>
    <t xml:space="preserve">(Cód. 131) Prestar servicios profesionales al Instituto Distrital de Patrimonio Cultural para apoyar las actividades relacionadas con la adquisición, actualización y mantenimiento de los sistemas de información e infraestructura tecnológica y las acciones de fortalecimiento e implementación de la estrategia de Gobierno en Línea. </t>
  </si>
  <si>
    <t>(Cód. 132) Suministro de papelería, elementos de oficina, útiles escolares y material fungible requeridos para el desarrollo administrativo y misional del Instituto Distrital de Patrimonio Cultural.</t>
  </si>
  <si>
    <t>(Cód. 133) Prestar servicios profesionales al Instituto Distrital de Patrimonio Cultural orientando la implementación de la Ley de Transparencia y del Derecho de Acceso a la Información Pública y la Política Pública Distrital de Servicio a la Ciudadanía.</t>
  </si>
  <si>
    <t>(Cód. 134) Prestar servicios profesionales al Instituto Distrital de Patrimonio Cultural para dar lineamientos y orientación en la implementación, sostenibilidad y mejora del Sistema Integrado de Gestión en el marco del Modelo Integrado de Planeación y Gestión - MIPG.</t>
  </si>
  <si>
    <t>(Cód. 135) Prestar servicios profesionales al Instituto Distrital de Patrimonio Cultural para apoyar las actividades relacionadas con el SDQS y la atención de PQRS de la entidad.</t>
  </si>
  <si>
    <t>(Cód. 136) Compra de estantes rodantes para las cajas de archivo  requeridas para la organización del archivo de gestión  del Instituto Distrital de Patrimonio Cultural</t>
  </si>
  <si>
    <t>(Cód. 137) Prestar servicios profesionales al Instituto Distrital de Patrimonio Cultural para la ejecución de las actividades relacionados con el Sistema Integrado de Conservación  en concordancia con la normatividad vigente.</t>
  </si>
  <si>
    <t>(Cód. 138) Prestar servicios profesionales al Instituto Distrital de Patrimonio Cultural para apoyar la formulación e implementación de políticas y acciones que promuevan la sostenibilidad del Sistema Integrado de Gestión en el marco del Modelo Integrado de Planeación y Gestión - MIPG.</t>
  </si>
  <si>
    <t>(Cód. 139) Prestar servicios profesionales al Instituto Distrital de Patrimonio Cultural para apoyar la formulación e implementación de políticas y acciones que promuevan la sostenibilidad del Sistema Integrado de Gestión en el marco del Modelo Integrado de Planeación y Gestión - MIPG.</t>
  </si>
  <si>
    <t>(Cód. 140) Prestación de servicios profesionales especializados al Instituto Distrital de Patrimonio Cultural para apoyar el cumplimiento de las actividades relacionadas con las responsabilidades financieras, presupuestales, contables, tributarias, contractuales y de control de la entidad.</t>
  </si>
  <si>
    <t>(Cód. 141) Prestar servicios profesionales al Instituto Distrital de Patrimonio Cultural para apoyar a la Asesoría Jurídica o quien haga sus veces, en los procesos de selección sin límite de cuantía, en las etapas precontractual, contractual y post-contractual.</t>
  </si>
  <si>
    <t>(Cód. 142) Prestar servicios de apoyo a la gestión al Instituto Distrital de Patrimonio Cultural en las actividades operativas relacionadas con la recepción, organización documental y de correspondencia de la entidad.</t>
  </si>
  <si>
    <t xml:space="preserve">(Cód. 143) Prestar servicios de apoyo a la gestión al Instituto Distrital de Patrimonio Cultural para orientar las acciones de préstamos, consultas y organización de los archivos de la entidad. </t>
  </si>
  <si>
    <t>(Cód. 144) Prestar servicios profesionales al Instituto Distrital de Patrimonio Cultural para el apoyo jurídico que requiera la entidad en las etapas precontractual, contractual y post-contractual.</t>
  </si>
  <si>
    <t>(Cód. 145) Prestar servicios profesionales al Instituto Distrital de Patrimonio Cultural para apoyar a la Asesoría Jurídica o quien haga sus veces, en las actividades propias de sus funciones, especialmente las relacionadas con la etapa post-contractual.</t>
  </si>
  <si>
    <t>(Cód. 146) Prestar servicios profesionales al Instituto Distrital de Patrimonio Cultural para apoyar las actividades técnicas requeridas en aplicación del Sistema de Información Geográfica -SIG_PC-.</t>
  </si>
  <si>
    <t>(Cód. 147) Prestar servicios de apoyo a la gestión al Instituto Distrital de Patrimonio Cultural, en las actividades operativas y de mantenimiento requeridas por la entidad.</t>
  </si>
  <si>
    <t>(Cód. 148) Prestar servicios de apoyo a la gestión al Instituto Distrital de Patrimonio Cultural para apoyar a la Asesoría Jurídica o quien haga sus veces, en las actividades relacionadas con la organización y administración del archivo documental.</t>
  </si>
  <si>
    <t>(Cód. 149) Prestar servicios profesionales al Instituto Distrital de Patrimonio Cultural para apoyar el proceso de modernización del Instituto, repuesta a peticiones, requerimientos de entes de control, y demás temas relacionados con la Gestión del Talento Humano de la entidad.</t>
  </si>
  <si>
    <t>(Cód. 150) Prestar servicios de apoyo a la gestión al Instituto Distrital de Patrimonio Cultural en el seguimiento a los planes de mejoramiento, metas, indicadores y actividades relacionadas con los procesos de contratación de la Subdirección de Gestión Corporativa.</t>
  </si>
  <si>
    <t>(Cód. 151) Contratar el arrendamiento de equipos de impresión para el Instituto Distrital de Patrimonio Cultural, incluido el mantenimiento y soporte técnico preventivo y correctivo programado con suministro de tóner permanente, así como el soporte técnico extraordinario cada vez que se requiera.</t>
  </si>
  <si>
    <t>(Cód. 152) Prestar servicios profesionales al Instituto Distrital de Patrimonio Cultural, en las actividades de la asesoría de Control Interno incluidas en el Plan Anual de Auditorias.</t>
  </si>
  <si>
    <t>(Cód. 153) Prestar servicios profesionales al Instituto Distrital de Patrimonio Cultural para apoyar jurídicamente la proyección y trámites de documentos precontractuales requeridos por la Subdirección de Gestión Corporativa.</t>
  </si>
  <si>
    <t>(Cód. 154) Prestar servicios profesionales al Instituto Distrital de Patrimonio Cultural en las actividades relacionadas con la gestión financiera y presupuestal de la entidad.</t>
  </si>
  <si>
    <t>(Cód. 155) Prestar servicios profesionales al Instituto Distrital de Patrimonio Cultural para realizar el soporte, mantenimiento, actualización y desarrollo de la plataforma del sistema de gestión ORFEO.</t>
  </si>
  <si>
    <t>(Cód. 156) Prestar servicios profesionales al Instituto Distrital de Patrimonio Cultural para brindar el apoyo jurídico requerido en las actuaciones disciplinarias que se adelanten dentro de los procesos de competencia de la entidad.</t>
  </si>
  <si>
    <t>(Cód. 157) Prestar servicios de apoyo a la gestión al Instituto Distrital de Patrimonio Cultural en las actividades de soporte técnico del sistema de  información y tecnología de la entidad.</t>
  </si>
  <si>
    <t>(Cód. 158) Prestar servicios de apoyo a la gestión al Instituto Distrital de Patrimonio Cultural para acompañar a la Asesoría Jurídica o quien haga sus veces, en temas judiciales y de cartera de la entidad.</t>
  </si>
  <si>
    <t>(Cód. 159) Prestar servicios profesionales al Instituto Distrital de Patrimonio Cultural apoyando la proyección y trámite de los documentos precontractuales, seguimiento, control y modificaciones al plan de adquisiciones de la Subdirección de Gestión Corporativa.</t>
  </si>
  <si>
    <t>(Cód. 160) Prestar servicios profesionales al Instituto Distrital de Patrimonio Cultural para apoyar la Implementacion del modelo de participación ciudadana y control social.</t>
  </si>
  <si>
    <t>(Cód. 161) Prestar servicios profesionales al Instituto Distrital de Patrimonio Cultural para apoyar las actividades relacionadas con el proceso de Direccionamiento Estratégico.</t>
  </si>
  <si>
    <t>(Cód. 162) Prestar servicios de apoyo a la gestión al Instituto Distrital de Patrimonio Cultural en las actividades operativas requeridas en el área de almacén e inventarios.</t>
  </si>
  <si>
    <t>(Cód. 163) Prestar servicios profesionales al Instituto Distrital de Patrimonio Cultural para apoyar los procesos de planeación relacionados con los programas, planes y proyectos del Instituto.</t>
  </si>
  <si>
    <t>(Cód. 164) Prestar servicios profesionales al Instituto Distrital de Patrimonio Cultural para desarrollar actividades de apoyo al proceso de operación del Subsistema Interno de Gestión Documental y Archivos -SIGA.</t>
  </si>
  <si>
    <t xml:space="preserve">(Cód. 165) Prestar servicios de apoyo a la gestión al Instituto Distrital de Patrimonio Cultural para ejecutar actividades operativas requeridas por la Subdirección General o quien haga sus veces. </t>
  </si>
  <si>
    <t>(Cód. 166) Prestar servicios profesionales al Instituto Distrital de Patrimonio Cultural para orientar, consolidar e implementar el modelo de participación ciudadana y control social.</t>
  </si>
  <si>
    <t>(Cód. 167) Adquisición de licencias de software especializados para los equipos de cómputo del IDPC</t>
  </si>
  <si>
    <t>(Cód. 168) Prestar servicios profesionales al Instituto Distrital de Patrimonio Cultural para asesorar a la Dirección General en el manejo de las relaciones interinstitucionales e internacionales, a través del acompañamiento y gestión de estrategias, planes y proyectos, para el fomento y apropiación del patrimonio cultural en el Distrito Capital.</t>
  </si>
  <si>
    <t>(Cód. 169) Prestar servicios asistenciales al Instituto Distrital de Patrimonio Cultural para apoyar la gestión requerida en la digitalización y organización de archivos relacionada con el Subsistema Interno de Gestión Documental y Archivos -SIGA.</t>
  </si>
  <si>
    <t xml:space="preserve">(Cód. 170) Prestar servicios profesionales al Instituto Distrital de Patrimonio Cultural para dar lineamientos en la Planeación Estratégica Institucional. </t>
  </si>
  <si>
    <t>(Cód. 171) Prestar servicios de apoyo a la gestión al Instituto Distrital de Patrimonio Cultural en las actividades operativas relacionadas con la recepción, organización documental y de correspondencia de la entidad.</t>
  </si>
  <si>
    <t>(Cód. 172) Prestar servicios profesionales al Instituto Distrital de Patrimonio Cultural para apoyar jurídicamente en la realización de las actividades de la gestión del Talento Humano de la entidad.</t>
  </si>
  <si>
    <t>(Cód. 173) Prestar servicios profesionales al Instituto Distrital de Patrimonio Cultural para realizar acciones relacionadas con la implementación y consolidación del Sistema de Información Geográfica -SIG_PC-.</t>
  </si>
  <si>
    <t>(Cód. 174) Prestar servicios de apoyo a la gestión al Instituto Distrital de Patrimonio Cultural en el desarrollo de actividades administrativas de la Subdirección de Gestión Corporativa.</t>
  </si>
  <si>
    <t>(Cód. 175) Prestar servicios profesionales al Instituto Distrital de Patrimonio Cultural para dar lineamientos, formular y orientar las acciones para la sostenibilidad del Subsistema Interno de Gestión Documental y Archivos -SIGA.</t>
  </si>
  <si>
    <t>(Cód. 176) Adquisición de equipos de control ambiental para las salas de exposición del Museo de Bogotá y para el archivo de gestión del Instituto Distrital de Patrimonio Cultural.</t>
  </si>
  <si>
    <t>(Cód. 177) Prestar servicios profesionales al Instituto Distrital de Patrimonio Cultural para orientar y formular acciones para el fortalecimiento y mantenimiento del Subsistema de Gestión Ambiental en el marco del Sistema Integrado de Gestión.</t>
  </si>
  <si>
    <t>(Cód. 178) Adquisición de mobiliario para la sede administrativa del Instituto Distrital de Patrimonio Cultural.</t>
  </si>
  <si>
    <t>(Cód. 179) Prestar servicios de apoyo a la gestión  al Instituto Distrital de Patrimonio Cultural para ejecutar las actividades relacionadas con el Programa de gestión Documental - PGD  y el Plan Institucional de Archivos PINAR.</t>
  </si>
  <si>
    <t>(Cód. 180) Prestar servicios profesionales al Instituto Distrital de Patrimonio Cultural en las actividades relacionadas con la vinculación, permanencia, retiro de los servidores públicos y demás temas relacionados con la gestión del talento humano de la entidad.</t>
  </si>
  <si>
    <t>(Cód. 181) Prestar servicios profesionales al Instituto Distrital de Patrimonio Cultural para apoyar las actividades relacionadas con el procesamiento de datos que permita la obtención de información confiable y oportuna de carácter financiero, contable y tributario de la entidad.</t>
  </si>
  <si>
    <t xml:space="preserve">(Cód. 182) Prestar servicios profesionales al Instituto Distrital de Patrimonio Cultural para apoyar los procesos   administrativos de la Subdirección General o quien haga sus veces. </t>
  </si>
  <si>
    <t xml:space="preserve">(Cód. 183) Prestar servicios de apoyo a la gestión al Instituto Distrital de Patrimonio Cultural para la organización de los archivos de la Entidad. </t>
  </si>
  <si>
    <t xml:space="preserve">(Cód. 184) 
Prestar servicios profesionales al Instituto Distrital de Patrimonio Cultural para apoyar las actividades requeridas en el seguimiento a la ejecución presupuestal de inversión y a las metas de los proyectos de inversión del Instituto.
</t>
  </si>
  <si>
    <t xml:space="preserve">(Cód. 185) Prestar servicios de apoyo a la gestión al Instituto Distrital de Patrimonio Cultural para la organización de los archivos de la Entidad. </t>
  </si>
  <si>
    <t>(Cód. 186) Prestar servicios de apoyo a la gestión al Instituto Distrital de Patrimonio Cultural en las actividades relacionadas con los préstamos, consultas y organización de los archivos de la Asesoría Jurídica o quien haga sus veces, en el marco del Subsistema Interno de Gestión Documental y Archivos (SIGA).</t>
  </si>
  <si>
    <t>(Cód. 187) Prestar servicios profesionales al Instituto Distrital de Patrimonio Cultural para adelantar acciones relacionadas con los procesos de planeación, seguimiento y control de los programas, planes y proyectos del Instituto.</t>
  </si>
  <si>
    <t xml:space="preserve">(Cód. 188) Prestar servicios profesionales al Instituto Distrital de Patrimonio Cultural para apoyar el control y seguimiento a presupuesto, metas e indicadores y  Sistema Integrado de Gestión requerido. </t>
  </si>
  <si>
    <t>(Cód. 189) Prestar servicios de apoyo a la gestión al Instituto Distrital de Patrimonio Cultural en las actividades operativas relacionadas con la recepción, organización documental y de correspondencia de la entidad.</t>
  </si>
  <si>
    <t>(Cód. 190) Prestar servicios profesionales al Instituto Distrital de Patrimonio Cultural para apoyar el diseño, formulación, actualización, seguimiento y mejoramiento del Sistema de Gestión de Seguridad y Salud en el Trabajo de la entidad.</t>
  </si>
  <si>
    <t>(Cód. 191) Incrementar la sostenibilidad del sistema integrado de gestión, para prestar un mejor servicio en la atención a la ciudadanía.</t>
  </si>
  <si>
    <t>(Cód. 192) Prestar servicios profesionales al Instituto Distrital de Patrimonio Cultural en las actividades relacionadas con el mantenimiento preventivo y correctivo de los bienes muebles e inmuebles propiedad de la entidad.</t>
  </si>
  <si>
    <t>(Cód. 193) Prestar servicios profesionales al Instituto Distrital de Patrimonio Cultural en las actividades relacionadas con el mantenimiento preventivo y correctivo de los bienes muebles e inmuebles propiedad de la entidad.</t>
  </si>
  <si>
    <t>(Cód. 194) Prestar servicios profesionales al Instituto Distrital de Patrimonio Cultural, acompañando jurídicamente los procesos contractuales, así como la revisión, seguimiento y control de la gestión administrativa a cargo de la Subdirección de Gestión Corporativa.</t>
  </si>
  <si>
    <t>(Cód. 195) Contratar un programa de seguros que ampare los bienes e intereses patrimoniales del Instituto Distrital de Patrimonio Cultural y aquellos por los cuales sea o llegare a ser responsable.</t>
  </si>
  <si>
    <t>(Cód. 196) Prestar servicios de apoyo a la gestión al Instituto Distrital de Patrimonio Cultural en las actividades relacionadas con la implementación del SECOP II.</t>
  </si>
  <si>
    <t>(Cód. 197) Prestación de los servicios de vigilancia y seguridad privada, en la modalidad de vigilancia fija armada, con medios técnicos y tecnológicos, a los bienes muebles e inmuebles que conforman el patrimonio de la entidad y de los cuales es o llegare a ser legalmente responsable.</t>
  </si>
  <si>
    <t>(Cód. 198) Adición y prórroga del contrato 305 de 2018 que tiene por objeto: prestación de los servicios de vigilancia y seguridad privada, en la modalidad de vigilancia fija armada, con medios técnicos y tecnológicos, a los bienes muebles e inmuebles que conforman el patrimonio de la entidad y de los cuales es o llegare a ser legalmente responsable.</t>
  </si>
  <si>
    <t>(Cód. 199) Prestar servicios de apoyo a la gestión al Instituto Distrital de Patrimonio Cultural, en las actividades asistenciales que requiera la Asesoría Jurídica o quien haga sus veces.</t>
  </si>
  <si>
    <t>(Cód. 200) Contratar la prestación del servicio de mantenimiento preventivo y correctivo de bienes inmuebles propiedad y a cargo del Instituto Distrital de Patrimonio Cultural.</t>
  </si>
  <si>
    <t>(Cód. 201) Adquisición de equipos de cómputo y periféricos requeridos para el desarrollo administrativo y misional del Instituto Distrital de Patrimonio Cultural.</t>
  </si>
  <si>
    <t>(Cód. 202) Contratar el alquiler e instalación de computadores de escritorio con su respectiva configuración y puesta en funcionamiento en las instalaciones del Instituto Distrital de Patrimonio Cultural.</t>
  </si>
  <si>
    <t>(Cód. 203) Contratar el alquiler e instalación de computadores de escritorio con su respectiva configuración y puesta en funcionamiento en las instalaciones del Instituto Distrital de Patrimonio Cultural.</t>
  </si>
  <si>
    <t>(Cód. 204) Contratar la renovación y ampliación del almacenamiento de la solución de respaldo de información para el Instituto Distrital de Patrimonio Cultural.</t>
  </si>
  <si>
    <t>(Cód. 205) Contratar la adquisición de licencias de software para los equipos de cómputo de Instituto Distrital de Patrimonio Cultural.</t>
  </si>
  <si>
    <t>(Cód. 206) Prestar servicios profesionales especializados al Instituto Distrital de Patrimonio Cultural apoyando a la Asesoría Jurídica o quien haga sus veces, en la defensa judicial de los intereses patrimoniales de la entidad.</t>
  </si>
  <si>
    <t xml:space="preserve">(Cód. 207) Prestar servicios profesionales al Instituto Distrital de Patrimonio Cultural para elaborar insumos arquitectónicos en la formulación de proyectos y del Plan Especial de Manejo y Protección -PEMP- del Centro Histórico de Bogotá D.C, a partir de la consolidación de la formulación del mismo. </t>
  </si>
  <si>
    <t xml:space="preserve">(Cód. 208) Prestar servicios profesionales al Instituto Distrital de Patrimonio Cultural para realizar  insumos en el componente ambiental en la formulación de proyectos del Instituto. </t>
  </si>
  <si>
    <t>(Cód. 209) Prestar servicios profesionales al Instituto Distrital de Patrimonio Cultural en las actividades relacionadas con la propuesta de norma e instrumentos del Plan Especial de Manejo y Protección -PEMP- del Centro Histórico de Bogotá D.C.</t>
  </si>
  <si>
    <t>(Cód. 210) Prestar servicios profesionales al Instituto Distrital de Patrimonio Cultural para la consolidación de la propuesta de norma e instrumentos del Plan Especial de Manejo y Protección -PEMP- del Centro Histórico de Bogotá D.C., y otros proyectos asociados.</t>
  </si>
  <si>
    <t xml:space="preserve">(Cód. 211) Prestar servicios profesionales al Instituto Distrital de Patrimonio Cultural en la ejecución de las actividades de edición de textos e imágenes y montaje para la consolidación de la valoración e inventario de los bienes del patrimonio cultural inmueble del Plan Especial de Manejo y Protección- PEMP- del Centro Histórico de Bogotá D.C.  </t>
  </si>
  <si>
    <t>(Cód. 212) Prestar servicios profesionales al Instituto Distrital de Patrimonio Cultural para orientar el direccionamiento estratégico del Plan Especial de Manejo y Protección -PEMP- del Centro Histórico de Bogotá D.C.</t>
  </si>
  <si>
    <t xml:space="preserve">(Cód. 213) Prestar servicios profesionales al Instituto Distrital de Patrimonio Cultural para apoyar la formulación de los aspectos administrativos y de gobernanza en el marco del modelo de gestión del Plan Especial de Manejo y Protección -PEMP- del Centro Histórico de Bogotá D.C. </t>
  </si>
  <si>
    <t xml:space="preserve">(Cód. 214) Prestar servicios profesionales al Instituto Distrital de Patrimonio Cultural para apoyar la formulación de los aspectos administrativos y de gobernanza en el marco del modelo de gestión del Plan Especial de Manejo y Protección -PEMP- del Centro Histórico de Bogotá D.C. </t>
  </si>
  <si>
    <t>(Cód. 215) Prestar servicios profesionales al Instituto Distrital de Patrimonio Cultural para apoyar las acciones requeridas para la consolidación normativa y arquitectónica de la propuesta de espacio público para el Plan Especial de Manejo y Protección -PEMP- del Centro Histórico de Bogotá D.C y otros proyectos.</t>
  </si>
  <si>
    <t xml:space="preserve">(Cód. 216) Prestar servicios profesionales al Instituto Distrital de Patrimonio Cultural apoyando la consolidación de la propuesta para la norma urbana patrimonial del Plan Especial de Manejo y Protección -PEMP- del Centro Histórico de Bogotá D.C y otros proyectos. </t>
  </si>
  <si>
    <t xml:space="preserve">(Cód. 217) Prestar servicios profesionales al Instituto Distrital de Patrimonio Cultural apoyando la consolidación de la propuesta para la norma urbana patrimonial del Plan Especial de Manejo y Protección -PEMP- del Centro Histórico de Bogotá D.C y otros proyectos. </t>
  </si>
  <si>
    <t>(Cód. 218) Prestar servicios profesionales al Instituto Distrital de Patrimonio Cultural para apoyar las acciones requeridas para el desarrollo de la propuesta de norma urbana e instrumentos del Plan Especial de Manejo y Protección -PEMP- del Centro Histórico de Bogotá D.C.</t>
  </si>
  <si>
    <t>(Cód. 219) Prestar servicios de apoyo a la gestión al Instituto Distrital de Patrimonio Cultural para apoyar las acciones requeridas en la consolidación de la propuesta normativa del Plan Especial de Manejo y Protección -PEMP- del Centro Histórico de Bogotá D.C.</t>
  </si>
  <si>
    <t xml:space="preserve">(Cód. 220) Prestar servicios profesionales al Instituto Distrital de Patrimonio Cultural para formular y desarrollar insumos relacionados con el direccionamiento estratégico del Plan Especial de Manejo y Protección -PEMP- del Centro Histórico de Bogotá D.C y otros proyectos asociados.  </t>
  </si>
  <si>
    <t>(Cód. 221) Prestar servicios profesionales al Instituto Distrital de Patrimonio Cultural para ejecutar insumos urbano arquitectónicos de proyectos y de las intervenciones integrales del Plan Especial de Manejo y Protección -PEMP- del Centro Histórico de Bogotá D.C. a partir de la consolidación de la formulación del mismo.</t>
  </si>
  <si>
    <t xml:space="preserve">(Cód. 222) Prestar servicios profesionales al Instituto Distrital de Patrimonio Cultural en el desarrollo de insumos urbano arquitectonicos para los planes, programas y proyectos del Instituto. </t>
  </si>
  <si>
    <t xml:space="preserve">(Cód. 223) Prestar servicios profesionales al Instituto Distrital de Patrimonio Cultural en el elaborar de los productos relacionados con los programas, planes, proyectos e intervenciones integrales del Instituto. </t>
  </si>
  <si>
    <t xml:space="preserve">(Cód. 224) Prestar servicios profesionales al Instituto Distrital de Patrimonio Cultural en la ejecución de las actividades de planimetría y montaje para la consolidación de la valoración e inventario de los bienes del patrimonio cultural inmueble del Plan Especial de Manejo y Protección- PEMP- del Centro Histórico de Bogotá D.C.  </t>
  </si>
  <si>
    <t xml:space="preserve">(Cód. 225) Prestar servicios profesionales al Instituto Distrital de Patrimonio Cultural para ejecutar  insumos urbano-territoriales en la formulación de proyectos y del Plan Especial de Manejo y Protección -PEMP- del Centro Histórico de Bogotá D.C, a partir de la consolidación de la formulación del mismo. </t>
  </si>
  <si>
    <t xml:space="preserve">(Cód. 226) Prestar servicios profesionales al Instituto Distrital de Patrimonio Cultural  para formular y desarrollar insumos relacionados con la gestión de los programas, planes, proyectos e intervenciones integrales del Instituto. </t>
  </si>
  <si>
    <t>(Cód. 227) Prestar servicios profesionales al Instituto Distrital de Patrimonio Cultural en la revisión, verificación y consolidación de la información fotográfica como insumo para las fichas del inventario- valoración y normativa del patrimonio cultural inmueble del Plan Especial de Manejo y protección –PEMP- del Centro Histórico de Bogotá D.C.</t>
  </si>
  <si>
    <t>(Cód. 228) Prestar servicios profesionales al Instituto Distrital de Patrimonio Cultural para adelantar la modelación de escenarios de accesibilidad y movilidad para planes y proyectos del Instituto.</t>
  </si>
  <si>
    <t xml:space="preserve">(Cód. 229) Prestar servicios profesionales al Instituto Distrital de Patrimonio Cultural en la ejecución de insumos documentales para la consolidación de la valoración e inventario de los bienes del patrimonio cultural inmueble del Plan Especial de Manejo y Protección- PEMP- del Centro Histórico de Bogotá D.C.  </t>
  </si>
  <si>
    <t>(Cód. 230) Prestar servicios profesionales al Instituto Distrital de Patrimonio Cultural para apoyar las actividades de revisión, verificación y consolidación de las fichas del inventario y valoración del patrimonio cultural inmueble en el marco del Plan Especial de Manejo y Protección- PEMP- del Centro Histórico de Bogotá D.C.</t>
  </si>
  <si>
    <t>(Cód. 231) Prestar servicios profesionales al Instituto Distrital de Patrimonio Cultural para apoyar las actividades de seguimiento y ajustes al inventario y valoración del patrimonio cultural inmueble en el marco del Plan Especial de Manejo y Protección- PEMP- del Centro Histórico de Bogotá D.C.</t>
  </si>
  <si>
    <t>(Cód. 232) Prestar servicios profesionales al Instituto Distrital de Patrimonio Cultural en la orientación de la gestión de los programas, planes, proyectos e intervenciones integrales del Plan Especial de Manejo y Protección -PEMP- del Centro Histórico de Bogotá D.C., y otros proyectos.</t>
  </si>
  <si>
    <t>(Cód. 233) Prestar servicios profesionales al Instituto Distrital de Patrimonio Cultural en el direccionamiento de proyectos e intervenciones integrales   del Plan Especial de Manejo y Protección -PEMP- del Centro Histórico de Bogotá D.C.</t>
  </si>
  <si>
    <t xml:space="preserve">(Cód. 234) Prestar servicios profesionales al Instituto Distrital de Patrimonio Cultural para realizar una propuesta de estructura legal e institucional del modelo de gestión del Plan Especial de Manejo y Protección -PEMP- del Centro Histórico de Bogotá D.C. </t>
  </si>
  <si>
    <t xml:space="preserve">(Cód. 236) Prestar servicios profesionales al Instituto Distrital de Patrimonio Cultural para elaborar insumos en el componente de innovación en la formulación de proyectos del Instituto. </t>
  </si>
  <si>
    <t xml:space="preserve">(Cód. 237) Prestar servicios profesionales al Instituto Distrital de Patrimonio Cultural en la ejecución de las actividades de edición de textos e imágenes y montaje para la consolidación de la valoración e inventario de los bienes del patrimonio cultural inmueble del Plan Especial de Manejo y Protección- PEMP- del Centro Histórico de Bogotá D.C.  </t>
  </si>
  <si>
    <t xml:space="preserve">(Cód. 238) Prestar servicios profesionales al Instituto Distrital de Patrimonio Cultural en la ejecución de las actividades de edición de textos e imágenes y montaje para la consolidación de la valoración e inventario de los bienes del patrimonio cultural inmueble del Plan Especial de Manejo y Protección- PEMP- del Centro Histórico de Bogotá D.C.  </t>
  </si>
  <si>
    <t xml:space="preserve">(Cód. 239) Prestar servicios profesionales al Instituto Distrital de Patrimonio Cultural en la ejecución de las actividades de planimetría y montaje para la consolidación de la valoración e inventario de los bienes del patrimonio cultural inmueble del Plan Especial de Manejo y Protección- PEMP- del Centro Histórico de Bogotá D.C.  </t>
  </si>
  <si>
    <t xml:space="preserve">(Cód. 240)  Prestar servicios profesionales al Instituto Distrital de Patrimonio Cultural para realizar insumos arquitectonicos y de espacialización de proyectos en la formulación de proyectos y del Plan Especial de Manejo y Protección -PEMP- del Centro Histórico de Bogotá D.C, a partir de la consolidación de la formulación del mismo. </t>
  </si>
  <si>
    <t xml:space="preserve">(Cód. 241) Prestar servicios profesionales al Instituto Distrital de Patrimonio Cultural para apoyar la producción de insumos técnicos relacionados con el direccionamiento estratégico del Plan Especial de Manejo y Protección -PEMP- del Centro Histórico de Bogotá D.C y otros proyectos asociados.  </t>
  </si>
  <si>
    <t xml:space="preserve">(Cód. 242) Prestar servicios profesionales al Instituto Distrital de Patrimonio Cultural en la ejecución de las actividades de información gráfica, edición y montaje para la consolidación de la valoración e inventario de los bienes del patrimonio cultural inmueble del Plan Especial de Manejo y Protección- PEMP- del Centro Histórico de Bogotá D.C.  </t>
  </si>
  <si>
    <t xml:space="preserve">(Cód. 243) Prestar servicios profesionales al Instituto Distrital de Patrimonio Cultural en la ejecución de las actividades de información gráfica, edición y montaje para la consolidación de la valoración e inventario de los bienes del patrimonio cultural inmueble del Plan Especial de Manejo y Protección- PEMP- del Centro Histórico de Bogotá D.C.  </t>
  </si>
  <si>
    <t xml:space="preserve">(Cód. 244) Prestar servicios profesionales al Instituto Distrital de Patrimonio Cultural en la ejecución de las actividades de información gráfica, edición y montaje para la consolidación de la valoración e inventario de los bienes del patrimonio cultural inmueble del Plan Especial de Manejo y Protección- PEMP- del Centro Histórico de Bogotá D.C.  </t>
  </si>
  <si>
    <t>(Cód. 245) Prestar servicios de apoyo a la gestión del Instituto Distrital de Patrimonio Cultural en la producción de insumos documentales relacionados con los planes y proyectos del Instituto.</t>
  </si>
  <si>
    <t xml:space="preserve">(Cód. 246) Prestar servicios profesionales al Instituto Distrital de Patrimonio Cultural en la ejecución de las actividades de edición de textos e imágenes y montaje para la consolidación de la valoración e inventario de los bienes del patrimonio cultural inmueble del Plan Especial de Manejo y Protección- PEMP- del Centro Histórico de Bogotá D.C.  </t>
  </si>
  <si>
    <t>(Cód. 247) Prestar servicios profesionales al Instituto Distrital de Patrimonio Cultural para el direccionamiento, verificación y consolidación del inventario y valoración del patrimonio cultural inmueble en el marco de la propuesta integral del Patrimonio Inmueble del Plan Especial de Manejo y Protección -PEMP - del Centro Histórico de Bogota D.C-</t>
  </si>
  <si>
    <t>(Cód. 248) Prestar servicios profesionales al Instituto Distrital de Patrimonio Cultural para apoyar la propuesta normativa y de instrumentos derivados del Plan Especial de Manejo y Protección -PEMP- del Centro Histórico de Bogotá D.C.</t>
  </si>
  <si>
    <t>(Cód. 249) Prestar servicios profesionales al Instituto Distrital de Patrimonio Cultural para apoyar la consolidación de la propuesta normativa y de instrumentos derivados del Plan Especial de Manejo y Protección -PEMP- del Centro Histórico de Bogotá D.C., y otros proyectos.</t>
  </si>
  <si>
    <t>(Cód. 250) Prestar servicios profesionales al Instituto Distrital de Patrimonio Cultural para avanzar en el desarrollo normativo y de instrumentos del componente patrimonial del Plan Especial de Manejo y Protección -PEMP- del Centro Histórico de Bogotá D.C.</t>
  </si>
  <si>
    <t>(Cód. 260) Prestar servicios profesionales al Instituto Distrital de Patrimonio Cultural para la consolidación del desarrollo normativo y de instrumentos del componente patrimonial del Plan Especial de Manejo y Protección -PEMP- del Centro Histórico de Bogotá D.C., y otros proyectos.</t>
  </si>
  <si>
    <t xml:space="preserve">(Cód. 261) Prestar servicios profesionales al Instituto Distrital de Patrimonio Cultural para orientar y desarrollar estrategias, programas y proyectos en el marco de la aplicación de instrumentos de financiación y gestión  para la recuperación de los sectores y Bienes de Interés Cultural en el Distrito Capital. </t>
  </si>
  <si>
    <t xml:space="preserve">(Cód. 262) Prestar servicios profesionales al Instituto Distrital de Patrimonio Cultural para desarrollar actividades técnicas y operativas de los planes, programas y proyectos del instituto. </t>
  </si>
  <si>
    <t xml:space="preserve">(Cód. 263) Prestar servicios profesionales al Instituto Distrital de Patrimonio Cultural para realizar insumos en el componente de accesibilidad y movilidad en la formulación  de proyectos del Instituto. </t>
  </si>
  <si>
    <t xml:space="preserve">(Cód. 264) Prestar servicios profesionales al Instituto Distrital de Patrimonio Cultural para apoyar las actividades técnicas y administrativas de los planes, programas y proyectos del Instituto. </t>
  </si>
  <si>
    <t>(Cód. 265) Prestar servicios profesionales al Instituto Distrital de Patrimonio Cultural para apoyar el desarrollo de insumos y actividades relacionadas con las estrategias, programas y proyectos en el marco de la aplicación de instrumentos de financiación y gestión  para la recuperación de los sectores y Bienes de Interés Cultural en el Distrito Capital</t>
  </si>
  <si>
    <t xml:space="preserve">(Cód. 266) Prestar servicios profesionales al Instituto Distrital de Patrimonio Cultural para ejecutar  actividades relacionadas con las estrategias, programas y proyectos en el marco de la aplicación de instrumentos de financiación y gestión para la recuperación de los sectores y Bienes de Interés Cultural en el Distrito Capital. </t>
  </si>
  <si>
    <t xml:space="preserve">(Cód. 267) Prestar servicios profesionales al Instituto Distrital de Patrimonio Cultural para apoyar la orientación y desarrollo del proceso de participación ciudadana y divulgación del Plan Especial de Manejo y Protección (PEMP) del Centro Histórico de Bogotá D.C y otros proyectos. </t>
  </si>
  <si>
    <t>(Cód. 268) Prestar servicios profesionales al Instituto Distrital de Patrimonio Cultural en la consolidación normativa y arquitectónica de la propuesta de espacio público para el Plan Especial de Manejo y Protección -PEMP- del Centro Histórico de Bogotá D.C y otros proyectos.</t>
  </si>
  <si>
    <t xml:space="preserve">(Cód. 269) Prestar servicios profesionales al Instituto Distrital de Patrimonio Cultural para elaborar insumos en el componente habitacional en la formulación  de proyectos del Instituto. </t>
  </si>
  <si>
    <t xml:space="preserve">(Cód. 270) Prestar servicios profesionales al Instituto Distrital de Patrimonio Cultural en la ejecución de las actividades de planimetría y montaje para la consolidación de la valoración e inventario de los bienes del patrimonio cultural inmueble del Plan Especial de Manejo y Protección- PEMP- del Centro Histórico de Bogotá D.C.  </t>
  </si>
  <si>
    <t xml:space="preserve">(Cód. 271) Prestar servicios profesionales al Instituto Distrital de Patrimonio Cultural para orientar el direccionamiento estratégico de los planes, programas y proyectos del Instituto. </t>
  </si>
  <si>
    <t>(Cód. 272) Prestar servicios de apoyo a la gestión al Instituto Distrital de Patrimonio Cultural para el seguimiento y revisión de la radicación en debida forma de las solicitudes de trámites y servicios  para la evaluación de proyectos de intervención y atención al público a cargo de la Subdirección de Intervención.</t>
  </si>
  <si>
    <t>(Cód. 273) Prestar servicios de apoyo a la gestión al Instituto Distrital de Patrimonio Cultural para atención y notificación al usuario, y demás actividades administrativas de la Subdirección de Intervención.</t>
  </si>
  <si>
    <t>(Cód. 274) Prestar servicios profesionales al Instituto Distrital de Patrimonio Cultural para orientar y brindar acompañamiento en el Sistema de Información Geográfico relacionado con la evaluación de solicitudes de intervención de Bienes de Interés Cultural ubicados en el espacio público y de espacio público en Sectores de Interés Cultural.</t>
  </si>
  <si>
    <t>(Cód. 275) Prestar servicios profesionales al Instituto Distrital de Patrimonio Cultural apoyando el soporte técnico del Sistema de Información Geográfico relacionado con la evaluación de solicitudes de intervención de Bienes de Interés Cultural ubicados en el espacio público y de espacio público en Sectores de Interés Cultural.</t>
  </si>
  <si>
    <t>(Cód. 276) Prestar servicios profesionales al Instituto Distrital de Patrimonio Cultural para apoyar las actividades de gestión del Sistema de Información Geográfico para el inventario de bienes inmuebles del  Distrito Capital a cargo de la Subdirección de Intervención.</t>
  </si>
  <si>
    <t>(Cód. 277) Prestar servicios profesionales especializados al Instituto Distrital de Patrimonio Cultural para orientar y apoyar la verificación técnica de la documentación expedida en relación a la evaluación y asesoría técnica de las solicitudes de intervención en Bienes de Interés Cultural del Distrito Capital.</t>
  </si>
  <si>
    <t>(Cód. 278) Prestar servicios profesionales al Instituto Distrital de Patrimonio Cultura en el apoyo de las actividades administrativas relacionadas con la evaluación y la asesoría técnica de solicitudes de intervención para la protección del patrimonio cultural.</t>
  </si>
  <si>
    <t>(Cód. 279) Prestar servicios profesionales al Instituto Distrital de Patrimonio Cultural para el acompañamiento y apoyo en las actividades de asesoría técnica a terceros, revisión, evaluación, verificación y análisis de las solicitudes de intervención de los Bienes de Interés Cultural (BIC) del Distrito Capital.</t>
  </si>
  <si>
    <t>(Cód. 280) Prestar servicios profesionales al Instituto Distrital de Patrimonio Cultural para el acompañamiento y apoyo en las actividades de asesoría técnica a terceros, revisión, evaluación, verificación y análisis de las solicitudes de intervención de los Bienes de Interés Cultural (BIC) del Distrito Capital.</t>
  </si>
  <si>
    <t>(Cód. 281) Prestar servicios profesionales al Instituto Distrital de Patrimonio Cultural para el acompañamiento y apoyo en las actividades de asesoría técnica a terceros, revisión, evaluación, verificación y análisis de las solicitudes de intervención de los Bienes de Interés Cultural (BIC) del Distrito Capital.</t>
  </si>
  <si>
    <t>(Cód. 282) Prestar servicios profesionales al Instituto Distrital de Patrimonio Cultural para el acompañamiento y apoyo en las actividades de asesoría técnica a terceros, revisión, evaluación, verificación y análisis de las solicitudes de intervención de los Bienes de Interés Cultural (BIC) del Distrito Capital.</t>
  </si>
  <si>
    <t>(Cód. 283) Prestar servicios profesionales al Instituto Distrital de Patrimonio Cultural para el acompañamiento y apoyo en las actividades de asesoría técnica a terceros, revisión, evaluación, verificación y análisis de las solicitudes de intervención de los Bienes de Interés Cultural (BIC) del Distrito Capital.</t>
  </si>
  <si>
    <t>(Cód. 284) Prestar servicios profesionales al Instituto Distrital de Patrimonio Cultural para el acompañamiento y apoyo en las actividades de asesoría técnica a terceros, revisión, evaluación, verificación y análisis de las solicitudes de intervención de los Bienes de Interés Cultural (BIC) del Distrito Capital.</t>
  </si>
  <si>
    <t>(Cód. 285) Prestar servicios profesionales al Instituto Distrital de Patrimonio Cultural para el acompañamiento y apoyo en las actividades de asesoría técnica a terceros, revisión, evaluación, verificación y análisis de las solicitudes de intervención de los Bienes de Interés Cultural (BIC) del Distrito Capital.</t>
  </si>
  <si>
    <t>(Cód. 286) Prestar servicios profesionales al Instituto Distrital de Patrimonio Cultural para apoyar la revisión y acompañamiento del componente estructural y de ingeniería de las acciones y solicitudes de intervención en Bienes de Interés Cultural (BIC).</t>
  </si>
  <si>
    <t>(Cód. 287) Prestar servicios profesionales al Instituto Distrital de Patrimonio Cultural para apoyar la revisión y acompañamiento del componente estructural y de ingeniería de las acciones y solicitudes de intervención en Bienes de Interés Cultural (BIC).</t>
  </si>
  <si>
    <t>(Cód. 288) Prestar servicios profesionales al Instituto Distrital de Patrimonio Cultural para orientar y apoyar la verificación técnica de la documentación expedida con ocasión de las solicitudes de intervención de anteproyectos y conceptos de norma en Bienes de Interés Cultural (BIC) de Bogotá que se radican ante la entidad.</t>
  </si>
  <si>
    <t>(Cód. 289) Prestar servicios profesionales al Instituto Distrital de Patrimonio Cultural apoyando las actividades de elaboración y redacción de conceptos técnicos respecto a las normas aplicables para intervenciones sobre los inmuebles de interés cultural del Distrito Capital.</t>
  </si>
  <si>
    <t>(Cód. 290) Prestar servicios profesionales al Instituto Distrital de Patrimonio Cultural apoyando las actividades de elaboración y redacción de conceptos técnicos respecto a las normas aplicables para intervenciones sobre los inmuebles de interés cultural del Distrito Capital.</t>
  </si>
  <si>
    <t>(Cód. 291) Prestar servicios profesionales al Instituto Distrital de Patrimonio Cultural apoyando las actividades de soporte técnico, revisión, evaluación, verificación y análisis de las solicitudes de reparaciones locativas que se presentan sobre los bienes de interés cultural del Distrito Capital.</t>
  </si>
  <si>
    <t>(Cód. 292) Prestar servicios profesionales al Instituto Distrital de Patrimonio Cultural para apoyar las actividades de soporte técnico y evaluación de las solicitudes y acciones de control urbano que se presenten sobre BIC y SIC del Distrito Capital.</t>
  </si>
  <si>
    <t>(Cód. 293) Prestar servicios profesionales al Instituto Distrital de Patrimonio Cultural para apoyar las actividades de soporte técnico y evaluación de las solicitudes de equiparación a estrato 1 y de control urbano de intervenciones en BIC.</t>
  </si>
  <si>
    <t>(Cód. 294) Prestar servicios profesionales al Instituto Distrital de Patrimonio Cultural para apoyar las actividades de soporte técnico y evaluación de las solicitudes de equiparación a estrato 1 y de control urbano de intervenciones en BIC.</t>
  </si>
  <si>
    <t>(Cód. 295) Prestar servicios profesionales al Instituto Distrital de Patrimonio Cultural para apoyar las actividades de soporte técnico y evaluación de las solicitudes de equiparación a estrato 1 y de control urbano de intervenciones en BIC.</t>
  </si>
  <si>
    <t>(Cód. 296) Prestar servicios profesionales al Instituto Distrital de Patrimonio Cultural para apoyar las actividades de soporte técnico y evaluación de las solicitudes de equiparación a estrato 1 y de control urbano de intervenciones en BIC.</t>
  </si>
  <si>
    <t>(Cód. 297) Prestar servicios profesionales al Instituto Distrital de Patrimonio Cultural para apoyar las actividades de soporte técnico y evaluación de las solicitudes de equiparación a estrato 1 y de control urbano de intervenciones en BIC.</t>
  </si>
  <si>
    <t>(Cód. 298) Prestar servicios profesionales al Instituto Distrital de Patrimonio Cultural en el acompañamiento técnico y verificación de los proyectos de manejo y protección del patrimonio cultural, y solicitudes de inclusiones, exclusiones y cambios de categoria de BIC del Distrito Capital.</t>
  </si>
  <si>
    <t>(Cód. 299) Prestar servicios profesionales al Instituto Distrital de Patrimonio Cultural, apoyando los tramites de evaluación de los proyectos de manejo y protección del patrimonio cultural, y solicitudes de intervención sobre Bienes y Sectores de Interés Cultural.</t>
  </si>
  <si>
    <t>(Cód. 300) Prestar servicios profesionales al Instituto Distrital de Patrimonio Cultural, apoyando los tramites de evaluación de los proyectos de manejo y protección del patrimonio cultural, y solicitudes de intervención sobre Bienes y Sectores de Interés Cultural.</t>
  </si>
  <si>
    <t>(Cód. 301) Prestar servicios profesionales al Instituto Distrital de Patrimonio Cultural, apoyando los tramites de evaluación de los proyectos de manejo y protección del patrimonio cultural, y solicitudes de intervención sobre Bienes y Sectores de Interés Cultural.</t>
  </si>
  <si>
    <t>(Cód. 302) Prestar servicios profesionales al Instituto Distrital de Patrimonio Cultural para orientar, dar lineamientos y desarrollar acciones relacionadas con el sistema de espacio publico de Bogota DC.</t>
  </si>
  <si>
    <t>(Cód. 303) Prestar servicios profesionales al Instituto Distrital de Patrimonio Cultural para apoyar las actividades tecnicas relacionadas con el sistema de  espacio público de Bogota DC.</t>
  </si>
  <si>
    <t>(Cód. 304) Prestar servicios profesionales al Instituto Distrital de Patrimonio Cultural para apoyar las actividades tecnicas relacionadas con el sistema de  espacio público de Sectores de Interés Cultural.</t>
  </si>
  <si>
    <t>(Cód. 305) Prestar servicios profesionales al Instituto Distrital de Patrimonio Cultural para apoyar las actividades tecnicas relacionadas con el sistema de  espacio público de Sectores de Interés Cultural.</t>
  </si>
  <si>
    <t xml:space="preserve">(Cód. 306) Prestar servicios profesionales al Instituto Distrital de Patrimonio Cultural para desarrollar actividades de formulacion, gestion, segumiento y evaluacion  relacionadas con los instrumentos de planeación y normativos de la ciudad de Bogotá. </t>
  </si>
  <si>
    <t>(Cód. 307) Prestar servicios profesionales especializados al Instituto Distrital de Patrimonio Cultural, como apoyo jurídico a la evaluación de las solicitudes de intervención sobre Bienes y Sectores de Interés Cultural.</t>
  </si>
  <si>
    <t>(Cód. 308) Prestar servicios profesionales especializados al Instituto Distrital de Patrimonio Cultural, como apoyo jurídico a la evaluación de las solicitudes de intervención sobre Bienes y Sectores de Interés Cultural.</t>
  </si>
  <si>
    <t>(Cód. 309) Prestar servicios profesionales al Instituto Distrital de Patrimonio Cultural, como apoyo jurídico a la evaluación de las solicitudes de intervención sobre Bienes y Sectores de Interés Cultural.</t>
  </si>
  <si>
    <t>(Cód. 310) Prestar servicios profesionales al Instituto Distrital de Patrimonio Cultural para apoyar las actividades de soporte técnico y evaluación de las solicitudes y acciones de control urbano que se presenten sobre BIC y SIC del Distrito Capital.</t>
  </si>
  <si>
    <t>(Cód. 311) Ejecutar bajo la modalidad de precios unitarios los primeros auxilios del inmueble denominado Casa Cadel.</t>
  </si>
  <si>
    <t>(Cód. 312) Ejecutar bajo la modalidad de precios unitarios los primeros auxilios del inmueble ubicado en la Calle 12b N. 3 - 07, denominado "Casa Colorada".</t>
  </si>
  <si>
    <t>(Cód. 313) Prestar servicios profesionales de apoyo a la supervisión al proyecto de primeros auxilios del inmueble denominado Casa Colorada.</t>
  </si>
  <si>
    <t>(Cód. 314) Realizar los estudios y propuesta para los primeros auxilios, el apuntalamiento y sobre cubierta requerida para el inmueble ubicado en la Calle 12b N. 3 - 07, denominado "Casa Colorada".</t>
  </si>
  <si>
    <t>(Cód. 315) Ejecutar bajo la modalidad de precios unitarios fijos las obras requeridas para el inmueble ubicado en la Calle 12B No. 2-58, denominado Casa Genoveva en la ciudad de Bogotá, D. C.</t>
  </si>
  <si>
    <t>(Cód. 316) Realizar la interventoría integral de la obra cuyo objeto es: "Ejecutar bajo la modalidad de precios unitarios fijos las obras requeridas para el inmueble ubicado en la Calle 12B No. 2-58, denominado Casa Genoveva en la ciudad de Bogotá, D. C."</t>
  </si>
  <si>
    <t>(Cód. 317) Ejecutar las obras por precios unitarios fijos para la restauración de las naves de la Basílica Menor del Sagrado Corazón de Jesús - Iglesia del Voto Nacional.</t>
  </si>
  <si>
    <t>(Cód. 318) Prestar servicios profesionales al Instituto Distrital de Patrimonio Cultural  para apoyar la revisión y organización de los insumos técnicos y documentación inherente al proyecto de intervención de BIC Voto Nacional.</t>
  </si>
  <si>
    <t>(Cód. 319) Realizar la interventoría integral del contrato de obra que tiene por objeto: "Ejecutar las obras por precios unitarios fijos para la restauración de las naves de la Basílica Menor del Sagrado Corazón de Jesús - Iglesia del Voto Nacional."</t>
  </si>
  <si>
    <t xml:space="preserve">(Cód. 320) Ejecutar bajo la modalidad de precios unitarios fijos las obras en la Fachada de la Plaza de Toros la Santamaría, en la ciudad de Bogotá D.C. </t>
  </si>
  <si>
    <t>(Cód. 321) Realizar la interventoría integral de la obra que tiene por objeto "Ejecutar bajo la modalidad de precios unitarios fijos las obras en la Fachada de la Plaza de Toros la Santamaría, en la ciudad de Bogotá D.C. "</t>
  </si>
  <si>
    <t>(Cód. 322) Ejecutar bajo la modalidad de precios unitarios la obra de intervención de la del inmueble ubicado en la Calle 12 B N° 2-91 denominado Casa Tito.</t>
  </si>
  <si>
    <t>(Cód. 323) Realizar la interventoría integral de la obra cuyo objeto es: "Ejecutar bajo la modalidad de precios unitarios la obra de intervención de la del inmueble ubicado en la Calle 12 B N° 2-91 denominado Casa Tito."</t>
  </si>
  <si>
    <t>(Cód. 324) Realizar los estudios y diseños para la intervención integral de bienes muebles-inmuebles en el espacio público de la ciudad de Bogotá, D.C.</t>
  </si>
  <si>
    <t>(Cód. 325) Realizar la consultoría para elaborar los estudios técnicos, jurídicos, financieros y diseños definitivos para la construcción de las Galerías comerciales del edificio Liévano primera planta colindante con la carrera 8 entre calle 10 y calle 11.</t>
  </si>
  <si>
    <t>(Cód. 326) Realizar la intervención y mantenimiento de las Fachadas de las Iglesias Sanfrancisco, Egipto y Candelaria en la ciudad de Bogotá.</t>
  </si>
  <si>
    <t>(Cód. 327) Realizar la interventoría integral para la intervención y mantenimiento de las Fachadas de las Iglesias Sanfrancisco, Egipto y Candelaria en la ciudad de Bogotá.</t>
  </si>
  <si>
    <t>(Cód. 328) Contratar el servicio de transporte terrestre de carga con conductor y combustible, para transportar insumos, materiales, herramientas y equipos que requiera el Instituto Distrital de Patrimonio Cultural dentro del perímetro urbano de la ciudad de Bogotá D.C.</t>
  </si>
  <si>
    <t>(Cód. 329) Contratar insumos de ferretería, materiales y herramientas requeridas para la ejecución de intervenciones técnicas necesarias para el enlucimiento de fachadas, limpieza y mantenimiento de los Bienes de Interés Cultural muebles en espacio público e instalaciones que se utilizan para la prestación del servicio del Instituto Distrital de Patrimonio Cultural, en la ciudad de Bogotá D.C.</t>
  </si>
  <si>
    <t xml:space="preserve">(Cód. 330) Prestar servicios de apoyo a la gestión al Instituto Distrital de Patrimonio Cultural en áreas de seguridad industrial y acompañamiento en las labores de campo adelantadas por la Subdirección de Intervención. </t>
  </si>
  <si>
    <t xml:space="preserve">(Cód. 331) Prestar servicios de apoyo a la gestión al Instituto Distrital de Patrimonio Cultural en la administración, el recibo y/o entrega de materiales, herramienta y equipos, control de inventarios y el buen uso de los mismos; en el marco de las acciones del Programa de Enlucimiento de Fachadas. </t>
  </si>
  <si>
    <t>(Cód. 332) Prestar servicios de apoyo a la gestión al Instituto Distrital de Patrimonio Cultural para el monitoreo de las acciones de intervención adelantadas en el marco del Programa de enlucimiento de fachadas "El Patrimonio se Luce", de acuerdo con la programación establecida.</t>
  </si>
  <si>
    <t>(Cód. 333) Prestar servicios de apoyo a la gestión al Instituto Distrital de Patrimonio Cultural para el monitoreo de las acciones de intervención adelantadas en el marco del Programa de enlucimiento de fachadas "El Patrimonio se Luce", de acuerdo con la programación establecida.</t>
  </si>
  <si>
    <t>(Cód. 334) Prestar servicios de apoyo a la gestión al Instituto Distrital de Patrimonio Cultural para la correcta ejecución de las intervenciones adelantadas por el Programa de enlucimiento de fachadas "El Patrimonio se Luce", de acuerdo con la programación establecida.</t>
  </si>
  <si>
    <t>(Cód. 335) Prestar servicios de apoyo a la gestión al Instituto Distrital de Patrimonio Cultural para la correcta ejecución de las intervenciones adelantadas por el Programa de enlucimiento de fachadas "El Patrimonio se Luce", de acuerdo con la programación establecida.</t>
  </si>
  <si>
    <t>(Cód. 336) Prestar servicios de apoyo a la gestión al Instituto Distrital de Patrimonio Cultural para la correcta ejecución de las intervenciones adelantadas por el Programa de enlucimiento de fachadas "El Patrimonio se Luce", de acuerdo con la programación establecida.</t>
  </si>
  <si>
    <t>(Cód. 337) Prestar servicios de apoyo a la gestión al Instituto Distrital de Patrimonio Cultural para la correcta ejecución de las intervenciones adelantadas por el Programa de enlucimiento de fachadas "El Patrimonio se Luce", de acuerdo con la programación establecida.</t>
  </si>
  <si>
    <t>(Cód. 338) Prestar servicios de apoyo a la gestión al Instituto Distrital de Patrimonio Cultural para la correcta ejecución de las intervenciones adelantadas por el Programa de enlucimiento de fachadas "El Patrimonio se Luce", de acuerdo con la programación establecida.</t>
  </si>
  <si>
    <t>(Cód. 339) Prestar servicios de apoyo a la gestión al Instituto Distrital de Patrimonio Cultural para la correcta ejecución de las intervenciones adelantadas por el Programa de enlucimiento de fachadas "El Patrimonio se Luce", de acuerdo con la programación establecida.</t>
  </si>
  <si>
    <t>(Cód. 340) Prestar servicios de apoyo a la gestión al Instituto Distrital de Patrimonio Cultural para la correcta ejecución de las intervenciones adelantadas por el Programa de enlucimiento de fachadas "El Patrimonio se Luce", de acuerdo con la programación establecida.</t>
  </si>
  <si>
    <t>(Cód. 341) Prestar servicios profesionales al Instituto Distrital de Patrimonio Cultural  para apoyar las actividades logísticas y técnicas orientadas a la sensibilización y apropiación de la cultura ciudadana como instrumento de gestión social en el marco del programa de enlucimiento de fachadas "El Patrimonio se Luce".</t>
  </si>
  <si>
    <t>(Cód. 342) Prestar servicios profesionales al Instituto Distrital de Patrimonio Cultural para apoyar el seguimiento en obra de las jornadas de enlucimiento que realice el programa de Fachadas y de las acciones de intervención sobre Bienes de Interés Cultural en espacio público.</t>
  </si>
  <si>
    <t>(Cód. 343) Prestar servicios profesionales al Instituto Distrital de Patrimonio Cultural para apoyar el seguimiento técnico y administrativo en sitio de las intervenciones adelantadas por el Programa de Enlucimiento de Fachadas.</t>
  </si>
  <si>
    <t>(Cód. 344) Prestar servicios profesionales al Instituto Distrital de Patrimonio Cultural para apoyar la gestión y seguimiento administrativo de las acciones de intevención en espacio público y fachadas que se adelantan en el marco del Programa Enlucimiento de Fachadas.</t>
  </si>
  <si>
    <t>(Cód. 345) Prestar servicios profesionales al Instituto Distrital de Patrimonio Cultural para apoyar las acciones de intervención sobre fachadas y espacio público.</t>
  </si>
  <si>
    <t>(Cód. 346) Prestar servicios profesionales al Instituto Distrital de Patrimonio Cultural para orientar y verificar la implementación de las acciones de intervención y protección del Programa El Patrimonio se Luce.</t>
  </si>
  <si>
    <t>(Cód. 347) Prestar servicios profesionales al Instituto Distrital de Patrimonio Cultural, apoyando las actividades preliminares de campo, en el marco de las acciones de intevención en espacio público y fachadas.</t>
  </si>
  <si>
    <t>(Cód. 348) Prestar servicios profesionales al Instituto Distrital de Patrimonio Cultural, apoyando las actividades preliminares de campo, en el marco de las acciones de intevención en espacio público y fachadas.</t>
  </si>
  <si>
    <t>(Cód. 349) Prestar servicios de apoyo a la gestión al Instituto Distrital de Patrimonio Cultural para la correcta ejecución de las intervenciones adelantadas sobre bienes muebles en espacio público, de acuerdo con la programación establecida.</t>
  </si>
  <si>
    <t>(Cód. 350) Prestar servicios de apoyo a la gestión al Instituto Distrital de Patrimonio Cultural para la correcta ejecución de las intervenciones de mantenimiento y conservación que se adelantan sobre bienes muebles en espacio público, de acuerdo con la programación establecida.</t>
  </si>
  <si>
    <t>(Cód. 351) Prestar servicios de apoyo a la gestión al Instituto Distrital de Patrimonio Cultural para la correcta ejecución de las intervenciones de mantenimiento y conservación que se adelantan sobre bienes muebles en espacio público, de acuerdo con la programación establecida.</t>
  </si>
  <si>
    <t>(Cód. 352) Prestar servicios de apoyo a la gestión al Instituto Distrital de Patrimonio Cultural para la correcta ejecución de las intervenciones de mantenimiento y conservación que se adelantan sobre bienes muebles en espacio público, de acuerdo con la programación establecida.</t>
  </si>
  <si>
    <t>(Cód. 353) Prestar servicios de apoyo a la gestión al Instituto Distrital de Patrimonio Cultural para la correcta ejecución de las intervenciones de mantenimiento y conservación que se adelantan sobre bienes muebles en espacio público, de acuerdo con la programación establecida.</t>
  </si>
  <si>
    <t>(Cód. 354) Prestar servicios de apoyo a la gestión al Instituto Distrital de Patrimonio Cultural para la correcta ejecución de las intervenciones de mantenimiento y conservación que se adelantan sobre bienes muebles en espacio público, de acuerdo con la programación establecida.</t>
  </si>
  <si>
    <t>(Cód. 355) Prestar servicios profesionales al Instituto Distrital de Patrimonio Cultural para acompañar el seguimiento a las acciones de intervención de los bienes muebles - inmuebles en el espacio público y colecciones públicas de la ciudad de Bogotá. D.C.</t>
  </si>
  <si>
    <t xml:space="preserve">(Cód. 356) Prestar servicios profesionales al Instituto Distrital de Patrimonio Cultural para apoyar el seguimiento desde la disciplina de conservación - restauración a las actividades de mantenimiento, administración y conservación de los bienes muebles - inmuebles en el espacio público de Bogotá D.C. </t>
  </si>
  <si>
    <t xml:space="preserve">(Cód. 357) Prestar servicios profesionales al Instituto Distrital de Patrimonio Cultural para apoyar el seguimiento desde la disciplina de conservación - restauración a las actividades de mantenimiento, administración y conservación de los bienes muebles - inmuebles en el espacio público de Bogotá D.C. </t>
  </si>
  <si>
    <t xml:space="preserve">(Cód. 358) Prestar servicios profesionales al Instituto Distrital de Patrimonio Cultural para apoyar el seguimiento desde la disciplina de conservación - restauración a las actividades de mantenimiento, administración y conservación de los bienes muebles - inmuebles en el espacio público de Bogotá D.C. </t>
  </si>
  <si>
    <t>(Cód. 359) Prestar servicios profesionales al Instituto Distrital de Patrimonio Cultural para apoyar el seguimiento técnico en sitio de las intervenciones adelantadas sobre bienes muebles en espacio público de Bogotá D.C.</t>
  </si>
  <si>
    <t>(Cód. 360) Prestar servicios profesionales al Instituto Distrital de Patrimonio Cultural para apoyar la gestión del Grupo de Bienes Muebles en las actividades relacionadas con la intervención y conservación de patrimonio mueble ubicado en el espación público de Bogotá, en especial bajo el Programa Adopta un Monumento de la entidad.</t>
  </si>
  <si>
    <t>(Cód. 361) Prestar servicios profesionales al Instituto Distrital de Patrimonio Cultural para orientar y realizar el fomento y seguimiento de las acciones de administración, mantenimiento, conservación y restauración de los bienes muebles de la ciudad de Bogotá. D.C.</t>
  </si>
  <si>
    <t>(Cód. 362) Prestar servicios profesionales al Instituto Distrital de Patrimonio Cultural para orientar, guiar y realizar el seguimiento técnico de las intervenciones adelantadas por la entidad en Bienes Muebles ubicados en el espacio público de Bogotá D.C.</t>
  </si>
  <si>
    <t>(Cód. 363) Prestar servicios profesionales al Instituto Distrital de Patrimonio Cultural para realizar la gestión interinstitucional (público-privada) del Programa Adopta un Monumento para la protección, mantenimiento, administración y conservación de los bienes muebles - inmuebles en el espacio público de Bogotá, D.C.</t>
  </si>
  <si>
    <t>(Cód. 364) Suministro de productos químicos e insumos especiales requeridos para las intervenciones técnicas que se realizan sobre los Bienes de Interés Cultural muebles e inmuebles en la ciudad de Bogotá D.C.</t>
  </si>
  <si>
    <t>(Cód. 365) Ejecución de obras de primeros auxilios requeridas en el monumento a Los Héroes en la ciudad de Bogotá, D.C.</t>
  </si>
  <si>
    <t>(Cód. 366) Ejecución de obras requeridas en el monumento Banderas en la ciudad de Bogotá, D.C.</t>
  </si>
  <si>
    <t>(Cód. 367) Realizar el proyecto eléctrico y de iluminación para el monumento Simón Bolívar ubicado en la Plaza de Bolívar.</t>
  </si>
  <si>
    <t>(Cód. 368) Prestar servicios al Instituto Distrital de Patrimonio Cultural para apoyar el seguimiento administrativo y jurídico de los procesos contractuales y proyectos de intervención a cargo de la Subdirección de Intervención.</t>
  </si>
  <si>
    <t>(Cód. 369) Prestar servicios de apoyo a la gestión al Instituto Distrital de Patrimonio Cultural en actividades técnicas y de seguimiento en los procesos de ejecución y terminación de proyectos de obra, interventoría o convenios ejecutados por el Instituto.</t>
  </si>
  <si>
    <t>(Cód. 370) Prestar servicios de apoyo a la gestión al Instituto Distrital de Patrimonio Cultural en actividades técnicas y de seguimiento en los procesos de ejecución y terminación de proyectos de obra, interventoría o convenios ejecutados por el Instituto.</t>
  </si>
  <si>
    <t>(Cód. 371) Prestar servicios de apoyo a la gestión al Instituto Distrital de Patrimonio Cultural en la asistencia y desarrollo de actividades operativas de la Subdirección de Intervención.</t>
  </si>
  <si>
    <t>(Cód. 372) Prestar servicios de apoyo a la gestión al Instituto Distrital de Patrimonio Cultural para acompañar la recepción, registro de documentos y expedientes en el marco de los procesos adelantados por la Subdirección de Intervención.</t>
  </si>
  <si>
    <t>(Cód. 373) Prestar servicios de apoyo administrativo al Instituto Distrital de Patrimonio Cultural en los procesos contractuales de la Subdirección de Intervención.</t>
  </si>
  <si>
    <t>(Cód. 374) Prestar servicios profesionales al  Instituto Distrital de Patrimonio Cultural apoyando la estructuración e implementación de estrategias de gestión social y participación ciudadana para el reconocimiento y valoración del patrimonio en el marco de los planes, programas y proyectos de preservación del patrimonio cultural del Distrito Capital.</t>
  </si>
  <si>
    <t>(Cód. 375) Prestar servicios profesionales al Instituto Distrital de Patrimonio Cultural apoyando la estructuración técnica de los procesos precontractuales para las acciones de gestión e intervención del patrimonio cultural del Distrito Capital.</t>
  </si>
  <si>
    <t>(Cód. 376) Prestar servicios profesionales al Instituto Distrital de Patrimonio Cultural apoyando la estructuración técnica de los procesos precontractuales para las acciones de gestión e intervención del patrimonio cultural del Distrito Capital.</t>
  </si>
  <si>
    <t>(Cód. 377) Prestar servicios profesionales al Instituto Distrital de Patrimonio Cultural apoyando la estructuración técnica de los procesos precontractuales para las acciones de gestión e intervención del patrimonio cultural del Distrito Capital.</t>
  </si>
  <si>
    <t>(Cód. 378) Prestar servicios profesionales al Instituto Distrital de Patrimonio Cultural en la planeación, seguimiento y control de la ejecución administrativa y de metas del proyecto de inversión de la Subdirección de Intervención.</t>
  </si>
  <si>
    <t>(Cód. 379) Prestar servicios profesionales al Instituto Distrital de Patrimonio Cultural en las actividades administrativas y de apoyo a la ejecución de los proyectos de inversión de la Subdirección de Intervención.</t>
  </si>
  <si>
    <t>(Cód. 380) Prestar servicios profesionales al Instituto Distrital de Patrimonio Cultural para apoyar el apoyo jurídico en las etapas de estructuración y ejecución de los contratos que requiera la subdirección de intervención de conformidad con las normas vigentes que rigen la contratación pública. </t>
  </si>
  <si>
    <t>(Cód. 381) Prestar servicios profesionales al Instituto Distrital de Patrimonio Cultural para apoyar la estructuración técnica y presupuestos de los procesos de selección que se desarrollan para la gestión e intervención del patrimonio cultural del Distrito Capital.</t>
  </si>
  <si>
    <t>(Cód. 382) Prestar servicios profesionales al Instituto Distrital de Patrimonio Cultural para apoyar la planeación y control administrativo y de la gestión financiera, en el desarrollo de las acciones de intervención y protección del patrimonio cultural del Distrito Capital.</t>
  </si>
  <si>
    <t>(Cód. 383) Prestar servicios profesionales al Instituto Distrital de Patrimonio Cultural para brindar asesoría técnica y seguimiento integral de los procesos y acciones de protección e intervención del patrimonio cultural a cargo de la Subdirección de Intervención.</t>
  </si>
  <si>
    <t>(Cód. 384) Prestar servicios profesionales al Instituto Distrital de Patrimonio Cultural para brindar soporte, seguimiento y apoyo a los procesos y proyectos de intervención y/o protección de patrimonio cultural, para garantizar su desarrollo y cumplimiento.</t>
  </si>
  <si>
    <t>(Cód. 385) Prestar servicios profesionales al Instituto Distrital de Patrimonio Cultural para el apoyo y acompañamiento jurídico en las etapas de estructuración, ejecución y liquidación de los contratos que requiera la subdirección de intervención de conformidad con las normas vigentes que rigen la contratación pública. </t>
  </si>
  <si>
    <t>(Cód. 386) Prestar servicios profesionales al Instituto Distrital de Patrimonio Cultural para realizar el acompañamiento de los contratos relacionados con la ejecución de la restauración integral de la Iglesia del Voto Nacional.</t>
  </si>
  <si>
    <t>(Cód. 387) Prestar servicios profesionales al Instituto Distrital de Patrimonio Cultural para realizar el monitoreo, seguimiento y apoyo a los procesos y proyectos de intervención y/o protección de patrimonio cultural, para garantizar su desarrollo y cumplimiento.</t>
  </si>
  <si>
    <t>(Cód. 388) Prestar servicios profesionales al Instituto Distrital de Patrimonio Cultural para realizar la planificación, programación y control de las acciones de intervención y protección a cargo de la Subdirección de Intervención.</t>
  </si>
  <si>
    <t>(Cód. 389) Prestar servicios profesionales al Instituto Distrital de Patrimonio Cultural, para acompañar la revisión de los estudios y emisión de conceptos de las obras de intervención que desarrolle la Entidad.</t>
  </si>
  <si>
    <t>(Cód. 390) Prestar servicios profesionales especializados para apoyar al Instituto Distrital de Patrimonio Cultural en los temas relacionados con estructuración y ejecución de obras en proyectos de conservación y restauración en bienes inmuebles de interés cultural.</t>
  </si>
  <si>
    <t>(Cód. 391) Prestar servicios profesionales para apoyar las actividades técnicas y operativas para el desarrollo de los proyectos de protección e intervención del patrimonio a cargo de la Subdirección de Intervención.</t>
  </si>
  <si>
    <t>(Cód. 392) Prestar servicios profesionales para apoyar las actividades técnicas y operativas para el desarrollo de los proyectos de protección e intervención del patrimonio a cargo de la Subdirección de Intervención.</t>
  </si>
  <si>
    <t>(Cód. 393) Prestar servicios profesionales al Instituto Distrital de Patrimonio Cultural para apoyar el desarrollo y seguimiento del manejo arqueológico en los proyectos de Intervención en los que el Instituto se vea involucrado.</t>
  </si>
  <si>
    <t>(Cód. 394) Prestar servicios profesionales al Instituto Distrital de Patrimonio Cultural para orientar el acompañamiento y seguimiento en el desarrollo del manejo arqueológico en los proyectos de Intervención en los que el Instituto se vea involucrado.</t>
  </si>
  <si>
    <t>(Cód. 395) Contratar la prestación del servicio integral de aseo, cafetería y fumigación, incluidos los insumos, para las sedes del Instituto Distrital de Patrimonio Cultural.</t>
  </si>
  <si>
    <t>(Cód. 396) Contratar un programa de seguros que ampare los bienes e intereses patrimoniales del Instituto Distrital de Patrimonio Cultural y aquellos por los cuales sea o llegare a ser responsable.</t>
  </si>
  <si>
    <t>(Cód. 397) Prestación de los servicios de vigilancia y seguridad privada, en la modalidad de vigilancia fija armada, con medios técnicos y tecnológicos, a los bienes muebles e inmuebles que conforman el patrimonio de la entidad y de los cuales es o llegare a ser legalmente responsable.</t>
  </si>
  <si>
    <t>(Cód. 398) Adición y prorroga al contrato 305 de 2018 que tiene por objeto: prestación de los servicios de vigilancia y seguridad privada, en la modalidad de vigilancia fija armada, con medios técnicos y tecnológicos, a los bienes muebles e inmuebles que conforman el patrimonio de la entidad y de los cuales es o llegare a ser legalmente responsable.</t>
  </si>
  <si>
    <t>(Cód. 399) Contratar el servicio de telefonía IP para las sedes del IDPC</t>
  </si>
  <si>
    <t>(Cód. 400) Adquisición de equipos de cómputo y periféricos requeridos para el desarrollo administrativo y misional del Instituto Distrital de Patrimonio Cultural.</t>
  </si>
  <si>
    <t>(Cód. 401) Contratar el alquiler e instalación de computadores de escritorio con su respectiva configuración y puesta en funcionamiento en las instalaciones del Instituto Distrital de Patrimonio Cultural.</t>
  </si>
  <si>
    <t>(Cód. 402) Contratar la renovación y ampliación del almacenamiento de la solución de respaldo de información para el Instituto Distrital de Patrimonio Cultural.</t>
  </si>
  <si>
    <t>(Cód. 403) Contratar insumos de ferretería, materiales y herramientas requeridas para la ejecución de intervenciones técnicas necesarias para el enlucimiento de fachadas, limpieza y mantenimiento de los Bienes de Interés Cultural muebles en espacio público e instalaciones que se utilizan para la prestación del servicio del Instituto Distrital de Patrimonio Cultural en la ciudad de Bogotá D.C.</t>
  </si>
  <si>
    <t>(Cód. 404) Contratar el actualización, mantenimiento y soporte del Software SIIGO del Instituto Distrital de Patrimonio Cultural.</t>
  </si>
  <si>
    <t>(Cód. 405) Adquirir la renovación de las licencias, soporte y capacitación del Equipo de Seguridad Perimetral Fortigate 100D de propiedad del Instituto Distrital de Patrimonio Cultural.</t>
  </si>
  <si>
    <t>(Cód. 406) Contratar la adquisición de licencias de software para los equipos de cómputo de Instituto Distrital de Patrimonio Cultural.</t>
  </si>
  <si>
    <t>(Cód. 407) Adquirir la renovación y actualización de licencias de software antivirus del Instituto Distrital de Patrimonio Cultural.</t>
  </si>
  <si>
    <t>(Cód. 408) Contratar la actualización, mantenimiento y soporte del software de talento humano y nómina del Instituto Distrital de Patrimonio Cultural.</t>
  </si>
  <si>
    <t>(Cód. 409) Prestación de servicios para el mantenimiento preventivo y correctivo del ascensor de casa Museo de Bogotá Calle 10 No.3-45-51-55.</t>
  </si>
  <si>
    <t>(Cód. 410) Prestación de servicios para el mantenimiento preventivo y correctivo del ascensor de casa Museo de Bogotá Cra 4 No.10-02.</t>
  </si>
  <si>
    <t>(Cód. 411) Contratar el mantenimiento correctivo preventivo del ascensor de carga de la sede demoninada el Palomar del Príncipe del Instituto Distrital de Patrimonio Cultural.</t>
  </si>
  <si>
    <t>(Cód. 412) Contratar el mantenimiento preventivo y correctivo de equipos de cómputo, impresoras, servidores, plantas telefónicas y UPS del Instituto Distrital de Patrimonio Cultural.</t>
  </si>
  <si>
    <t>(Cód. 413) Adquisición de certificados de firma digital para el componente tecnológico que soporta el proceso de gestión de pagos del sistema OPGET, de la Secretaría Distrital de Hacienda, firmas de archivos digitales a entidades estatales, respectivo dispositivo criptográfico de almacenamiento del certificado digital (Token).</t>
  </si>
  <si>
    <t>(Cód. 414) Contratar el suministro de llantas para los vehículos del Instituto Distrital de Patrimonio Cultural.</t>
  </si>
  <si>
    <t>(Cód. 415) Contratar el suministro de combustible para los vehículos del Instituto Distrital de Patrimonio Cultural.</t>
  </si>
  <si>
    <t>(Cód. 416) Contratar el arrendamiento de equipos de fotocopiado multifuncional, incluido el mantenimiento y soporte técnico preventivo y correctivo programado, con suministro de tóner permanente, así como soporte técnico extraordinario cada vez que se requiera</t>
  </si>
  <si>
    <t>(Cód. 417) Contratar la prestación de servicios de mensajería externa para el Instituto Distrital de Patrimonio Cultural.</t>
  </si>
  <si>
    <t>(Cód. 418) Contratar la renovación de los servicios de Google Apps y Google Vault (copias de respaldo) que incluye el correo electrónico, herramientas de colaboración y comunicación para el dominio Instituto Distrital de Patrimonio Cultural.gov.co del Instituto Distrital de Patrimonio Cultural, basado en tecnologías de computación en la nube.</t>
  </si>
  <si>
    <t>(Cód. 419) Suscripción a libro electrónico denominado Contratación Estatal en Colombia www.contratacionestatal.com en la modalidad de licencia de uso.</t>
  </si>
  <si>
    <t>(Cód. 420) Prestación de servicios para el mantenimiento preventivo y correctivo de los vehículos del Instituto Distrital de Patrimonio Cultural, con suministros de repuestos, baterías y accesorios.</t>
  </si>
  <si>
    <t>(Cód. 421) Contratar la revisión, recarga y mantenimiento de los extintores del Instituto Distrital de Patrimonio Cultural.</t>
  </si>
  <si>
    <t>(Cód. 422) Prestar servicios para el mantenimiento preventivo y correctivo de las bombas hidráulicas y lavado de tanques de los inmuebles de propiedad del Instituto Distrital de Patrimonio Cultural.</t>
  </si>
  <si>
    <t>(Cód. 423) Contratar el servicio de catering y apoyo logístico para los eventos institucionales.</t>
  </si>
  <si>
    <t>(Cód. 424) Contratar la prestación de servicio de recolección, transporte, tratamiento y/o disposición final de los residuos peligrosos producidos durante la gestión del Instituto Distrital de Patrimonio Cultural.</t>
  </si>
  <si>
    <t>(Cód. 425) Contratar la prestación de servicios para desarrollar y/o adquirir los bienes y servicios de capacitación, bienestar e incentivos y exámenes médicos ocupacionales para los funcionarios del Instituto Distrital de Patrimonio Cultural.</t>
  </si>
  <si>
    <t>(Cód. 426) Suministro de papelería, elementos de oficina, útiles escolares y material fungible requeridos para el desarrollo administrativo y misional del Instituto Distrital de Patrimonio Cultural.</t>
  </si>
  <si>
    <t>(Cód. 427) Contratar el servicio público de transporte terrestre automotor especial incluido conductor para atender la gestión institucional del Instituto Distrital de Patrimonio Cultural.</t>
  </si>
  <si>
    <t>(Cód. 428) Prestar los servicios de apoyo a la gestión al Instituto Distrital de Patrimonio Cultural para el arreglo y mantenimiento de los jardines y zonas verdes existentes en sus instalaciones.</t>
  </si>
  <si>
    <t>(Cód. 429) Prestar servicios de apoyo a la gestión en la conducción de los vehículos de propiedad del Instituto Distrital de Patrimonio Cultural.</t>
  </si>
  <si>
    <t>(Cód. 430) Prestar servicios de apoyo a la gestión en la conducción y traslado del personal y bienes en los vehículos de propiedad del Instituto Distrital de Patrimonio Cultural.</t>
  </si>
  <si>
    <t>(Cód. 431) Prestar servicios de apoyo a la gestión en el mantenimiento de los bienes de propiedad del  Instituto Distrital de Patrimonio Cultural.</t>
  </si>
  <si>
    <t>(Cód. 432) Prestar servicios profesionales al Instituto Distrital de Patrimonio Cultural en temas de derecho urbano y administrativo relacionados con la sostenibilidad jurídica del patrimonio cultural del Distrito Capital.</t>
  </si>
  <si>
    <t>81141504;39111504;39111522</t>
  </si>
  <si>
    <t>KeyCOMP</t>
  </si>
  <si>
    <t>KeyCONC</t>
  </si>
  <si>
    <t>KeyFONT</t>
  </si>
  <si>
    <t>COMP1024</t>
  </si>
  <si>
    <t>CONC1024</t>
  </si>
  <si>
    <t>FONT1024</t>
  </si>
  <si>
    <t>COMP1107</t>
  </si>
  <si>
    <t>CONC1107</t>
  </si>
  <si>
    <t>FONT1107</t>
  </si>
  <si>
    <t>COMP1110</t>
  </si>
  <si>
    <t>CONC1110</t>
  </si>
  <si>
    <t>FONT1110</t>
  </si>
  <si>
    <t>COMP1112</t>
  </si>
  <si>
    <t>CONC1112</t>
  </si>
  <si>
    <t>FONT1112</t>
  </si>
  <si>
    <t>COMP1114</t>
  </si>
  <si>
    <t>CONC1114</t>
  </si>
  <si>
    <t>FONT1114</t>
  </si>
  <si>
    <t>Código Componente</t>
  </si>
  <si>
    <t>Proyecto de Inversión</t>
  </si>
  <si>
    <t>Componenete SEGPLAN</t>
  </si>
  <si>
    <t>Fuente de Recursos</t>
  </si>
  <si>
    <t>1024 - Formación en Patrimonio Cultural</t>
  </si>
  <si>
    <t>1107 - Divulgación y apropiación del patrimonio cultural del Distrito Capital</t>
  </si>
  <si>
    <t>1110 - Fortalecimiento y Desarrollo de la Gestión Institucional</t>
  </si>
  <si>
    <t>1112 - Instrumentos de planeación y gestión para la preservación y sostenibilidad del Patrimonio Cultural</t>
  </si>
  <si>
    <t>1114 - Intervención y conservación de los bienes muebles e inmuebles en sectores de interés cultural del D.C.</t>
  </si>
  <si>
    <t xml:space="preserve">Apoyo transversal - Bienes de Interés Cultural de tipo inmueble intervenidos </t>
  </si>
  <si>
    <t>Código
Nombre Meta</t>
  </si>
  <si>
    <t>Valor a 02-01-2019</t>
  </si>
  <si>
    <t>Etiquetas de fila</t>
  </si>
  <si>
    <t>Suma de Valor total estimado</t>
  </si>
  <si>
    <t>Mes</t>
  </si>
  <si>
    <t>Enero</t>
  </si>
  <si>
    <t>Febrero</t>
  </si>
  <si>
    <t>Marzo</t>
  </si>
  <si>
    <t>Abril</t>
  </si>
  <si>
    <t>Mayo</t>
  </si>
  <si>
    <t>Junio</t>
  </si>
  <si>
    <t>Julio</t>
  </si>
  <si>
    <t>Agosto</t>
  </si>
  <si>
    <t>Septiembre</t>
  </si>
  <si>
    <t>Valor a contratar</t>
  </si>
</sst>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 #,##0.00_);_(&quot;$&quot;\ * \(#,##0.00\);_(&quot;$&quot;\ * &quot;-&quot;??_);_(@_)"/>
    <numFmt numFmtId="165" formatCode="_(* #,##0.00_);_(* \(#,##0.00\);_(* &quot;-&quot;??_);_(@_)"/>
    <numFmt numFmtId="166" formatCode="_-&quot;$&quot;* #,##0_-;\-&quot;$&quot;* #,##0_-;_-&quot;$&quot;* &quot;-&quot;_-;_-@_-"/>
    <numFmt numFmtId="167" formatCode="_ * #,##0_ ;_ * \-#,##0_ ;_ * &quot;-&quot;_ ;_ @_ "/>
    <numFmt numFmtId="168" formatCode="_ * #,##0.00_ ;_ * \-#,##0.00_ ;_ * &quot;-&quot;??_ ;_ @_ "/>
    <numFmt numFmtId="169" formatCode="_ * #,##0_ ;_ * \-#,##0_ ;_ * &quot;-&quot;??_ ;_ @_ "/>
    <numFmt numFmtId="170" formatCode="[$$-240A]\ #,##0.00"/>
    <numFmt numFmtId="171" formatCode="[$$-240A]\ #,##0"/>
    <numFmt numFmtId="172" formatCode="000"/>
    <numFmt numFmtId="173" formatCode="#,##0;[Red]#,##0"/>
    <numFmt numFmtId="174" formatCode="[$-C0A]d\-mmm\-yy;@"/>
    <numFmt numFmtId="175" formatCode="_(* #,##0_);_(* \(#,##0\);_(* &quot;-&quot;??_);_(@_)"/>
    <numFmt numFmtId="176" formatCode="#,###\ &quot;COP&quot;"/>
    <numFmt numFmtId="177" formatCode="#,##0.00\ \€"/>
    <numFmt numFmtId="178" formatCode="_([$€]* #,##0.00_);_([$€]* \(#,##0.00\);_([$€]* \-??_);_(@_)"/>
    <numFmt numFmtId="179" formatCode="_ * #,##0.00_ ;_ * \-#,##0.00_ ;_ * \-??_ ;_ @_ "/>
    <numFmt numFmtId="180" formatCode="#,##0\ &quot;Pts&quot;;\-#,##0\ &quot;Pts&quot;"/>
    <numFmt numFmtId="181" formatCode="_-* #,##0.00\ _€_-;\-* #,##0.00\ _€_-;_-* \-??\ _€_-;_-@_-"/>
    <numFmt numFmtId="182" formatCode="_(* #,##0.00_);_(* \(#,##0.00\);_(* \-??_);_(@_)"/>
    <numFmt numFmtId="183" formatCode="&quot; $ &quot;#,##0.00\ ;&quot; $ (&quot;#,##0.00\);&quot; $ -&quot;#\ ;@\ "/>
    <numFmt numFmtId="184" formatCode="_(&quot;$ &quot;* #,##0.00_);_(&quot;$ &quot;* \(#,##0.00\);_(&quot;$ &quot;* \-??_);_(@_)"/>
    <numFmt numFmtId="185" formatCode="[$-C0A]d\ &quot;de&quot;\ mmmm\ &quot;de&quot;\ yyyy;@"/>
    <numFmt numFmtId="186" formatCode="#,##0_ ;\-#,##0\ "/>
    <numFmt numFmtId="187" formatCode="0.0"/>
  </numFmts>
  <fonts count="9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u/>
      <sz val="10"/>
      <name val="Arial"/>
      <family val="2"/>
    </font>
    <font>
      <b/>
      <sz val="9"/>
      <name val="Arial"/>
      <family val="2"/>
    </font>
    <font>
      <b/>
      <sz val="20"/>
      <name val="Arial"/>
      <family val="2"/>
    </font>
    <font>
      <sz val="11"/>
      <name val="Arial"/>
      <family val="2"/>
    </font>
    <font>
      <sz val="9"/>
      <color indexed="81"/>
      <name val="Tahoma"/>
      <family val="2"/>
    </font>
    <font>
      <b/>
      <sz val="9"/>
      <color indexed="81"/>
      <name val="Tahoma"/>
      <family val="2"/>
    </font>
    <font>
      <b/>
      <sz val="10"/>
      <color indexed="8"/>
      <name val="Arial1"/>
    </font>
    <font>
      <sz val="10"/>
      <color indexed="8"/>
      <name val="Arial1"/>
    </font>
    <font>
      <sz val="11"/>
      <color indexed="8"/>
      <name val="Calibri"/>
      <family val="2"/>
    </font>
    <font>
      <sz val="11"/>
      <color indexed="9"/>
      <name val="Calibri"/>
      <family val="2"/>
    </font>
    <font>
      <sz val="11"/>
      <color indexed="8"/>
      <name val="Calibri"/>
      <family val="2"/>
    </font>
    <font>
      <b/>
      <sz val="10"/>
      <color indexed="10"/>
      <name val="Arial"/>
      <family val="2"/>
    </font>
    <font>
      <b/>
      <sz val="11"/>
      <color indexed="10"/>
      <name val="Arial"/>
      <family val="2"/>
    </font>
    <font>
      <sz val="10"/>
      <color indexed="8"/>
      <name val="Arial"/>
      <family val="2"/>
    </font>
    <font>
      <sz val="10"/>
      <name val="Mangal"/>
      <family val="2"/>
    </font>
    <font>
      <sz val="11"/>
      <color indexed="8"/>
      <name val="Calibri"/>
      <family val="2"/>
      <charset val="1"/>
    </font>
    <font>
      <sz val="10"/>
      <name val="Arial"/>
      <family val="2"/>
      <charset val="1"/>
    </font>
    <font>
      <sz val="10"/>
      <name val="Verdana"/>
      <family val="2"/>
    </font>
    <font>
      <sz val="9"/>
      <name val="Arial"/>
      <family val="2"/>
    </font>
    <font>
      <sz val="10"/>
      <color indexed="8"/>
      <name val="Verdana"/>
      <family val="2"/>
    </font>
    <font>
      <sz val="10"/>
      <color indexed="8"/>
      <name val="Arial"/>
      <family val="2"/>
    </font>
    <font>
      <sz val="10"/>
      <name val="Calibri"/>
      <family val="2"/>
    </font>
    <font>
      <sz val="10"/>
      <name val="Arial"/>
      <family val="2"/>
    </font>
    <font>
      <sz val="10"/>
      <name val="Arial"/>
      <family val="2"/>
    </font>
    <font>
      <sz val="11"/>
      <color theme="1"/>
      <name val="Calibri"/>
      <family val="2"/>
      <scheme val="minor"/>
    </font>
    <font>
      <sz val="11"/>
      <color theme="0"/>
      <name val="Calibri"/>
      <family val="2"/>
      <scheme val="minor"/>
    </font>
    <font>
      <sz val="10"/>
      <color theme="1"/>
      <name val="Verdana"/>
      <family val="2"/>
    </font>
    <font>
      <b/>
      <sz val="10"/>
      <color theme="1"/>
      <name val="Verdana"/>
      <family val="2"/>
    </font>
    <font>
      <u/>
      <sz val="11"/>
      <color theme="10"/>
      <name val="Calibri"/>
      <family val="2"/>
      <scheme val="minor"/>
    </font>
    <font>
      <u/>
      <sz val="11"/>
      <color theme="11"/>
      <name val="Calibri"/>
      <family val="2"/>
      <scheme val="minor"/>
    </font>
    <font>
      <b/>
      <sz val="14"/>
      <color theme="1"/>
      <name val="Verdana"/>
      <family val="2"/>
    </font>
    <font>
      <sz val="12"/>
      <color theme="1"/>
      <name val="Calibri"/>
      <family val="2"/>
      <scheme val="minor"/>
    </font>
    <font>
      <sz val="10"/>
      <color theme="1"/>
      <name val="Arial"/>
      <family val="2"/>
    </font>
    <font>
      <sz val="18"/>
      <color theme="3"/>
      <name val="Cambria"/>
      <family val="2"/>
    </font>
    <font>
      <sz val="10"/>
      <color rgb="FFFF0000"/>
      <name val="Arial"/>
      <family val="2"/>
    </font>
    <font>
      <b/>
      <sz val="9"/>
      <color theme="1"/>
      <name val="Arial"/>
      <family val="2"/>
    </font>
    <font>
      <b/>
      <sz val="10"/>
      <color rgb="FFFF0000"/>
      <name val="Arial"/>
      <family val="2"/>
    </font>
    <font>
      <b/>
      <sz val="9"/>
      <color rgb="FFFF0000"/>
      <name val="Arial"/>
      <family val="2"/>
    </font>
    <font>
      <sz val="9"/>
      <color rgb="FFFF0000"/>
      <name val="Arial"/>
      <family val="2"/>
    </font>
    <font>
      <sz val="10"/>
      <color rgb="FFFF0000"/>
      <name val="Arial1"/>
    </font>
    <font>
      <sz val="10"/>
      <color theme="1" tint="0.249977111117893"/>
      <name val="Arial"/>
      <family val="2"/>
    </font>
    <font>
      <sz val="8"/>
      <color theme="1" tint="0.249977111117893"/>
      <name val="Arial"/>
      <family val="2"/>
    </font>
    <font>
      <b/>
      <sz val="10"/>
      <color theme="1" tint="0.249977111117893"/>
      <name val="Arial"/>
      <family val="2"/>
    </font>
    <font>
      <b/>
      <sz val="10"/>
      <color theme="1"/>
      <name val="Arial"/>
      <family val="2"/>
    </font>
    <font>
      <b/>
      <sz val="9"/>
      <color theme="1"/>
      <name val="Calibri"/>
      <family val="2"/>
    </font>
    <font>
      <sz val="9"/>
      <color theme="1"/>
      <name val="Calibri"/>
      <family val="2"/>
    </font>
    <font>
      <b/>
      <sz val="10"/>
      <color theme="1"/>
      <name val="Arial1"/>
    </font>
    <font>
      <sz val="10"/>
      <color theme="1"/>
      <name val="Arial1"/>
    </font>
    <font>
      <sz val="9"/>
      <color theme="1"/>
      <name val="Arial"/>
      <family val="2"/>
    </font>
    <font>
      <b/>
      <sz val="11"/>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u/>
      <sz val="10"/>
      <color theme="10"/>
      <name val="Arial"/>
      <family val="2"/>
    </font>
    <font>
      <sz val="10"/>
      <color rgb="FFFF0066"/>
      <name val="Arial"/>
      <family val="2"/>
    </font>
    <font>
      <sz val="8"/>
      <color rgb="FFFF0066"/>
      <name val="Arial"/>
      <family val="2"/>
    </font>
    <font>
      <u/>
      <sz val="8"/>
      <name val="Arial"/>
      <family val="2"/>
    </font>
    <font>
      <sz val="8"/>
      <name val="Calibri"/>
      <family val="2"/>
      <scheme val="minor"/>
    </font>
    <font>
      <sz val="5"/>
      <name val="Arial"/>
      <family val="2"/>
    </font>
    <font>
      <b/>
      <sz val="10"/>
      <color theme="0"/>
      <name val="Arial"/>
      <family val="2"/>
    </font>
    <font>
      <sz val="9"/>
      <color theme="1"/>
      <name val="Calibri"/>
      <family val="2"/>
      <scheme val="minor"/>
    </font>
  </fonts>
  <fills count="8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9"/>
      </patternFill>
    </fill>
    <fill>
      <patternFill patternType="solid">
        <fgColor indexed="11"/>
      </patternFill>
    </fill>
    <fill>
      <patternFill patternType="solid">
        <fgColor indexed="43"/>
        <bgColor indexed="26"/>
      </patternFill>
    </fill>
    <fill>
      <patternFill patternType="solid">
        <fgColor indexed="62"/>
        <bgColor indexed="56"/>
      </patternFill>
    </fill>
    <fill>
      <patternFill patternType="solid">
        <fgColor indexed="9"/>
        <bgColor indexed="64"/>
      </patternFill>
    </fill>
    <fill>
      <patternFill patternType="solid">
        <fgColor indexed="43"/>
        <bgColor indexed="64"/>
      </patternFill>
    </fill>
    <fill>
      <patternFill patternType="solid">
        <fgColor indexed="27"/>
        <bgColor indexed="64"/>
      </patternFill>
    </fill>
    <fill>
      <patternFill patternType="solid">
        <fgColor indexed="26"/>
      </patternFill>
    </fill>
    <fill>
      <patternFill patternType="solid">
        <fgColor indexed="22"/>
        <bgColor indexed="64"/>
      </patternFill>
    </fill>
    <fill>
      <patternFill patternType="solid">
        <fgColor indexed="42"/>
        <bgColor indexed="64"/>
      </patternFill>
    </fill>
    <fill>
      <patternFill patternType="solid">
        <fgColor indexed="13"/>
        <bgColor indexed="64"/>
      </patternFill>
    </fill>
    <fill>
      <patternFill patternType="solid">
        <fgColor indexed="47"/>
        <bgColor indexed="64"/>
      </patternFill>
    </fill>
    <fill>
      <patternFill patternType="solid">
        <fgColor indexed="55"/>
        <bgColor indexed="64"/>
      </patternFill>
    </fill>
    <fill>
      <patternFill patternType="solid">
        <fgColor indexed="11"/>
        <bgColor indexed="64"/>
      </patternFill>
    </fill>
    <fill>
      <patternFill patternType="solid">
        <fgColor indexed="44"/>
        <bgColor indexed="64"/>
      </patternFill>
    </fill>
    <fill>
      <patternFill patternType="solid">
        <fgColor indexed="52"/>
        <bgColor indexed="64"/>
      </patternFill>
    </fill>
    <fill>
      <patternFill patternType="solid">
        <fgColor indexed="51"/>
        <bgColor indexed="64"/>
      </patternFill>
    </fill>
    <fill>
      <patternFill patternType="solid">
        <fgColor indexed="44"/>
        <bgColor indexed="44"/>
      </patternFill>
    </fill>
    <fill>
      <patternFill patternType="solid">
        <fgColor indexed="26"/>
        <bgColor indexed="64"/>
      </patternFill>
    </fill>
    <fill>
      <patternFill patternType="solid">
        <fgColor indexed="45"/>
        <bgColor indexed="64"/>
      </patternFill>
    </fill>
    <fill>
      <patternFill patternType="solid">
        <fgColor indexed="29"/>
        <bgColor indexed="64"/>
      </patternFill>
    </fill>
    <fill>
      <patternFill patternType="solid">
        <fgColor indexed="31"/>
        <bgColor indexed="64"/>
      </patternFill>
    </fill>
    <fill>
      <patternFill patternType="solid">
        <fgColor indexed="50"/>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patternFill>
    </fill>
    <fill>
      <patternFill patternType="solid">
        <fgColor rgb="FFDBE5F1"/>
        <bgColor indexed="64"/>
      </patternFill>
    </fill>
    <fill>
      <patternFill patternType="solid">
        <fgColor rgb="FFDDD9C4"/>
        <bgColor indexed="64"/>
      </patternFill>
    </fill>
    <fill>
      <patternFill patternType="solid">
        <fgColor rgb="FFDAEEF3"/>
        <bgColor indexed="64"/>
      </patternFill>
    </fill>
    <fill>
      <patternFill patternType="solid">
        <fgColor rgb="FF808080"/>
        <bgColor indexed="64"/>
      </patternFill>
    </fill>
    <fill>
      <patternFill patternType="solid">
        <fgColor rgb="FFFFFFCC"/>
      </patternFill>
    </fill>
    <fill>
      <patternFill patternType="solid">
        <fgColor theme="0"/>
        <bgColor indexed="64"/>
      </patternFill>
    </fill>
    <fill>
      <patternFill patternType="solid">
        <fgColor theme="2"/>
        <bgColor indexed="64"/>
      </patternFill>
    </fill>
    <fill>
      <patternFill patternType="solid">
        <fgColor theme="6" tint="0.39997558519241921"/>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theme="9" tint="0.79998168889431442"/>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FFC000"/>
        <bgColor indexed="64"/>
      </patternFill>
    </fill>
    <fill>
      <patternFill patternType="solid">
        <fgColor rgb="FF00B050"/>
        <bgColor indexed="64"/>
      </patternFill>
    </fill>
    <fill>
      <patternFill patternType="solid">
        <fgColor rgb="FFFFFF00"/>
        <bgColor indexed="64"/>
      </patternFill>
    </fill>
    <fill>
      <patternFill patternType="solid">
        <fgColor theme="4"/>
        <bgColor indexed="64"/>
      </patternFill>
    </fill>
  </fills>
  <borders count="63">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double">
        <color indexed="64"/>
      </right>
      <top/>
      <bottom style="thin">
        <color indexed="64"/>
      </bottom>
      <diagonal/>
    </border>
    <border>
      <left style="hair">
        <color indexed="64"/>
      </left>
      <right style="double">
        <color indexed="64"/>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bottom/>
      <diagonal/>
    </border>
    <border>
      <left/>
      <right/>
      <top/>
      <bottom style="hair">
        <color indexed="64"/>
      </bottom>
      <diagonal/>
    </border>
    <border>
      <left/>
      <right style="hair">
        <color indexed="64"/>
      </right>
      <top/>
      <bottom style="hair">
        <color indexed="64"/>
      </bottom>
      <diagonal/>
    </border>
    <border>
      <left style="hair">
        <color indexed="64"/>
      </left>
      <right/>
      <top/>
      <bottom/>
      <diagonal/>
    </border>
    <border>
      <left style="hair">
        <color indexed="64"/>
      </left>
      <right/>
      <top/>
      <bottom style="hair">
        <color indexed="64"/>
      </bottom>
      <diagonal/>
    </border>
    <border>
      <left style="medium">
        <color indexed="64"/>
      </left>
      <right/>
      <top/>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style="hair">
        <color indexed="64"/>
      </bottom>
      <diagonal/>
    </border>
    <border>
      <left style="hair">
        <color indexed="8"/>
      </left>
      <right style="hair">
        <color indexed="8"/>
      </right>
      <top style="hair">
        <color indexed="8"/>
      </top>
      <bottom style="hair">
        <color indexed="8"/>
      </bottom>
      <diagonal/>
    </border>
    <border>
      <left style="hair">
        <color indexed="64"/>
      </left>
      <right style="thin">
        <color indexed="64"/>
      </right>
      <top style="hair">
        <color indexed="64"/>
      </top>
      <bottom/>
      <diagonal/>
    </border>
    <border>
      <left style="hair">
        <color indexed="64"/>
      </left>
      <right/>
      <top style="hair">
        <color indexed="64"/>
      </top>
      <bottom style="hair">
        <color indexed="64"/>
      </bottom>
      <diagonal/>
    </border>
    <border>
      <left style="medium">
        <color indexed="64"/>
      </left>
      <right style="hair">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auto="1"/>
      </left>
      <right style="thin">
        <color auto="1"/>
      </right>
      <top/>
      <bottom/>
      <diagonal/>
    </border>
    <border>
      <left style="hair">
        <color indexed="64"/>
      </left>
      <right style="hair">
        <color indexed="64"/>
      </right>
      <top/>
      <bottom style="hair">
        <color indexed="64"/>
      </bottom>
      <diagonal/>
    </border>
    <border>
      <left style="hair">
        <color indexed="64"/>
      </left>
      <right style="double">
        <color indexed="64"/>
      </right>
      <top/>
      <bottom style="hair">
        <color indexed="64"/>
      </bottom>
      <diagonal/>
    </border>
    <border>
      <left style="thin">
        <color indexed="64"/>
      </left>
      <right style="thin">
        <color indexed="64"/>
      </right>
      <top style="thin">
        <color indexed="64"/>
      </top>
      <bottom style="double">
        <color indexed="64"/>
      </bottom>
      <diagonal/>
    </border>
    <border>
      <left/>
      <right/>
      <top style="double">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style="thin">
        <color indexed="64"/>
      </right>
      <top/>
      <bottom style="thin">
        <color indexed="64"/>
      </bottom>
      <diagonal/>
    </border>
  </borders>
  <cellStyleXfs count="9565">
    <xf numFmtId="0" fontId="0" fillId="0" borderId="0"/>
    <xf numFmtId="0" fontId="44" fillId="30" borderId="0" applyNumberFormat="0" applyBorder="0" applyAlignment="0" applyProtection="0"/>
    <xf numFmtId="0" fontId="44" fillId="30" borderId="0" applyNumberFormat="0" applyBorder="0" applyAlignment="0" applyProtection="0"/>
    <xf numFmtId="0" fontId="44" fillId="2" borderId="0" applyNumberFormat="0" applyBorder="0" applyAlignment="0" applyProtection="0"/>
    <xf numFmtId="0" fontId="44" fillId="2"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2" borderId="0" applyNumberFormat="0" applyBorder="0" applyAlignment="0" applyProtection="0"/>
    <xf numFmtId="0" fontId="44" fillId="30" borderId="0" applyNumberFormat="0" applyBorder="0" applyAlignment="0" applyProtection="0"/>
    <xf numFmtId="0" fontId="44" fillId="2" borderId="0" applyNumberFormat="0" applyBorder="0" applyAlignment="0" applyProtection="0"/>
    <xf numFmtId="0" fontId="44" fillId="2" borderId="0" applyNumberFormat="0" applyBorder="0" applyAlignment="0" applyProtection="0"/>
    <xf numFmtId="0" fontId="44" fillId="30" borderId="0" applyNumberFormat="0" applyBorder="0" applyAlignment="0" applyProtection="0"/>
    <xf numFmtId="0" fontId="44" fillId="2" borderId="0" applyNumberFormat="0" applyBorder="0" applyAlignment="0" applyProtection="0"/>
    <xf numFmtId="0" fontId="44" fillId="30" borderId="0" applyNumberFormat="0" applyBorder="0" applyAlignment="0" applyProtection="0"/>
    <xf numFmtId="0" fontId="44" fillId="2" borderId="0" applyNumberFormat="0" applyBorder="0" applyAlignment="0" applyProtection="0"/>
    <xf numFmtId="0" fontId="44" fillId="30" borderId="0" applyNumberFormat="0" applyBorder="0" applyAlignment="0" applyProtection="0"/>
    <xf numFmtId="0" fontId="44" fillId="2" borderId="0" applyNumberFormat="0" applyBorder="0" applyAlignment="0" applyProtection="0"/>
    <xf numFmtId="0" fontId="44" fillId="30" borderId="0" applyNumberFormat="0" applyBorder="0" applyAlignment="0" applyProtection="0"/>
    <xf numFmtId="0" fontId="44" fillId="2" borderId="0" applyNumberFormat="0" applyBorder="0" applyAlignment="0" applyProtection="0"/>
    <xf numFmtId="0" fontId="44" fillId="30" borderId="0" applyNumberFormat="0" applyBorder="0" applyAlignment="0" applyProtection="0"/>
    <xf numFmtId="0" fontId="44" fillId="2" borderId="0" applyNumberFormat="0" applyBorder="0" applyAlignment="0" applyProtection="0"/>
    <xf numFmtId="0" fontId="44" fillId="30" borderId="0" applyNumberFormat="0" applyBorder="0" applyAlignment="0" applyProtection="0"/>
    <xf numFmtId="0" fontId="44" fillId="2" borderId="0" applyNumberFormat="0" applyBorder="0" applyAlignment="0" applyProtection="0"/>
    <xf numFmtId="0" fontId="44" fillId="2"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2" borderId="0" applyNumberFormat="0" applyBorder="0" applyAlignment="0" applyProtection="0"/>
    <xf numFmtId="0" fontId="44" fillId="30" borderId="0" applyNumberFormat="0" applyBorder="0" applyAlignment="0" applyProtection="0"/>
    <xf numFmtId="0" fontId="44" fillId="2" borderId="0" applyNumberFormat="0" applyBorder="0" applyAlignment="0" applyProtection="0"/>
    <xf numFmtId="0" fontId="44" fillId="2" borderId="0" applyNumberFormat="0" applyBorder="0" applyAlignment="0" applyProtection="0"/>
    <xf numFmtId="0" fontId="44" fillId="30" borderId="0" applyNumberFormat="0" applyBorder="0" applyAlignment="0" applyProtection="0"/>
    <xf numFmtId="0" fontId="44" fillId="2" borderId="0" applyNumberFormat="0" applyBorder="0" applyAlignment="0" applyProtection="0"/>
    <xf numFmtId="0" fontId="44" fillId="30" borderId="0" applyNumberFormat="0" applyBorder="0" applyAlignment="0" applyProtection="0"/>
    <xf numFmtId="0" fontId="44" fillId="2" borderId="0" applyNumberFormat="0" applyBorder="0" applyAlignment="0" applyProtection="0"/>
    <xf numFmtId="0" fontId="44" fillId="30" borderId="0" applyNumberFormat="0" applyBorder="0" applyAlignment="0" applyProtection="0"/>
    <xf numFmtId="0" fontId="44" fillId="2" borderId="0" applyNumberFormat="0" applyBorder="0" applyAlignment="0" applyProtection="0"/>
    <xf numFmtId="0" fontId="44" fillId="30" borderId="0" applyNumberFormat="0" applyBorder="0" applyAlignment="0" applyProtection="0"/>
    <xf numFmtId="0" fontId="44" fillId="2" borderId="0" applyNumberFormat="0" applyBorder="0" applyAlignment="0" applyProtection="0"/>
    <xf numFmtId="0" fontId="44" fillId="30" borderId="0" applyNumberFormat="0" applyBorder="0" applyAlignment="0" applyProtection="0"/>
    <xf numFmtId="0" fontId="44" fillId="2" borderId="0" applyNumberFormat="0" applyBorder="0" applyAlignment="0" applyProtection="0"/>
    <xf numFmtId="0" fontId="44" fillId="30" borderId="0" applyNumberFormat="0" applyBorder="0" applyAlignment="0" applyProtection="0"/>
    <xf numFmtId="0" fontId="44" fillId="2" borderId="0" applyNumberFormat="0" applyBorder="0" applyAlignment="0" applyProtection="0"/>
    <xf numFmtId="0" fontId="44" fillId="2"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2" borderId="0" applyNumberFormat="0" applyBorder="0" applyAlignment="0" applyProtection="0"/>
    <xf numFmtId="0" fontId="44" fillId="30" borderId="0" applyNumberFormat="0" applyBorder="0" applyAlignment="0" applyProtection="0"/>
    <xf numFmtId="0" fontId="44" fillId="2" borderId="0" applyNumberFormat="0" applyBorder="0" applyAlignment="0" applyProtection="0"/>
    <xf numFmtId="0" fontId="44" fillId="2" borderId="0" applyNumberFormat="0" applyBorder="0" applyAlignment="0" applyProtection="0"/>
    <xf numFmtId="0" fontId="44" fillId="30" borderId="0" applyNumberFormat="0" applyBorder="0" applyAlignment="0" applyProtection="0"/>
    <xf numFmtId="0" fontId="44" fillId="2" borderId="0" applyNumberFormat="0" applyBorder="0" applyAlignment="0" applyProtection="0"/>
    <xf numFmtId="0" fontId="44" fillId="30" borderId="0" applyNumberFormat="0" applyBorder="0" applyAlignment="0" applyProtection="0"/>
    <xf numFmtId="0" fontId="44" fillId="2" borderId="0" applyNumberFormat="0" applyBorder="0" applyAlignment="0" applyProtection="0"/>
    <xf numFmtId="0" fontId="44" fillId="30" borderId="0" applyNumberFormat="0" applyBorder="0" applyAlignment="0" applyProtection="0"/>
    <xf numFmtId="0" fontId="44" fillId="2" borderId="0" applyNumberFormat="0" applyBorder="0" applyAlignment="0" applyProtection="0"/>
    <xf numFmtId="0" fontId="44" fillId="30" borderId="0" applyNumberFormat="0" applyBorder="0" applyAlignment="0" applyProtection="0"/>
    <xf numFmtId="0" fontId="44" fillId="2" borderId="0" applyNumberFormat="0" applyBorder="0" applyAlignment="0" applyProtection="0"/>
    <xf numFmtId="0" fontId="44" fillId="30" borderId="0" applyNumberFormat="0" applyBorder="0" applyAlignment="0" applyProtection="0"/>
    <xf numFmtId="0" fontId="44" fillId="2"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2" borderId="0" applyNumberFormat="0" applyBorder="0" applyAlignment="0" applyProtection="0"/>
    <xf numFmtId="0" fontId="44" fillId="2"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2" borderId="0" applyNumberFormat="0" applyBorder="0" applyAlignment="0" applyProtection="0"/>
    <xf numFmtId="0" fontId="44" fillId="30" borderId="0" applyNumberFormat="0" applyBorder="0" applyAlignment="0" applyProtection="0"/>
    <xf numFmtId="0" fontId="44" fillId="2" borderId="0" applyNumberFormat="0" applyBorder="0" applyAlignment="0" applyProtection="0"/>
    <xf numFmtId="0" fontId="44" fillId="2" borderId="0" applyNumberFormat="0" applyBorder="0" applyAlignment="0" applyProtection="0"/>
    <xf numFmtId="0" fontId="44" fillId="30" borderId="0" applyNumberFormat="0" applyBorder="0" applyAlignment="0" applyProtection="0"/>
    <xf numFmtId="0" fontId="44" fillId="2" borderId="0" applyNumberFormat="0" applyBorder="0" applyAlignment="0" applyProtection="0"/>
    <xf numFmtId="0" fontId="44" fillId="30" borderId="0" applyNumberFormat="0" applyBorder="0" applyAlignment="0" applyProtection="0"/>
    <xf numFmtId="0" fontId="44" fillId="2" borderId="0" applyNumberFormat="0" applyBorder="0" applyAlignment="0" applyProtection="0"/>
    <xf numFmtId="0" fontId="44" fillId="30" borderId="0" applyNumberFormat="0" applyBorder="0" applyAlignment="0" applyProtection="0"/>
    <xf numFmtId="0" fontId="44" fillId="2" borderId="0" applyNumberFormat="0" applyBorder="0" applyAlignment="0" applyProtection="0"/>
    <xf numFmtId="0" fontId="44" fillId="30" borderId="0" applyNumberFormat="0" applyBorder="0" applyAlignment="0" applyProtection="0"/>
    <xf numFmtId="0" fontId="44" fillId="2" borderId="0" applyNumberFormat="0" applyBorder="0" applyAlignment="0" applyProtection="0"/>
    <xf numFmtId="0" fontId="44" fillId="30" borderId="0" applyNumberFormat="0" applyBorder="0" applyAlignment="0" applyProtection="0"/>
    <xf numFmtId="0" fontId="44" fillId="2" borderId="0" applyNumberFormat="0" applyBorder="0" applyAlignment="0" applyProtection="0"/>
    <xf numFmtId="0" fontId="44" fillId="30" borderId="0" applyNumberFormat="0" applyBorder="0" applyAlignment="0" applyProtection="0"/>
    <xf numFmtId="0" fontId="44" fillId="2" borderId="0" applyNumberFormat="0" applyBorder="0" applyAlignment="0" applyProtection="0"/>
    <xf numFmtId="0" fontId="44" fillId="2"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2" borderId="0" applyNumberFormat="0" applyBorder="0" applyAlignment="0" applyProtection="0"/>
    <xf numFmtId="0" fontId="44" fillId="30" borderId="0" applyNumberFormat="0" applyBorder="0" applyAlignment="0" applyProtection="0"/>
    <xf numFmtId="0" fontId="44" fillId="2" borderId="0" applyNumberFormat="0" applyBorder="0" applyAlignment="0" applyProtection="0"/>
    <xf numFmtId="0" fontId="44" fillId="2" borderId="0" applyNumberFormat="0" applyBorder="0" applyAlignment="0" applyProtection="0"/>
    <xf numFmtId="0" fontId="44" fillId="30" borderId="0" applyNumberFormat="0" applyBorder="0" applyAlignment="0" applyProtection="0"/>
    <xf numFmtId="0" fontId="44" fillId="2" borderId="0" applyNumberFormat="0" applyBorder="0" applyAlignment="0" applyProtection="0"/>
    <xf numFmtId="0" fontId="44" fillId="30" borderId="0" applyNumberFormat="0" applyBorder="0" applyAlignment="0" applyProtection="0"/>
    <xf numFmtId="0" fontId="44" fillId="2" borderId="0" applyNumberFormat="0" applyBorder="0" applyAlignment="0" applyProtection="0"/>
    <xf numFmtId="0" fontId="44" fillId="30" borderId="0" applyNumberFormat="0" applyBorder="0" applyAlignment="0" applyProtection="0"/>
    <xf numFmtId="0" fontId="44" fillId="2" borderId="0" applyNumberFormat="0" applyBorder="0" applyAlignment="0" applyProtection="0"/>
    <xf numFmtId="0" fontId="44" fillId="30" borderId="0" applyNumberFormat="0" applyBorder="0" applyAlignment="0" applyProtection="0"/>
    <xf numFmtId="0" fontId="44" fillId="2" borderId="0" applyNumberFormat="0" applyBorder="0" applyAlignment="0" applyProtection="0"/>
    <xf numFmtId="0" fontId="44" fillId="30" borderId="0" applyNumberFormat="0" applyBorder="0" applyAlignment="0" applyProtection="0"/>
    <xf numFmtId="0" fontId="44" fillId="2" borderId="0" applyNumberFormat="0" applyBorder="0" applyAlignment="0" applyProtection="0"/>
    <xf numFmtId="0" fontId="44" fillId="30" borderId="0" applyNumberFormat="0" applyBorder="0" applyAlignment="0" applyProtection="0"/>
    <xf numFmtId="0" fontId="44" fillId="2" borderId="0" applyNumberFormat="0" applyBorder="0" applyAlignment="0" applyProtection="0"/>
    <xf numFmtId="0" fontId="44" fillId="2"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2" borderId="0" applyNumberFormat="0" applyBorder="0" applyAlignment="0" applyProtection="0"/>
    <xf numFmtId="0" fontId="44" fillId="30" borderId="0" applyNumberFormat="0" applyBorder="0" applyAlignment="0" applyProtection="0"/>
    <xf numFmtId="0" fontId="44" fillId="2" borderId="0" applyNumberFormat="0" applyBorder="0" applyAlignment="0" applyProtection="0"/>
    <xf numFmtId="0" fontId="44" fillId="2" borderId="0" applyNumberFormat="0" applyBorder="0" applyAlignment="0" applyProtection="0"/>
    <xf numFmtId="0" fontId="44" fillId="30" borderId="0" applyNumberFormat="0" applyBorder="0" applyAlignment="0" applyProtection="0"/>
    <xf numFmtId="0" fontId="44" fillId="2" borderId="0" applyNumberFormat="0" applyBorder="0" applyAlignment="0" applyProtection="0"/>
    <xf numFmtId="0" fontId="44" fillId="30" borderId="0" applyNumberFormat="0" applyBorder="0" applyAlignment="0" applyProtection="0"/>
    <xf numFmtId="0" fontId="44" fillId="2" borderId="0" applyNumberFormat="0" applyBorder="0" applyAlignment="0" applyProtection="0"/>
    <xf numFmtId="0" fontId="44" fillId="30" borderId="0" applyNumberFormat="0" applyBorder="0" applyAlignment="0" applyProtection="0"/>
    <xf numFmtId="0" fontId="44" fillId="2" borderId="0" applyNumberFormat="0" applyBorder="0" applyAlignment="0" applyProtection="0"/>
    <xf numFmtId="0" fontId="44" fillId="30" borderId="0" applyNumberFormat="0" applyBorder="0" applyAlignment="0" applyProtection="0"/>
    <xf numFmtId="0" fontId="44" fillId="2" borderId="0" applyNumberFormat="0" applyBorder="0" applyAlignment="0" applyProtection="0"/>
    <xf numFmtId="0" fontId="44" fillId="30" borderId="0" applyNumberFormat="0" applyBorder="0" applyAlignment="0" applyProtection="0"/>
    <xf numFmtId="0" fontId="44" fillId="2"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2" borderId="0" applyNumberFormat="0" applyBorder="0" applyAlignment="0" applyProtection="0"/>
    <xf numFmtId="0" fontId="44" fillId="30" borderId="0" applyNumberFormat="0" applyBorder="0" applyAlignment="0" applyProtection="0"/>
    <xf numFmtId="0" fontId="44" fillId="2" borderId="0" applyNumberFormat="0" applyBorder="0" applyAlignment="0" applyProtection="0"/>
    <xf numFmtId="0" fontId="44" fillId="2" borderId="0" applyNumberFormat="0" applyBorder="0" applyAlignment="0" applyProtection="0"/>
    <xf numFmtId="0" fontId="44" fillId="30" borderId="0" applyNumberFormat="0" applyBorder="0" applyAlignment="0" applyProtection="0"/>
    <xf numFmtId="0" fontId="44" fillId="2" borderId="0" applyNumberFormat="0" applyBorder="0" applyAlignment="0" applyProtection="0"/>
    <xf numFmtId="0" fontId="44" fillId="30" borderId="0" applyNumberFormat="0" applyBorder="0" applyAlignment="0" applyProtection="0"/>
    <xf numFmtId="0" fontId="44" fillId="2" borderId="0" applyNumberFormat="0" applyBorder="0" applyAlignment="0" applyProtection="0"/>
    <xf numFmtId="0" fontId="44" fillId="30" borderId="0" applyNumberFormat="0" applyBorder="0" applyAlignment="0" applyProtection="0"/>
    <xf numFmtId="0" fontId="44" fillId="2" borderId="0" applyNumberFormat="0" applyBorder="0" applyAlignment="0" applyProtection="0"/>
    <xf numFmtId="0" fontId="44" fillId="30" borderId="0" applyNumberFormat="0" applyBorder="0" applyAlignment="0" applyProtection="0"/>
    <xf numFmtId="0" fontId="44" fillId="2" borderId="0" applyNumberFormat="0" applyBorder="0" applyAlignment="0" applyProtection="0"/>
    <xf numFmtId="0" fontId="44" fillId="30" borderId="0" applyNumberFormat="0" applyBorder="0" applyAlignment="0" applyProtection="0"/>
    <xf numFmtId="0" fontId="44" fillId="2" borderId="0" applyNumberFormat="0" applyBorder="0" applyAlignment="0" applyProtection="0"/>
    <xf numFmtId="0" fontId="44" fillId="30" borderId="0" applyNumberFormat="0" applyBorder="0" applyAlignment="0" applyProtection="0"/>
    <xf numFmtId="0" fontId="44" fillId="2" borderId="0" applyNumberFormat="0" applyBorder="0" applyAlignment="0" applyProtection="0"/>
    <xf numFmtId="0" fontId="44" fillId="2"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2" borderId="0" applyNumberFormat="0" applyBorder="0" applyAlignment="0" applyProtection="0"/>
    <xf numFmtId="0" fontId="44" fillId="30" borderId="0" applyNumberFormat="0" applyBorder="0" applyAlignment="0" applyProtection="0"/>
    <xf numFmtId="0" fontId="44" fillId="2" borderId="0" applyNumberFormat="0" applyBorder="0" applyAlignment="0" applyProtection="0"/>
    <xf numFmtId="0" fontId="44" fillId="2" borderId="0" applyNumberFormat="0" applyBorder="0" applyAlignment="0" applyProtection="0"/>
    <xf numFmtId="0" fontId="44" fillId="30" borderId="0" applyNumberFormat="0" applyBorder="0" applyAlignment="0" applyProtection="0"/>
    <xf numFmtId="0" fontId="44" fillId="2" borderId="0" applyNumberFormat="0" applyBorder="0" applyAlignment="0" applyProtection="0"/>
    <xf numFmtId="0" fontId="44" fillId="30" borderId="0" applyNumberFormat="0" applyBorder="0" applyAlignment="0" applyProtection="0"/>
    <xf numFmtId="0" fontId="44" fillId="2" borderId="0" applyNumberFormat="0" applyBorder="0" applyAlignment="0" applyProtection="0"/>
    <xf numFmtId="0" fontId="44" fillId="30" borderId="0" applyNumberFormat="0" applyBorder="0" applyAlignment="0" applyProtection="0"/>
    <xf numFmtId="0" fontId="44" fillId="2" borderId="0" applyNumberFormat="0" applyBorder="0" applyAlignment="0" applyProtection="0"/>
    <xf numFmtId="0" fontId="44" fillId="30" borderId="0" applyNumberFormat="0" applyBorder="0" applyAlignment="0" applyProtection="0"/>
    <xf numFmtId="0" fontId="44" fillId="2" borderId="0" applyNumberFormat="0" applyBorder="0" applyAlignment="0" applyProtection="0"/>
    <xf numFmtId="0" fontId="44" fillId="30" borderId="0" applyNumberFormat="0" applyBorder="0" applyAlignment="0" applyProtection="0"/>
    <xf numFmtId="0" fontId="44" fillId="2" borderId="0" applyNumberFormat="0" applyBorder="0" applyAlignment="0" applyProtection="0"/>
    <xf numFmtId="0" fontId="44" fillId="30" borderId="0" applyNumberFormat="0" applyBorder="0" applyAlignment="0" applyProtection="0"/>
    <xf numFmtId="0" fontId="44" fillId="2" borderId="0" applyNumberFormat="0" applyBorder="0" applyAlignment="0" applyProtection="0"/>
    <xf numFmtId="0" fontId="44" fillId="2"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 borderId="0" applyNumberFormat="0" applyBorder="0" applyAlignment="0" applyProtection="0"/>
    <xf numFmtId="0" fontId="44" fillId="31"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1" borderId="0" applyNumberFormat="0" applyBorder="0" applyAlignment="0" applyProtection="0"/>
    <xf numFmtId="0" fontId="44" fillId="3" borderId="0" applyNumberFormat="0" applyBorder="0" applyAlignment="0" applyProtection="0"/>
    <xf numFmtId="0" fontId="44" fillId="31" borderId="0" applyNumberFormat="0" applyBorder="0" applyAlignment="0" applyProtection="0"/>
    <xf numFmtId="0" fontId="44" fillId="3" borderId="0" applyNumberFormat="0" applyBorder="0" applyAlignment="0" applyProtection="0"/>
    <xf numFmtId="0" fontId="44" fillId="31" borderId="0" applyNumberFormat="0" applyBorder="0" applyAlignment="0" applyProtection="0"/>
    <xf numFmtId="0" fontId="44" fillId="3" borderId="0" applyNumberFormat="0" applyBorder="0" applyAlignment="0" applyProtection="0"/>
    <xf numFmtId="0" fontId="44" fillId="31" borderId="0" applyNumberFormat="0" applyBorder="0" applyAlignment="0" applyProtection="0"/>
    <xf numFmtId="0" fontId="44" fillId="3" borderId="0" applyNumberFormat="0" applyBorder="0" applyAlignment="0" applyProtection="0"/>
    <xf numFmtId="0" fontId="44" fillId="31" borderId="0" applyNumberFormat="0" applyBorder="0" applyAlignment="0" applyProtection="0"/>
    <xf numFmtId="0" fontId="44" fillId="3" borderId="0" applyNumberFormat="0" applyBorder="0" applyAlignment="0" applyProtection="0"/>
    <xf numFmtId="0" fontId="44" fillId="31"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 borderId="0" applyNumberFormat="0" applyBorder="0" applyAlignment="0" applyProtection="0"/>
    <xf numFmtId="0" fontId="44" fillId="31"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1" borderId="0" applyNumberFormat="0" applyBorder="0" applyAlignment="0" applyProtection="0"/>
    <xf numFmtId="0" fontId="44" fillId="3" borderId="0" applyNumberFormat="0" applyBorder="0" applyAlignment="0" applyProtection="0"/>
    <xf numFmtId="0" fontId="44" fillId="31" borderId="0" applyNumberFormat="0" applyBorder="0" applyAlignment="0" applyProtection="0"/>
    <xf numFmtId="0" fontId="44" fillId="3" borderId="0" applyNumberFormat="0" applyBorder="0" applyAlignment="0" applyProtection="0"/>
    <xf numFmtId="0" fontId="44" fillId="31" borderId="0" applyNumberFormat="0" applyBorder="0" applyAlignment="0" applyProtection="0"/>
    <xf numFmtId="0" fontId="44" fillId="3" borderId="0" applyNumberFormat="0" applyBorder="0" applyAlignment="0" applyProtection="0"/>
    <xf numFmtId="0" fontId="44" fillId="31" borderId="0" applyNumberFormat="0" applyBorder="0" applyAlignment="0" applyProtection="0"/>
    <xf numFmtId="0" fontId="44" fillId="3" borderId="0" applyNumberFormat="0" applyBorder="0" applyAlignment="0" applyProtection="0"/>
    <xf numFmtId="0" fontId="44" fillId="31" borderId="0" applyNumberFormat="0" applyBorder="0" applyAlignment="0" applyProtection="0"/>
    <xf numFmtId="0" fontId="44" fillId="3" borderId="0" applyNumberFormat="0" applyBorder="0" applyAlignment="0" applyProtection="0"/>
    <xf numFmtId="0" fontId="44" fillId="31"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 borderId="0" applyNumberFormat="0" applyBorder="0" applyAlignment="0" applyProtection="0"/>
    <xf numFmtId="0" fontId="44" fillId="31"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1" borderId="0" applyNumberFormat="0" applyBorder="0" applyAlignment="0" applyProtection="0"/>
    <xf numFmtId="0" fontId="44" fillId="3" borderId="0" applyNumberFormat="0" applyBorder="0" applyAlignment="0" applyProtection="0"/>
    <xf numFmtId="0" fontId="44" fillId="31" borderId="0" applyNumberFormat="0" applyBorder="0" applyAlignment="0" applyProtection="0"/>
    <xf numFmtId="0" fontId="44" fillId="3" borderId="0" applyNumberFormat="0" applyBorder="0" applyAlignment="0" applyProtection="0"/>
    <xf numFmtId="0" fontId="44" fillId="31" borderId="0" applyNumberFormat="0" applyBorder="0" applyAlignment="0" applyProtection="0"/>
    <xf numFmtId="0" fontId="44" fillId="3" borderId="0" applyNumberFormat="0" applyBorder="0" applyAlignment="0" applyProtection="0"/>
    <xf numFmtId="0" fontId="44" fillId="31" borderId="0" applyNumberFormat="0" applyBorder="0" applyAlignment="0" applyProtection="0"/>
    <xf numFmtId="0" fontId="44" fillId="3" borderId="0" applyNumberFormat="0" applyBorder="0" applyAlignment="0" applyProtection="0"/>
    <xf numFmtId="0" fontId="44" fillId="31" borderId="0" applyNumberFormat="0" applyBorder="0" applyAlignment="0" applyProtection="0"/>
    <xf numFmtId="0" fontId="44" fillId="3"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 borderId="0" applyNumberFormat="0" applyBorder="0" applyAlignment="0" applyProtection="0"/>
    <xf numFmtId="0" fontId="44" fillId="31"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1" borderId="0" applyNumberFormat="0" applyBorder="0" applyAlignment="0" applyProtection="0"/>
    <xf numFmtId="0" fontId="44" fillId="3" borderId="0" applyNumberFormat="0" applyBorder="0" applyAlignment="0" applyProtection="0"/>
    <xf numFmtId="0" fontId="44" fillId="31" borderId="0" applyNumberFormat="0" applyBorder="0" applyAlignment="0" applyProtection="0"/>
    <xf numFmtId="0" fontId="44" fillId="3" borderId="0" applyNumberFormat="0" applyBorder="0" applyAlignment="0" applyProtection="0"/>
    <xf numFmtId="0" fontId="44" fillId="31" borderId="0" applyNumberFormat="0" applyBorder="0" applyAlignment="0" applyProtection="0"/>
    <xf numFmtId="0" fontId="44" fillId="3" borderId="0" applyNumberFormat="0" applyBorder="0" applyAlignment="0" applyProtection="0"/>
    <xf numFmtId="0" fontId="44" fillId="31" borderId="0" applyNumberFormat="0" applyBorder="0" applyAlignment="0" applyProtection="0"/>
    <xf numFmtId="0" fontId="44" fillId="3" borderId="0" applyNumberFormat="0" applyBorder="0" applyAlignment="0" applyProtection="0"/>
    <xf numFmtId="0" fontId="44" fillId="31" borderId="0" applyNumberFormat="0" applyBorder="0" applyAlignment="0" applyProtection="0"/>
    <xf numFmtId="0" fontId="44" fillId="3" borderId="0" applyNumberFormat="0" applyBorder="0" applyAlignment="0" applyProtection="0"/>
    <xf numFmtId="0" fontId="44" fillId="31"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 borderId="0" applyNumberFormat="0" applyBorder="0" applyAlignment="0" applyProtection="0"/>
    <xf numFmtId="0" fontId="44" fillId="31"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1" borderId="0" applyNumberFormat="0" applyBorder="0" applyAlignment="0" applyProtection="0"/>
    <xf numFmtId="0" fontId="44" fillId="3" borderId="0" applyNumberFormat="0" applyBorder="0" applyAlignment="0" applyProtection="0"/>
    <xf numFmtId="0" fontId="44" fillId="31" borderId="0" applyNumberFormat="0" applyBorder="0" applyAlignment="0" applyProtection="0"/>
    <xf numFmtId="0" fontId="44" fillId="3" borderId="0" applyNumberFormat="0" applyBorder="0" applyAlignment="0" applyProtection="0"/>
    <xf numFmtId="0" fontId="44" fillId="31" borderId="0" applyNumberFormat="0" applyBorder="0" applyAlignment="0" applyProtection="0"/>
    <xf numFmtId="0" fontId="44" fillId="3" borderId="0" applyNumberFormat="0" applyBorder="0" applyAlignment="0" applyProtection="0"/>
    <xf numFmtId="0" fontId="44" fillId="31" borderId="0" applyNumberFormat="0" applyBorder="0" applyAlignment="0" applyProtection="0"/>
    <xf numFmtId="0" fontId="44" fillId="3" borderId="0" applyNumberFormat="0" applyBorder="0" applyAlignment="0" applyProtection="0"/>
    <xf numFmtId="0" fontId="44" fillId="31" borderId="0" applyNumberFormat="0" applyBorder="0" applyAlignment="0" applyProtection="0"/>
    <xf numFmtId="0" fontId="44" fillId="3" borderId="0" applyNumberFormat="0" applyBorder="0" applyAlignment="0" applyProtection="0"/>
    <xf numFmtId="0" fontId="44" fillId="31"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 borderId="0" applyNumberFormat="0" applyBorder="0" applyAlignment="0" applyProtection="0"/>
    <xf numFmtId="0" fontId="44" fillId="31"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1" borderId="0" applyNumberFormat="0" applyBorder="0" applyAlignment="0" applyProtection="0"/>
    <xf numFmtId="0" fontId="44" fillId="3" borderId="0" applyNumberFormat="0" applyBorder="0" applyAlignment="0" applyProtection="0"/>
    <xf numFmtId="0" fontId="44" fillId="31" borderId="0" applyNumberFormat="0" applyBorder="0" applyAlignment="0" applyProtection="0"/>
    <xf numFmtId="0" fontId="44" fillId="3" borderId="0" applyNumberFormat="0" applyBorder="0" applyAlignment="0" applyProtection="0"/>
    <xf numFmtId="0" fontId="44" fillId="31" borderId="0" applyNumberFormat="0" applyBorder="0" applyAlignment="0" applyProtection="0"/>
    <xf numFmtId="0" fontId="44" fillId="3" borderId="0" applyNumberFormat="0" applyBorder="0" applyAlignment="0" applyProtection="0"/>
    <xf numFmtId="0" fontId="44" fillId="31" borderId="0" applyNumberFormat="0" applyBorder="0" applyAlignment="0" applyProtection="0"/>
    <xf numFmtId="0" fontId="44" fillId="3" borderId="0" applyNumberFormat="0" applyBorder="0" applyAlignment="0" applyProtection="0"/>
    <xf numFmtId="0" fontId="44" fillId="31" borderId="0" applyNumberFormat="0" applyBorder="0" applyAlignment="0" applyProtection="0"/>
    <xf numFmtId="0" fontId="44" fillId="3"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 borderId="0" applyNumberFormat="0" applyBorder="0" applyAlignment="0" applyProtection="0"/>
    <xf numFmtId="0" fontId="44" fillId="31"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1" borderId="0" applyNumberFormat="0" applyBorder="0" applyAlignment="0" applyProtection="0"/>
    <xf numFmtId="0" fontId="44" fillId="3" borderId="0" applyNumberFormat="0" applyBorder="0" applyAlignment="0" applyProtection="0"/>
    <xf numFmtId="0" fontId="44" fillId="31" borderId="0" applyNumberFormat="0" applyBorder="0" applyAlignment="0" applyProtection="0"/>
    <xf numFmtId="0" fontId="44" fillId="3" borderId="0" applyNumberFormat="0" applyBorder="0" applyAlignment="0" applyProtection="0"/>
    <xf numFmtId="0" fontId="44" fillId="31" borderId="0" applyNumberFormat="0" applyBorder="0" applyAlignment="0" applyProtection="0"/>
    <xf numFmtId="0" fontId="44" fillId="3" borderId="0" applyNumberFormat="0" applyBorder="0" applyAlignment="0" applyProtection="0"/>
    <xf numFmtId="0" fontId="44" fillId="31" borderId="0" applyNumberFormat="0" applyBorder="0" applyAlignment="0" applyProtection="0"/>
    <xf numFmtId="0" fontId="44" fillId="3" borderId="0" applyNumberFormat="0" applyBorder="0" applyAlignment="0" applyProtection="0"/>
    <xf numFmtId="0" fontId="44" fillId="31" borderId="0" applyNumberFormat="0" applyBorder="0" applyAlignment="0" applyProtection="0"/>
    <xf numFmtId="0" fontId="44" fillId="3" borderId="0" applyNumberFormat="0" applyBorder="0" applyAlignment="0" applyProtection="0"/>
    <xf numFmtId="0" fontId="44" fillId="31"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 borderId="0" applyNumberFormat="0" applyBorder="0" applyAlignment="0" applyProtection="0"/>
    <xf numFmtId="0" fontId="44" fillId="31"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1" borderId="0" applyNumberFormat="0" applyBorder="0" applyAlignment="0" applyProtection="0"/>
    <xf numFmtId="0" fontId="44" fillId="3" borderId="0" applyNumberFormat="0" applyBorder="0" applyAlignment="0" applyProtection="0"/>
    <xf numFmtId="0" fontId="44" fillId="31" borderId="0" applyNumberFormat="0" applyBorder="0" applyAlignment="0" applyProtection="0"/>
    <xf numFmtId="0" fontId="44" fillId="3" borderId="0" applyNumberFormat="0" applyBorder="0" applyAlignment="0" applyProtection="0"/>
    <xf numFmtId="0" fontId="44" fillId="31" borderId="0" applyNumberFormat="0" applyBorder="0" applyAlignment="0" applyProtection="0"/>
    <xf numFmtId="0" fontId="44" fillId="3" borderId="0" applyNumberFormat="0" applyBorder="0" applyAlignment="0" applyProtection="0"/>
    <xf numFmtId="0" fontId="44" fillId="31" borderId="0" applyNumberFormat="0" applyBorder="0" applyAlignment="0" applyProtection="0"/>
    <xf numFmtId="0" fontId="44" fillId="3" borderId="0" applyNumberFormat="0" applyBorder="0" applyAlignment="0" applyProtection="0"/>
    <xf numFmtId="0" fontId="44" fillId="31" borderId="0" applyNumberFormat="0" applyBorder="0" applyAlignment="0" applyProtection="0"/>
    <xf numFmtId="0" fontId="44" fillId="3" borderId="0" applyNumberFormat="0" applyBorder="0" applyAlignment="0" applyProtection="0"/>
    <xf numFmtId="0" fontId="44" fillId="31"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4" borderId="0" applyNumberFormat="0" applyBorder="0" applyAlignment="0" applyProtection="0"/>
    <xf numFmtId="0" fontId="44" fillId="32"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32" borderId="0" applyNumberFormat="0" applyBorder="0" applyAlignment="0" applyProtection="0"/>
    <xf numFmtId="0" fontId="44" fillId="4" borderId="0" applyNumberFormat="0" applyBorder="0" applyAlignment="0" applyProtection="0"/>
    <xf numFmtId="0" fontId="44" fillId="32" borderId="0" applyNumberFormat="0" applyBorder="0" applyAlignment="0" applyProtection="0"/>
    <xf numFmtId="0" fontId="44" fillId="4" borderId="0" applyNumberFormat="0" applyBorder="0" applyAlignment="0" applyProtection="0"/>
    <xf numFmtId="0" fontId="44" fillId="32" borderId="0" applyNumberFormat="0" applyBorder="0" applyAlignment="0" applyProtection="0"/>
    <xf numFmtId="0" fontId="44" fillId="4" borderId="0" applyNumberFormat="0" applyBorder="0" applyAlignment="0" applyProtection="0"/>
    <xf numFmtId="0" fontId="44" fillId="32" borderId="0" applyNumberFormat="0" applyBorder="0" applyAlignment="0" applyProtection="0"/>
    <xf numFmtId="0" fontId="44" fillId="4" borderId="0" applyNumberFormat="0" applyBorder="0" applyAlignment="0" applyProtection="0"/>
    <xf numFmtId="0" fontId="44" fillId="32" borderId="0" applyNumberFormat="0" applyBorder="0" applyAlignment="0" applyProtection="0"/>
    <xf numFmtId="0" fontId="44" fillId="4" borderId="0" applyNumberFormat="0" applyBorder="0" applyAlignment="0" applyProtection="0"/>
    <xf numFmtId="0" fontId="44" fillId="32"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4" borderId="0" applyNumberFormat="0" applyBorder="0" applyAlignment="0" applyProtection="0"/>
    <xf numFmtId="0" fontId="44" fillId="32"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32" borderId="0" applyNumberFormat="0" applyBorder="0" applyAlignment="0" applyProtection="0"/>
    <xf numFmtId="0" fontId="44" fillId="4" borderId="0" applyNumberFormat="0" applyBorder="0" applyAlignment="0" applyProtection="0"/>
    <xf numFmtId="0" fontId="44" fillId="32" borderId="0" applyNumberFormat="0" applyBorder="0" applyAlignment="0" applyProtection="0"/>
    <xf numFmtId="0" fontId="44" fillId="4" borderId="0" applyNumberFormat="0" applyBorder="0" applyAlignment="0" applyProtection="0"/>
    <xf numFmtId="0" fontId="44" fillId="32" borderId="0" applyNumberFormat="0" applyBorder="0" applyAlignment="0" applyProtection="0"/>
    <xf numFmtId="0" fontId="44" fillId="4" borderId="0" applyNumberFormat="0" applyBorder="0" applyAlignment="0" applyProtection="0"/>
    <xf numFmtId="0" fontId="44" fillId="32" borderId="0" applyNumberFormat="0" applyBorder="0" applyAlignment="0" applyProtection="0"/>
    <xf numFmtId="0" fontId="44" fillId="4" borderId="0" applyNumberFormat="0" applyBorder="0" applyAlignment="0" applyProtection="0"/>
    <xf numFmtId="0" fontId="44" fillId="32" borderId="0" applyNumberFormat="0" applyBorder="0" applyAlignment="0" applyProtection="0"/>
    <xf numFmtId="0" fontId="44" fillId="4" borderId="0" applyNumberFormat="0" applyBorder="0" applyAlignment="0" applyProtection="0"/>
    <xf numFmtId="0" fontId="44" fillId="32"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4" borderId="0" applyNumberFormat="0" applyBorder="0" applyAlignment="0" applyProtection="0"/>
    <xf numFmtId="0" fontId="44" fillId="32"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32" borderId="0" applyNumberFormat="0" applyBorder="0" applyAlignment="0" applyProtection="0"/>
    <xf numFmtId="0" fontId="44" fillId="4" borderId="0" applyNumberFormat="0" applyBorder="0" applyAlignment="0" applyProtection="0"/>
    <xf numFmtId="0" fontId="44" fillId="32" borderId="0" applyNumberFormat="0" applyBorder="0" applyAlignment="0" applyProtection="0"/>
    <xf numFmtId="0" fontId="44" fillId="4" borderId="0" applyNumberFormat="0" applyBorder="0" applyAlignment="0" applyProtection="0"/>
    <xf numFmtId="0" fontId="44" fillId="32" borderId="0" applyNumberFormat="0" applyBorder="0" applyAlignment="0" applyProtection="0"/>
    <xf numFmtId="0" fontId="44" fillId="4" borderId="0" applyNumberFormat="0" applyBorder="0" applyAlignment="0" applyProtection="0"/>
    <xf numFmtId="0" fontId="44" fillId="32" borderId="0" applyNumberFormat="0" applyBorder="0" applyAlignment="0" applyProtection="0"/>
    <xf numFmtId="0" fontId="44" fillId="4" borderId="0" applyNumberFormat="0" applyBorder="0" applyAlignment="0" applyProtection="0"/>
    <xf numFmtId="0" fontId="44" fillId="32" borderId="0" applyNumberFormat="0" applyBorder="0" applyAlignment="0" applyProtection="0"/>
    <xf numFmtId="0" fontId="44" fillId="4"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4" borderId="0" applyNumberFormat="0" applyBorder="0" applyAlignment="0" applyProtection="0"/>
    <xf numFmtId="0" fontId="44" fillId="32"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32" borderId="0" applyNumberFormat="0" applyBorder="0" applyAlignment="0" applyProtection="0"/>
    <xf numFmtId="0" fontId="44" fillId="4" borderId="0" applyNumberFormat="0" applyBorder="0" applyAlignment="0" applyProtection="0"/>
    <xf numFmtId="0" fontId="44" fillId="32" borderId="0" applyNumberFormat="0" applyBorder="0" applyAlignment="0" applyProtection="0"/>
    <xf numFmtId="0" fontId="44" fillId="4" borderId="0" applyNumberFormat="0" applyBorder="0" applyAlignment="0" applyProtection="0"/>
    <xf numFmtId="0" fontId="44" fillId="32" borderId="0" applyNumberFormat="0" applyBorder="0" applyAlignment="0" applyProtection="0"/>
    <xf numFmtId="0" fontId="44" fillId="4" borderId="0" applyNumberFormat="0" applyBorder="0" applyAlignment="0" applyProtection="0"/>
    <xf numFmtId="0" fontId="44" fillId="32" borderId="0" applyNumberFormat="0" applyBorder="0" applyAlignment="0" applyProtection="0"/>
    <xf numFmtId="0" fontId="44" fillId="4" borderId="0" applyNumberFormat="0" applyBorder="0" applyAlignment="0" applyProtection="0"/>
    <xf numFmtId="0" fontId="44" fillId="32" borderId="0" applyNumberFormat="0" applyBorder="0" applyAlignment="0" applyProtection="0"/>
    <xf numFmtId="0" fontId="44" fillId="4" borderId="0" applyNumberFormat="0" applyBorder="0" applyAlignment="0" applyProtection="0"/>
    <xf numFmtId="0" fontId="44" fillId="32"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4" borderId="0" applyNumberFormat="0" applyBorder="0" applyAlignment="0" applyProtection="0"/>
    <xf numFmtId="0" fontId="44" fillId="32"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32" borderId="0" applyNumberFormat="0" applyBorder="0" applyAlignment="0" applyProtection="0"/>
    <xf numFmtId="0" fontId="44" fillId="4" borderId="0" applyNumberFormat="0" applyBorder="0" applyAlignment="0" applyProtection="0"/>
    <xf numFmtId="0" fontId="44" fillId="32" borderId="0" applyNumberFormat="0" applyBorder="0" applyAlignment="0" applyProtection="0"/>
    <xf numFmtId="0" fontId="44" fillId="4" borderId="0" applyNumberFormat="0" applyBorder="0" applyAlignment="0" applyProtection="0"/>
    <xf numFmtId="0" fontId="44" fillId="32" borderId="0" applyNumberFormat="0" applyBorder="0" applyAlignment="0" applyProtection="0"/>
    <xf numFmtId="0" fontId="44" fillId="4" borderId="0" applyNumberFormat="0" applyBorder="0" applyAlignment="0" applyProtection="0"/>
    <xf numFmtId="0" fontId="44" fillId="32" borderId="0" applyNumberFormat="0" applyBorder="0" applyAlignment="0" applyProtection="0"/>
    <xf numFmtId="0" fontId="44" fillId="4" borderId="0" applyNumberFormat="0" applyBorder="0" applyAlignment="0" applyProtection="0"/>
    <xf numFmtId="0" fontId="44" fillId="32" borderId="0" applyNumberFormat="0" applyBorder="0" applyAlignment="0" applyProtection="0"/>
    <xf numFmtId="0" fontId="44" fillId="4" borderId="0" applyNumberFormat="0" applyBorder="0" applyAlignment="0" applyProtection="0"/>
    <xf numFmtId="0" fontId="44" fillId="32"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4" borderId="0" applyNumberFormat="0" applyBorder="0" applyAlignment="0" applyProtection="0"/>
    <xf numFmtId="0" fontId="44" fillId="32"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32" borderId="0" applyNumberFormat="0" applyBorder="0" applyAlignment="0" applyProtection="0"/>
    <xf numFmtId="0" fontId="44" fillId="4" borderId="0" applyNumberFormat="0" applyBorder="0" applyAlignment="0" applyProtection="0"/>
    <xf numFmtId="0" fontId="44" fillId="32" borderId="0" applyNumberFormat="0" applyBorder="0" applyAlignment="0" applyProtection="0"/>
    <xf numFmtId="0" fontId="44" fillId="4" borderId="0" applyNumberFormat="0" applyBorder="0" applyAlignment="0" applyProtection="0"/>
    <xf numFmtId="0" fontId="44" fillId="32" borderId="0" applyNumberFormat="0" applyBorder="0" applyAlignment="0" applyProtection="0"/>
    <xf numFmtId="0" fontId="44" fillId="4" borderId="0" applyNumberFormat="0" applyBorder="0" applyAlignment="0" applyProtection="0"/>
    <xf numFmtId="0" fontId="44" fillId="32" borderId="0" applyNumberFormat="0" applyBorder="0" applyAlignment="0" applyProtection="0"/>
    <xf numFmtId="0" fontId="44" fillId="4" borderId="0" applyNumberFormat="0" applyBorder="0" applyAlignment="0" applyProtection="0"/>
    <xf numFmtId="0" fontId="44" fillId="32" borderId="0" applyNumberFormat="0" applyBorder="0" applyAlignment="0" applyProtection="0"/>
    <xf numFmtId="0" fontId="44" fillId="4"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4" borderId="0" applyNumberFormat="0" applyBorder="0" applyAlignment="0" applyProtection="0"/>
    <xf numFmtId="0" fontId="44" fillId="32"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32" borderId="0" applyNumberFormat="0" applyBorder="0" applyAlignment="0" applyProtection="0"/>
    <xf numFmtId="0" fontId="44" fillId="4" borderId="0" applyNumberFormat="0" applyBorder="0" applyAlignment="0" applyProtection="0"/>
    <xf numFmtId="0" fontId="44" fillId="32" borderId="0" applyNumberFormat="0" applyBorder="0" applyAlignment="0" applyProtection="0"/>
    <xf numFmtId="0" fontId="44" fillId="4" borderId="0" applyNumberFormat="0" applyBorder="0" applyAlignment="0" applyProtection="0"/>
    <xf numFmtId="0" fontId="44" fillId="32" borderId="0" applyNumberFormat="0" applyBorder="0" applyAlignment="0" applyProtection="0"/>
    <xf numFmtId="0" fontId="44" fillId="4" borderId="0" applyNumberFormat="0" applyBorder="0" applyAlignment="0" applyProtection="0"/>
    <xf numFmtId="0" fontId="44" fillId="32" borderId="0" applyNumberFormat="0" applyBorder="0" applyAlignment="0" applyProtection="0"/>
    <xf numFmtId="0" fontId="44" fillId="4" borderId="0" applyNumberFormat="0" applyBorder="0" applyAlignment="0" applyProtection="0"/>
    <xf numFmtId="0" fontId="44" fillId="32" borderId="0" applyNumberFormat="0" applyBorder="0" applyAlignment="0" applyProtection="0"/>
    <xf numFmtId="0" fontId="44" fillId="4" borderId="0" applyNumberFormat="0" applyBorder="0" applyAlignment="0" applyProtection="0"/>
    <xf numFmtId="0" fontId="44" fillId="32"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4" borderId="0" applyNumberFormat="0" applyBorder="0" applyAlignment="0" applyProtection="0"/>
    <xf numFmtId="0" fontId="44" fillId="32"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32" borderId="0" applyNumberFormat="0" applyBorder="0" applyAlignment="0" applyProtection="0"/>
    <xf numFmtId="0" fontId="44" fillId="4" borderId="0" applyNumberFormat="0" applyBorder="0" applyAlignment="0" applyProtection="0"/>
    <xf numFmtId="0" fontId="44" fillId="32" borderId="0" applyNumberFormat="0" applyBorder="0" applyAlignment="0" applyProtection="0"/>
    <xf numFmtId="0" fontId="44" fillId="4" borderId="0" applyNumberFormat="0" applyBorder="0" applyAlignment="0" applyProtection="0"/>
    <xf numFmtId="0" fontId="44" fillId="32" borderId="0" applyNumberFormat="0" applyBorder="0" applyAlignment="0" applyProtection="0"/>
    <xf numFmtId="0" fontId="44" fillId="4" borderId="0" applyNumberFormat="0" applyBorder="0" applyAlignment="0" applyProtection="0"/>
    <xf numFmtId="0" fontId="44" fillId="32" borderId="0" applyNumberFormat="0" applyBorder="0" applyAlignment="0" applyProtection="0"/>
    <xf numFmtId="0" fontId="44" fillId="4" borderId="0" applyNumberFormat="0" applyBorder="0" applyAlignment="0" applyProtection="0"/>
    <xf numFmtId="0" fontId="44" fillId="32" borderId="0" applyNumberFormat="0" applyBorder="0" applyAlignment="0" applyProtection="0"/>
    <xf numFmtId="0" fontId="44" fillId="4" borderId="0" applyNumberFormat="0" applyBorder="0" applyAlignment="0" applyProtection="0"/>
    <xf numFmtId="0" fontId="44" fillId="32"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5" borderId="0" applyNumberFormat="0" applyBorder="0" applyAlignment="0" applyProtection="0"/>
    <xf numFmtId="0" fontId="44" fillId="33"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33" borderId="0" applyNumberFormat="0" applyBorder="0" applyAlignment="0" applyProtection="0"/>
    <xf numFmtId="0" fontId="44" fillId="5" borderId="0" applyNumberFormat="0" applyBorder="0" applyAlignment="0" applyProtection="0"/>
    <xf numFmtId="0" fontId="44" fillId="33" borderId="0" applyNumberFormat="0" applyBorder="0" applyAlignment="0" applyProtection="0"/>
    <xf numFmtId="0" fontId="44" fillId="5" borderId="0" applyNumberFormat="0" applyBorder="0" applyAlignment="0" applyProtection="0"/>
    <xf numFmtId="0" fontId="44" fillId="33" borderId="0" applyNumberFormat="0" applyBorder="0" applyAlignment="0" applyProtection="0"/>
    <xf numFmtId="0" fontId="44" fillId="5" borderId="0" applyNumberFormat="0" applyBorder="0" applyAlignment="0" applyProtection="0"/>
    <xf numFmtId="0" fontId="44" fillId="33" borderId="0" applyNumberFormat="0" applyBorder="0" applyAlignment="0" applyProtection="0"/>
    <xf numFmtId="0" fontId="44" fillId="5" borderId="0" applyNumberFormat="0" applyBorder="0" applyAlignment="0" applyProtection="0"/>
    <xf numFmtId="0" fontId="44" fillId="33" borderId="0" applyNumberFormat="0" applyBorder="0" applyAlignment="0" applyProtection="0"/>
    <xf numFmtId="0" fontId="44" fillId="5" borderId="0" applyNumberFormat="0" applyBorder="0" applyAlignment="0" applyProtection="0"/>
    <xf numFmtId="0" fontId="44" fillId="33"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5" borderId="0" applyNumberFormat="0" applyBorder="0" applyAlignment="0" applyProtection="0"/>
    <xf numFmtId="0" fontId="44" fillId="33"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33" borderId="0" applyNumberFormat="0" applyBorder="0" applyAlignment="0" applyProtection="0"/>
    <xf numFmtId="0" fontId="44" fillId="5" borderId="0" applyNumberFormat="0" applyBorder="0" applyAlignment="0" applyProtection="0"/>
    <xf numFmtId="0" fontId="44" fillId="33" borderId="0" applyNumberFormat="0" applyBorder="0" applyAlignment="0" applyProtection="0"/>
    <xf numFmtId="0" fontId="44" fillId="5" borderId="0" applyNumberFormat="0" applyBorder="0" applyAlignment="0" applyProtection="0"/>
    <xf numFmtId="0" fontId="44" fillId="33" borderId="0" applyNumberFormat="0" applyBorder="0" applyAlignment="0" applyProtection="0"/>
    <xf numFmtId="0" fontId="44" fillId="5" borderId="0" applyNumberFormat="0" applyBorder="0" applyAlignment="0" applyProtection="0"/>
    <xf numFmtId="0" fontId="44" fillId="33" borderId="0" applyNumberFormat="0" applyBorder="0" applyAlignment="0" applyProtection="0"/>
    <xf numFmtId="0" fontId="44" fillId="5" borderId="0" applyNumberFormat="0" applyBorder="0" applyAlignment="0" applyProtection="0"/>
    <xf numFmtId="0" fontId="44" fillId="33" borderId="0" applyNumberFormat="0" applyBorder="0" applyAlignment="0" applyProtection="0"/>
    <xf numFmtId="0" fontId="44" fillId="5" borderId="0" applyNumberFormat="0" applyBorder="0" applyAlignment="0" applyProtection="0"/>
    <xf numFmtId="0" fontId="44" fillId="33"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5" borderId="0" applyNumberFormat="0" applyBorder="0" applyAlignment="0" applyProtection="0"/>
    <xf numFmtId="0" fontId="44" fillId="33"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33" borderId="0" applyNumberFormat="0" applyBorder="0" applyAlignment="0" applyProtection="0"/>
    <xf numFmtId="0" fontId="44" fillId="5" borderId="0" applyNumberFormat="0" applyBorder="0" applyAlignment="0" applyProtection="0"/>
    <xf numFmtId="0" fontId="44" fillId="33" borderId="0" applyNumberFormat="0" applyBorder="0" applyAlignment="0" applyProtection="0"/>
    <xf numFmtId="0" fontId="44" fillId="5" borderId="0" applyNumberFormat="0" applyBorder="0" applyAlignment="0" applyProtection="0"/>
    <xf numFmtId="0" fontId="44" fillId="33" borderId="0" applyNumberFormat="0" applyBorder="0" applyAlignment="0" applyProtection="0"/>
    <xf numFmtId="0" fontId="44" fillId="5" borderId="0" applyNumberFormat="0" applyBorder="0" applyAlignment="0" applyProtection="0"/>
    <xf numFmtId="0" fontId="44" fillId="33" borderId="0" applyNumberFormat="0" applyBorder="0" applyAlignment="0" applyProtection="0"/>
    <xf numFmtId="0" fontId="44" fillId="5" borderId="0" applyNumberFormat="0" applyBorder="0" applyAlignment="0" applyProtection="0"/>
    <xf numFmtId="0" fontId="44" fillId="33" borderId="0" applyNumberFormat="0" applyBorder="0" applyAlignment="0" applyProtection="0"/>
    <xf numFmtId="0" fontId="44" fillId="5"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5" borderId="0" applyNumberFormat="0" applyBorder="0" applyAlignment="0" applyProtection="0"/>
    <xf numFmtId="0" fontId="44" fillId="33"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33" borderId="0" applyNumberFormat="0" applyBorder="0" applyAlignment="0" applyProtection="0"/>
    <xf numFmtId="0" fontId="44" fillId="5" borderId="0" applyNumberFormat="0" applyBorder="0" applyAlignment="0" applyProtection="0"/>
    <xf numFmtId="0" fontId="44" fillId="33" borderId="0" applyNumberFormat="0" applyBorder="0" applyAlignment="0" applyProtection="0"/>
    <xf numFmtId="0" fontId="44" fillId="5" borderId="0" applyNumberFormat="0" applyBorder="0" applyAlignment="0" applyProtection="0"/>
    <xf numFmtId="0" fontId="44" fillId="33" borderId="0" applyNumberFormat="0" applyBorder="0" applyAlignment="0" applyProtection="0"/>
    <xf numFmtId="0" fontId="44" fillId="5" borderId="0" applyNumberFormat="0" applyBorder="0" applyAlignment="0" applyProtection="0"/>
    <xf numFmtId="0" fontId="44" fillId="33" borderId="0" applyNumberFormat="0" applyBorder="0" applyAlignment="0" applyProtection="0"/>
    <xf numFmtId="0" fontId="44" fillId="5" borderId="0" applyNumberFormat="0" applyBorder="0" applyAlignment="0" applyProtection="0"/>
    <xf numFmtId="0" fontId="44" fillId="33" borderId="0" applyNumberFormat="0" applyBorder="0" applyAlignment="0" applyProtection="0"/>
    <xf numFmtId="0" fontId="44" fillId="5" borderId="0" applyNumberFormat="0" applyBorder="0" applyAlignment="0" applyProtection="0"/>
    <xf numFmtId="0" fontId="44" fillId="33"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5" borderId="0" applyNumberFormat="0" applyBorder="0" applyAlignment="0" applyProtection="0"/>
    <xf numFmtId="0" fontId="44" fillId="33"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33" borderId="0" applyNumberFormat="0" applyBorder="0" applyAlignment="0" applyProtection="0"/>
    <xf numFmtId="0" fontId="44" fillId="5" borderId="0" applyNumberFormat="0" applyBorder="0" applyAlignment="0" applyProtection="0"/>
    <xf numFmtId="0" fontId="44" fillId="33" borderId="0" applyNumberFormat="0" applyBorder="0" applyAlignment="0" applyProtection="0"/>
    <xf numFmtId="0" fontId="44" fillId="5" borderId="0" applyNumberFormat="0" applyBorder="0" applyAlignment="0" applyProtection="0"/>
    <xf numFmtId="0" fontId="44" fillId="33" borderId="0" applyNumberFormat="0" applyBorder="0" applyAlignment="0" applyProtection="0"/>
    <xf numFmtId="0" fontId="44" fillId="5" borderId="0" applyNumberFormat="0" applyBorder="0" applyAlignment="0" applyProtection="0"/>
    <xf numFmtId="0" fontId="44" fillId="33" borderId="0" applyNumberFormat="0" applyBorder="0" applyAlignment="0" applyProtection="0"/>
    <xf numFmtId="0" fontId="44" fillId="5" borderId="0" applyNumberFormat="0" applyBorder="0" applyAlignment="0" applyProtection="0"/>
    <xf numFmtId="0" fontId="44" fillId="33" borderId="0" applyNumberFormat="0" applyBorder="0" applyAlignment="0" applyProtection="0"/>
    <xf numFmtId="0" fontId="44" fillId="5" borderId="0" applyNumberFormat="0" applyBorder="0" applyAlignment="0" applyProtection="0"/>
    <xf numFmtId="0" fontId="44" fillId="33"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5" borderId="0" applyNumberFormat="0" applyBorder="0" applyAlignment="0" applyProtection="0"/>
    <xf numFmtId="0" fontId="44" fillId="33"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33" borderId="0" applyNumberFormat="0" applyBorder="0" applyAlignment="0" applyProtection="0"/>
    <xf numFmtId="0" fontId="44" fillId="5" borderId="0" applyNumberFormat="0" applyBorder="0" applyAlignment="0" applyProtection="0"/>
    <xf numFmtId="0" fontId="44" fillId="33" borderId="0" applyNumberFormat="0" applyBorder="0" applyAlignment="0" applyProtection="0"/>
    <xf numFmtId="0" fontId="44" fillId="5" borderId="0" applyNumberFormat="0" applyBorder="0" applyAlignment="0" applyProtection="0"/>
    <xf numFmtId="0" fontId="44" fillId="33" borderId="0" applyNumberFormat="0" applyBorder="0" applyAlignment="0" applyProtection="0"/>
    <xf numFmtId="0" fontId="44" fillId="5" borderId="0" applyNumberFormat="0" applyBorder="0" applyAlignment="0" applyProtection="0"/>
    <xf numFmtId="0" fontId="44" fillId="33" borderId="0" applyNumberFormat="0" applyBorder="0" applyAlignment="0" applyProtection="0"/>
    <xf numFmtId="0" fontId="44" fillId="5" borderId="0" applyNumberFormat="0" applyBorder="0" applyAlignment="0" applyProtection="0"/>
    <xf numFmtId="0" fontId="44" fillId="33" borderId="0" applyNumberFormat="0" applyBorder="0" applyAlignment="0" applyProtection="0"/>
    <xf numFmtId="0" fontId="44" fillId="5"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5" borderId="0" applyNumberFormat="0" applyBorder="0" applyAlignment="0" applyProtection="0"/>
    <xf numFmtId="0" fontId="44" fillId="33"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33" borderId="0" applyNumberFormat="0" applyBorder="0" applyAlignment="0" applyProtection="0"/>
    <xf numFmtId="0" fontId="44" fillId="5" borderId="0" applyNumberFormat="0" applyBorder="0" applyAlignment="0" applyProtection="0"/>
    <xf numFmtId="0" fontId="44" fillId="33" borderId="0" applyNumberFormat="0" applyBorder="0" applyAlignment="0" applyProtection="0"/>
    <xf numFmtId="0" fontId="44" fillId="5" borderId="0" applyNumberFormat="0" applyBorder="0" applyAlignment="0" applyProtection="0"/>
    <xf numFmtId="0" fontId="44" fillId="33" borderId="0" applyNumberFormat="0" applyBorder="0" applyAlignment="0" applyProtection="0"/>
    <xf numFmtId="0" fontId="44" fillId="5" borderId="0" applyNumberFormat="0" applyBorder="0" applyAlignment="0" applyProtection="0"/>
    <xf numFmtId="0" fontId="44" fillId="33" borderId="0" applyNumberFormat="0" applyBorder="0" applyAlignment="0" applyProtection="0"/>
    <xf numFmtId="0" fontId="44" fillId="5" borderId="0" applyNumberFormat="0" applyBorder="0" applyAlignment="0" applyProtection="0"/>
    <xf numFmtId="0" fontId="44" fillId="33" borderId="0" applyNumberFormat="0" applyBorder="0" applyAlignment="0" applyProtection="0"/>
    <xf numFmtId="0" fontId="44" fillId="5" borderId="0" applyNumberFormat="0" applyBorder="0" applyAlignment="0" applyProtection="0"/>
    <xf numFmtId="0" fontId="44" fillId="33"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5" borderId="0" applyNumberFormat="0" applyBorder="0" applyAlignment="0" applyProtection="0"/>
    <xf numFmtId="0" fontId="44" fillId="33"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33" borderId="0" applyNumberFormat="0" applyBorder="0" applyAlignment="0" applyProtection="0"/>
    <xf numFmtId="0" fontId="44" fillId="5" borderId="0" applyNumberFormat="0" applyBorder="0" applyAlignment="0" applyProtection="0"/>
    <xf numFmtId="0" fontId="44" fillId="33" borderId="0" applyNumberFormat="0" applyBorder="0" applyAlignment="0" applyProtection="0"/>
    <xf numFmtId="0" fontId="44" fillId="5" borderId="0" applyNumberFormat="0" applyBorder="0" applyAlignment="0" applyProtection="0"/>
    <xf numFmtId="0" fontId="44" fillId="33" borderId="0" applyNumberFormat="0" applyBorder="0" applyAlignment="0" applyProtection="0"/>
    <xf numFmtId="0" fontId="44" fillId="5" borderId="0" applyNumberFormat="0" applyBorder="0" applyAlignment="0" applyProtection="0"/>
    <xf numFmtId="0" fontId="44" fillId="33" borderId="0" applyNumberFormat="0" applyBorder="0" applyAlignment="0" applyProtection="0"/>
    <xf numFmtId="0" fontId="44" fillId="5" borderId="0" applyNumberFormat="0" applyBorder="0" applyAlignment="0" applyProtection="0"/>
    <xf numFmtId="0" fontId="44" fillId="33" borderId="0" applyNumberFormat="0" applyBorder="0" applyAlignment="0" applyProtection="0"/>
    <xf numFmtId="0" fontId="44" fillId="5" borderId="0" applyNumberFormat="0" applyBorder="0" applyAlignment="0" applyProtection="0"/>
    <xf numFmtId="0" fontId="44" fillId="33"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6" borderId="0" applyNumberFormat="0" applyBorder="0" applyAlignment="0" applyProtection="0"/>
    <xf numFmtId="0" fontId="44" fillId="34"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34" borderId="0" applyNumberFormat="0" applyBorder="0" applyAlignment="0" applyProtection="0"/>
    <xf numFmtId="0" fontId="44" fillId="6" borderId="0" applyNumberFormat="0" applyBorder="0" applyAlignment="0" applyProtection="0"/>
    <xf numFmtId="0" fontId="44" fillId="34" borderId="0" applyNumberFormat="0" applyBorder="0" applyAlignment="0" applyProtection="0"/>
    <xf numFmtId="0" fontId="44" fillId="6" borderId="0" applyNumberFormat="0" applyBorder="0" applyAlignment="0" applyProtection="0"/>
    <xf numFmtId="0" fontId="44" fillId="34" borderId="0" applyNumberFormat="0" applyBorder="0" applyAlignment="0" applyProtection="0"/>
    <xf numFmtId="0" fontId="44" fillId="6" borderId="0" applyNumberFormat="0" applyBorder="0" applyAlignment="0" applyProtection="0"/>
    <xf numFmtId="0" fontId="44" fillId="34" borderId="0" applyNumberFormat="0" applyBorder="0" applyAlignment="0" applyProtection="0"/>
    <xf numFmtId="0" fontId="44" fillId="6" borderId="0" applyNumberFormat="0" applyBorder="0" applyAlignment="0" applyProtection="0"/>
    <xf numFmtId="0" fontId="44" fillId="34" borderId="0" applyNumberFormat="0" applyBorder="0" applyAlignment="0" applyProtection="0"/>
    <xf numFmtId="0" fontId="44" fillId="6" borderId="0" applyNumberFormat="0" applyBorder="0" applyAlignment="0" applyProtection="0"/>
    <xf numFmtId="0" fontId="44" fillId="34"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6" borderId="0" applyNumberFormat="0" applyBorder="0" applyAlignment="0" applyProtection="0"/>
    <xf numFmtId="0" fontId="44" fillId="34"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34" borderId="0" applyNumberFormat="0" applyBorder="0" applyAlignment="0" applyProtection="0"/>
    <xf numFmtId="0" fontId="44" fillId="6" borderId="0" applyNumberFormat="0" applyBorder="0" applyAlignment="0" applyProtection="0"/>
    <xf numFmtId="0" fontId="44" fillId="34" borderId="0" applyNumberFormat="0" applyBorder="0" applyAlignment="0" applyProtection="0"/>
    <xf numFmtId="0" fontId="44" fillId="6" borderId="0" applyNumberFormat="0" applyBorder="0" applyAlignment="0" applyProtection="0"/>
    <xf numFmtId="0" fontId="44" fillId="34" borderId="0" applyNumberFormat="0" applyBorder="0" applyAlignment="0" applyProtection="0"/>
    <xf numFmtId="0" fontId="44" fillId="6" borderId="0" applyNumberFormat="0" applyBorder="0" applyAlignment="0" applyProtection="0"/>
    <xf numFmtId="0" fontId="44" fillId="34" borderId="0" applyNumberFormat="0" applyBorder="0" applyAlignment="0" applyProtection="0"/>
    <xf numFmtId="0" fontId="44" fillId="6" borderId="0" applyNumberFormat="0" applyBorder="0" applyAlignment="0" applyProtection="0"/>
    <xf numFmtId="0" fontId="44" fillId="34" borderId="0" applyNumberFormat="0" applyBorder="0" applyAlignment="0" applyProtection="0"/>
    <xf numFmtId="0" fontId="44" fillId="6" borderId="0" applyNumberFormat="0" applyBorder="0" applyAlignment="0" applyProtection="0"/>
    <xf numFmtId="0" fontId="44" fillId="34"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6" borderId="0" applyNumberFormat="0" applyBorder="0" applyAlignment="0" applyProtection="0"/>
    <xf numFmtId="0" fontId="44" fillId="34"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34" borderId="0" applyNumberFormat="0" applyBorder="0" applyAlignment="0" applyProtection="0"/>
    <xf numFmtId="0" fontId="44" fillId="6" borderId="0" applyNumberFormat="0" applyBorder="0" applyAlignment="0" applyProtection="0"/>
    <xf numFmtId="0" fontId="44" fillId="34" borderId="0" applyNumberFormat="0" applyBorder="0" applyAlignment="0" applyProtection="0"/>
    <xf numFmtId="0" fontId="44" fillId="6" borderId="0" applyNumberFormat="0" applyBorder="0" applyAlignment="0" applyProtection="0"/>
    <xf numFmtId="0" fontId="44" fillId="34" borderId="0" applyNumberFormat="0" applyBorder="0" applyAlignment="0" applyProtection="0"/>
    <xf numFmtId="0" fontId="44" fillId="6" borderId="0" applyNumberFormat="0" applyBorder="0" applyAlignment="0" applyProtection="0"/>
    <xf numFmtId="0" fontId="44" fillId="34" borderId="0" applyNumberFormat="0" applyBorder="0" applyAlignment="0" applyProtection="0"/>
    <xf numFmtId="0" fontId="44" fillId="6" borderId="0" applyNumberFormat="0" applyBorder="0" applyAlignment="0" applyProtection="0"/>
    <xf numFmtId="0" fontId="44" fillId="34" borderId="0" applyNumberFormat="0" applyBorder="0" applyAlignment="0" applyProtection="0"/>
    <xf numFmtId="0" fontId="44" fillId="6"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6" borderId="0" applyNumberFormat="0" applyBorder="0" applyAlignment="0" applyProtection="0"/>
    <xf numFmtId="0" fontId="44" fillId="34"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34" borderId="0" applyNumberFormat="0" applyBorder="0" applyAlignment="0" applyProtection="0"/>
    <xf numFmtId="0" fontId="44" fillId="6" borderId="0" applyNumberFormat="0" applyBorder="0" applyAlignment="0" applyProtection="0"/>
    <xf numFmtId="0" fontId="44" fillId="34" borderId="0" applyNumberFormat="0" applyBorder="0" applyAlignment="0" applyProtection="0"/>
    <xf numFmtId="0" fontId="44" fillId="6" borderId="0" applyNumberFormat="0" applyBorder="0" applyAlignment="0" applyProtection="0"/>
    <xf numFmtId="0" fontId="44" fillId="34" borderId="0" applyNumberFormat="0" applyBorder="0" applyAlignment="0" applyProtection="0"/>
    <xf numFmtId="0" fontId="44" fillId="6" borderId="0" applyNumberFormat="0" applyBorder="0" applyAlignment="0" applyProtection="0"/>
    <xf numFmtId="0" fontId="44" fillId="34" borderId="0" applyNumberFormat="0" applyBorder="0" applyAlignment="0" applyProtection="0"/>
    <xf numFmtId="0" fontId="44" fillId="6" borderId="0" applyNumberFormat="0" applyBorder="0" applyAlignment="0" applyProtection="0"/>
    <xf numFmtId="0" fontId="44" fillId="34" borderId="0" applyNumberFormat="0" applyBorder="0" applyAlignment="0" applyProtection="0"/>
    <xf numFmtId="0" fontId="44" fillId="6" borderId="0" applyNumberFormat="0" applyBorder="0" applyAlignment="0" applyProtection="0"/>
    <xf numFmtId="0" fontId="44" fillId="34"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6" borderId="0" applyNumberFormat="0" applyBorder="0" applyAlignment="0" applyProtection="0"/>
    <xf numFmtId="0" fontId="44" fillId="34"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34" borderId="0" applyNumberFormat="0" applyBorder="0" applyAlignment="0" applyProtection="0"/>
    <xf numFmtId="0" fontId="44" fillId="6" borderId="0" applyNumberFormat="0" applyBorder="0" applyAlignment="0" applyProtection="0"/>
    <xf numFmtId="0" fontId="44" fillId="34" borderId="0" applyNumberFormat="0" applyBorder="0" applyAlignment="0" applyProtection="0"/>
    <xf numFmtId="0" fontId="44" fillId="6" borderId="0" applyNumberFormat="0" applyBorder="0" applyAlignment="0" applyProtection="0"/>
    <xf numFmtId="0" fontId="44" fillId="34" borderId="0" applyNumberFormat="0" applyBorder="0" applyAlignment="0" applyProtection="0"/>
    <xf numFmtId="0" fontId="44" fillId="6" borderId="0" applyNumberFormat="0" applyBorder="0" applyAlignment="0" applyProtection="0"/>
    <xf numFmtId="0" fontId="44" fillId="34" borderId="0" applyNumberFormat="0" applyBorder="0" applyAlignment="0" applyProtection="0"/>
    <xf numFmtId="0" fontId="44" fillId="6" borderId="0" applyNumberFormat="0" applyBorder="0" applyAlignment="0" applyProtection="0"/>
    <xf numFmtId="0" fontId="44" fillId="34" borderId="0" applyNumberFormat="0" applyBorder="0" applyAlignment="0" applyProtection="0"/>
    <xf numFmtId="0" fontId="44" fillId="6" borderId="0" applyNumberFormat="0" applyBorder="0" applyAlignment="0" applyProtection="0"/>
    <xf numFmtId="0" fontId="44" fillId="34"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6" borderId="0" applyNumberFormat="0" applyBorder="0" applyAlignment="0" applyProtection="0"/>
    <xf numFmtId="0" fontId="44" fillId="34"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34" borderId="0" applyNumberFormat="0" applyBorder="0" applyAlignment="0" applyProtection="0"/>
    <xf numFmtId="0" fontId="44" fillId="6" borderId="0" applyNumberFormat="0" applyBorder="0" applyAlignment="0" applyProtection="0"/>
    <xf numFmtId="0" fontId="44" fillId="34" borderId="0" applyNumberFormat="0" applyBorder="0" applyAlignment="0" applyProtection="0"/>
    <xf numFmtId="0" fontId="44" fillId="6" borderId="0" applyNumberFormat="0" applyBorder="0" applyAlignment="0" applyProtection="0"/>
    <xf numFmtId="0" fontId="44" fillId="34" borderId="0" applyNumberFormat="0" applyBorder="0" applyAlignment="0" applyProtection="0"/>
    <xf numFmtId="0" fontId="44" fillId="6" borderId="0" applyNumberFormat="0" applyBorder="0" applyAlignment="0" applyProtection="0"/>
    <xf numFmtId="0" fontId="44" fillId="34" borderId="0" applyNumberFormat="0" applyBorder="0" applyAlignment="0" applyProtection="0"/>
    <xf numFmtId="0" fontId="44" fillId="6" borderId="0" applyNumberFormat="0" applyBorder="0" applyAlignment="0" applyProtection="0"/>
    <xf numFmtId="0" fontId="44" fillId="34" borderId="0" applyNumberFormat="0" applyBorder="0" applyAlignment="0" applyProtection="0"/>
    <xf numFmtId="0" fontId="44" fillId="6"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6" borderId="0" applyNumberFormat="0" applyBorder="0" applyAlignment="0" applyProtection="0"/>
    <xf numFmtId="0" fontId="44" fillId="34"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34" borderId="0" applyNumberFormat="0" applyBorder="0" applyAlignment="0" applyProtection="0"/>
    <xf numFmtId="0" fontId="44" fillId="6" borderId="0" applyNumberFormat="0" applyBorder="0" applyAlignment="0" applyProtection="0"/>
    <xf numFmtId="0" fontId="44" fillId="34" borderId="0" applyNumberFormat="0" applyBorder="0" applyAlignment="0" applyProtection="0"/>
    <xf numFmtId="0" fontId="44" fillId="6" borderId="0" applyNumberFormat="0" applyBorder="0" applyAlignment="0" applyProtection="0"/>
    <xf numFmtId="0" fontId="44" fillId="34" borderId="0" applyNumberFormat="0" applyBorder="0" applyAlignment="0" applyProtection="0"/>
    <xf numFmtId="0" fontId="44" fillId="6" borderId="0" applyNumberFormat="0" applyBorder="0" applyAlignment="0" applyProtection="0"/>
    <xf numFmtId="0" fontId="44" fillId="34" borderId="0" applyNumberFormat="0" applyBorder="0" applyAlignment="0" applyProtection="0"/>
    <xf numFmtId="0" fontId="44" fillId="6" borderId="0" applyNumberFormat="0" applyBorder="0" applyAlignment="0" applyProtection="0"/>
    <xf numFmtId="0" fontId="44" fillId="34" borderId="0" applyNumberFormat="0" applyBorder="0" applyAlignment="0" applyProtection="0"/>
    <xf numFmtId="0" fontId="44" fillId="6" borderId="0" applyNumberFormat="0" applyBorder="0" applyAlignment="0" applyProtection="0"/>
    <xf numFmtId="0" fontId="44" fillId="34"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6" borderId="0" applyNumberFormat="0" applyBorder="0" applyAlignment="0" applyProtection="0"/>
    <xf numFmtId="0" fontId="44" fillId="34"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34" borderId="0" applyNumberFormat="0" applyBorder="0" applyAlignment="0" applyProtection="0"/>
    <xf numFmtId="0" fontId="44" fillId="6" borderId="0" applyNumberFormat="0" applyBorder="0" applyAlignment="0" applyProtection="0"/>
    <xf numFmtId="0" fontId="44" fillId="34" borderId="0" applyNumberFormat="0" applyBorder="0" applyAlignment="0" applyProtection="0"/>
    <xf numFmtId="0" fontId="44" fillId="6" borderId="0" applyNumberFormat="0" applyBorder="0" applyAlignment="0" applyProtection="0"/>
    <xf numFmtId="0" fontId="44" fillId="34" borderId="0" applyNumberFormat="0" applyBorder="0" applyAlignment="0" applyProtection="0"/>
    <xf numFmtId="0" fontId="44" fillId="6" borderId="0" applyNumberFormat="0" applyBorder="0" applyAlignment="0" applyProtection="0"/>
    <xf numFmtId="0" fontId="44" fillId="34" borderId="0" applyNumberFormat="0" applyBorder="0" applyAlignment="0" applyProtection="0"/>
    <xf numFmtId="0" fontId="44" fillId="6" borderId="0" applyNumberFormat="0" applyBorder="0" applyAlignment="0" applyProtection="0"/>
    <xf numFmtId="0" fontId="44" fillId="34" borderId="0" applyNumberFormat="0" applyBorder="0" applyAlignment="0" applyProtection="0"/>
    <xf numFmtId="0" fontId="44" fillId="6" borderId="0" applyNumberFormat="0" applyBorder="0" applyAlignment="0" applyProtection="0"/>
    <xf numFmtId="0" fontId="44" fillId="34"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7" borderId="0" applyNumberFormat="0" applyBorder="0" applyAlignment="0" applyProtection="0"/>
    <xf numFmtId="0" fontId="44" fillId="3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37" borderId="0" applyNumberFormat="0" applyBorder="0" applyAlignment="0" applyProtection="0"/>
    <xf numFmtId="0" fontId="44" fillId="7" borderId="0" applyNumberFormat="0" applyBorder="0" applyAlignment="0" applyProtection="0"/>
    <xf numFmtId="0" fontId="44" fillId="37" borderId="0" applyNumberFormat="0" applyBorder="0" applyAlignment="0" applyProtection="0"/>
    <xf numFmtId="0" fontId="44" fillId="7" borderId="0" applyNumberFormat="0" applyBorder="0" applyAlignment="0" applyProtection="0"/>
    <xf numFmtId="0" fontId="44" fillId="37" borderId="0" applyNumberFormat="0" applyBorder="0" applyAlignment="0" applyProtection="0"/>
    <xf numFmtId="0" fontId="44" fillId="7" borderId="0" applyNumberFormat="0" applyBorder="0" applyAlignment="0" applyProtection="0"/>
    <xf numFmtId="0" fontId="44" fillId="37" borderId="0" applyNumberFormat="0" applyBorder="0" applyAlignment="0" applyProtection="0"/>
    <xf numFmtId="0" fontId="44" fillId="7" borderId="0" applyNumberFormat="0" applyBorder="0" applyAlignment="0" applyProtection="0"/>
    <xf numFmtId="0" fontId="44" fillId="37" borderId="0" applyNumberFormat="0" applyBorder="0" applyAlignment="0" applyProtection="0"/>
    <xf numFmtId="0" fontId="44" fillId="7" borderId="0" applyNumberFormat="0" applyBorder="0" applyAlignment="0" applyProtection="0"/>
    <xf numFmtId="0" fontId="44" fillId="3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7" borderId="0" applyNumberFormat="0" applyBorder="0" applyAlignment="0" applyProtection="0"/>
    <xf numFmtId="0" fontId="44" fillId="3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37" borderId="0" applyNumberFormat="0" applyBorder="0" applyAlignment="0" applyProtection="0"/>
    <xf numFmtId="0" fontId="44" fillId="7" borderId="0" applyNumberFormat="0" applyBorder="0" applyAlignment="0" applyProtection="0"/>
    <xf numFmtId="0" fontId="44" fillId="37" borderId="0" applyNumberFormat="0" applyBorder="0" applyAlignment="0" applyProtection="0"/>
    <xf numFmtId="0" fontId="44" fillId="7" borderId="0" applyNumberFormat="0" applyBorder="0" applyAlignment="0" applyProtection="0"/>
    <xf numFmtId="0" fontId="44" fillId="37" borderId="0" applyNumberFormat="0" applyBorder="0" applyAlignment="0" applyProtection="0"/>
    <xf numFmtId="0" fontId="44" fillId="7" borderId="0" applyNumberFormat="0" applyBorder="0" applyAlignment="0" applyProtection="0"/>
    <xf numFmtId="0" fontId="44" fillId="37" borderId="0" applyNumberFormat="0" applyBorder="0" applyAlignment="0" applyProtection="0"/>
    <xf numFmtId="0" fontId="44" fillId="7" borderId="0" applyNumberFormat="0" applyBorder="0" applyAlignment="0" applyProtection="0"/>
    <xf numFmtId="0" fontId="44" fillId="37" borderId="0" applyNumberFormat="0" applyBorder="0" applyAlignment="0" applyProtection="0"/>
    <xf numFmtId="0" fontId="44" fillId="7" borderId="0" applyNumberFormat="0" applyBorder="0" applyAlignment="0" applyProtection="0"/>
    <xf numFmtId="0" fontId="44" fillId="3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7" borderId="0" applyNumberFormat="0" applyBorder="0" applyAlignment="0" applyProtection="0"/>
    <xf numFmtId="0" fontId="44" fillId="3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37" borderId="0" applyNumberFormat="0" applyBorder="0" applyAlignment="0" applyProtection="0"/>
    <xf numFmtId="0" fontId="44" fillId="7" borderId="0" applyNumberFormat="0" applyBorder="0" applyAlignment="0" applyProtection="0"/>
    <xf numFmtId="0" fontId="44" fillId="37" borderId="0" applyNumberFormat="0" applyBorder="0" applyAlignment="0" applyProtection="0"/>
    <xf numFmtId="0" fontId="44" fillId="7" borderId="0" applyNumberFormat="0" applyBorder="0" applyAlignment="0" applyProtection="0"/>
    <xf numFmtId="0" fontId="44" fillId="37" borderId="0" applyNumberFormat="0" applyBorder="0" applyAlignment="0" applyProtection="0"/>
    <xf numFmtId="0" fontId="44" fillId="7" borderId="0" applyNumberFormat="0" applyBorder="0" applyAlignment="0" applyProtection="0"/>
    <xf numFmtId="0" fontId="44" fillId="37" borderId="0" applyNumberFormat="0" applyBorder="0" applyAlignment="0" applyProtection="0"/>
    <xf numFmtId="0" fontId="44" fillId="7" borderId="0" applyNumberFormat="0" applyBorder="0" applyAlignment="0" applyProtection="0"/>
    <xf numFmtId="0" fontId="44" fillId="37" borderId="0" applyNumberFormat="0" applyBorder="0" applyAlignment="0" applyProtection="0"/>
    <xf numFmtId="0" fontId="44" fillId="7"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7" borderId="0" applyNumberFormat="0" applyBorder="0" applyAlignment="0" applyProtection="0"/>
    <xf numFmtId="0" fontId="44" fillId="3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37" borderId="0" applyNumberFormat="0" applyBorder="0" applyAlignment="0" applyProtection="0"/>
    <xf numFmtId="0" fontId="44" fillId="7" borderId="0" applyNumberFormat="0" applyBorder="0" applyAlignment="0" applyProtection="0"/>
    <xf numFmtId="0" fontId="44" fillId="37" borderId="0" applyNumberFormat="0" applyBorder="0" applyAlignment="0" applyProtection="0"/>
    <xf numFmtId="0" fontId="44" fillId="7" borderId="0" applyNumberFormat="0" applyBorder="0" applyAlignment="0" applyProtection="0"/>
    <xf numFmtId="0" fontId="44" fillId="37" borderId="0" applyNumberFormat="0" applyBorder="0" applyAlignment="0" applyProtection="0"/>
    <xf numFmtId="0" fontId="44" fillId="7" borderId="0" applyNumberFormat="0" applyBorder="0" applyAlignment="0" applyProtection="0"/>
    <xf numFmtId="0" fontId="44" fillId="37" borderId="0" applyNumberFormat="0" applyBorder="0" applyAlignment="0" applyProtection="0"/>
    <xf numFmtId="0" fontId="44" fillId="7" borderId="0" applyNumberFormat="0" applyBorder="0" applyAlignment="0" applyProtection="0"/>
    <xf numFmtId="0" fontId="44" fillId="37" borderId="0" applyNumberFormat="0" applyBorder="0" applyAlignment="0" applyProtection="0"/>
    <xf numFmtId="0" fontId="44" fillId="7" borderId="0" applyNumberFormat="0" applyBorder="0" applyAlignment="0" applyProtection="0"/>
    <xf numFmtId="0" fontId="44" fillId="3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7" borderId="0" applyNumberFormat="0" applyBorder="0" applyAlignment="0" applyProtection="0"/>
    <xf numFmtId="0" fontId="44" fillId="3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37" borderId="0" applyNumberFormat="0" applyBorder="0" applyAlignment="0" applyProtection="0"/>
    <xf numFmtId="0" fontId="44" fillId="7" borderId="0" applyNumberFormat="0" applyBorder="0" applyAlignment="0" applyProtection="0"/>
    <xf numFmtId="0" fontId="44" fillId="37" borderId="0" applyNumberFormat="0" applyBorder="0" applyAlignment="0" applyProtection="0"/>
    <xf numFmtId="0" fontId="44" fillId="7" borderId="0" applyNumberFormat="0" applyBorder="0" applyAlignment="0" applyProtection="0"/>
    <xf numFmtId="0" fontId="44" fillId="37" borderId="0" applyNumberFormat="0" applyBorder="0" applyAlignment="0" applyProtection="0"/>
    <xf numFmtId="0" fontId="44" fillId="7" borderId="0" applyNumberFormat="0" applyBorder="0" applyAlignment="0" applyProtection="0"/>
    <xf numFmtId="0" fontId="44" fillId="37" borderId="0" applyNumberFormat="0" applyBorder="0" applyAlignment="0" applyProtection="0"/>
    <xf numFmtId="0" fontId="44" fillId="7" borderId="0" applyNumberFormat="0" applyBorder="0" applyAlignment="0" applyProtection="0"/>
    <xf numFmtId="0" fontId="44" fillId="37" borderId="0" applyNumberFormat="0" applyBorder="0" applyAlignment="0" applyProtection="0"/>
    <xf numFmtId="0" fontId="44" fillId="7" borderId="0" applyNumberFormat="0" applyBorder="0" applyAlignment="0" applyProtection="0"/>
    <xf numFmtId="0" fontId="44" fillId="3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7" borderId="0" applyNumberFormat="0" applyBorder="0" applyAlignment="0" applyProtection="0"/>
    <xf numFmtId="0" fontId="44" fillId="3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37" borderId="0" applyNumberFormat="0" applyBorder="0" applyAlignment="0" applyProtection="0"/>
    <xf numFmtId="0" fontId="44" fillId="7" borderId="0" applyNumberFormat="0" applyBorder="0" applyAlignment="0" applyProtection="0"/>
    <xf numFmtId="0" fontId="44" fillId="37" borderId="0" applyNumberFormat="0" applyBorder="0" applyAlignment="0" applyProtection="0"/>
    <xf numFmtId="0" fontId="44" fillId="7" borderId="0" applyNumberFormat="0" applyBorder="0" applyAlignment="0" applyProtection="0"/>
    <xf numFmtId="0" fontId="44" fillId="37" borderId="0" applyNumberFormat="0" applyBorder="0" applyAlignment="0" applyProtection="0"/>
    <xf numFmtId="0" fontId="44" fillId="7" borderId="0" applyNumberFormat="0" applyBorder="0" applyAlignment="0" applyProtection="0"/>
    <xf numFmtId="0" fontId="44" fillId="37" borderId="0" applyNumberFormat="0" applyBorder="0" applyAlignment="0" applyProtection="0"/>
    <xf numFmtId="0" fontId="44" fillId="7" borderId="0" applyNumberFormat="0" applyBorder="0" applyAlignment="0" applyProtection="0"/>
    <xf numFmtId="0" fontId="44" fillId="37" borderId="0" applyNumberFormat="0" applyBorder="0" applyAlignment="0" applyProtection="0"/>
    <xf numFmtId="0" fontId="44" fillId="7"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7" borderId="0" applyNumberFormat="0" applyBorder="0" applyAlignment="0" applyProtection="0"/>
    <xf numFmtId="0" fontId="44" fillId="3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37" borderId="0" applyNumberFormat="0" applyBorder="0" applyAlignment="0" applyProtection="0"/>
    <xf numFmtId="0" fontId="44" fillId="7" borderId="0" applyNumberFormat="0" applyBorder="0" applyAlignment="0" applyProtection="0"/>
    <xf numFmtId="0" fontId="44" fillId="37" borderId="0" applyNumberFormat="0" applyBorder="0" applyAlignment="0" applyProtection="0"/>
    <xf numFmtId="0" fontId="44" fillId="7" borderId="0" applyNumberFormat="0" applyBorder="0" applyAlignment="0" applyProtection="0"/>
    <xf numFmtId="0" fontId="44" fillId="37" borderId="0" applyNumberFormat="0" applyBorder="0" applyAlignment="0" applyProtection="0"/>
    <xf numFmtId="0" fontId="44" fillId="7" borderId="0" applyNumberFormat="0" applyBorder="0" applyAlignment="0" applyProtection="0"/>
    <xf numFmtId="0" fontId="44" fillId="37" borderId="0" applyNumberFormat="0" applyBorder="0" applyAlignment="0" applyProtection="0"/>
    <xf numFmtId="0" fontId="44" fillId="7" borderId="0" applyNumberFormat="0" applyBorder="0" applyAlignment="0" applyProtection="0"/>
    <xf numFmtId="0" fontId="44" fillId="37" borderId="0" applyNumberFormat="0" applyBorder="0" applyAlignment="0" applyProtection="0"/>
    <xf numFmtId="0" fontId="44" fillId="7" borderId="0" applyNumberFormat="0" applyBorder="0" applyAlignment="0" applyProtection="0"/>
    <xf numFmtId="0" fontId="44" fillId="3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7" borderId="0" applyNumberFormat="0" applyBorder="0" applyAlignment="0" applyProtection="0"/>
    <xf numFmtId="0" fontId="44" fillId="3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37" borderId="0" applyNumberFormat="0" applyBorder="0" applyAlignment="0" applyProtection="0"/>
    <xf numFmtId="0" fontId="44" fillId="7" borderId="0" applyNumberFormat="0" applyBorder="0" applyAlignment="0" applyProtection="0"/>
    <xf numFmtId="0" fontId="44" fillId="37" borderId="0" applyNumberFormat="0" applyBorder="0" applyAlignment="0" applyProtection="0"/>
    <xf numFmtId="0" fontId="44" fillId="7" borderId="0" applyNumberFormat="0" applyBorder="0" applyAlignment="0" applyProtection="0"/>
    <xf numFmtId="0" fontId="44" fillId="37" borderId="0" applyNumberFormat="0" applyBorder="0" applyAlignment="0" applyProtection="0"/>
    <xf numFmtId="0" fontId="44" fillId="7" borderId="0" applyNumberFormat="0" applyBorder="0" applyAlignment="0" applyProtection="0"/>
    <xf numFmtId="0" fontId="44" fillId="37" borderId="0" applyNumberFormat="0" applyBorder="0" applyAlignment="0" applyProtection="0"/>
    <xf numFmtId="0" fontId="44" fillId="7" borderId="0" applyNumberFormat="0" applyBorder="0" applyAlignment="0" applyProtection="0"/>
    <xf numFmtId="0" fontId="44" fillId="37" borderId="0" applyNumberFormat="0" applyBorder="0" applyAlignment="0" applyProtection="0"/>
    <xf numFmtId="0" fontId="44" fillId="7" borderId="0" applyNumberFormat="0" applyBorder="0" applyAlignment="0" applyProtection="0"/>
    <xf numFmtId="0" fontId="44" fillId="3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8" borderId="0" applyNumberFormat="0" applyBorder="0" applyAlignment="0" applyProtection="0"/>
    <xf numFmtId="0" fontId="44" fillId="3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38" borderId="0" applyNumberFormat="0" applyBorder="0" applyAlignment="0" applyProtection="0"/>
    <xf numFmtId="0" fontId="44" fillId="8" borderId="0" applyNumberFormat="0" applyBorder="0" applyAlignment="0" applyProtection="0"/>
    <xf numFmtId="0" fontId="44" fillId="38" borderId="0" applyNumberFormat="0" applyBorder="0" applyAlignment="0" applyProtection="0"/>
    <xf numFmtId="0" fontId="44" fillId="8" borderId="0" applyNumberFormat="0" applyBorder="0" applyAlignment="0" applyProtection="0"/>
    <xf numFmtId="0" fontId="44" fillId="38" borderId="0" applyNumberFormat="0" applyBorder="0" applyAlignment="0" applyProtection="0"/>
    <xf numFmtId="0" fontId="44" fillId="8" borderId="0" applyNumberFormat="0" applyBorder="0" applyAlignment="0" applyProtection="0"/>
    <xf numFmtId="0" fontId="44" fillId="38" borderId="0" applyNumberFormat="0" applyBorder="0" applyAlignment="0" applyProtection="0"/>
    <xf numFmtId="0" fontId="44" fillId="8" borderId="0" applyNumberFormat="0" applyBorder="0" applyAlignment="0" applyProtection="0"/>
    <xf numFmtId="0" fontId="44" fillId="38" borderId="0" applyNumberFormat="0" applyBorder="0" applyAlignment="0" applyProtection="0"/>
    <xf numFmtId="0" fontId="44" fillId="8" borderId="0" applyNumberFormat="0" applyBorder="0" applyAlignment="0" applyProtection="0"/>
    <xf numFmtId="0" fontId="44" fillId="3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8" borderId="0" applyNumberFormat="0" applyBorder="0" applyAlignment="0" applyProtection="0"/>
    <xf numFmtId="0" fontId="44" fillId="3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38" borderId="0" applyNumberFormat="0" applyBorder="0" applyAlignment="0" applyProtection="0"/>
    <xf numFmtId="0" fontId="44" fillId="8" borderId="0" applyNumberFormat="0" applyBorder="0" applyAlignment="0" applyProtection="0"/>
    <xf numFmtId="0" fontId="44" fillId="38" borderId="0" applyNumberFormat="0" applyBorder="0" applyAlignment="0" applyProtection="0"/>
    <xf numFmtId="0" fontId="44" fillId="8" borderId="0" applyNumberFormat="0" applyBorder="0" applyAlignment="0" applyProtection="0"/>
    <xf numFmtId="0" fontId="44" fillId="38" borderId="0" applyNumberFormat="0" applyBorder="0" applyAlignment="0" applyProtection="0"/>
    <xf numFmtId="0" fontId="44" fillId="8" borderId="0" applyNumberFormat="0" applyBorder="0" applyAlignment="0" applyProtection="0"/>
    <xf numFmtId="0" fontId="44" fillId="38" borderId="0" applyNumberFormat="0" applyBorder="0" applyAlignment="0" applyProtection="0"/>
    <xf numFmtId="0" fontId="44" fillId="8" borderId="0" applyNumberFormat="0" applyBorder="0" applyAlignment="0" applyProtection="0"/>
    <xf numFmtId="0" fontId="44" fillId="38" borderId="0" applyNumberFormat="0" applyBorder="0" applyAlignment="0" applyProtection="0"/>
    <xf numFmtId="0" fontId="44" fillId="8" borderId="0" applyNumberFormat="0" applyBorder="0" applyAlignment="0" applyProtection="0"/>
    <xf numFmtId="0" fontId="44" fillId="3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8" borderId="0" applyNumberFormat="0" applyBorder="0" applyAlignment="0" applyProtection="0"/>
    <xf numFmtId="0" fontId="44" fillId="3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38" borderId="0" applyNumberFormat="0" applyBorder="0" applyAlignment="0" applyProtection="0"/>
    <xf numFmtId="0" fontId="44" fillId="8" borderId="0" applyNumberFormat="0" applyBorder="0" applyAlignment="0" applyProtection="0"/>
    <xf numFmtId="0" fontId="44" fillId="38" borderId="0" applyNumberFormat="0" applyBorder="0" applyAlignment="0" applyProtection="0"/>
    <xf numFmtId="0" fontId="44" fillId="8" borderId="0" applyNumberFormat="0" applyBorder="0" applyAlignment="0" applyProtection="0"/>
    <xf numFmtId="0" fontId="44" fillId="38" borderId="0" applyNumberFormat="0" applyBorder="0" applyAlignment="0" applyProtection="0"/>
    <xf numFmtId="0" fontId="44" fillId="8" borderId="0" applyNumberFormat="0" applyBorder="0" applyAlignment="0" applyProtection="0"/>
    <xf numFmtId="0" fontId="44" fillId="38" borderId="0" applyNumberFormat="0" applyBorder="0" applyAlignment="0" applyProtection="0"/>
    <xf numFmtId="0" fontId="44" fillId="8" borderId="0" applyNumberFormat="0" applyBorder="0" applyAlignment="0" applyProtection="0"/>
    <xf numFmtId="0" fontId="44" fillId="38" borderId="0" applyNumberFormat="0" applyBorder="0" applyAlignment="0" applyProtection="0"/>
    <xf numFmtId="0" fontId="44" fillId="8"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8" borderId="0" applyNumberFormat="0" applyBorder="0" applyAlignment="0" applyProtection="0"/>
    <xf numFmtId="0" fontId="44" fillId="3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38" borderId="0" applyNumberFormat="0" applyBorder="0" applyAlignment="0" applyProtection="0"/>
    <xf numFmtId="0" fontId="44" fillId="8" borderId="0" applyNumberFormat="0" applyBorder="0" applyAlignment="0" applyProtection="0"/>
    <xf numFmtId="0" fontId="44" fillId="38" borderId="0" applyNumberFormat="0" applyBorder="0" applyAlignment="0" applyProtection="0"/>
    <xf numFmtId="0" fontId="44" fillId="8" borderId="0" applyNumberFormat="0" applyBorder="0" applyAlignment="0" applyProtection="0"/>
    <xf numFmtId="0" fontId="44" fillId="38" borderId="0" applyNumberFormat="0" applyBorder="0" applyAlignment="0" applyProtection="0"/>
    <xf numFmtId="0" fontId="44" fillId="8" borderId="0" applyNumberFormat="0" applyBorder="0" applyAlignment="0" applyProtection="0"/>
    <xf numFmtId="0" fontId="44" fillId="38" borderId="0" applyNumberFormat="0" applyBorder="0" applyAlignment="0" applyProtection="0"/>
    <xf numFmtId="0" fontId="44" fillId="8" borderId="0" applyNumberFormat="0" applyBorder="0" applyAlignment="0" applyProtection="0"/>
    <xf numFmtId="0" fontId="44" fillId="38" borderId="0" applyNumberFormat="0" applyBorder="0" applyAlignment="0" applyProtection="0"/>
    <xf numFmtId="0" fontId="44" fillId="8" borderId="0" applyNumberFormat="0" applyBorder="0" applyAlignment="0" applyProtection="0"/>
    <xf numFmtId="0" fontId="44" fillId="3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8" borderId="0" applyNumberFormat="0" applyBorder="0" applyAlignment="0" applyProtection="0"/>
    <xf numFmtId="0" fontId="44" fillId="3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38" borderId="0" applyNumberFormat="0" applyBorder="0" applyAlignment="0" applyProtection="0"/>
    <xf numFmtId="0" fontId="44" fillId="8" borderId="0" applyNumberFormat="0" applyBorder="0" applyAlignment="0" applyProtection="0"/>
    <xf numFmtId="0" fontId="44" fillId="38" borderId="0" applyNumberFormat="0" applyBorder="0" applyAlignment="0" applyProtection="0"/>
    <xf numFmtId="0" fontId="44" fillId="8" borderId="0" applyNumberFormat="0" applyBorder="0" applyAlignment="0" applyProtection="0"/>
    <xf numFmtId="0" fontId="44" fillId="38" borderId="0" applyNumberFormat="0" applyBorder="0" applyAlignment="0" applyProtection="0"/>
    <xf numFmtId="0" fontId="44" fillId="8" borderId="0" applyNumberFormat="0" applyBorder="0" applyAlignment="0" applyProtection="0"/>
    <xf numFmtId="0" fontId="44" fillId="38" borderId="0" applyNumberFormat="0" applyBorder="0" applyAlignment="0" applyProtection="0"/>
    <xf numFmtId="0" fontId="44" fillId="8" borderId="0" applyNumberFormat="0" applyBorder="0" applyAlignment="0" applyProtection="0"/>
    <xf numFmtId="0" fontId="44" fillId="38" borderId="0" applyNumberFormat="0" applyBorder="0" applyAlignment="0" applyProtection="0"/>
    <xf numFmtId="0" fontId="44" fillId="8" borderId="0" applyNumberFormat="0" applyBorder="0" applyAlignment="0" applyProtection="0"/>
    <xf numFmtId="0" fontId="44" fillId="3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8" borderId="0" applyNumberFormat="0" applyBorder="0" applyAlignment="0" applyProtection="0"/>
    <xf numFmtId="0" fontId="44" fillId="3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38" borderId="0" applyNumberFormat="0" applyBorder="0" applyAlignment="0" applyProtection="0"/>
    <xf numFmtId="0" fontId="44" fillId="8" borderId="0" applyNumberFormat="0" applyBorder="0" applyAlignment="0" applyProtection="0"/>
    <xf numFmtId="0" fontId="44" fillId="38" borderId="0" applyNumberFormat="0" applyBorder="0" applyAlignment="0" applyProtection="0"/>
    <xf numFmtId="0" fontId="44" fillId="8" borderId="0" applyNumberFormat="0" applyBorder="0" applyAlignment="0" applyProtection="0"/>
    <xf numFmtId="0" fontId="44" fillId="38" borderId="0" applyNumberFormat="0" applyBorder="0" applyAlignment="0" applyProtection="0"/>
    <xf numFmtId="0" fontId="44" fillId="8" borderId="0" applyNumberFormat="0" applyBorder="0" applyAlignment="0" applyProtection="0"/>
    <xf numFmtId="0" fontId="44" fillId="38" borderId="0" applyNumberFormat="0" applyBorder="0" applyAlignment="0" applyProtection="0"/>
    <xf numFmtId="0" fontId="44" fillId="8" borderId="0" applyNumberFormat="0" applyBorder="0" applyAlignment="0" applyProtection="0"/>
    <xf numFmtId="0" fontId="44" fillId="38" borderId="0" applyNumberFormat="0" applyBorder="0" applyAlignment="0" applyProtection="0"/>
    <xf numFmtId="0" fontId="44" fillId="8"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8" borderId="0" applyNumberFormat="0" applyBorder="0" applyAlignment="0" applyProtection="0"/>
    <xf numFmtId="0" fontId="44" fillId="3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38" borderId="0" applyNumberFormat="0" applyBorder="0" applyAlignment="0" applyProtection="0"/>
    <xf numFmtId="0" fontId="44" fillId="8" borderId="0" applyNumberFormat="0" applyBorder="0" applyAlignment="0" applyProtection="0"/>
    <xf numFmtId="0" fontId="44" fillId="38" borderId="0" applyNumberFormat="0" applyBorder="0" applyAlignment="0" applyProtection="0"/>
    <xf numFmtId="0" fontId="44" fillId="8" borderId="0" applyNumberFormat="0" applyBorder="0" applyAlignment="0" applyProtection="0"/>
    <xf numFmtId="0" fontId="44" fillId="38" borderId="0" applyNumberFormat="0" applyBorder="0" applyAlignment="0" applyProtection="0"/>
    <xf numFmtId="0" fontId="44" fillId="8" borderId="0" applyNumberFormat="0" applyBorder="0" applyAlignment="0" applyProtection="0"/>
    <xf numFmtId="0" fontId="44" fillId="38" borderId="0" applyNumberFormat="0" applyBorder="0" applyAlignment="0" applyProtection="0"/>
    <xf numFmtId="0" fontId="44" fillId="8" borderId="0" applyNumberFormat="0" applyBorder="0" applyAlignment="0" applyProtection="0"/>
    <xf numFmtId="0" fontId="44" fillId="38" borderId="0" applyNumberFormat="0" applyBorder="0" applyAlignment="0" applyProtection="0"/>
    <xf numFmtId="0" fontId="44" fillId="8" borderId="0" applyNumberFormat="0" applyBorder="0" applyAlignment="0" applyProtection="0"/>
    <xf numFmtId="0" fontId="44" fillId="3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8" borderId="0" applyNumberFormat="0" applyBorder="0" applyAlignment="0" applyProtection="0"/>
    <xf numFmtId="0" fontId="44" fillId="3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38" borderId="0" applyNumberFormat="0" applyBorder="0" applyAlignment="0" applyProtection="0"/>
    <xf numFmtId="0" fontId="44" fillId="8" borderId="0" applyNumberFormat="0" applyBorder="0" applyAlignment="0" applyProtection="0"/>
    <xf numFmtId="0" fontId="44" fillId="38" borderId="0" applyNumberFormat="0" applyBorder="0" applyAlignment="0" applyProtection="0"/>
    <xf numFmtId="0" fontId="44" fillId="8" borderId="0" applyNumberFormat="0" applyBorder="0" applyAlignment="0" applyProtection="0"/>
    <xf numFmtId="0" fontId="44" fillId="38" borderId="0" applyNumberFormat="0" applyBorder="0" applyAlignment="0" applyProtection="0"/>
    <xf numFmtId="0" fontId="44" fillId="8" borderId="0" applyNumberFormat="0" applyBorder="0" applyAlignment="0" applyProtection="0"/>
    <xf numFmtId="0" fontId="44" fillId="38" borderId="0" applyNumberFormat="0" applyBorder="0" applyAlignment="0" applyProtection="0"/>
    <xf numFmtId="0" fontId="44" fillId="8" borderId="0" applyNumberFormat="0" applyBorder="0" applyAlignment="0" applyProtection="0"/>
    <xf numFmtId="0" fontId="44" fillId="38" borderId="0" applyNumberFormat="0" applyBorder="0" applyAlignment="0" applyProtection="0"/>
    <xf numFmtId="0" fontId="44" fillId="8" borderId="0" applyNumberFormat="0" applyBorder="0" applyAlignment="0" applyProtection="0"/>
    <xf numFmtId="0" fontId="44" fillId="3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49" fontId="46" fillId="0" borderId="0" applyFill="0" applyBorder="0" applyProtection="0">
      <alignment horizontal="left" vertical="center"/>
    </xf>
    <xf numFmtId="0" fontId="47" fillId="0" borderId="0" applyNumberFormat="0" applyFill="0" applyBorder="0" applyProtection="0">
      <alignment horizontal="left" vertical="center"/>
    </xf>
    <xf numFmtId="0" fontId="47" fillId="0" borderId="0" applyNumberFormat="0" applyFill="0" applyBorder="0" applyProtection="0">
      <alignment horizontal="right" vertical="center"/>
    </xf>
    <xf numFmtId="0" fontId="46" fillId="0" borderId="1" applyNumberFormat="0" applyFill="0" applyProtection="0">
      <alignment horizontal="left" vertical="center"/>
    </xf>
    <xf numFmtId="0" fontId="46" fillId="0" borderId="1" applyNumberFormat="0" applyFill="0" applyProtection="0">
      <alignment horizontal="left" vertical="center"/>
    </xf>
    <xf numFmtId="0" fontId="46" fillId="0" borderId="1" applyNumberFormat="0" applyFill="0" applyProtection="0">
      <alignment horizontal="left" vertical="center"/>
    </xf>
    <xf numFmtId="0" fontId="46" fillId="0" borderId="1" applyNumberFormat="0" applyFill="0" applyProtection="0">
      <alignment horizontal="left" vertical="center"/>
    </xf>
    <xf numFmtId="0" fontId="46" fillId="0" borderId="1" applyNumberFormat="0" applyFill="0" applyProtection="0">
      <alignment horizontal="left" vertical="center"/>
    </xf>
    <xf numFmtId="0" fontId="46" fillId="0" borderId="1" applyNumberFormat="0" applyFill="0" applyProtection="0">
      <alignment horizontal="left" vertical="center"/>
    </xf>
    <xf numFmtId="0" fontId="46" fillId="0" borderId="1" applyNumberFormat="0" applyFill="0" applyProtection="0">
      <alignment horizontal="left" vertical="center"/>
    </xf>
    <xf numFmtId="0" fontId="46" fillId="0" borderId="1" applyNumberFormat="0" applyFill="0" applyProtection="0">
      <alignment horizontal="left" vertical="center"/>
    </xf>
    <xf numFmtId="0" fontId="46" fillId="0" borderId="1" applyNumberFormat="0" applyFill="0" applyProtection="0">
      <alignment horizontal="left" vertical="center"/>
    </xf>
    <xf numFmtId="0" fontId="46" fillId="0" borderId="1" applyNumberFormat="0" applyFill="0" applyProtection="0">
      <alignment horizontal="left" vertical="center"/>
    </xf>
    <xf numFmtId="0" fontId="46" fillId="0" borderId="1" applyNumberFormat="0" applyFill="0" applyProtection="0">
      <alignment horizontal="left" vertical="center"/>
    </xf>
    <xf numFmtId="0" fontId="46" fillId="0" borderId="1" applyNumberFormat="0" applyFill="0" applyProtection="0">
      <alignment horizontal="left" vertical="center"/>
    </xf>
    <xf numFmtId="0" fontId="46" fillId="0" borderId="1" applyNumberFormat="0" applyFill="0" applyProtection="0">
      <alignment horizontal="left" vertical="center"/>
    </xf>
    <xf numFmtId="0" fontId="46" fillId="0" borderId="1" applyNumberFormat="0" applyFill="0" applyProtection="0">
      <alignment horizontal="left" vertical="center"/>
    </xf>
    <xf numFmtId="0" fontId="46" fillId="0" borderId="1" applyNumberFormat="0" applyFill="0" applyProtection="0">
      <alignment horizontal="left" vertical="center"/>
    </xf>
    <xf numFmtId="0" fontId="46" fillId="0" borderId="1" applyNumberFormat="0" applyFill="0" applyProtection="0">
      <alignment horizontal="left" vertical="center"/>
    </xf>
    <xf numFmtId="0" fontId="46" fillId="0" borderId="1" applyNumberFormat="0" applyFill="0" applyProtection="0">
      <alignment horizontal="left" vertical="center"/>
    </xf>
    <xf numFmtId="0" fontId="46" fillId="0" borderId="1" applyNumberFormat="0" applyFill="0" applyProtection="0">
      <alignment horizontal="left" vertical="center"/>
    </xf>
    <xf numFmtId="0" fontId="33" fillId="0" borderId="1" applyNumberFormat="0" applyFont="0" applyFill="0" applyAlignment="0" applyProtection="0"/>
    <xf numFmtId="0" fontId="40" fillId="0" borderId="1" applyNumberFormat="0" applyFont="0" applyFill="0" applyAlignment="0" applyProtection="0"/>
    <xf numFmtId="0" fontId="33" fillId="0" borderId="1" applyNumberFormat="0" applyFont="0" applyFill="0" applyAlignment="0" applyProtection="0"/>
    <xf numFmtId="0" fontId="33" fillId="0" borderId="1" applyNumberFormat="0" applyFont="0" applyFill="0" applyAlignment="0" applyProtection="0"/>
    <xf numFmtId="0" fontId="33" fillId="0" borderId="1" applyNumberFormat="0" applyFont="0" applyFill="0" applyAlignment="0" applyProtection="0"/>
    <xf numFmtId="0" fontId="33" fillId="0" borderId="1" applyNumberFormat="0" applyFont="0" applyFill="0" applyAlignment="0" applyProtection="0"/>
    <xf numFmtId="0" fontId="33" fillId="0" borderId="1" applyNumberFormat="0" applyFont="0" applyFill="0" applyAlignment="0" applyProtection="0"/>
    <xf numFmtId="0" fontId="33" fillId="0" borderId="1" applyNumberFormat="0" applyFont="0" applyFill="0" applyAlignment="0" applyProtection="0"/>
    <xf numFmtId="0" fontId="33" fillId="0" borderId="1" applyNumberFormat="0" applyFont="0" applyFill="0" applyAlignment="0" applyProtection="0"/>
    <xf numFmtId="0" fontId="33" fillId="0" borderId="1" applyNumberFormat="0" applyFont="0" applyFill="0" applyAlignment="0" applyProtection="0"/>
    <xf numFmtId="0" fontId="33" fillId="0" borderId="1" applyNumberFormat="0" applyFont="0" applyFill="0" applyAlignment="0" applyProtection="0"/>
    <xf numFmtId="0" fontId="33" fillId="0" borderId="1" applyNumberFormat="0" applyFont="0" applyFill="0" applyAlignment="0" applyProtection="0"/>
    <xf numFmtId="0" fontId="33" fillId="0" borderId="1" applyNumberFormat="0" applyFont="0" applyFill="0" applyAlignment="0" applyProtection="0"/>
    <xf numFmtId="0" fontId="33" fillId="0" borderId="1" applyNumberFormat="0" applyFont="0" applyFill="0" applyAlignment="0" applyProtection="0"/>
    <xf numFmtId="0" fontId="33" fillId="0" borderId="1" applyNumberFormat="0" applyFont="0" applyFill="0" applyAlignment="0" applyProtection="0"/>
    <xf numFmtId="0" fontId="33" fillId="0" borderId="1" applyNumberFormat="0" applyFont="0" applyFill="0" applyAlignment="0" applyProtection="0"/>
    <xf numFmtId="0" fontId="33" fillId="0" borderId="1" applyNumberFormat="0" applyFont="0" applyFill="0" applyAlignment="0" applyProtection="0"/>
    <xf numFmtId="0" fontId="33" fillId="0" borderId="1" applyNumberFormat="0" applyFont="0" applyFill="0" applyAlignment="0" applyProtection="0"/>
    <xf numFmtId="0" fontId="33" fillId="0" borderId="1" applyNumberFormat="0" applyFont="0" applyFill="0" applyAlignment="0" applyProtection="0"/>
    <xf numFmtId="0" fontId="33" fillId="0" borderId="1" applyNumberFormat="0" applyFont="0" applyFill="0" applyAlignment="0" applyProtection="0"/>
    <xf numFmtId="0" fontId="33" fillId="0" borderId="1" applyNumberFormat="0" applyFont="0" applyFill="0" applyAlignment="0" applyProtection="0"/>
    <xf numFmtId="0" fontId="40" fillId="0" borderId="1" applyNumberFormat="0" applyFont="0" applyFill="0" applyAlignment="0" applyProtection="0"/>
    <xf numFmtId="0" fontId="33" fillId="0" borderId="1" applyNumberFormat="0" applyFont="0" applyFill="0" applyAlignment="0" applyProtection="0"/>
    <xf numFmtId="0" fontId="27" fillId="0" borderId="0">
      <alignment horizontal="left"/>
    </xf>
    <xf numFmtId="43" fontId="33" fillId="0" borderId="0" applyFont="0" applyFill="0" applyBorder="0" applyAlignment="0" applyProtection="0"/>
    <xf numFmtId="41" fontId="33" fillId="0" borderId="0" applyFont="0" applyFill="0" applyBorder="0" applyAlignment="0" applyProtection="0"/>
    <xf numFmtId="41" fontId="33" fillId="0" borderId="0" applyFont="0" applyFill="0" applyBorder="0" applyAlignment="0" applyProtection="0"/>
    <xf numFmtId="41" fontId="40" fillId="0" borderId="0" applyFont="0" applyFill="0" applyBorder="0" applyAlignment="0" applyProtection="0"/>
    <xf numFmtId="41" fontId="33" fillId="0" borderId="0" applyFont="0" applyFill="0" applyBorder="0" applyAlignment="0" applyProtection="0"/>
    <xf numFmtId="43" fontId="40" fillId="0" borderId="0" applyFont="0" applyFill="0" applyBorder="0" applyAlignment="0" applyProtection="0"/>
    <xf numFmtId="43" fontId="33" fillId="0" borderId="0" applyFont="0" applyFill="0" applyBorder="0" applyAlignment="0" applyProtection="0"/>
    <xf numFmtId="43" fontId="40" fillId="0" borderId="0" applyFont="0" applyFill="0" applyBorder="0" applyAlignment="0" applyProtection="0"/>
    <xf numFmtId="43" fontId="33" fillId="0" borderId="0" applyFont="0" applyFill="0" applyBorder="0" applyAlignment="0" applyProtection="0"/>
    <xf numFmtId="43" fontId="40" fillId="0" borderId="0" applyFont="0" applyFill="0" applyBorder="0" applyAlignment="0" applyProtection="0"/>
    <xf numFmtId="43" fontId="33" fillId="0" borderId="0" applyFont="0" applyFill="0" applyBorder="0" applyAlignment="0" applyProtection="0"/>
    <xf numFmtId="43" fontId="40" fillId="0" borderId="0" applyFont="0" applyFill="0" applyBorder="0" applyAlignment="0" applyProtection="0"/>
    <xf numFmtId="43" fontId="33" fillId="0" borderId="0" applyFont="0" applyFill="0" applyBorder="0" applyAlignment="0" applyProtection="0"/>
    <xf numFmtId="43" fontId="40" fillId="0" borderId="0" applyFont="0" applyFill="0" applyBorder="0" applyAlignment="0" applyProtection="0"/>
    <xf numFmtId="43" fontId="33" fillId="0" borderId="0" applyFont="0" applyFill="0" applyBorder="0" applyAlignment="0" applyProtection="0"/>
    <xf numFmtId="43" fontId="40" fillId="0" borderId="0" applyFont="0" applyFill="0" applyBorder="0" applyAlignment="0" applyProtection="0"/>
    <xf numFmtId="43" fontId="33" fillId="0" borderId="0" applyFont="0" applyFill="0" applyBorder="0" applyAlignment="0" applyProtection="0"/>
    <xf numFmtId="43" fontId="40" fillId="0" borderId="0" applyFont="0" applyFill="0" applyBorder="0" applyAlignment="0" applyProtection="0"/>
    <xf numFmtId="43" fontId="33" fillId="0" borderId="0" applyFont="0" applyFill="0" applyBorder="0" applyAlignment="0" applyProtection="0"/>
    <xf numFmtId="43" fontId="40" fillId="0" borderId="0" applyFont="0" applyFill="0" applyBorder="0" applyAlignment="0" applyProtection="0"/>
    <xf numFmtId="43" fontId="33" fillId="0" borderId="0" applyFont="0" applyFill="0" applyBorder="0" applyAlignment="0" applyProtection="0"/>
    <xf numFmtId="43" fontId="40" fillId="0" borderId="0" applyFont="0" applyFill="0" applyBorder="0" applyAlignment="0" applyProtection="0"/>
    <xf numFmtId="43" fontId="33" fillId="0" borderId="0" applyFont="0" applyFill="0" applyBorder="0" applyAlignment="0" applyProtection="0"/>
    <xf numFmtId="43" fontId="4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40" fillId="0" borderId="0" applyFont="0" applyFill="0" applyBorder="0" applyAlignment="0" applyProtection="0"/>
    <xf numFmtId="43" fontId="33" fillId="0" borderId="0" applyFont="0" applyFill="0" applyBorder="0" applyAlignment="0" applyProtection="0"/>
    <xf numFmtId="43" fontId="40" fillId="0" borderId="0" applyFont="0" applyFill="0" applyBorder="0" applyAlignment="0" applyProtection="0"/>
    <xf numFmtId="43" fontId="33" fillId="0" borderId="0" applyFont="0" applyFill="0" applyBorder="0" applyAlignment="0" applyProtection="0"/>
    <xf numFmtId="43" fontId="40" fillId="0" borderId="0" applyFont="0" applyFill="0" applyBorder="0" applyAlignment="0" applyProtection="0"/>
    <xf numFmtId="43" fontId="33" fillId="0" borderId="0" applyFont="0" applyFill="0" applyBorder="0" applyAlignment="0" applyProtection="0"/>
    <xf numFmtId="43" fontId="40" fillId="0" borderId="0" applyFont="0" applyFill="0" applyBorder="0" applyAlignment="0" applyProtection="0"/>
    <xf numFmtId="43" fontId="33" fillId="0" borderId="0" applyFont="0" applyFill="0" applyBorder="0" applyAlignment="0" applyProtection="0"/>
    <xf numFmtId="43" fontId="40" fillId="0" borderId="0" applyFont="0" applyFill="0" applyBorder="0" applyAlignment="0" applyProtection="0"/>
    <xf numFmtId="43" fontId="33" fillId="0" borderId="0" applyFont="0" applyFill="0" applyBorder="0" applyAlignment="0" applyProtection="0"/>
    <xf numFmtId="43" fontId="40" fillId="0" borderId="0" applyFont="0" applyFill="0" applyBorder="0" applyAlignment="0" applyProtection="0"/>
    <xf numFmtId="43" fontId="33" fillId="0" borderId="0" applyFont="0" applyFill="0" applyBorder="0" applyAlignment="0" applyProtection="0"/>
    <xf numFmtId="43" fontId="40" fillId="0" borderId="0" applyFont="0" applyFill="0" applyBorder="0" applyAlignment="0" applyProtection="0"/>
    <xf numFmtId="43" fontId="33" fillId="0" borderId="0" applyFont="0" applyFill="0" applyBorder="0" applyAlignment="0" applyProtection="0"/>
    <xf numFmtId="43" fontId="40" fillId="0" borderId="0" applyFont="0" applyFill="0" applyBorder="0" applyAlignment="0" applyProtection="0"/>
    <xf numFmtId="43" fontId="33" fillId="0" borderId="0" applyFont="0" applyFill="0" applyBorder="0" applyAlignment="0" applyProtection="0"/>
    <xf numFmtId="176" fontId="33" fillId="0" borderId="0" applyFont="0" applyFill="0" applyBorder="0" applyAlignment="0" applyProtection="0"/>
    <xf numFmtId="42" fontId="33" fillId="0" borderId="0" applyFont="0" applyFill="0" applyBorder="0" applyAlignment="0" applyProtection="0"/>
    <xf numFmtId="42" fontId="33" fillId="0" borderId="0" applyFont="0" applyFill="0" applyBorder="0" applyAlignment="0" applyProtection="0"/>
    <xf numFmtId="42" fontId="40" fillId="0" borderId="0" applyFont="0" applyFill="0" applyBorder="0" applyAlignment="0" applyProtection="0"/>
    <xf numFmtId="42" fontId="33" fillId="0" borderId="0" applyFont="0" applyFill="0" applyBorder="0" applyAlignment="0" applyProtection="0"/>
    <xf numFmtId="176" fontId="40" fillId="0" borderId="0" applyFont="0" applyFill="0" applyBorder="0" applyAlignment="0" applyProtection="0"/>
    <xf numFmtId="176" fontId="33" fillId="0" borderId="0" applyFont="0" applyFill="0" applyBorder="0" applyAlignment="0" applyProtection="0"/>
    <xf numFmtId="176" fontId="40" fillId="0" borderId="0" applyFont="0" applyFill="0" applyBorder="0" applyAlignment="0" applyProtection="0"/>
    <xf numFmtId="176" fontId="33" fillId="0" borderId="0" applyFont="0" applyFill="0" applyBorder="0" applyAlignment="0" applyProtection="0"/>
    <xf numFmtId="176" fontId="40" fillId="0" borderId="0" applyFont="0" applyFill="0" applyBorder="0" applyAlignment="0" applyProtection="0"/>
    <xf numFmtId="176" fontId="33" fillId="0" borderId="0" applyFont="0" applyFill="0" applyBorder="0" applyAlignment="0" applyProtection="0"/>
    <xf numFmtId="176" fontId="40" fillId="0" borderId="0" applyFont="0" applyFill="0" applyBorder="0" applyAlignment="0" applyProtection="0"/>
    <xf numFmtId="176" fontId="33" fillId="0" borderId="0" applyFont="0" applyFill="0" applyBorder="0" applyAlignment="0" applyProtection="0"/>
    <xf numFmtId="176" fontId="40" fillId="0" borderId="0" applyFont="0" applyFill="0" applyBorder="0" applyAlignment="0" applyProtection="0"/>
    <xf numFmtId="176" fontId="33" fillId="0" borderId="0" applyFont="0" applyFill="0" applyBorder="0" applyAlignment="0" applyProtection="0"/>
    <xf numFmtId="176" fontId="40" fillId="0" borderId="0" applyFont="0" applyFill="0" applyBorder="0" applyAlignment="0" applyProtection="0"/>
    <xf numFmtId="176" fontId="33" fillId="0" borderId="0" applyFont="0" applyFill="0" applyBorder="0" applyAlignment="0" applyProtection="0"/>
    <xf numFmtId="176" fontId="40" fillId="0" borderId="0" applyFont="0" applyFill="0" applyBorder="0" applyAlignment="0" applyProtection="0"/>
    <xf numFmtId="176" fontId="33" fillId="0" borderId="0" applyFont="0" applyFill="0" applyBorder="0" applyAlignment="0" applyProtection="0"/>
    <xf numFmtId="176" fontId="40" fillId="0" borderId="0" applyFont="0" applyFill="0" applyBorder="0" applyAlignment="0" applyProtection="0"/>
    <xf numFmtId="176" fontId="33" fillId="0" borderId="0" applyFont="0" applyFill="0" applyBorder="0" applyAlignment="0" applyProtection="0"/>
    <xf numFmtId="176" fontId="40" fillId="0" borderId="0" applyFont="0" applyFill="0" applyBorder="0" applyAlignment="0" applyProtection="0"/>
    <xf numFmtId="176" fontId="33" fillId="0" borderId="0" applyFont="0" applyFill="0" applyBorder="0" applyAlignment="0" applyProtection="0"/>
    <xf numFmtId="176" fontId="40"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40" fillId="0" borderId="0" applyFont="0" applyFill="0" applyBorder="0" applyAlignment="0" applyProtection="0"/>
    <xf numFmtId="176" fontId="33" fillId="0" borderId="0" applyFont="0" applyFill="0" applyBorder="0" applyAlignment="0" applyProtection="0"/>
    <xf numFmtId="176" fontId="40" fillId="0" borderId="0" applyFont="0" applyFill="0" applyBorder="0" applyAlignment="0" applyProtection="0"/>
    <xf numFmtId="176" fontId="33" fillId="0" borderId="0" applyFont="0" applyFill="0" applyBorder="0" applyAlignment="0" applyProtection="0"/>
    <xf numFmtId="176" fontId="40" fillId="0" borderId="0" applyFont="0" applyFill="0" applyBorder="0" applyAlignment="0" applyProtection="0"/>
    <xf numFmtId="176" fontId="33" fillId="0" borderId="0" applyFont="0" applyFill="0" applyBorder="0" applyAlignment="0" applyProtection="0"/>
    <xf numFmtId="176" fontId="40" fillId="0" borderId="0" applyFont="0" applyFill="0" applyBorder="0" applyAlignment="0" applyProtection="0"/>
    <xf numFmtId="176" fontId="33" fillId="0" borderId="0" applyFont="0" applyFill="0" applyBorder="0" applyAlignment="0" applyProtection="0"/>
    <xf numFmtId="176" fontId="40" fillId="0" borderId="0" applyFont="0" applyFill="0" applyBorder="0" applyAlignment="0" applyProtection="0"/>
    <xf numFmtId="176" fontId="33" fillId="0" borderId="0" applyFont="0" applyFill="0" applyBorder="0" applyAlignment="0" applyProtection="0"/>
    <xf numFmtId="176" fontId="40" fillId="0" borderId="0" applyFont="0" applyFill="0" applyBorder="0" applyAlignment="0" applyProtection="0"/>
    <xf numFmtId="176" fontId="33" fillId="0" borderId="0" applyFont="0" applyFill="0" applyBorder="0" applyAlignment="0" applyProtection="0"/>
    <xf numFmtId="176" fontId="40" fillId="0" borderId="0" applyFont="0" applyFill="0" applyBorder="0" applyAlignment="0" applyProtection="0"/>
    <xf numFmtId="176" fontId="33" fillId="0" borderId="0" applyFont="0" applyFill="0" applyBorder="0" applyAlignment="0" applyProtection="0"/>
    <xf numFmtId="176" fontId="40" fillId="0" borderId="0" applyFont="0" applyFill="0" applyBorder="0" applyAlignment="0" applyProtection="0"/>
    <xf numFmtId="176" fontId="33" fillId="0" borderId="0" applyFont="0" applyFill="0" applyBorder="0" applyAlignment="0" applyProtection="0"/>
    <xf numFmtId="14" fontId="46" fillId="0" borderId="0" applyFill="0" applyBorder="0" applyProtection="0">
      <alignment horizontal="right" vertical="center"/>
    </xf>
    <xf numFmtId="22" fontId="46" fillId="0" borderId="0" applyFill="0" applyBorder="0" applyProtection="0">
      <alignment horizontal="right" vertical="center"/>
    </xf>
    <xf numFmtId="4" fontId="46" fillId="0" borderId="0" applyFill="0" applyBorder="0" applyProtection="0">
      <alignment horizontal="right" vertical="center"/>
    </xf>
    <xf numFmtId="4" fontId="46" fillId="0" borderId="1" applyFill="0" applyProtection="0">
      <alignment horizontal="right" vertical="center"/>
    </xf>
    <xf numFmtId="4" fontId="46" fillId="0" borderId="1" applyFill="0" applyProtection="0">
      <alignment horizontal="right" vertical="center"/>
    </xf>
    <xf numFmtId="4" fontId="46" fillId="0" borderId="1" applyFill="0" applyProtection="0">
      <alignment horizontal="right" vertical="center"/>
    </xf>
    <xf numFmtId="4" fontId="46" fillId="0" borderId="1" applyFill="0" applyProtection="0">
      <alignment horizontal="right" vertical="center"/>
    </xf>
    <xf numFmtId="4" fontId="46" fillId="0" borderId="1" applyFill="0" applyProtection="0">
      <alignment horizontal="right" vertical="center"/>
    </xf>
    <xf numFmtId="4" fontId="46" fillId="0" borderId="1" applyFill="0" applyProtection="0">
      <alignment horizontal="right" vertical="center"/>
    </xf>
    <xf numFmtId="4" fontId="46" fillId="0" borderId="1" applyFill="0" applyProtection="0">
      <alignment horizontal="right" vertical="center"/>
    </xf>
    <xf numFmtId="4" fontId="46" fillId="0" borderId="1" applyFill="0" applyProtection="0">
      <alignment horizontal="right" vertical="center"/>
    </xf>
    <xf numFmtId="4" fontId="46" fillId="0" borderId="1" applyFill="0" applyProtection="0">
      <alignment horizontal="right" vertical="center"/>
    </xf>
    <xf numFmtId="4" fontId="46" fillId="0" borderId="1" applyFill="0" applyProtection="0">
      <alignment horizontal="right" vertical="center"/>
    </xf>
    <xf numFmtId="4" fontId="46" fillId="0" borderId="1" applyFill="0" applyProtection="0">
      <alignment horizontal="right" vertical="center"/>
    </xf>
    <xf numFmtId="4" fontId="46" fillId="0" borderId="1" applyFill="0" applyProtection="0">
      <alignment horizontal="right" vertical="center"/>
    </xf>
    <xf numFmtId="4" fontId="46" fillId="0" borderId="1" applyFill="0" applyProtection="0">
      <alignment horizontal="right" vertical="center"/>
    </xf>
    <xf numFmtId="4" fontId="46" fillId="0" borderId="1" applyFill="0" applyProtection="0">
      <alignment horizontal="right" vertical="center"/>
    </xf>
    <xf numFmtId="4" fontId="46" fillId="0" borderId="1" applyFill="0" applyProtection="0">
      <alignment horizontal="right" vertical="center"/>
    </xf>
    <xf numFmtId="4" fontId="46" fillId="0" borderId="1" applyFill="0" applyProtection="0">
      <alignment horizontal="right" vertical="center"/>
    </xf>
    <xf numFmtId="4" fontId="46" fillId="0" borderId="1" applyFill="0" applyProtection="0">
      <alignment horizontal="right" vertical="center"/>
    </xf>
    <xf numFmtId="4" fontId="46" fillId="0" borderId="1" applyFill="0" applyProtection="0">
      <alignment horizontal="right" vertical="center"/>
    </xf>
    <xf numFmtId="0" fontId="45" fillId="42" borderId="0" applyNumberFormat="0" applyBorder="0" applyAlignment="0" applyProtection="0"/>
    <xf numFmtId="3" fontId="18" fillId="9" borderId="2">
      <alignment vertical="center" wrapText="1"/>
    </xf>
    <xf numFmtId="3" fontId="18" fillId="9" borderId="2">
      <alignment vertical="center" wrapText="1"/>
    </xf>
    <xf numFmtId="178" fontId="34" fillId="0" borderId="0" applyFill="0" applyBorder="0" applyAlignment="0" applyProtection="0"/>
    <xf numFmtId="177" fontId="46" fillId="0" borderId="0" applyFill="0" applyBorder="0" applyProtection="0">
      <alignment horizontal="right" vertical="center"/>
    </xf>
    <xf numFmtId="177" fontId="46" fillId="0" borderId="1" applyFill="0" applyProtection="0">
      <alignment horizontal="right" vertical="center"/>
    </xf>
    <xf numFmtId="177" fontId="46" fillId="0" borderId="1" applyFill="0" applyProtection="0">
      <alignment horizontal="right" vertical="center"/>
    </xf>
    <xf numFmtId="177" fontId="46" fillId="0" borderId="1" applyFill="0" applyProtection="0">
      <alignment horizontal="right" vertical="center"/>
    </xf>
    <xf numFmtId="177" fontId="46" fillId="0" borderId="1" applyFill="0" applyProtection="0">
      <alignment horizontal="right" vertical="center"/>
    </xf>
    <xf numFmtId="177" fontId="46" fillId="0" borderId="1" applyFill="0" applyProtection="0">
      <alignment horizontal="right" vertical="center"/>
    </xf>
    <xf numFmtId="177" fontId="46" fillId="0" borderId="1" applyFill="0" applyProtection="0">
      <alignment horizontal="right" vertical="center"/>
    </xf>
    <xf numFmtId="177" fontId="46" fillId="0" borderId="1" applyFill="0" applyProtection="0">
      <alignment horizontal="right" vertical="center"/>
    </xf>
    <xf numFmtId="177" fontId="46" fillId="0" borderId="1" applyFill="0" applyProtection="0">
      <alignment horizontal="right" vertical="center"/>
    </xf>
    <xf numFmtId="177" fontId="46" fillId="0" borderId="1" applyFill="0" applyProtection="0">
      <alignment horizontal="right" vertical="center"/>
    </xf>
    <xf numFmtId="177" fontId="46" fillId="0" borderId="1" applyFill="0" applyProtection="0">
      <alignment horizontal="right" vertical="center"/>
    </xf>
    <xf numFmtId="177" fontId="46" fillId="0" borderId="1" applyFill="0" applyProtection="0">
      <alignment horizontal="right" vertical="center"/>
    </xf>
    <xf numFmtId="177" fontId="46" fillId="0" borderId="1" applyFill="0" applyProtection="0">
      <alignment horizontal="right" vertical="center"/>
    </xf>
    <xf numFmtId="177" fontId="46" fillId="0" borderId="1" applyFill="0" applyProtection="0">
      <alignment horizontal="right" vertical="center"/>
    </xf>
    <xf numFmtId="177" fontId="46" fillId="0" borderId="1" applyFill="0" applyProtection="0">
      <alignment horizontal="right" vertical="center"/>
    </xf>
    <xf numFmtId="177" fontId="46" fillId="0" borderId="1" applyFill="0" applyProtection="0">
      <alignment horizontal="right" vertical="center"/>
    </xf>
    <xf numFmtId="177" fontId="46" fillId="0" borderId="1" applyFill="0" applyProtection="0">
      <alignment horizontal="right" vertical="center"/>
    </xf>
    <xf numFmtId="177" fontId="46" fillId="0" borderId="1" applyFill="0" applyProtection="0">
      <alignment horizontal="right" vertical="center"/>
    </xf>
    <xf numFmtId="177" fontId="46" fillId="0" borderId="1" applyFill="0" applyProtection="0">
      <alignment horizontal="right" vertical="center"/>
    </xf>
    <xf numFmtId="0" fontId="35" fillId="0" borderId="0"/>
    <xf numFmtId="0" fontId="28" fillId="0" borderId="0"/>
    <xf numFmtId="0" fontId="29" fillId="10" borderId="0" applyNumberFormat="0" applyBorder="0" applyAlignment="0" applyProtection="0"/>
    <xf numFmtId="0" fontId="47" fillId="43" borderId="0" applyNumberFormat="0" applyBorder="0" applyProtection="0">
      <alignment horizontal="center" vertical="center"/>
    </xf>
    <xf numFmtId="0" fontId="47" fillId="43" borderId="0" applyNumberFormat="0" applyBorder="0" applyProtection="0">
      <alignment horizontal="center" vertical="center"/>
    </xf>
    <xf numFmtId="0" fontId="47" fillId="11" borderId="0" applyNumberFormat="0" applyBorder="0" applyProtection="0">
      <alignment horizontal="center" vertical="center"/>
    </xf>
    <xf numFmtId="0" fontId="47" fillId="43" borderId="0" applyNumberFormat="0" applyBorder="0" applyProtection="0">
      <alignment horizontal="center" vertical="center"/>
    </xf>
    <xf numFmtId="0" fontId="47" fillId="11" borderId="0" applyNumberFormat="0" applyBorder="0" applyProtection="0">
      <alignment horizontal="center" vertical="center"/>
    </xf>
    <xf numFmtId="0" fontId="47" fillId="11" borderId="0" applyNumberFormat="0" applyBorder="0" applyProtection="0">
      <alignment horizontal="center" vertical="center"/>
    </xf>
    <xf numFmtId="0" fontId="47" fillId="44" borderId="0" applyNumberFormat="0" applyBorder="0" applyProtection="0">
      <alignment horizontal="center" vertical="center" wrapText="1"/>
    </xf>
    <xf numFmtId="0" fontId="47" fillId="12" borderId="0" applyNumberFormat="0" applyBorder="0" applyProtection="0">
      <alignment horizontal="center" vertical="center" wrapText="1"/>
    </xf>
    <xf numFmtId="0" fontId="46" fillId="44" borderId="0" applyNumberFormat="0" applyBorder="0" applyProtection="0">
      <alignment horizontal="right" vertical="center" wrapText="1"/>
    </xf>
    <xf numFmtId="0" fontId="46" fillId="12" borderId="0" applyNumberFormat="0" applyBorder="0" applyProtection="0">
      <alignment horizontal="right" vertical="center" wrapText="1"/>
    </xf>
    <xf numFmtId="0" fontId="47" fillId="45" borderId="0" applyNumberFormat="0" applyBorder="0" applyProtection="0">
      <alignment horizontal="center" vertical="center"/>
    </xf>
    <xf numFmtId="0" fontId="47" fillId="13" borderId="0" applyNumberFormat="0" applyBorder="0" applyProtection="0">
      <alignment horizontal="center" vertical="center"/>
    </xf>
    <xf numFmtId="0" fontId="47" fillId="46" borderId="0" applyNumberFormat="0" applyBorder="0" applyProtection="0">
      <alignment horizontal="center" vertical="center" wrapText="1"/>
    </xf>
    <xf numFmtId="0" fontId="47" fillId="46" borderId="0" applyNumberFormat="0" applyBorder="0" applyProtection="0">
      <alignment horizontal="right" vertical="center" wrapText="1"/>
    </xf>
    <xf numFmtId="0" fontId="48"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7" fillId="46" borderId="1" applyNumberFormat="0" applyProtection="0">
      <alignment horizontal="left" vertical="center" wrapText="1"/>
    </xf>
    <xf numFmtId="0" fontId="50" fillId="46" borderId="1" applyNumberFormat="0" applyProtection="0">
      <alignment horizontal="left" vertical="center"/>
    </xf>
    <xf numFmtId="0" fontId="50" fillId="46" borderId="1" applyNumberFormat="0" applyProtection="0">
      <alignment horizontal="left" vertical="center"/>
    </xf>
    <xf numFmtId="0" fontId="50" fillId="46" borderId="1" applyNumberFormat="0" applyProtection="0">
      <alignment horizontal="left" vertical="center"/>
    </xf>
    <xf numFmtId="0" fontId="50" fillId="46" borderId="1" applyNumberFormat="0" applyProtection="0">
      <alignment horizontal="left" vertical="center"/>
    </xf>
    <xf numFmtId="0" fontId="50" fillId="46" borderId="1" applyNumberFormat="0" applyProtection="0">
      <alignment horizontal="left" vertical="center"/>
    </xf>
    <xf numFmtId="0" fontId="50" fillId="46" borderId="1" applyNumberFormat="0" applyProtection="0">
      <alignment horizontal="left" vertical="center"/>
    </xf>
    <xf numFmtId="0" fontId="50" fillId="46" borderId="1" applyNumberFormat="0" applyProtection="0">
      <alignment horizontal="left" vertical="center"/>
    </xf>
    <xf numFmtId="0" fontId="50" fillId="46" borderId="1" applyNumberFormat="0" applyProtection="0">
      <alignment horizontal="left" vertical="center"/>
    </xf>
    <xf numFmtId="0" fontId="50" fillId="46" borderId="1" applyNumberFormat="0" applyProtection="0">
      <alignment horizontal="left" vertical="center"/>
    </xf>
    <xf numFmtId="0" fontId="50" fillId="46" borderId="1" applyNumberFormat="0" applyProtection="0">
      <alignment horizontal="left" vertical="center"/>
    </xf>
    <xf numFmtId="0" fontId="50" fillId="46" borderId="1" applyNumberFormat="0" applyProtection="0">
      <alignment horizontal="left" vertical="center"/>
    </xf>
    <xf numFmtId="0" fontId="50" fillId="46" borderId="1" applyNumberFormat="0" applyProtection="0">
      <alignment horizontal="left" vertical="center"/>
    </xf>
    <xf numFmtId="0" fontId="50" fillId="46" borderId="1" applyNumberFormat="0" applyProtection="0">
      <alignment horizontal="left" vertical="center"/>
    </xf>
    <xf numFmtId="0" fontId="50" fillId="46" borderId="1" applyNumberFormat="0" applyProtection="0">
      <alignment horizontal="left" vertical="center"/>
    </xf>
    <xf numFmtId="0" fontId="50" fillId="46" borderId="1" applyNumberFormat="0" applyProtection="0">
      <alignment horizontal="left" vertical="center"/>
    </xf>
    <xf numFmtId="0" fontId="50" fillId="46" borderId="1" applyNumberFormat="0" applyProtection="0">
      <alignment horizontal="left" vertical="center"/>
    </xf>
    <xf numFmtId="0" fontId="47" fillId="46" borderId="1" applyNumberFormat="0" applyProtection="0">
      <alignment horizontal="left" vertical="center" wrapText="1"/>
    </xf>
    <xf numFmtId="0" fontId="47" fillId="46" borderId="1" applyNumberFormat="0" applyProtection="0">
      <alignment horizontal="left" vertical="center" wrapText="1"/>
    </xf>
    <xf numFmtId="0" fontId="47" fillId="46" borderId="1" applyNumberFormat="0" applyProtection="0">
      <alignment horizontal="left" vertical="center" wrapText="1"/>
    </xf>
    <xf numFmtId="0" fontId="47" fillId="46" borderId="1" applyNumberFormat="0" applyProtection="0">
      <alignment horizontal="left" vertical="center" wrapText="1"/>
    </xf>
    <xf numFmtId="0" fontId="47" fillId="46" borderId="1" applyNumberFormat="0" applyProtection="0">
      <alignment horizontal="left" vertical="center" wrapText="1"/>
    </xf>
    <xf numFmtId="0" fontId="47" fillId="46" borderId="1" applyNumberFormat="0" applyProtection="0">
      <alignment horizontal="left" vertical="center" wrapText="1"/>
    </xf>
    <xf numFmtId="0" fontId="47" fillId="46" borderId="1" applyNumberFormat="0" applyProtection="0">
      <alignment horizontal="left" vertical="center" wrapText="1"/>
    </xf>
    <xf numFmtId="0" fontId="47" fillId="46" borderId="1" applyNumberFormat="0" applyProtection="0">
      <alignment horizontal="left" vertical="center" wrapText="1"/>
    </xf>
    <xf numFmtId="0" fontId="47" fillId="46" borderId="1" applyNumberFormat="0" applyProtection="0">
      <alignment horizontal="left" vertical="center" wrapText="1"/>
    </xf>
    <xf numFmtId="0" fontId="47" fillId="46" borderId="1" applyNumberFormat="0" applyProtection="0">
      <alignment horizontal="left" vertical="center" wrapText="1"/>
    </xf>
    <xf numFmtId="0" fontId="47" fillId="46" borderId="1" applyNumberFormat="0" applyProtection="0">
      <alignment horizontal="left" vertical="center" wrapText="1"/>
    </xf>
    <xf numFmtId="0" fontId="47" fillId="46" borderId="1" applyNumberFormat="0" applyProtection="0">
      <alignment horizontal="left" vertical="center" wrapText="1"/>
    </xf>
    <xf numFmtId="0" fontId="47" fillId="46" borderId="1" applyNumberFormat="0" applyProtection="0">
      <alignment horizontal="left" vertical="center" wrapText="1"/>
    </xf>
    <xf numFmtId="0" fontId="47" fillId="46" borderId="1" applyNumberFormat="0" applyProtection="0">
      <alignment horizontal="left" vertical="center" wrapText="1"/>
    </xf>
    <xf numFmtId="0" fontId="47" fillId="46" borderId="1" applyNumberFormat="0" applyProtection="0">
      <alignment horizontal="left" vertical="center" wrapText="1"/>
    </xf>
    <xf numFmtId="0" fontId="47" fillId="46" borderId="1" applyNumberFormat="0" applyProtection="0">
      <alignment horizontal="left" vertical="center" wrapText="1"/>
    </xf>
    <xf numFmtId="0" fontId="47" fillId="46" borderId="1" applyNumberFormat="0" applyProtection="0">
      <alignment horizontal="left" vertical="center" wrapText="1"/>
    </xf>
    <xf numFmtId="168" fontId="15" fillId="0" borderId="0" applyFont="0" applyFill="0" applyBorder="0" applyAlignment="0" applyProtection="0"/>
    <xf numFmtId="41" fontId="28" fillId="0" borderId="0" applyFont="0" applyFill="0" applyBorder="0" applyAlignment="0" applyProtection="0"/>
    <xf numFmtId="167" fontId="43" fillId="0" borderId="0" applyFont="0" applyFill="0" applyBorder="0" applyAlignment="0" applyProtection="0"/>
    <xf numFmtId="165" fontId="30" fillId="0" borderId="0" applyFont="0" applyFill="0" applyBorder="0" applyAlignment="0" applyProtection="0"/>
    <xf numFmtId="168" fontId="19" fillId="0" borderId="0" applyFont="0" applyFill="0" applyBorder="0" applyAlignment="0" applyProtection="0"/>
    <xf numFmtId="168" fontId="43" fillId="0" borderId="0" applyFont="0" applyFill="0" applyBorder="0" applyAlignment="0" applyProtection="0"/>
    <xf numFmtId="168" fontId="19" fillId="0" borderId="0" applyFont="0" applyFill="0" applyBorder="0" applyAlignment="0" applyProtection="0"/>
    <xf numFmtId="168" fontId="43" fillId="0" borderId="0" applyFont="0" applyFill="0" applyBorder="0" applyAlignment="0" applyProtection="0"/>
    <xf numFmtId="168" fontId="19" fillId="0" borderId="0" applyFont="0" applyFill="0" applyBorder="0" applyAlignment="0" applyProtection="0"/>
    <xf numFmtId="168" fontId="43" fillId="0" borderId="0" applyFont="0" applyFill="0" applyBorder="0" applyAlignment="0" applyProtection="0"/>
    <xf numFmtId="165" fontId="28" fillId="0" borderId="0" applyFont="0" applyFill="0" applyBorder="0" applyAlignment="0" applyProtection="0"/>
    <xf numFmtId="165" fontId="30" fillId="0" borderId="0" applyFont="0" applyFill="0" applyBorder="0" applyAlignment="0" applyProtection="0"/>
    <xf numFmtId="165" fontId="28" fillId="0" borderId="0" applyFont="0" applyFill="0" applyBorder="0" applyAlignment="0" applyProtection="0"/>
    <xf numFmtId="165" fontId="3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5" fillId="0" borderId="0" applyFont="0" applyFill="0" applyBorder="0" applyAlignment="0" applyProtection="0"/>
    <xf numFmtId="165" fontId="28" fillId="0" borderId="0" applyFont="0" applyFill="0" applyBorder="0" applyAlignment="0" applyProtection="0"/>
    <xf numFmtId="165" fontId="3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0" fillId="0" borderId="0" applyFont="0" applyFill="0" applyBorder="0" applyAlignment="0" applyProtection="0"/>
    <xf numFmtId="165" fontId="28" fillId="0" borderId="0" applyFont="0" applyFill="0" applyBorder="0" applyAlignment="0" applyProtection="0"/>
    <xf numFmtId="43" fontId="30" fillId="0" borderId="0" applyFont="0" applyFill="0" applyBorder="0" applyAlignment="0" applyProtection="0"/>
    <xf numFmtId="43" fontId="28" fillId="0" borderId="0" applyFont="0" applyFill="0" applyBorder="0" applyAlignment="0" applyProtection="0"/>
    <xf numFmtId="43" fontId="30" fillId="0" borderId="0" applyFont="0" applyFill="0" applyBorder="0" applyAlignment="0" applyProtection="0"/>
    <xf numFmtId="43" fontId="28" fillId="0" borderId="0" applyFont="0" applyFill="0" applyBorder="0" applyAlignment="0" applyProtection="0"/>
    <xf numFmtId="43" fontId="30" fillId="0" borderId="0" applyFont="0" applyFill="0" applyBorder="0" applyAlignment="0" applyProtection="0"/>
    <xf numFmtId="43" fontId="28"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65" fontId="28" fillId="0" borderId="0" applyFont="0" applyFill="0" applyBorder="0" applyAlignment="0" applyProtection="0"/>
    <xf numFmtId="165" fontId="35" fillId="0" borderId="0" applyFont="0" applyFill="0" applyBorder="0" applyAlignment="0" applyProtection="0"/>
    <xf numFmtId="165" fontId="28" fillId="0" borderId="0" applyFont="0" applyFill="0" applyBorder="0" applyAlignment="0" applyProtection="0"/>
    <xf numFmtId="168" fontId="19" fillId="0" borderId="0" applyFont="0" applyFill="0" applyBorder="0" applyAlignment="0" applyProtection="0"/>
    <xf numFmtId="168" fontId="43" fillId="0" borderId="0" applyFont="0" applyFill="0" applyBorder="0" applyAlignment="0" applyProtection="0"/>
    <xf numFmtId="43" fontId="30" fillId="0" borderId="0" applyFont="0" applyFill="0" applyBorder="0" applyAlignment="0" applyProtection="0"/>
    <xf numFmtId="0" fontId="19" fillId="0" borderId="0" applyFont="0" applyFill="0" applyBorder="0" applyAlignment="0" applyProtection="0"/>
    <xf numFmtId="0" fontId="43" fillId="0" borderId="0" applyFont="0" applyFill="0" applyBorder="0" applyAlignment="0" applyProtection="0"/>
    <xf numFmtId="165" fontId="19" fillId="0" borderId="0" applyFill="0" applyBorder="0" applyAlignment="0" applyProtection="0"/>
    <xf numFmtId="165" fontId="43" fillId="0" borderId="0" applyFill="0" applyBorder="0" applyAlignment="0" applyProtection="0"/>
    <xf numFmtId="43" fontId="28"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43" fontId="19" fillId="0" borderId="0" applyFont="0" applyFill="0" applyBorder="0" applyAlignment="0" applyProtection="0"/>
    <xf numFmtId="43" fontId="43" fillId="0" borderId="0" applyFont="0" applyFill="0" applyBorder="0" applyAlignment="0" applyProtection="0"/>
    <xf numFmtId="0" fontId="19" fillId="0" borderId="0" applyFont="0" applyFill="0" applyBorder="0" applyAlignment="0" applyProtection="0"/>
    <xf numFmtId="0" fontId="43" fillId="0" borderId="0" applyFont="0" applyFill="0" applyBorder="0" applyAlignment="0" applyProtection="0"/>
    <xf numFmtId="165" fontId="28" fillId="0" borderId="0" applyFont="0" applyFill="0" applyBorder="0" applyAlignment="0" applyProtection="0"/>
    <xf numFmtId="180" fontId="19" fillId="0" borderId="0" applyFont="0" applyFill="0" applyBorder="0" applyAlignment="0" applyProtection="0"/>
    <xf numFmtId="180" fontId="43" fillId="0" borderId="0" applyFont="0" applyFill="0" applyBorder="0" applyAlignment="0" applyProtection="0"/>
    <xf numFmtId="165" fontId="35" fillId="0" borderId="0" applyFont="0" applyFill="0" applyBorder="0" applyAlignment="0" applyProtection="0"/>
    <xf numFmtId="165" fontId="28" fillId="0" borderId="0" applyFont="0" applyFill="0" applyBorder="0" applyAlignment="0" applyProtection="0"/>
    <xf numFmtId="168" fontId="19" fillId="0" borderId="0" applyFont="0" applyFill="0" applyBorder="0" applyAlignment="0" applyProtection="0"/>
    <xf numFmtId="168" fontId="43" fillId="0" borderId="0" applyFont="0" applyFill="0" applyBorder="0" applyAlignment="0" applyProtection="0"/>
    <xf numFmtId="168" fontId="19" fillId="0" borderId="0" applyFont="0" applyFill="0" applyBorder="0" applyAlignment="0" applyProtection="0"/>
    <xf numFmtId="168" fontId="43" fillId="0" borderId="0" applyFont="0" applyFill="0" applyBorder="0" applyAlignment="0" applyProtection="0"/>
    <xf numFmtId="179" fontId="34" fillId="0" borderId="0" applyFill="0" applyBorder="0" applyAlignment="0" applyProtection="0"/>
    <xf numFmtId="43" fontId="33" fillId="0" borderId="0" applyFont="0" applyFill="0" applyBorder="0" applyAlignment="0" applyProtection="0"/>
    <xf numFmtId="168" fontId="19" fillId="0" borderId="0" applyFont="0" applyFill="0" applyBorder="0" applyAlignment="0" applyProtection="0"/>
    <xf numFmtId="168" fontId="43" fillId="0" borderId="0" applyFont="0" applyFill="0" applyBorder="0" applyAlignment="0" applyProtection="0"/>
    <xf numFmtId="168" fontId="19" fillId="0" borderId="0" applyFont="0" applyFill="0" applyBorder="0" applyAlignment="0" applyProtection="0"/>
    <xf numFmtId="168" fontId="43" fillId="0" borderId="0" applyFont="0" applyFill="0" applyBorder="0" applyAlignment="0" applyProtection="0"/>
    <xf numFmtId="168" fontId="19" fillId="0" borderId="0" applyFont="0" applyFill="0" applyBorder="0" applyAlignment="0" applyProtection="0"/>
    <xf numFmtId="168" fontId="43" fillId="0" borderId="0" applyFont="0" applyFill="0" applyBorder="0" applyAlignment="0" applyProtection="0"/>
    <xf numFmtId="168" fontId="19" fillId="0" borderId="0" applyFont="0" applyFill="0" applyBorder="0" applyAlignment="0" applyProtection="0"/>
    <xf numFmtId="168" fontId="43" fillId="0" borderId="0" applyFont="0" applyFill="0" applyBorder="0" applyAlignment="0" applyProtection="0"/>
    <xf numFmtId="168" fontId="19" fillId="0" borderId="0" applyFont="0" applyFill="0" applyBorder="0" applyAlignment="0" applyProtection="0"/>
    <xf numFmtId="168" fontId="43" fillId="0" borderId="0" applyFont="0" applyFill="0" applyBorder="0" applyAlignment="0" applyProtection="0"/>
    <xf numFmtId="168" fontId="19" fillId="0" borderId="0" applyFont="0" applyFill="0" applyBorder="0" applyAlignment="0" applyProtection="0"/>
    <xf numFmtId="168" fontId="43" fillId="0" borderId="0" applyFont="0" applyFill="0" applyBorder="0" applyAlignment="0" applyProtection="0"/>
    <xf numFmtId="168" fontId="19" fillId="0" borderId="0" applyFont="0" applyFill="0" applyBorder="0" applyAlignment="0" applyProtection="0"/>
    <xf numFmtId="168" fontId="43" fillId="0" borderId="0" applyFont="0" applyFill="0" applyBorder="0" applyAlignment="0" applyProtection="0"/>
    <xf numFmtId="168" fontId="19" fillId="0" borderId="0" applyFont="0" applyFill="0" applyBorder="0" applyAlignment="0" applyProtection="0"/>
    <xf numFmtId="168" fontId="43" fillId="0" borderId="0" applyFont="0" applyFill="0" applyBorder="0" applyAlignment="0" applyProtection="0"/>
    <xf numFmtId="168" fontId="19" fillId="0" borderId="0" applyFont="0" applyFill="0" applyBorder="0" applyAlignment="0" applyProtection="0"/>
    <xf numFmtId="168" fontId="43" fillId="0" borderId="0" applyFont="0" applyFill="0" applyBorder="0" applyAlignment="0" applyProtection="0"/>
    <xf numFmtId="168" fontId="19" fillId="0" borderId="0" applyFont="0" applyFill="0" applyBorder="0" applyAlignment="0" applyProtection="0"/>
    <xf numFmtId="181" fontId="34" fillId="0" borderId="0" applyFill="0" applyBorder="0" applyAlignment="0" applyProtection="0"/>
    <xf numFmtId="168" fontId="43" fillId="0" borderId="0" applyFont="0" applyFill="0" applyBorder="0" applyAlignment="0" applyProtection="0"/>
    <xf numFmtId="168" fontId="42" fillId="0" borderId="0" applyFont="0" applyFill="0" applyBorder="0" applyAlignment="0" applyProtection="0"/>
    <xf numFmtId="168" fontId="19" fillId="0" borderId="0" applyFont="0" applyFill="0" applyBorder="0" applyAlignment="0" applyProtection="0"/>
    <xf numFmtId="168" fontId="43" fillId="0" borderId="0" applyFont="0" applyFill="0" applyBorder="0" applyAlignment="0" applyProtection="0"/>
    <xf numFmtId="168" fontId="43" fillId="0" borderId="0" applyFont="0" applyFill="0" applyBorder="0" applyAlignment="0" applyProtection="0"/>
    <xf numFmtId="168" fontId="43" fillId="0" borderId="0" applyFont="0" applyFill="0" applyBorder="0" applyAlignment="0" applyProtection="0"/>
    <xf numFmtId="168" fontId="43" fillId="0" borderId="0" applyFont="0" applyFill="0" applyBorder="0" applyAlignment="0" applyProtection="0"/>
    <xf numFmtId="168" fontId="43" fillId="0" borderId="0" applyFont="0" applyFill="0" applyBorder="0" applyAlignment="0" applyProtection="0"/>
    <xf numFmtId="168" fontId="43" fillId="0" borderId="0" applyFont="0" applyFill="0" applyBorder="0" applyAlignment="0" applyProtection="0"/>
    <xf numFmtId="168" fontId="43" fillId="0" borderId="0" applyFont="0" applyFill="0" applyBorder="0" applyAlignment="0" applyProtection="0"/>
    <xf numFmtId="168" fontId="43" fillId="0" borderId="0" applyFont="0" applyFill="0" applyBorder="0" applyAlignment="0" applyProtection="0"/>
    <xf numFmtId="168" fontId="43" fillId="0" borderId="0" applyFont="0" applyFill="0" applyBorder="0" applyAlignment="0" applyProtection="0"/>
    <xf numFmtId="168" fontId="43" fillId="0" borderId="0" applyFont="0" applyFill="0" applyBorder="0" applyAlignment="0" applyProtection="0"/>
    <xf numFmtId="168" fontId="43" fillId="0" borderId="0" applyFont="0" applyFill="0" applyBorder="0" applyAlignment="0" applyProtection="0"/>
    <xf numFmtId="168" fontId="19" fillId="0" borderId="0" applyFont="0" applyFill="0" applyBorder="0" applyAlignment="0" applyProtection="0"/>
    <xf numFmtId="43" fontId="28" fillId="0" borderId="0" applyFont="0" applyFill="0" applyBorder="0" applyAlignment="0" applyProtection="0"/>
    <xf numFmtId="43" fontId="35" fillId="0" borderId="0" applyFont="0" applyFill="0" applyBorder="0" applyAlignment="0" applyProtection="0"/>
    <xf numFmtId="43" fontId="28" fillId="0" borderId="0" applyFont="0" applyFill="0" applyBorder="0" applyAlignment="0" applyProtection="0"/>
    <xf numFmtId="165" fontId="28" fillId="0" borderId="0" applyFont="0" applyFill="0" applyBorder="0" applyAlignment="0" applyProtection="0"/>
    <xf numFmtId="165" fontId="3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5" fillId="0" borderId="0" applyFont="0" applyFill="0" applyBorder="0" applyAlignment="0" applyProtection="0"/>
    <xf numFmtId="165" fontId="28" fillId="0" borderId="0" applyFont="0" applyFill="0" applyBorder="0" applyAlignment="0" applyProtection="0"/>
    <xf numFmtId="165" fontId="19" fillId="0" borderId="0" applyFill="0" applyBorder="0" applyAlignment="0" applyProtection="0"/>
    <xf numFmtId="165" fontId="43" fillId="0" borderId="0" applyFill="0" applyBorder="0" applyAlignment="0" applyProtection="0"/>
    <xf numFmtId="168" fontId="43" fillId="0" borderId="0" applyFont="0" applyFill="0" applyBorder="0" applyAlignment="0" applyProtection="0"/>
    <xf numFmtId="168" fontId="43" fillId="0" borderId="0" applyFont="0" applyFill="0" applyBorder="0" applyAlignment="0" applyProtection="0"/>
    <xf numFmtId="168" fontId="43" fillId="0" borderId="0" applyFont="0" applyFill="0" applyBorder="0" applyAlignment="0" applyProtection="0"/>
    <xf numFmtId="168" fontId="43" fillId="0" borderId="0" applyFont="0" applyFill="0" applyBorder="0" applyAlignment="0" applyProtection="0"/>
    <xf numFmtId="168" fontId="43" fillId="0" borderId="0" applyFont="0" applyFill="0" applyBorder="0" applyAlignment="0" applyProtection="0"/>
    <xf numFmtId="168" fontId="43" fillId="0" borderId="0" applyFont="0" applyFill="0" applyBorder="0" applyAlignment="0" applyProtection="0"/>
    <xf numFmtId="168" fontId="43" fillId="0" borderId="0" applyFont="0" applyFill="0" applyBorder="0" applyAlignment="0" applyProtection="0"/>
    <xf numFmtId="168" fontId="43" fillId="0" borderId="0" applyFont="0" applyFill="0" applyBorder="0" applyAlignment="0" applyProtection="0"/>
    <xf numFmtId="168" fontId="43" fillId="0" borderId="0" applyFont="0" applyFill="0" applyBorder="0" applyAlignment="0" applyProtection="0"/>
    <xf numFmtId="168" fontId="43" fillId="0" borderId="0" applyFont="0" applyFill="0" applyBorder="0" applyAlignment="0" applyProtection="0"/>
    <xf numFmtId="168" fontId="43" fillId="0" borderId="0" applyFont="0" applyFill="0" applyBorder="0" applyAlignment="0" applyProtection="0"/>
    <xf numFmtId="168" fontId="19" fillId="0" borderId="0" applyFont="0" applyFill="0" applyBorder="0" applyAlignment="0" applyProtection="0"/>
    <xf numFmtId="43" fontId="28" fillId="0" borderId="0" applyFont="0" applyFill="0" applyBorder="0" applyAlignment="0" applyProtection="0"/>
    <xf numFmtId="43" fontId="35" fillId="0" borderId="0" applyFont="0" applyFill="0" applyBorder="0" applyAlignment="0" applyProtection="0"/>
    <xf numFmtId="43" fontId="28" fillId="0" borderId="0" applyFont="0" applyFill="0" applyBorder="0" applyAlignment="0" applyProtection="0"/>
    <xf numFmtId="182" fontId="35" fillId="0" borderId="0" applyFill="0" applyBorder="0" applyAlignment="0" applyProtection="0"/>
    <xf numFmtId="182" fontId="28" fillId="0" borderId="0" applyFill="0" applyBorder="0" applyAlignment="0" applyProtection="0"/>
    <xf numFmtId="182" fontId="28" fillId="0" borderId="0" applyFill="0" applyBorder="0" applyAlignment="0" applyProtection="0"/>
    <xf numFmtId="168" fontId="43" fillId="0" borderId="0" applyFont="0" applyFill="0" applyBorder="0" applyAlignment="0" applyProtection="0"/>
    <xf numFmtId="168" fontId="43" fillId="0" borderId="0" applyFont="0" applyFill="0" applyBorder="0" applyAlignment="0" applyProtection="0"/>
    <xf numFmtId="168" fontId="43" fillId="0" borderId="0" applyFont="0" applyFill="0" applyBorder="0" applyAlignment="0" applyProtection="0"/>
    <xf numFmtId="168" fontId="19" fillId="0" borderId="0" applyFont="0" applyFill="0" applyBorder="0" applyAlignment="0" applyProtection="0"/>
    <xf numFmtId="165" fontId="28" fillId="0" borderId="0" applyFont="0" applyFill="0" applyBorder="0" applyAlignment="0" applyProtection="0"/>
    <xf numFmtId="165" fontId="35" fillId="0" borderId="0" applyFont="0" applyFill="0" applyBorder="0" applyAlignment="0" applyProtection="0"/>
    <xf numFmtId="165" fontId="28" fillId="0" borderId="0" applyFont="0" applyFill="0" applyBorder="0" applyAlignment="0" applyProtection="0"/>
    <xf numFmtId="43" fontId="3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8" fontId="43" fillId="0" borderId="0" applyFont="0" applyFill="0" applyBorder="0" applyAlignment="0" applyProtection="0"/>
    <xf numFmtId="168" fontId="19" fillId="0" borderId="0" applyFont="0" applyFill="0" applyBorder="0" applyAlignment="0" applyProtection="0"/>
    <xf numFmtId="43" fontId="30" fillId="0" borderId="0" applyFont="0" applyFill="0" applyBorder="0" applyAlignment="0" applyProtection="0"/>
    <xf numFmtId="43" fontId="28" fillId="0" borderId="0" applyFont="0" applyFill="0" applyBorder="0" applyAlignment="0" applyProtection="0"/>
    <xf numFmtId="43" fontId="30" fillId="0" borderId="0" applyFont="0" applyFill="0" applyBorder="0" applyAlignment="0" applyProtection="0"/>
    <xf numFmtId="43" fontId="28" fillId="0" borderId="0" applyFont="0" applyFill="0" applyBorder="0" applyAlignment="0" applyProtection="0"/>
    <xf numFmtId="43" fontId="30" fillId="0" borderId="0" applyFont="0" applyFill="0" applyBorder="0" applyAlignment="0" applyProtection="0"/>
    <xf numFmtId="43" fontId="28" fillId="0" borderId="0" applyFont="0" applyFill="0" applyBorder="0" applyAlignment="0" applyProtection="0"/>
    <xf numFmtId="168" fontId="43" fillId="0" borderId="0" applyFont="0" applyFill="0" applyBorder="0" applyAlignment="0" applyProtection="0"/>
    <xf numFmtId="168" fontId="19" fillId="0" borderId="0" applyFont="0" applyFill="0" applyBorder="0" applyAlignment="0" applyProtection="0"/>
    <xf numFmtId="165" fontId="28" fillId="0" borderId="0" applyFont="0" applyFill="0" applyBorder="0" applyAlignment="0" applyProtection="0"/>
    <xf numFmtId="165" fontId="3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5" fillId="0" borderId="0" applyFont="0" applyFill="0" applyBorder="0" applyAlignment="0" applyProtection="0"/>
    <xf numFmtId="165" fontId="28" fillId="0" borderId="0" applyFont="0" applyFill="0" applyBorder="0" applyAlignment="0" applyProtection="0"/>
    <xf numFmtId="165" fontId="3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8" fontId="43" fillId="0" borderId="0" applyFont="0" applyFill="0" applyBorder="0" applyAlignment="0" applyProtection="0"/>
    <xf numFmtId="165" fontId="30" fillId="0" borderId="0" applyFont="0" applyFill="0" applyBorder="0" applyAlignment="0" applyProtection="0"/>
    <xf numFmtId="165" fontId="28" fillId="0" borderId="0" applyFont="0" applyFill="0" applyBorder="0" applyAlignment="0" applyProtection="0"/>
    <xf numFmtId="166" fontId="33" fillId="0" borderId="0" applyFont="0" applyFill="0" applyBorder="0" applyAlignment="0" applyProtection="0"/>
    <xf numFmtId="183" fontId="19" fillId="0" borderId="0" applyFill="0" applyBorder="0" applyAlignment="0" applyProtection="0"/>
    <xf numFmtId="164" fontId="28" fillId="0" borderId="0" applyFont="0" applyFill="0" applyBorder="0" applyAlignment="0" applyProtection="0"/>
    <xf numFmtId="164" fontId="35" fillId="0" borderId="0" applyFont="0" applyFill="0" applyBorder="0" applyAlignment="0" applyProtection="0"/>
    <xf numFmtId="164" fontId="28" fillId="0" borderId="0" applyFont="0" applyFill="0" applyBorder="0" applyAlignment="0" applyProtection="0"/>
    <xf numFmtId="183" fontId="43" fillId="0" borderId="0" applyFill="0" applyBorder="0" applyAlignment="0" applyProtection="0"/>
    <xf numFmtId="184" fontId="19" fillId="0" borderId="0" applyFill="0" applyBorder="0" applyAlignment="0" applyProtection="0"/>
    <xf numFmtId="184" fontId="43" fillId="0" borderId="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8" fillId="0" borderId="0" applyFont="0" applyFill="0" applyBorder="0" applyAlignment="0" applyProtection="0"/>
    <xf numFmtId="164" fontId="30"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0" fillId="0" borderId="0" applyFont="0" applyFill="0" applyBorder="0" applyAlignment="0" applyProtection="0"/>
    <xf numFmtId="164" fontId="28" fillId="0" borderId="0" applyFont="0" applyFill="0" applyBorder="0" applyAlignment="0" applyProtection="0"/>
    <xf numFmtId="164" fontId="30" fillId="0" borderId="0" applyFont="0" applyFill="0" applyBorder="0" applyAlignment="0" applyProtection="0"/>
    <xf numFmtId="164" fontId="28" fillId="0" borderId="0" applyFont="0" applyFill="0" applyBorder="0" applyAlignment="0" applyProtection="0"/>
    <xf numFmtId="164" fontId="30" fillId="0" borderId="0" applyFont="0" applyFill="0" applyBorder="0" applyAlignment="0" applyProtection="0"/>
    <xf numFmtId="164" fontId="28" fillId="0" borderId="0" applyFont="0" applyFill="0" applyBorder="0" applyAlignment="0" applyProtection="0"/>
    <xf numFmtId="164" fontId="30" fillId="0" borderId="0" applyFont="0" applyFill="0" applyBorder="0" applyAlignment="0" applyProtection="0"/>
    <xf numFmtId="164" fontId="28" fillId="0" borderId="0" applyFont="0" applyFill="0" applyBorder="0" applyAlignment="0" applyProtection="0"/>
    <xf numFmtId="164" fontId="30" fillId="0" borderId="0" applyFont="0" applyFill="0" applyBorder="0" applyAlignment="0" applyProtection="0"/>
    <xf numFmtId="164" fontId="28" fillId="0" borderId="0" applyFont="0" applyFill="0" applyBorder="0" applyAlignment="0" applyProtection="0"/>
    <xf numFmtId="164" fontId="30"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8" fillId="0" borderId="0" applyFont="0" applyFill="0" applyBorder="0" applyAlignment="0" applyProtection="0"/>
    <xf numFmtId="164" fontId="30"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0" fillId="0" borderId="0" applyFont="0" applyFill="0" applyBorder="0" applyAlignment="0" applyProtection="0"/>
    <xf numFmtId="164" fontId="28" fillId="0" borderId="0" applyFont="0" applyFill="0" applyBorder="0" applyAlignment="0" applyProtection="0"/>
    <xf numFmtId="164" fontId="30" fillId="0" borderId="0" applyFont="0" applyFill="0" applyBorder="0" applyAlignment="0" applyProtection="0"/>
    <xf numFmtId="164" fontId="28" fillId="0" borderId="0" applyFont="0" applyFill="0" applyBorder="0" applyAlignment="0" applyProtection="0"/>
    <xf numFmtId="164" fontId="30" fillId="0" borderId="0" applyFont="0" applyFill="0" applyBorder="0" applyAlignment="0" applyProtection="0"/>
    <xf numFmtId="164" fontId="28" fillId="0" borderId="0" applyFont="0" applyFill="0" applyBorder="0" applyAlignment="0" applyProtection="0"/>
    <xf numFmtId="164" fontId="30" fillId="0" borderId="0" applyFont="0" applyFill="0" applyBorder="0" applyAlignment="0" applyProtection="0"/>
    <xf numFmtId="164" fontId="28" fillId="0" borderId="0" applyFont="0" applyFill="0" applyBorder="0" applyAlignment="0" applyProtection="0"/>
    <xf numFmtId="164" fontId="30" fillId="0" borderId="0" applyFont="0" applyFill="0" applyBorder="0" applyAlignment="0" applyProtection="0"/>
    <xf numFmtId="164" fontId="28" fillId="0" borderId="0" applyFont="0" applyFill="0" applyBorder="0" applyAlignment="0" applyProtection="0"/>
    <xf numFmtId="164" fontId="30"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8" fillId="0" borderId="0" applyFont="0" applyFill="0" applyBorder="0" applyAlignment="0" applyProtection="0"/>
    <xf numFmtId="164" fontId="30"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0" fillId="0" borderId="0" applyFont="0" applyFill="0" applyBorder="0" applyAlignment="0" applyProtection="0"/>
    <xf numFmtId="164" fontId="28" fillId="0" borderId="0" applyFont="0" applyFill="0" applyBorder="0" applyAlignment="0" applyProtection="0"/>
    <xf numFmtId="164" fontId="30" fillId="0" borderId="0" applyFont="0" applyFill="0" applyBorder="0" applyAlignment="0" applyProtection="0"/>
    <xf numFmtId="164" fontId="28" fillId="0" borderId="0" applyFont="0" applyFill="0" applyBorder="0" applyAlignment="0" applyProtection="0"/>
    <xf numFmtId="164" fontId="30" fillId="0" borderId="0" applyFont="0" applyFill="0" applyBorder="0" applyAlignment="0" applyProtection="0"/>
    <xf numFmtId="164" fontId="28" fillId="0" borderId="0" applyFont="0" applyFill="0" applyBorder="0" applyAlignment="0" applyProtection="0"/>
    <xf numFmtId="164" fontId="30" fillId="0" borderId="0" applyFont="0" applyFill="0" applyBorder="0" applyAlignment="0" applyProtection="0"/>
    <xf numFmtId="164" fontId="28" fillId="0" borderId="0" applyFont="0" applyFill="0" applyBorder="0" applyAlignment="0" applyProtection="0"/>
    <xf numFmtId="164" fontId="30" fillId="0" borderId="0" applyFont="0" applyFill="0" applyBorder="0" applyAlignment="0" applyProtection="0"/>
    <xf numFmtId="164" fontId="28" fillId="0" borderId="0" applyFont="0" applyFill="0" applyBorder="0" applyAlignment="0" applyProtection="0"/>
    <xf numFmtId="44" fontId="19" fillId="0" borderId="0" applyFont="0" applyFill="0" applyBorder="0" applyAlignment="0" applyProtection="0"/>
    <xf numFmtId="44" fontId="43"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51" fillId="0" borderId="0"/>
    <xf numFmtId="0" fontId="44" fillId="0" borderId="0"/>
    <xf numFmtId="0" fontId="44" fillId="0" borderId="0"/>
    <xf numFmtId="0" fontId="44" fillId="0" borderId="0"/>
    <xf numFmtId="0" fontId="42" fillId="0" borderId="0"/>
    <xf numFmtId="0" fontId="19" fillId="0" borderId="0"/>
    <xf numFmtId="0" fontId="43" fillId="0" borderId="0"/>
    <xf numFmtId="0" fontId="43" fillId="0" borderId="0"/>
    <xf numFmtId="0" fontId="1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3" fillId="0" borderId="0"/>
    <xf numFmtId="0" fontId="19" fillId="0" borderId="0"/>
    <xf numFmtId="0" fontId="19" fillId="0" borderId="0"/>
    <xf numFmtId="0" fontId="43" fillId="0" borderId="0"/>
    <xf numFmtId="0" fontId="43" fillId="0" borderId="0"/>
    <xf numFmtId="0" fontId="44" fillId="0" borderId="0"/>
    <xf numFmtId="0" fontId="19" fillId="0" borderId="0"/>
    <xf numFmtId="0" fontId="43" fillId="0" borderId="0"/>
    <xf numFmtId="0" fontId="36" fillId="0" borderId="0"/>
    <xf numFmtId="0" fontId="43" fillId="0" borderId="0"/>
    <xf numFmtId="0" fontId="5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9" fillId="0" borderId="0"/>
    <xf numFmtId="0" fontId="44" fillId="0" borderId="0"/>
    <xf numFmtId="0" fontId="19" fillId="0" borderId="0"/>
    <xf numFmtId="0" fontId="43" fillId="0" borderId="0"/>
    <xf numFmtId="0" fontId="19" fillId="0" borderId="0"/>
    <xf numFmtId="0" fontId="43" fillId="0" borderId="0"/>
    <xf numFmtId="0" fontId="34" fillId="0" borderId="0" applyNumberFormat="0" applyFill="0" applyBorder="0" applyAlignment="0" applyProtection="0"/>
    <xf numFmtId="0" fontId="43" fillId="0" borderId="0"/>
    <xf numFmtId="0" fontId="44" fillId="0" borderId="0"/>
    <xf numFmtId="0" fontId="19" fillId="0" borderId="0"/>
    <xf numFmtId="0" fontId="43"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52" fillId="0" borderId="0"/>
    <xf numFmtId="0" fontId="35" fillId="0" borderId="0"/>
    <xf numFmtId="0" fontId="28" fillId="0" borderId="0"/>
    <xf numFmtId="0" fontId="28" fillId="0" borderId="0"/>
    <xf numFmtId="0" fontId="44" fillId="0" borderId="0"/>
    <xf numFmtId="0" fontId="44" fillId="0" borderId="0"/>
    <xf numFmtId="0" fontId="44" fillId="0" borderId="0"/>
    <xf numFmtId="0" fontId="44" fillId="0" borderId="0"/>
    <xf numFmtId="0" fontId="19" fillId="0" borderId="0"/>
    <xf numFmtId="0" fontId="43"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8" fillId="47" borderId="45" applyNumberFormat="0" applyFont="0" applyAlignment="0" applyProtection="0"/>
    <xf numFmtId="0" fontId="28" fillId="47"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28" fillId="47"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28" fillId="47"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28" fillId="47"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28" fillId="47"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28" fillId="47"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28" fillId="47"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28" fillId="47"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28" fillId="47"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28" fillId="47"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28" fillId="47"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28" fillId="47"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28" fillId="47"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28" fillId="47"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28" fillId="47"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28" fillId="47"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28" fillId="47"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28" fillId="47"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28" fillId="47"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28" fillId="47"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28" fillId="47"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28" fillId="47"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0" fillId="47" borderId="45" applyNumberFormat="0" applyFont="0" applyAlignment="0" applyProtection="0"/>
    <xf numFmtId="0" fontId="28"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28" fillId="47"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28" fillId="47"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28" fillId="47"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28" fillId="47"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28" fillId="47"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28" fillId="47"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28" fillId="47"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0" fontId="35" fillId="47" borderId="45" applyNumberFormat="0" applyFont="0" applyAlignment="0" applyProtection="0"/>
    <xf numFmtId="0" fontId="28" fillId="14" borderId="45" applyNumberFormat="0" applyFont="0" applyAlignment="0" applyProtection="0"/>
    <xf numFmtId="0" fontId="28" fillId="14" borderId="45" applyNumberFormat="0" applyFont="0" applyAlignment="0" applyProtection="0"/>
    <xf numFmtId="3" fontId="46" fillId="0" borderId="0" applyFill="0" applyBorder="0" applyProtection="0">
      <alignment horizontal="right" vertical="center"/>
    </xf>
    <xf numFmtId="3" fontId="46" fillId="0" borderId="1" applyFill="0" applyProtection="0">
      <alignment horizontal="right" vertical="center"/>
    </xf>
    <xf numFmtId="3" fontId="46" fillId="0" borderId="1" applyFill="0" applyProtection="0">
      <alignment horizontal="right" vertical="center"/>
    </xf>
    <xf numFmtId="3" fontId="46" fillId="0" borderId="1" applyFill="0" applyProtection="0">
      <alignment horizontal="right" vertical="center"/>
    </xf>
    <xf numFmtId="3" fontId="46" fillId="0" borderId="1" applyFill="0" applyProtection="0">
      <alignment horizontal="right" vertical="center"/>
    </xf>
    <xf numFmtId="3" fontId="46" fillId="0" borderId="1" applyFill="0" applyProtection="0">
      <alignment horizontal="right" vertical="center"/>
    </xf>
    <xf numFmtId="3" fontId="46" fillId="0" borderId="1" applyFill="0" applyProtection="0">
      <alignment horizontal="right" vertical="center"/>
    </xf>
    <xf numFmtId="3" fontId="46" fillId="0" borderId="1" applyFill="0" applyProtection="0">
      <alignment horizontal="right" vertical="center"/>
    </xf>
    <xf numFmtId="3" fontId="46" fillId="0" borderId="1" applyFill="0" applyProtection="0">
      <alignment horizontal="right" vertical="center"/>
    </xf>
    <xf numFmtId="3" fontId="46" fillId="0" borderId="1" applyFill="0" applyProtection="0">
      <alignment horizontal="right" vertical="center"/>
    </xf>
    <xf numFmtId="3" fontId="46" fillId="0" borderId="1" applyFill="0" applyProtection="0">
      <alignment horizontal="right" vertical="center"/>
    </xf>
    <xf numFmtId="3" fontId="46" fillId="0" borderId="1" applyFill="0" applyProtection="0">
      <alignment horizontal="right" vertical="center"/>
    </xf>
    <xf numFmtId="3" fontId="46" fillId="0" borderId="1" applyFill="0" applyProtection="0">
      <alignment horizontal="right" vertical="center"/>
    </xf>
    <xf numFmtId="3" fontId="46" fillId="0" borderId="1" applyFill="0" applyProtection="0">
      <alignment horizontal="right" vertical="center"/>
    </xf>
    <xf numFmtId="3" fontId="46" fillId="0" borderId="1" applyFill="0" applyProtection="0">
      <alignment horizontal="right" vertical="center"/>
    </xf>
    <xf numFmtId="3" fontId="46" fillId="0" borderId="1" applyFill="0" applyProtection="0">
      <alignment horizontal="right" vertical="center"/>
    </xf>
    <xf numFmtId="3" fontId="46" fillId="0" borderId="1" applyFill="0" applyProtection="0">
      <alignment horizontal="right" vertical="center"/>
    </xf>
    <xf numFmtId="3" fontId="46" fillId="0" borderId="1" applyFill="0" applyProtection="0">
      <alignment horizontal="right" vertical="center"/>
    </xf>
    <xf numFmtId="3" fontId="46" fillId="0" borderId="1" applyFill="0" applyProtection="0">
      <alignment horizontal="right" vertical="center"/>
    </xf>
    <xf numFmtId="9" fontId="33" fillId="0" borderId="0" applyFont="0" applyFill="0" applyBorder="0" applyAlignment="0" applyProtection="0"/>
    <xf numFmtId="9" fontId="33" fillId="0" borderId="0" applyFont="0" applyFill="0" applyBorder="0" applyAlignment="0" applyProtection="0"/>
    <xf numFmtId="9" fontId="40" fillId="0" borderId="0" applyFont="0" applyFill="0" applyBorder="0" applyAlignment="0" applyProtection="0"/>
    <xf numFmtId="9" fontId="33" fillId="0" borderId="0" applyFont="0" applyFill="0" applyBorder="0" applyAlignment="0" applyProtection="0"/>
    <xf numFmtId="9" fontId="15" fillId="0" borderId="0" applyFont="0" applyFill="0" applyBorder="0" applyAlignment="0" applyProtection="0"/>
    <xf numFmtId="9" fontId="28" fillId="0" borderId="0" applyFont="0" applyFill="0" applyBorder="0" applyAlignment="0" applyProtection="0"/>
    <xf numFmtId="9" fontId="19" fillId="0" borderId="0" applyFill="0" applyBorder="0" applyAlignment="0" applyProtection="0"/>
    <xf numFmtId="9" fontId="43" fillId="0" borderId="0" applyFill="0" applyBorder="0" applyAlignment="0" applyProtection="0"/>
    <xf numFmtId="9" fontId="34" fillId="0" borderId="0" applyFill="0" applyBorder="0" applyAlignment="0" applyProtection="0"/>
    <xf numFmtId="9" fontId="19" fillId="0" borderId="0" applyFont="0" applyFill="0" applyBorder="0" applyAlignment="0" applyProtection="0"/>
    <xf numFmtId="9" fontId="34" fillId="0" borderId="0" applyFill="0" applyBorder="0" applyAlignment="0" applyProtection="0"/>
    <xf numFmtId="9" fontId="43" fillId="0" borderId="0" applyFont="0" applyFill="0" applyBorder="0" applyAlignment="0" applyProtection="0"/>
    <xf numFmtId="9" fontId="30" fillId="0" borderId="0" applyFont="0" applyFill="0" applyBorder="0" applyAlignment="0" applyProtection="0"/>
    <xf numFmtId="9" fontId="28" fillId="0" borderId="0" applyFont="0" applyFill="0" applyBorder="0" applyAlignment="0" applyProtection="0"/>
    <xf numFmtId="9" fontId="33" fillId="0" borderId="0" applyFont="0" applyFill="0" applyBorder="0" applyAlignment="0" applyProtection="0"/>
    <xf numFmtId="9" fontId="42" fillId="0" borderId="0" applyFont="0" applyFill="0" applyBorder="0" applyAlignment="0" applyProtection="0"/>
    <xf numFmtId="9" fontId="19"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8" fillId="0" borderId="0" applyFont="0" applyFill="0" applyBorder="0" applyAlignment="0" applyProtection="0"/>
    <xf numFmtId="9" fontId="19" fillId="0" borderId="0" applyFont="0" applyFill="0" applyBorder="0" applyAlignment="0" applyProtection="0"/>
    <xf numFmtId="9" fontId="43" fillId="0" borderId="0" applyFont="0" applyFill="0" applyBorder="0" applyAlignment="0" applyProtection="0"/>
    <xf numFmtId="9" fontId="35"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5"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5"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5" fillId="0" borderId="0" applyFont="0" applyFill="0" applyBorder="0" applyAlignment="0" applyProtection="0"/>
    <xf numFmtId="9" fontId="28" fillId="0" borderId="0" applyFont="0" applyFill="0" applyBorder="0" applyAlignment="0" applyProtection="0"/>
    <xf numFmtId="9" fontId="19" fillId="0" borderId="0" applyFont="0" applyFill="0" applyBorder="0" applyAlignment="0" applyProtection="0"/>
    <xf numFmtId="9" fontId="43" fillId="0" borderId="0" applyFont="0" applyFill="0" applyBorder="0" applyAlignment="0" applyProtection="0"/>
    <xf numFmtId="9" fontId="35"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5" fillId="0" borderId="0" applyFont="0" applyFill="0" applyBorder="0" applyAlignment="0" applyProtection="0"/>
    <xf numFmtId="9" fontId="28" fillId="0" borderId="0" applyFont="0" applyFill="0" applyBorder="0" applyAlignment="0" applyProtection="0"/>
    <xf numFmtId="9" fontId="19" fillId="0" borderId="0" applyFont="0" applyFill="0" applyBorder="0" applyAlignment="0" applyProtection="0"/>
    <xf numFmtId="9" fontId="43" fillId="0" borderId="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9" fontId="52" fillId="0" borderId="0" applyFont="0" applyFill="0" applyBorder="0" applyAlignment="0" applyProtection="0"/>
    <xf numFmtId="176" fontId="52" fillId="0" borderId="0" applyFont="0" applyFill="0" applyBorder="0" applyAlignment="0" applyProtection="0"/>
    <xf numFmtId="42" fontId="52" fillId="0" borderId="0" applyFont="0" applyFill="0" applyBorder="0" applyAlignment="0" applyProtection="0"/>
    <xf numFmtId="43" fontId="52" fillId="0" borderId="0" applyFont="0" applyFill="0" applyBorder="0" applyAlignment="0" applyProtection="0"/>
    <xf numFmtId="41" fontId="52" fillId="0" borderId="0" applyFont="0" applyFill="0" applyBorder="0" applyAlignment="0" applyProtection="0"/>
    <xf numFmtId="0" fontId="52" fillId="0" borderId="1" applyNumberFormat="0" applyFont="0" applyFill="0" applyAlignment="0" applyProtection="0"/>
    <xf numFmtId="0" fontId="14" fillId="0" borderId="0"/>
    <xf numFmtId="0" fontId="13" fillId="30" borderId="0" applyNumberFormat="0" applyBorder="0" applyAlignment="0" applyProtection="0"/>
    <xf numFmtId="0" fontId="13" fillId="30"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2" borderId="0" applyNumberFormat="0" applyBorder="0" applyAlignment="0" applyProtection="0"/>
    <xf numFmtId="0" fontId="13" fillId="30"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30" borderId="0" applyNumberFormat="0" applyBorder="0" applyAlignment="0" applyProtection="0"/>
    <xf numFmtId="0" fontId="13" fillId="2" borderId="0" applyNumberFormat="0" applyBorder="0" applyAlignment="0" applyProtection="0"/>
    <xf numFmtId="0" fontId="13" fillId="30" borderId="0" applyNumberFormat="0" applyBorder="0" applyAlignment="0" applyProtection="0"/>
    <xf numFmtId="0" fontId="13" fillId="2" borderId="0" applyNumberFormat="0" applyBorder="0" applyAlignment="0" applyProtection="0"/>
    <xf numFmtId="0" fontId="13" fillId="30" borderId="0" applyNumberFormat="0" applyBorder="0" applyAlignment="0" applyProtection="0"/>
    <xf numFmtId="0" fontId="13" fillId="2" borderId="0" applyNumberFormat="0" applyBorder="0" applyAlignment="0" applyProtection="0"/>
    <xf numFmtId="0" fontId="13" fillId="30" borderId="0" applyNumberFormat="0" applyBorder="0" applyAlignment="0" applyProtection="0"/>
    <xf numFmtId="0" fontId="13" fillId="2" borderId="0" applyNumberFormat="0" applyBorder="0" applyAlignment="0" applyProtection="0"/>
    <xf numFmtId="0" fontId="13" fillId="30" borderId="0" applyNumberFormat="0" applyBorder="0" applyAlignment="0" applyProtection="0"/>
    <xf numFmtId="0" fontId="13" fillId="2" borderId="0" applyNumberFormat="0" applyBorder="0" applyAlignment="0" applyProtection="0"/>
    <xf numFmtId="0" fontId="13" fillId="30"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2" borderId="0" applyNumberFormat="0" applyBorder="0" applyAlignment="0" applyProtection="0"/>
    <xf numFmtId="0" fontId="13" fillId="30"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30" borderId="0" applyNumberFormat="0" applyBorder="0" applyAlignment="0" applyProtection="0"/>
    <xf numFmtId="0" fontId="13" fillId="2" borderId="0" applyNumberFormat="0" applyBorder="0" applyAlignment="0" applyProtection="0"/>
    <xf numFmtId="0" fontId="13" fillId="30" borderId="0" applyNumberFormat="0" applyBorder="0" applyAlignment="0" applyProtection="0"/>
    <xf numFmtId="0" fontId="13" fillId="2" borderId="0" applyNumberFormat="0" applyBorder="0" applyAlignment="0" applyProtection="0"/>
    <xf numFmtId="0" fontId="13" fillId="30" borderId="0" applyNumberFormat="0" applyBorder="0" applyAlignment="0" applyProtection="0"/>
    <xf numFmtId="0" fontId="13" fillId="2" borderId="0" applyNumberFormat="0" applyBorder="0" applyAlignment="0" applyProtection="0"/>
    <xf numFmtId="0" fontId="13" fillId="30" borderId="0" applyNumberFormat="0" applyBorder="0" applyAlignment="0" applyProtection="0"/>
    <xf numFmtId="0" fontId="13" fillId="2" borderId="0" applyNumberFormat="0" applyBorder="0" applyAlignment="0" applyProtection="0"/>
    <xf numFmtId="0" fontId="13" fillId="30" borderId="0" applyNumberFormat="0" applyBorder="0" applyAlignment="0" applyProtection="0"/>
    <xf numFmtId="0" fontId="13" fillId="2" borderId="0" applyNumberFormat="0" applyBorder="0" applyAlignment="0" applyProtection="0"/>
    <xf numFmtId="0" fontId="13" fillId="30"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2" borderId="0" applyNumberFormat="0" applyBorder="0" applyAlignment="0" applyProtection="0"/>
    <xf numFmtId="0" fontId="13" fillId="30"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30" borderId="0" applyNumberFormat="0" applyBorder="0" applyAlignment="0" applyProtection="0"/>
    <xf numFmtId="0" fontId="13" fillId="2" borderId="0" applyNumberFormat="0" applyBorder="0" applyAlignment="0" applyProtection="0"/>
    <xf numFmtId="0" fontId="13" fillId="30" borderId="0" applyNumberFormat="0" applyBorder="0" applyAlignment="0" applyProtection="0"/>
    <xf numFmtId="0" fontId="13" fillId="2" borderId="0" applyNumberFormat="0" applyBorder="0" applyAlignment="0" applyProtection="0"/>
    <xf numFmtId="0" fontId="13" fillId="30" borderId="0" applyNumberFormat="0" applyBorder="0" applyAlignment="0" applyProtection="0"/>
    <xf numFmtId="0" fontId="13" fillId="2" borderId="0" applyNumberFormat="0" applyBorder="0" applyAlignment="0" applyProtection="0"/>
    <xf numFmtId="0" fontId="13" fillId="30" borderId="0" applyNumberFormat="0" applyBorder="0" applyAlignment="0" applyProtection="0"/>
    <xf numFmtId="0" fontId="13" fillId="2" borderId="0" applyNumberFormat="0" applyBorder="0" applyAlignment="0" applyProtection="0"/>
    <xf numFmtId="0" fontId="13" fillId="30" borderId="0" applyNumberFormat="0" applyBorder="0" applyAlignment="0" applyProtection="0"/>
    <xf numFmtId="0" fontId="13" fillId="2"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2" borderId="0" applyNumberFormat="0" applyBorder="0" applyAlignment="0" applyProtection="0"/>
    <xf numFmtId="0" fontId="13" fillId="30"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30" borderId="0" applyNumberFormat="0" applyBorder="0" applyAlignment="0" applyProtection="0"/>
    <xf numFmtId="0" fontId="13" fillId="2" borderId="0" applyNumberFormat="0" applyBorder="0" applyAlignment="0" applyProtection="0"/>
    <xf numFmtId="0" fontId="13" fillId="30" borderId="0" applyNumberFormat="0" applyBorder="0" applyAlignment="0" applyProtection="0"/>
    <xf numFmtId="0" fontId="13" fillId="2" borderId="0" applyNumberFormat="0" applyBorder="0" applyAlignment="0" applyProtection="0"/>
    <xf numFmtId="0" fontId="13" fillId="30" borderId="0" applyNumberFormat="0" applyBorder="0" applyAlignment="0" applyProtection="0"/>
    <xf numFmtId="0" fontId="13" fillId="2" borderId="0" applyNumberFormat="0" applyBorder="0" applyAlignment="0" applyProtection="0"/>
    <xf numFmtId="0" fontId="13" fillId="30" borderId="0" applyNumberFormat="0" applyBorder="0" applyAlignment="0" applyProtection="0"/>
    <xf numFmtId="0" fontId="13" fillId="2" borderId="0" applyNumberFormat="0" applyBorder="0" applyAlignment="0" applyProtection="0"/>
    <xf numFmtId="0" fontId="13" fillId="30" borderId="0" applyNumberFormat="0" applyBorder="0" applyAlignment="0" applyProtection="0"/>
    <xf numFmtId="0" fontId="13" fillId="2" borderId="0" applyNumberFormat="0" applyBorder="0" applyAlignment="0" applyProtection="0"/>
    <xf numFmtId="0" fontId="13" fillId="30"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2" borderId="0" applyNumberFormat="0" applyBorder="0" applyAlignment="0" applyProtection="0"/>
    <xf numFmtId="0" fontId="13" fillId="30"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30" borderId="0" applyNumberFormat="0" applyBorder="0" applyAlignment="0" applyProtection="0"/>
    <xf numFmtId="0" fontId="13" fillId="2" borderId="0" applyNumberFormat="0" applyBorder="0" applyAlignment="0" applyProtection="0"/>
    <xf numFmtId="0" fontId="13" fillId="30" borderId="0" applyNumberFormat="0" applyBorder="0" applyAlignment="0" applyProtection="0"/>
    <xf numFmtId="0" fontId="13" fillId="2" borderId="0" applyNumberFormat="0" applyBorder="0" applyAlignment="0" applyProtection="0"/>
    <xf numFmtId="0" fontId="13" fillId="30" borderId="0" applyNumberFormat="0" applyBorder="0" applyAlignment="0" applyProtection="0"/>
    <xf numFmtId="0" fontId="13" fillId="2" borderId="0" applyNumberFormat="0" applyBorder="0" applyAlignment="0" applyProtection="0"/>
    <xf numFmtId="0" fontId="13" fillId="30" borderId="0" applyNumberFormat="0" applyBorder="0" applyAlignment="0" applyProtection="0"/>
    <xf numFmtId="0" fontId="13" fillId="2" borderId="0" applyNumberFormat="0" applyBorder="0" applyAlignment="0" applyProtection="0"/>
    <xf numFmtId="0" fontId="13" fillId="30" borderId="0" applyNumberFormat="0" applyBorder="0" applyAlignment="0" applyProtection="0"/>
    <xf numFmtId="0" fontId="13" fillId="2" borderId="0" applyNumberFormat="0" applyBorder="0" applyAlignment="0" applyProtection="0"/>
    <xf numFmtId="0" fontId="13" fillId="30"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2" borderId="0" applyNumberFormat="0" applyBorder="0" applyAlignment="0" applyProtection="0"/>
    <xf numFmtId="0" fontId="13" fillId="30"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30" borderId="0" applyNumberFormat="0" applyBorder="0" applyAlignment="0" applyProtection="0"/>
    <xf numFmtId="0" fontId="13" fillId="2" borderId="0" applyNumberFormat="0" applyBorder="0" applyAlignment="0" applyProtection="0"/>
    <xf numFmtId="0" fontId="13" fillId="30" borderId="0" applyNumberFormat="0" applyBorder="0" applyAlignment="0" applyProtection="0"/>
    <xf numFmtId="0" fontId="13" fillId="2" borderId="0" applyNumberFormat="0" applyBorder="0" applyAlignment="0" applyProtection="0"/>
    <xf numFmtId="0" fontId="13" fillId="30" borderId="0" applyNumberFormat="0" applyBorder="0" applyAlignment="0" applyProtection="0"/>
    <xf numFmtId="0" fontId="13" fillId="2" borderId="0" applyNumberFormat="0" applyBorder="0" applyAlignment="0" applyProtection="0"/>
    <xf numFmtId="0" fontId="13" fillId="30" borderId="0" applyNumberFormat="0" applyBorder="0" applyAlignment="0" applyProtection="0"/>
    <xf numFmtId="0" fontId="13" fillId="2" borderId="0" applyNumberFormat="0" applyBorder="0" applyAlignment="0" applyProtection="0"/>
    <xf numFmtId="0" fontId="13" fillId="30" borderId="0" applyNumberFormat="0" applyBorder="0" applyAlignment="0" applyProtection="0"/>
    <xf numFmtId="0" fontId="13" fillId="2"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2" borderId="0" applyNumberFormat="0" applyBorder="0" applyAlignment="0" applyProtection="0"/>
    <xf numFmtId="0" fontId="13" fillId="30"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30" borderId="0" applyNumberFormat="0" applyBorder="0" applyAlignment="0" applyProtection="0"/>
    <xf numFmtId="0" fontId="13" fillId="2" borderId="0" applyNumberFormat="0" applyBorder="0" applyAlignment="0" applyProtection="0"/>
    <xf numFmtId="0" fontId="13" fillId="30" borderId="0" applyNumberFormat="0" applyBorder="0" applyAlignment="0" applyProtection="0"/>
    <xf numFmtId="0" fontId="13" fillId="2" borderId="0" applyNumberFormat="0" applyBorder="0" applyAlignment="0" applyProtection="0"/>
    <xf numFmtId="0" fontId="13" fillId="30" borderId="0" applyNumberFormat="0" applyBorder="0" applyAlignment="0" applyProtection="0"/>
    <xf numFmtId="0" fontId="13" fillId="2" borderId="0" applyNumberFormat="0" applyBorder="0" applyAlignment="0" applyProtection="0"/>
    <xf numFmtId="0" fontId="13" fillId="30" borderId="0" applyNumberFormat="0" applyBorder="0" applyAlignment="0" applyProtection="0"/>
    <xf numFmtId="0" fontId="13" fillId="2" borderId="0" applyNumberFormat="0" applyBorder="0" applyAlignment="0" applyProtection="0"/>
    <xf numFmtId="0" fontId="13" fillId="30" borderId="0" applyNumberFormat="0" applyBorder="0" applyAlignment="0" applyProtection="0"/>
    <xf numFmtId="0" fontId="13" fillId="2" borderId="0" applyNumberFormat="0" applyBorder="0" applyAlignment="0" applyProtection="0"/>
    <xf numFmtId="0" fontId="13" fillId="30"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2" borderId="0" applyNumberFormat="0" applyBorder="0" applyAlignment="0" applyProtection="0"/>
    <xf numFmtId="0" fontId="13" fillId="30"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30" borderId="0" applyNumberFormat="0" applyBorder="0" applyAlignment="0" applyProtection="0"/>
    <xf numFmtId="0" fontId="13" fillId="2" borderId="0" applyNumberFormat="0" applyBorder="0" applyAlignment="0" applyProtection="0"/>
    <xf numFmtId="0" fontId="13" fillId="30" borderId="0" applyNumberFormat="0" applyBorder="0" applyAlignment="0" applyProtection="0"/>
    <xf numFmtId="0" fontId="13" fillId="2" borderId="0" applyNumberFormat="0" applyBorder="0" applyAlignment="0" applyProtection="0"/>
    <xf numFmtId="0" fontId="13" fillId="30" borderId="0" applyNumberFormat="0" applyBorder="0" applyAlignment="0" applyProtection="0"/>
    <xf numFmtId="0" fontId="13" fillId="2" borderId="0" applyNumberFormat="0" applyBorder="0" applyAlignment="0" applyProtection="0"/>
    <xf numFmtId="0" fontId="13" fillId="30" borderId="0" applyNumberFormat="0" applyBorder="0" applyAlignment="0" applyProtection="0"/>
    <xf numFmtId="0" fontId="13" fillId="2" borderId="0" applyNumberFormat="0" applyBorder="0" applyAlignment="0" applyProtection="0"/>
    <xf numFmtId="0" fontId="13" fillId="30" borderId="0" applyNumberFormat="0" applyBorder="0" applyAlignment="0" applyProtection="0"/>
    <xf numFmtId="0" fontId="13" fillId="2" borderId="0" applyNumberFormat="0" applyBorder="0" applyAlignment="0" applyProtection="0"/>
    <xf numFmtId="0" fontId="13" fillId="30"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 borderId="0" applyNumberFormat="0" applyBorder="0" applyAlignment="0" applyProtection="0"/>
    <xf numFmtId="0" fontId="13" fillId="31"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1" borderId="0" applyNumberFormat="0" applyBorder="0" applyAlignment="0" applyProtection="0"/>
    <xf numFmtId="0" fontId="13" fillId="3" borderId="0" applyNumberFormat="0" applyBorder="0" applyAlignment="0" applyProtection="0"/>
    <xf numFmtId="0" fontId="13" fillId="31" borderId="0" applyNumberFormat="0" applyBorder="0" applyAlignment="0" applyProtection="0"/>
    <xf numFmtId="0" fontId="13" fillId="3" borderId="0" applyNumberFormat="0" applyBorder="0" applyAlignment="0" applyProtection="0"/>
    <xf numFmtId="0" fontId="13" fillId="31" borderId="0" applyNumberFormat="0" applyBorder="0" applyAlignment="0" applyProtection="0"/>
    <xf numFmtId="0" fontId="13" fillId="3" borderId="0" applyNumberFormat="0" applyBorder="0" applyAlignment="0" applyProtection="0"/>
    <xf numFmtId="0" fontId="13" fillId="31" borderId="0" applyNumberFormat="0" applyBorder="0" applyAlignment="0" applyProtection="0"/>
    <xf numFmtId="0" fontId="13" fillId="3" borderId="0" applyNumberFormat="0" applyBorder="0" applyAlignment="0" applyProtection="0"/>
    <xf numFmtId="0" fontId="13" fillId="31" borderId="0" applyNumberFormat="0" applyBorder="0" applyAlignment="0" applyProtection="0"/>
    <xf numFmtId="0" fontId="13" fillId="3" borderId="0" applyNumberFormat="0" applyBorder="0" applyAlignment="0" applyProtection="0"/>
    <xf numFmtId="0" fontId="13" fillId="31"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 borderId="0" applyNumberFormat="0" applyBorder="0" applyAlignment="0" applyProtection="0"/>
    <xf numFmtId="0" fontId="13" fillId="31"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1" borderId="0" applyNumberFormat="0" applyBorder="0" applyAlignment="0" applyProtection="0"/>
    <xf numFmtId="0" fontId="13" fillId="3" borderId="0" applyNumberFormat="0" applyBorder="0" applyAlignment="0" applyProtection="0"/>
    <xf numFmtId="0" fontId="13" fillId="31" borderId="0" applyNumberFormat="0" applyBorder="0" applyAlignment="0" applyProtection="0"/>
    <xf numFmtId="0" fontId="13" fillId="3" borderId="0" applyNumberFormat="0" applyBorder="0" applyAlignment="0" applyProtection="0"/>
    <xf numFmtId="0" fontId="13" fillId="31" borderId="0" applyNumberFormat="0" applyBorder="0" applyAlignment="0" applyProtection="0"/>
    <xf numFmtId="0" fontId="13" fillId="3" borderId="0" applyNumberFormat="0" applyBorder="0" applyAlignment="0" applyProtection="0"/>
    <xf numFmtId="0" fontId="13" fillId="31" borderId="0" applyNumberFormat="0" applyBorder="0" applyAlignment="0" applyProtection="0"/>
    <xf numFmtId="0" fontId="13" fillId="3" borderId="0" applyNumberFormat="0" applyBorder="0" applyAlignment="0" applyProtection="0"/>
    <xf numFmtId="0" fontId="13" fillId="31" borderId="0" applyNumberFormat="0" applyBorder="0" applyAlignment="0" applyProtection="0"/>
    <xf numFmtId="0" fontId="13" fillId="3" borderId="0" applyNumberFormat="0" applyBorder="0" applyAlignment="0" applyProtection="0"/>
    <xf numFmtId="0" fontId="13" fillId="31"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 borderId="0" applyNumberFormat="0" applyBorder="0" applyAlignment="0" applyProtection="0"/>
    <xf numFmtId="0" fontId="13" fillId="31"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1" borderId="0" applyNumberFormat="0" applyBorder="0" applyAlignment="0" applyProtection="0"/>
    <xf numFmtId="0" fontId="13" fillId="3" borderId="0" applyNumberFormat="0" applyBorder="0" applyAlignment="0" applyProtection="0"/>
    <xf numFmtId="0" fontId="13" fillId="31" borderId="0" applyNumberFormat="0" applyBorder="0" applyAlignment="0" applyProtection="0"/>
    <xf numFmtId="0" fontId="13" fillId="3" borderId="0" applyNumberFormat="0" applyBorder="0" applyAlignment="0" applyProtection="0"/>
    <xf numFmtId="0" fontId="13" fillId="31" borderId="0" applyNumberFormat="0" applyBorder="0" applyAlignment="0" applyProtection="0"/>
    <xf numFmtId="0" fontId="13" fillId="3" borderId="0" applyNumberFormat="0" applyBorder="0" applyAlignment="0" applyProtection="0"/>
    <xf numFmtId="0" fontId="13" fillId="31" borderId="0" applyNumberFormat="0" applyBorder="0" applyAlignment="0" applyProtection="0"/>
    <xf numFmtId="0" fontId="13" fillId="3" borderId="0" applyNumberFormat="0" applyBorder="0" applyAlignment="0" applyProtection="0"/>
    <xf numFmtId="0" fontId="13" fillId="31" borderId="0" applyNumberFormat="0" applyBorder="0" applyAlignment="0" applyProtection="0"/>
    <xf numFmtId="0" fontId="13" fillId="3"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 borderId="0" applyNumberFormat="0" applyBorder="0" applyAlignment="0" applyProtection="0"/>
    <xf numFmtId="0" fontId="13" fillId="31"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1" borderId="0" applyNumberFormat="0" applyBorder="0" applyAlignment="0" applyProtection="0"/>
    <xf numFmtId="0" fontId="13" fillId="3" borderId="0" applyNumberFormat="0" applyBorder="0" applyAlignment="0" applyProtection="0"/>
    <xf numFmtId="0" fontId="13" fillId="31" borderId="0" applyNumberFormat="0" applyBorder="0" applyAlignment="0" applyProtection="0"/>
    <xf numFmtId="0" fontId="13" fillId="3" borderId="0" applyNumberFormat="0" applyBorder="0" applyAlignment="0" applyProtection="0"/>
    <xf numFmtId="0" fontId="13" fillId="31" borderId="0" applyNumberFormat="0" applyBorder="0" applyAlignment="0" applyProtection="0"/>
    <xf numFmtId="0" fontId="13" fillId="3" borderId="0" applyNumberFormat="0" applyBorder="0" applyAlignment="0" applyProtection="0"/>
    <xf numFmtId="0" fontId="13" fillId="31" borderId="0" applyNumberFormat="0" applyBorder="0" applyAlignment="0" applyProtection="0"/>
    <xf numFmtId="0" fontId="13" fillId="3" borderId="0" applyNumberFormat="0" applyBorder="0" applyAlignment="0" applyProtection="0"/>
    <xf numFmtId="0" fontId="13" fillId="31" borderId="0" applyNumberFormat="0" applyBorder="0" applyAlignment="0" applyProtection="0"/>
    <xf numFmtId="0" fontId="13" fillId="3" borderId="0" applyNumberFormat="0" applyBorder="0" applyAlignment="0" applyProtection="0"/>
    <xf numFmtId="0" fontId="13" fillId="31"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 borderId="0" applyNumberFormat="0" applyBorder="0" applyAlignment="0" applyProtection="0"/>
    <xf numFmtId="0" fontId="13" fillId="31"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1" borderId="0" applyNumberFormat="0" applyBorder="0" applyAlignment="0" applyProtection="0"/>
    <xf numFmtId="0" fontId="13" fillId="3" borderId="0" applyNumberFormat="0" applyBorder="0" applyAlignment="0" applyProtection="0"/>
    <xf numFmtId="0" fontId="13" fillId="31" borderId="0" applyNumberFormat="0" applyBorder="0" applyAlignment="0" applyProtection="0"/>
    <xf numFmtId="0" fontId="13" fillId="3" borderId="0" applyNumberFormat="0" applyBorder="0" applyAlignment="0" applyProtection="0"/>
    <xf numFmtId="0" fontId="13" fillId="31" borderId="0" applyNumberFormat="0" applyBorder="0" applyAlignment="0" applyProtection="0"/>
    <xf numFmtId="0" fontId="13" fillId="3" borderId="0" applyNumberFormat="0" applyBorder="0" applyAlignment="0" applyProtection="0"/>
    <xf numFmtId="0" fontId="13" fillId="31" borderId="0" applyNumberFormat="0" applyBorder="0" applyAlignment="0" applyProtection="0"/>
    <xf numFmtId="0" fontId="13" fillId="3" borderId="0" applyNumberFormat="0" applyBorder="0" applyAlignment="0" applyProtection="0"/>
    <xf numFmtId="0" fontId="13" fillId="31" borderId="0" applyNumberFormat="0" applyBorder="0" applyAlignment="0" applyProtection="0"/>
    <xf numFmtId="0" fontId="13" fillId="3" borderId="0" applyNumberFormat="0" applyBorder="0" applyAlignment="0" applyProtection="0"/>
    <xf numFmtId="0" fontId="13" fillId="31"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 borderId="0" applyNumberFormat="0" applyBorder="0" applyAlignment="0" applyProtection="0"/>
    <xf numFmtId="0" fontId="13" fillId="31"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1" borderId="0" applyNumberFormat="0" applyBorder="0" applyAlignment="0" applyProtection="0"/>
    <xf numFmtId="0" fontId="13" fillId="3" borderId="0" applyNumberFormat="0" applyBorder="0" applyAlignment="0" applyProtection="0"/>
    <xf numFmtId="0" fontId="13" fillId="31" borderId="0" applyNumberFormat="0" applyBorder="0" applyAlignment="0" applyProtection="0"/>
    <xf numFmtId="0" fontId="13" fillId="3" borderId="0" applyNumberFormat="0" applyBorder="0" applyAlignment="0" applyProtection="0"/>
    <xf numFmtId="0" fontId="13" fillId="31" borderId="0" applyNumberFormat="0" applyBorder="0" applyAlignment="0" applyProtection="0"/>
    <xf numFmtId="0" fontId="13" fillId="3" borderId="0" applyNumberFormat="0" applyBorder="0" applyAlignment="0" applyProtection="0"/>
    <xf numFmtId="0" fontId="13" fillId="31" borderId="0" applyNumberFormat="0" applyBorder="0" applyAlignment="0" applyProtection="0"/>
    <xf numFmtId="0" fontId="13" fillId="3" borderId="0" applyNumberFormat="0" applyBorder="0" applyAlignment="0" applyProtection="0"/>
    <xf numFmtId="0" fontId="13" fillId="31" borderId="0" applyNumberFormat="0" applyBorder="0" applyAlignment="0" applyProtection="0"/>
    <xf numFmtId="0" fontId="13" fillId="3"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 borderId="0" applyNumberFormat="0" applyBorder="0" applyAlignment="0" applyProtection="0"/>
    <xf numFmtId="0" fontId="13" fillId="31"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1" borderId="0" applyNumberFormat="0" applyBorder="0" applyAlignment="0" applyProtection="0"/>
    <xf numFmtId="0" fontId="13" fillId="3" borderId="0" applyNumberFormat="0" applyBorder="0" applyAlignment="0" applyProtection="0"/>
    <xf numFmtId="0" fontId="13" fillId="31" borderId="0" applyNumberFormat="0" applyBorder="0" applyAlignment="0" applyProtection="0"/>
    <xf numFmtId="0" fontId="13" fillId="3" borderId="0" applyNumberFormat="0" applyBorder="0" applyAlignment="0" applyProtection="0"/>
    <xf numFmtId="0" fontId="13" fillId="31" borderId="0" applyNumberFormat="0" applyBorder="0" applyAlignment="0" applyProtection="0"/>
    <xf numFmtId="0" fontId="13" fillId="3" borderId="0" applyNumberFormat="0" applyBorder="0" applyAlignment="0" applyProtection="0"/>
    <xf numFmtId="0" fontId="13" fillId="31" borderId="0" applyNumberFormat="0" applyBorder="0" applyAlignment="0" applyProtection="0"/>
    <xf numFmtId="0" fontId="13" fillId="3" borderId="0" applyNumberFormat="0" applyBorder="0" applyAlignment="0" applyProtection="0"/>
    <xf numFmtId="0" fontId="13" fillId="31" borderId="0" applyNumberFormat="0" applyBorder="0" applyAlignment="0" applyProtection="0"/>
    <xf numFmtId="0" fontId="13" fillId="3" borderId="0" applyNumberFormat="0" applyBorder="0" applyAlignment="0" applyProtection="0"/>
    <xf numFmtId="0" fontId="13" fillId="31"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 borderId="0" applyNumberFormat="0" applyBorder="0" applyAlignment="0" applyProtection="0"/>
    <xf numFmtId="0" fontId="13" fillId="31"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1" borderId="0" applyNumberFormat="0" applyBorder="0" applyAlignment="0" applyProtection="0"/>
    <xf numFmtId="0" fontId="13" fillId="3" borderId="0" applyNumberFormat="0" applyBorder="0" applyAlignment="0" applyProtection="0"/>
    <xf numFmtId="0" fontId="13" fillId="31" borderId="0" applyNumberFormat="0" applyBorder="0" applyAlignment="0" applyProtection="0"/>
    <xf numFmtId="0" fontId="13" fillId="3" borderId="0" applyNumberFormat="0" applyBorder="0" applyAlignment="0" applyProtection="0"/>
    <xf numFmtId="0" fontId="13" fillId="31" borderId="0" applyNumberFormat="0" applyBorder="0" applyAlignment="0" applyProtection="0"/>
    <xf numFmtId="0" fontId="13" fillId="3" borderId="0" applyNumberFormat="0" applyBorder="0" applyAlignment="0" applyProtection="0"/>
    <xf numFmtId="0" fontId="13" fillId="31" borderId="0" applyNumberFormat="0" applyBorder="0" applyAlignment="0" applyProtection="0"/>
    <xf numFmtId="0" fontId="13" fillId="3" borderId="0" applyNumberFormat="0" applyBorder="0" applyAlignment="0" applyProtection="0"/>
    <xf numFmtId="0" fontId="13" fillId="31" borderId="0" applyNumberFormat="0" applyBorder="0" applyAlignment="0" applyProtection="0"/>
    <xf numFmtId="0" fontId="13" fillId="3" borderId="0" applyNumberFormat="0" applyBorder="0" applyAlignment="0" applyProtection="0"/>
    <xf numFmtId="0" fontId="13" fillId="31"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 borderId="0" applyNumberFormat="0" applyBorder="0" applyAlignment="0" applyProtection="0"/>
    <xf numFmtId="0" fontId="13" fillId="32"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32" borderId="0" applyNumberFormat="0" applyBorder="0" applyAlignment="0" applyProtection="0"/>
    <xf numFmtId="0" fontId="13" fillId="4" borderId="0" applyNumberFormat="0" applyBorder="0" applyAlignment="0" applyProtection="0"/>
    <xf numFmtId="0" fontId="13" fillId="32" borderId="0" applyNumberFormat="0" applyBorder="0" applyAlignment="0" applyProtection="0"/>
    <xf numFmtId="0" fontId="13" fillId="4" borderId="0" applyNumberFormat="0" applyBorder="0" applyAlignment="0" applyProtection="0"/>
    <xf numFmtId="0" fontId="13" fillId="32" borderId="0" applyNumberFormat="0" applyBorder="0" applyAlignment="0" applyProtection="0"/>
    <xf numFmtId="0" fontId="13" fillId="4" borderId="0" applyNumberFormat="0" applyBorder="0" applyAlignment="0" applyProtection="0"/>
    <xf numFmtId="0" fontId="13" fillId="32" borderId="0" applyNumberFormat="0" applyBorder="0" applyAlignment="0" applyProtection="0"/>
    <xf numFmtId="0" fontId="13" fillId="4" borderId="0" applyNumberFormat="0" applyBorder="0" applyAlignment="0" applyProtection="0"/>
    <xf numFmtId="0" fontId="13" fillId="32" borderId="0" applyNumberFormat="0" applyBorder="0" applyAlignment="0" applyProtection="0"/>
    <xf numFmtId="0" fontId="13" fillId="4" borderId="0" applyNumberFormat="0" applyBorder="0" applyAlignment="0" applyProtection="0"/>
    <xf numFmtId="0" fontId="13" fillId="32"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 borderId="0" applyNumberFormat="0" applyBorder="0" applyAlignment="0" applyProtection="0"/>
    <xf numFmtId="0" fontId="13" fillId="32"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32" borderId="0" applyNumberFormat="0" applyBorder="0" applyAlignment="0" applyProtection="0"/>
    <xf numFmtId="0" fontId="13" fillId="4" borderId="0" applyNumberFormat="0" applyBorder="0" applyAlignment="0" applyProtection="0"/>
    <xf numFmtId="0" fontId="13" fillId="32" borderId="0" applyNumberFormat="0" applyBorder="0" applyAlignment="0" applyProtection="0"/>
    <xf numFmtId="0" fontId="13" fillId="4" borderId="0" applyNumberFormat="0" applyBorder="0" applyAlignment="0" applyProtection="0"/>
    <xf numFmtId="0" fontId="13" fillId="32" borderId="0" applyNumberFormat="0" applyBorder="0" applyAlignment="0" applyProtection="0"/>
    <xf numFmtId="0" fontId="13" fillId="4" borderId="0" applyNumberFormat="0" applyBorder="0" applyAlignment="0" applyProtection="0"/>
    <xf numFmtId="0" fontId="13" fillId="32" borderId="0" applyNumberFormat="0" applyBorder="0" applyAlignment="0" applyProtection="0"/>
    <xf numFmtId="0" fontId="13" fillId="4" borderId="0" applyNumberFormat="0" applyBorder="0" applyAlignment="0" applyProtection="0"/>
    <xf numFmtId="0" fontId="13" fillId="32" borderId="0" applyNumberFormat="0" applyBorder="0" applyAlignment="0" applyProtection="0"/>
    <xf numFmtId="0" fontId="13" fillId="4" borderId="0" applyNumberFormat="0" applyBorder="0" applyAlignment="0" applyProtection="0"/>
    <xf numFmtId="0" fontId="13" fillId="32"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 borderId="0" applyNumberFormat="0" applyBorder="0" applyAlignment="0" applyProtection="0"/>
    <xf numFmtId="0" fontId="13" fillId="32"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32" borderId="0" applyNumberFormat="0" applyBorder="0" applyAlignment="0" applyProtection="0"/>
    <xf numFmtId="0" fontId="13" fillId="4" borderId="0" applyNumberFormat="0" applyBorder="0" applyAlignment="0" applyProtection="0"/>
    <xf numFmtId="0" fontId="13" fillId="32" borderId="0" applyNumberFormat="0" applyBorder="0" applyAlignment="0" applyProtection="0"/>
    <xf numFmtId="0" fontId="13" fillId="4" borderId="0" applyNumberFormat="0" applyBorder="0" applyAlignment="0" applyProtection="0"/>
    <xf numFmtId="0" fontId="13" fillId="32" borderId="0" applyNumberFormat="0" applyBorder="0" applyAlignment="0" applyProtection="0"/>
    <xf numFmtId="0" fontId="13" fillId="4" borderId="0" applyNumberFormat="0" applyBorder="0" applyAlignment="0" applyProtection="0"/>
    <xf numFmtId="0" fontId="13" fillId="32" borderId="0" applyNumberFormat="0" applyBorder="0" applyAlignment="0" applyProtection="0"/>
    <xf numFmtId="0" fontId="13" fillId="4" borderId="0" applyNumberFormat="0" applyBorder="0" applyAlignment="0" applyProtection="0"/>
    <xf numFmtId="0" fontId="13" fillId="32" borderId="0" applyNumberFormat="0" applyBorder="0" applyAlignment="0" applyProtection="0"/>
    <xf numFmtId="0" fontId="13" fillId="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 borderId="0" applyNumberFormat="0" applyBorder="0" applyAlignment="0" applyProtection="0"/>
    <xf numFmtId="0" fontId="13" fillId="32"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32" borderId="0" applyNumberFormat="0" applyBorder="0" applyAlignment="0" applyProtection="0"/>
    <xf numFmtId="0" fontId="13" fillId="4" borderId="0" applyNumberFormat="0" applyBorder="0" applyAlignment="0" applyProtection="0"/>
    <xf numFmtId="0" fontId="13" fillId="32" borderId="0" applyNumberFormat="0" applyBorder="0" applyAlignment="0" applyProtection="0"/>
    <xf numFmtId="0" fontId="13" fillId="4" borderId="0" applyNumberFormat="0" applyBorder="0" applyAlignment="0" applyProtection="0"/>
    <xf numFmtId="0" fontId="13" fillId="32" borderId="0" applyNumberFormat="0" applyBorder="0" applyAlignment="0" applyProtection="0"/>
    <xf numFmtId="0" fontId="13" fillId="4" borderId="0" applyNumberFormat="0" applyBorder="0" applyAlignment="0" applyProtection="0"/>
    <xf numFmtId="0" fontId="13" fillId="32" borderId="0" applyNumberFormat="0" applyBorder="0" applyAlignment="0" applyProtection="0"/>
    <xf numFmtId="0" fontId="13" fillId="4" borderId="0" applyNumberFormat="0" applyBorder="0" applyAlignment="0" applyProtection="0"/>
    <xf numFmtId="0" fontId="13" fillId="32" borderId="0" applyNumberFormat="0" applyBorder="0" applyAlignment="0" applyProtection="0"/>
    <xf numFmtId="0" fontId="13" fillId="4" borderId="0" applyNumberFormat="0" applyBorder="0" applyAlignment="0" applyProtection="0"/>
    <xf numFmtId="0" fontId="13" fillId="32"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 borderId="0" applyNumberFormat="0" applyBorder="0" applyAlignment="0" applyProtection="0"/>
    <xf numFmtId="0" fontId="13" fillId="32"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32" borderId="0" applyNumberFormat="0" applyBorder="0" applyAlignment="0" applyProtection="0"/>
    <xf numFmtId="0" fontId="13" fillId="4" borderId="0" applyNumberFormat="0" applyBorder="0" applyAlignment="0" applyProtection="0"/>
    <xf numFmtId="0" fontId="13" fillId="32" borderId="0" applyNumberFormat="0" applyBorder="0" applyAlignment="0" applyProtection="0"/>
    <xf numFmtId="0" fontId="13" fillId="4" borderId="0" applyNumberFormat="0" applyBorder="0" applyAlignment="0" applyProtection="0"/>
    <xf numFmtId="0" fontId="13" fillId="32" borderId="0" applyNumberFormat="0" applyBorder="0" applyAlignment="0" applyProtection="0"/>
    <xf numFmtId="0" fontId="13" fillId="4" borderId="0" applyNumberFormat="0" applyBorder="0" applyAlignment="0" applyProtection="0"/>
    <xf numFmtId="0" fontId="13" fillId="32" borderId="0" applyNumberFormat="0" applyBorder="0" applyAlignment="0" applyProtection="0"/>
    <xf numFmtId="0" fontId="13" fillId="4" borderId="0" applyNumberFormat="0" applyBorder="0" applyAlignment="0" applyProtection="0"/>
    <xf numFmtId="0" fontId="13" fillId="32" borderId="0" applyNumberFormat="0" applyBorder="0" applyAlignment="0" applyProtection="0"/>
    <xf numFmtId="0" fontId="13" fillId="4" borderId="0" applyNumberFormat="0" applyBorder="0" applyAlignment="0" applyProtection="0"/>
    <xf numFmtId="0" fontId="13" fillId="32"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 borderId="0" applyNumberFormat="0" applyBorder="0" applyAlignment="0" applyProtection="0"/>
    <xf numFmtId="0" fontId="13" fillId="32"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32" borderId="0" applyNumberFormat="0" applyBorder="0" applyAlignment="0" applyProtection="0"/>
    <xf numFmtId="0" fontId="13" fillId="4" borderId="0" applyNumberFormat="0" applyBorder="0" applyAlignment="0" applyProtection="0"/>
    <xf numFmtId="0" fontId="13" fillId="32" borderId="0" applyNumberFormat="0" applyBorder="0" applyAlignment="0" applyProtection="0"/>
    <xf numFmtId="0" fontId="13" fillId="4" borderId="0" applyNumberFormat="0" applyBorder="0" applyAlignment="0" applyProtection="0"/>
    <xf numFmtId="0" fontId="13" fillId="32" borderId="0" applyNumberFormat="0" applyBorder="0" applyAlignment="0" applyProtection="0"/>
    <xf numFmtId="0" fontId="13" fillId="4" borderId="0" applyNumberFormat="0" applyBorder="0" applyAlignment="0" applyProtection="0"/>
    <xf numFmtId="0" fontId="13" fillId="32" borderId="0" applyNumberFormat="0" applyBorder="0" applyAlignment="0" applyProtection="0"/>
    <xf numFmtId="0" fontId="13" fillId="4" borderId="0" applyNumberFormat="0" applyBorder="0" applyAlignment="0" applyProtection="0"/>
    <xf numFmtId="0" fontId="13" fillId="32" borderId="0" applyNumberFormat="0" applyBorder="0" applyAlignment="0" applyProtection="0"/>
    <xf numFmtId="0" fontId="13" fillId="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 borderId="0" applyNumberFormat="0" applyBorder="0" applyAlignment="0" applyProtection="0"/>
    <xf numFmtId="0" fontId="13" fillId="32"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32" borderId="0" applyNumberFormat="0" applyBorder="0" applyAlignment="0" applyProtection="0"/>
    <xf numFmtId="0" fontId="13" fillId="4" borderId="0" applyNumberFormat="0" applyBorder="0" applyAlignment="0" applyProtection="0"/>
    <xf numFmtId="0" fontId="13" fillId="32" borderId="0" applyNumberFormat="0" applyBorder="0" applyAlignment="0" applyProtection="0"/>
    <xf numFmtId="0" fontId="13" fillId="4" borderId="0" applyNumberFormat="0" applyBorder="0" applyAlignment="0" applyProtection="0"/>
    <xf numFmtId="0" fontId="13" fillId="32" borderId="0" applyNumberFormat="0" applyBorder="0" applyAlignment="0" applyProtection="0"/>
    <xf numFmtId="0" fontId="13" fillId="4" borderId="0" applyNumberFormat="0" applyBorder="0" applyAlignment="0" applyProtection="0"/>
    <xf numFmtId="0" fontId="13" fillId="32" borderId="0" applyNumberFormat="0" applyBorder="0" applyAlignment="0" applyProtection="0"/>
    <xf numFmtId="0" fontId="13" fillId="4" borderId="0" applyNumberFormat="0" applyBorder="0" applyAlignment="0" applyProtection="0"/>
    <xf numFmtId="0" fontId="13" fillId="32" borderId="0" applyNumberFormat="0" applyBorder="0" applyAlignment="0" applyProtection="0"/>
    <xf numFmtId="0" fontId="13" fillId="4" borderId="0" applyNumberFormat="0" applyBorder="0" applyAlignment="0" applyProtection="0"/>
    <xf numFmtId="0" fontId="13" fillId="32"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 borderId="0" applyNumberFormat="0" applyBorder="0" applyAlignment="0" applyProtection="0"/>
    <xf numFmtId="0" fontId="13" fillId="32"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32" borderId="0" applyNumberFormat="0" applyBorder="0" applyAlignment="0" applyProtection="0"/>
    <xf numFmtId="0" fontId="13" fillId="4" borderId="0" applyNumberFormat="0" applyBorder="0" applyAlignment="0" applyProtection="0"/>
    <xf numFmtId="0" fontId="13" fillId="32" borderId="0" applyNumberFormat="0" applyBorder="0" applyAlignment="0" applyProtection="0"/>
    <xf numFmtId="0" fontId="13" fillId="4" borderId="0" applyNumberFormat="0" applyBorder="0" applyAlignment="0" applyProtection="0"/>
    <xf numFmtId="0" fontId="13" fillId="32" borderId="0" applyNumberFormat="0" applyBorder="0" applyAlignment="0" applyProtection="0"/>
    <xf numFmtId="0" fontId="13" fillId="4" borderId="0" applyNumberFormat="0" applyBorder="0" applyAlignment="0" applyProtection="0"/>
    <xf numFmtId="0" fontId="13" fillId="32" borderId="0" applyNumberFormat="0" applyBorder="0" applyAlignment="0" applyProtection="0"/>
    <xf numFmtId="0" fontId="13" fillId="4" borderId="0" applyNumberFormat="0" applyBorder="0" applyAlignment="0" applyProtection="0"/>
    <xf numFmtId="0" fontId="13" fillId="32" borderId="0" applyNumberFormat="0" applyBorder="0" applyAlignment="0" applyProtection="0"/>
    <xf numFmtId="0" fontId="13" fillId="4" borderId="0" applyNumberFormat="0" applyBorder="0" applyAlignment="0" applyProtection="0"/>
    <xf numFmtId="0" fontId="13" fillId="32"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5" borderId="0" applyNumberFormat="0" applyBorder="0" applyAlignment="0" applyProtection="0"/>
    <xf numFmtId="0" fontId="13" fillId="33"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33" borderId="0" applyNumberFormat="0" applyBorder="0" applyAlignment="0" applyProtection="0"/>
    <xf numFmtId="0" fontId="13" fillId="5" borderId="0" applyNumberFormat="0" applyBorder="0" applyAlignment="0" applyProtection="0"/>
    <xf numFmtId="0" fontId="13" fillId="33" borderId="0" applyNumberFormat="0" applyBorder="0" applyAlignment="0" applyProtection="0"/>
    <xf numFmtId="0" fontId="13" fillId="5" borderId="0" applyNumberFormat="0" applyBorder="0" applyAlignment="0" applyProtection="0"/>
    <xf numFmtId="0" fontId="13" fillId="33" borderId="0" applyNumberFormat="0" applyBorder="0" applyAlignment="0" applyProtection="0"/>
    <xf numFmtId="0" fontId="13" fillId="5" borderId="0" applyNumberFormat="0" applyBorder="0" applyAlignment="0" applyProtection="0"/>
    <xf numFmtId="0" fontId="13" fillId="33" borderId="0" applyNumberFormat="0" applyBorder="0" applyAlignment="0" applyProtection="0"/>
    <xf numFmtId="0" fontId="13" fillId="5" borderId="0" applyNumberFormat="0" applyBorder="0" applyAlignment="0" applyProtection="0"/>
    <xf numFmtId="0" fontId="13" fillId="33" borderId="0" applyNumberFormat="0" applyBorder="0" applyAlignment="0" applyProtection="0"/>
    <xf numFmtId="0" fontId="13" fillId="5" borderId="0" applyNumberFormat="0" applyBorder="0" applyAlignment="0" applyProtection="0"/>
    <xf numFmtId="0" fontId="13" fillId="33"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5" borderId="0" applyNumberFormat="0" applyBorder="0" applyAlignment="0" applyProtection="0"/>
    <xf numFmtId="0" fontId="13" fillId="33"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33" borderId="0" applyNumberFormat="0" applyBorder="0" applyAlignment="0" applyProtection="0"/>
    <xf numFmtId="0" fontId="13" fillId="5" borderId="0" applyNumberFormat="0" applyBorder="0" applyAlignment="0" applyProtection="0"/>
    <xf numFmtId="0" fontId="13" fillId="33" borderId="0" applyNumberFormat="0" applyBorder="0" applyAlignment="0" applyProtection="0"/>
    <xf numFmtId="0" fontId="13" fillId="5" borderId="0" applyNumberFormat="0" applyBorder="0" applyAlignment="0" applyProtection="0"/>
    <xf numFmtId="0" fontId="13" fillId="33" borderId="0" applyNumberFormat="0" applyBorder="0" applyAlignment="0" applyProtection="0"/>
    <xf numFmtId="0" fontId="13" fillId="5" borderId="0" applyNumberFormat="0" applyBorder="0" applyAlignment="0" applyProtection="0"/>
    <xf numFmtId="0" fontId="13" fillId="33" borderId="0" applyNumberFormat="0" applyBorder="0" applyAlignment="0" applyProtection="0"/>
    <xf numFmtId="0" fontId="13" fillId="5" borderId="0" applyNumberFormat="0" applyBorder="0" applyAlignment="0" applyProtection="0"/>
    <xf numFmtId="0" fontId="13" fillId="33" borderId="0" applyNumberFormat="0" applyBorder="0" applyAlignment="0" applyProtection="0"/>
    <xf numFmtId="0" fontId="13" fillId="5" borderId="0" applyNumberFormat="0" applyBorder="0" applyAlignment="0" applyProtection="0"/>
    <xf numFmtId="0" fontId="13" fillId="33"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5" borderId="0" applyNumberFormat="0" applyBorder="0" applyAlignment="0" applyProtection="0"/>
    <xf numFmtId="0" fontId="13" fillId="33"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33" borderId="0" applyNumberFormat="0" applyBorder="0" applyAlignment="0" applyProtection="0"/>
    <xf numFmtId="0" fontId="13" fillId="5" borderId="0" applyNumberFormat="0" applyBorder="0" applyAlignment="0" applyProtection="0"/>
    <xf numFmtId="0" fontId="13" fillId="33" borderId="0" applyNumberFormat="0" applyBorder="0" applyAlignment="0" applyProtection="0"/>
    <xf numFmtId="0" fontId="13" fillId="5" borderId="0" applyNumberFormat="0" applyBorder="0" applyAlignment="0" applyProtection="0"/>
    <xf numFmtId="0" fontId="13" fillId="33" borderId="0" applyNumberFormat="0" applyBorder="0" applyAlignment="0" applyProtection="0"/>
    <xf numFmtId="0" fontId="13" fillId="5" borderId="0" applyNumberFormat="0" applyBorder="0" applyAlignment="0" applyProtection="0"/>
    <xf numFmtId="0" fontId="13" fillId="33" borderId="0" applyNumberFormat="0" applyBorder="0" applyAlignment="0" applyProtection="0"/>
    <xf numFmtId="0" fontId="13" fillId="5" borderId="0" applyNumberFormat="0" applyBorder="0" applyAlignment="0" applyProtection="0"/>
    <xf numFmtId="0" fontId="13" fillId="33" borderId="0" applyNumberFormat="0" applyBorder="0" applyAlignment="0" applyProtection="0"/>
    <xf numFmtId="0" fontId="13" fillId="5"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5" borderId="0" applyNumberFormat="0" applyBorder="0" applyAlignment="0" applyProtection="0"/>
    <xf numFmtId="0" fontId="13" fillId="33"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33" borderId="0" applyNumberFormat="0" applyBorder="0" applyAlignment="0" applyProtection="0"/>
    <xf numFmtId="0" fontId="13" fillId="5" borderId="0" applyNumberFormat="0" applyBorder="0" applyAlignment="0" applyProtection="0"/>
    <xf numFmtId="0" fontId="13" fillId="33" borderId="0" applyNumberFormat="0" applyBorder="0" applyAlignment="0" applyProtection="0"/>
    <xf numFmtId="0" fontId="13" fillId="5" borderId="0" applyNumberFormat="0" applyBorder="0" applyAlignment="0" applyProtection="0"/>
    <xf numFmtId="0" fontId="13" fillId="33" borderId="0" applyNumberFormat="0" applyBorder="0" applyAlignment="0" applyProtection="0"/>
    <xf numFmtId="0" fontId="13" fillId="5" borderId="0" applyNumberFormat="0" applyBorder="0" applyAlignment="0" applyProtection="0"/>
    <xf numFmtId="0" fontId="13" fillId="33" borderId="0" applyNumberFormat="0" applyBorder="0" applyAlignment="0" applyProtection="0"/>
    <xf numFmtId="0" fontId="13" fillId="5" borderId="0" applyNumberFormat="0" applyBorder="0" applyAlignment="0" applyProtection="0"/>
    <xf numFmtId="0" fontId="13" fillId="33" borderId="0" applyNumberFormat="0" applyBorder="0" applyAlignment="0" applyProtection="0"/>
    <xf numFmtId="0" fontId="13" fillId="5" borderId="0" applyNumberFormat="0" applyBorder="0" applyAlignment="0" applyProtection="0"/>
    <xf numFmtId="0" fontId="13" fillId="33"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5" borderId="0" applyNumberFormat="0" applyBorder="0" applyAlignment="0" applyProtection="0"/>
    <xf numFmtId="0" fontId="13" fillId="33"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33" borderId="0" applyNumberFormat="0" applyBorder="0" applyAlignment="0" applyProtection="0"/>
    <xf numFmtId="0" fontId="13" fillId="5" borderId="0" applyNumberFormat="0" applyBorder="0" applyAlignment="0" applyProtection="0"/>
    <xf numFmtId="0" fontId="13" fillId="33" borderId="0" applyNumberFormat="0" applyBorder="0" applyAlignment="0" applyProtection="0"/>
    <xf numFmtId="0" fontId="13" fillId="5" borderId="0" applyNumberFormat="0" applyBorder="0" applyAlignment="0" applyProtection="0"/>
    <xf numFmtId="0" fontId="13" fillId="33" borderId="0" applyNumberFormat="0" applyBorder="0" applyAlignment="0" applyProtection="0"/>
    <xf numFmtId="0" fontId="13" fillId="5" borderId="0" applyNumberFormat="0" applyBorder="0" applyAlignment="0" applyProtection="0"/>
    <xf numFmtId="0" fontId="13" fillId="33" borderId="0" applyNumberFormat="0" applyBorder="0" applyAlignment="0" applyProtection="0"/>
    <xf numFmtId="0" fontId="13" fillId="5" borderId="0" applyNumberFormat="0" applyBorder="0" applyAlignment="0" applyProtection="0"/>
    <xf numFmtId="0" fontId="13" fillId="33" borderId="0" applyNumberFormat="0" applyBorder="0" applyAlignment="0" applyProtection="0"/>
    <xf numFmtId="0" fontId="13" fillId="5" borderId="0" applyNumberFormat="0" applyBorder="0" applyAlignment="0" applyProtection="0"/>
    <xf numFmtId="0" fontId="13" fillId="33"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5" borderId="0" applyNumberFormat="0" applyBorder="0" applyAlignment="0" applyProtection="0"/>
    <xf numFmtId="0" fontId="13" fillId="33"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33" borderId="0" applyNumberFormat="0" applyBorder="0" applyAlignment="0" applyProtection="0"/>
    <xf numFmtId="0" fontId="13" fillId="5" borderId="0" applyNumberFormat="0" applyBorder="0" applyAlignment="0" applyProtection="0"/>
    <xf numFmtId="0" fontId="13" fillId="33" borderId="0" applyNumberFormat="0" applyBorder="0" applyAlignment="0" applyProtection="0"/>
    <xf numFmtId="0" fontId="13" fillId="5" borderId="0" applyNumberFormat="0" applyBorder="0" applyAlignment="0" applyProtection="0"/>
    <xf numFmtId="0" fontId="13" fillId="33" borderId="0" applyNumberFormat="0" applyBorder="0" applyAlignment="0" applyProtection="0"/>
    <xf numFmtId="0" fontId="13" fillId="5" borderId="0" applyNumberFormat="0" applyBorder="0" applyAlignment="0" applyProtection="0"/>
    <xf numFmtId="0" fontId="13" fillId="33" borderId="0" applyNumberFormat="0" applyBorder="0" applyAlignment="0" applyProtection="0"/>
    <xf numFmtId="0" fontId="13" fillId="5" borderId="0" applyNumberFormat="0" applyBorder="0" applyAlignment="0" applyProtection="0"/>
    <xf numFmtId="0" fontId="13" fillId="33" borderId="0" applyNumberFormat="0" applyBorder="0" applyAlignment="0" applyProtection="0"/>
    <xf numFmtId="0" fontId="13" fillId="5"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5" borderId="0" applyNumberFormat="0" applyBorder="0" applyAlignment="0" applyProtection="0"/>
    <xf numFmtId="0" fontId="13" fillId="33"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33" borderId="0" applyNumberFormat="0" applyBorder="0" applyAlignment="0" applyProtection="0"/>
    <xf numFmtId="0" fontId="13" fillId="5" borderId="0" applyNumberFormat="0" applyBorder="0" applyAlignment="0" applyProtection="0"/>
    <xf numFmtId="0" fontId="13" fillId="33" borderId="0" applyNumberFormat="0" applyBorder="0" applyAlignment="0" applyProtection="0"/>
    <xf numFmtId="0" fontId="13" fillId="5" borderId="0" applyNumberFormat="0" applyBorder="0" applyAlignment="0" applyProtection="0"/>
    <xf numFmtId="0" fontId="13" fillId="33" borderId="0" applyNumberFormat="0" applyBorder="0" applyAlignment="0" applyProtection="0"/>
    <xf numFmtId="0" fontId="13" fillId="5" borderId="0" applyNumberFormat="0" applyBorder="0" applyAlignment="0" applyProtection="0"/>
    <xf numFmtId="0" fontId="13" fillId="33" borderId="0" applyNumberFormat="0" applyBorder="0" applyAlignment="0" applyProtection="0"/>
    <xf numFmtId="0" fontId="13" fillId="5" borderId="0" applyNumberFormat="0" applyBorder="0" applyAlignment="0" applyProtection="0"/>
    <xf numFmtId="0" fontId="13" fillId="33" borderId="0" applyNumberFormat="0" applyBorder="0" applyAlignment="0" applyProtection="0"/>
    <xf numFmtId="0" fontId="13" fillId="5" borderId="0" applyNumberFormat="0" applyBorder="0" applyAlignment="0" applyProtection="0"/>
    <xf numFmtId="0" fontId="13" fillId="33"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5" borderId="0" applyNumberFormat="0" applyBorder="0" applyAlignment="0" applyProtection="0"/>
    <xf numFmtId="0" fontId="13" fillId="33"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33" borderId="0" applyNumberFormat="0" applyBorder="0" applyAlignment="0" applyProtection="0"/>
    <xf numFmtId="0" fontId="13" fillId="5" borderId="0" applyNumberFormat="0" applyBorder="0" applyAlignment="0" applyProtection="0"/>
    <xf numFmtId="0" fontId="13" fillId="33" borderId="0" applyNumberFormat="0" applyBorder="0" applyAlignment="0" applyProtection="0"/>
    <xf numFmtId="0" fontId="13" fillId="5" borderId="0" applyNumberFormat="0" applyBorder="0" applyAlignment="0" applyProtection="0"/>
    <xf numFmtId="0" fontId="13" fillId="33" borderId="0" applyNumberFormat="0" applyBorder="0" applyAlignment="0" applyProtection="0"/>
    <xf numFmtId="0" fontId="13" fillId="5" borderId="0" applyNumberFormat="0" applyBorder="0" applyAlignment="0" applyProtection="0"/>
    <xf numFmtId="0" fontId="13" fillId="33" borderId="0" applyNumberFormat="0" applyBorder="0" applyAlignment="0" applyProtection="0"/>
    <xf numFmtId="0" fontId="13" fillId="5" borderId="0" applyNumberFormat="0" applyBorder="0" applyAlignment="0" applyProtection="0"/>
    <xf numFmtId="0" fontId="13" fillId="33" borderId="0" applyNumberFormat="0" applyBorder="0" applyAlignment="0" applyProtection="0"/>
    <xf numFmtId="0" fontId="13" fillId="5" borderId="0" applyNumberFormat="0" applyBorder="0" applyAlignment="0" applyProtection="0"/>
    <xf numFmtId="0" fontId="13" fillId="33"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7" borderId="0" applyNumberFormat="0" applyBorder="0" applyAlignment="0" applyProtection="0"/>
    <xf numFmtId="0" fontId="13" fillId="3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37" borderId="0" applyNumberFormat="0" applyBorder="0" applyAlignment="0" applyProtection="0"/>
    <xf numFmtId="0" fontId="13" fillId="7" borderId="0" applyNumberFormat="0" applyBorder="0" applyAlignment="0" applyProtection="0"/>
    <xf numFmtId="0" fontId="13" fillId="37" borderId="0" applyNumberFormat="0" applyBorder="0" applyAlignment="0" applyProtection="0"/>
    <xf numFmtId="0" fontId="13" fillId="7" borderId="0" applyNumberFormat="0" applyBorder="0" applyAlignment="0" applyProtection="0"/>
    <xf numFmtId="0" fontId="13" fillId="37" borderId="0" applyNumberFormat="0" applyBorder="0" applyAlignment="0" applyProtection="0"/>
    <xf numFmtId="0" fontId="13" fillId="7" borderId="0" applyNumberFormat="0" applyBorder="0" applyAlignment="0" applyProtection="0"/>
    <xf numFmtId="0" fontId="13" fillId="37" borderId="0" applyNumberFormat="0" applyBorder="0" applyAlignment="0" applyProtection="0"/>
    <xf numFmtId="0" fontId="13" fillId="7" borderId="0" applyNumberFormat="0" applyBorder="0" applyAlignment="0" applyProtection="0"/>
    <xf numFmtId="0" fontId="13" fillId="37" borderId="0" applyNumberFormat="0" applyBorder="0" applyAlignment="0" applyProtection="0"/>
    <xf numFmtId="0" fontId="13" fillId="7" borderId="0" applyNumberFormat="0" applyBorder="0" applyAlignment="0" applyProtection="0"/>
    <xf numFmtId="0" fontId="13" fillId="3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7" borderId="0" applyNumberFormat="0" applyBorder="0" applyAlignment="0" applyProtection="0"/>
    <xf numFmtId="0" fontId="13" fillId="3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37" borderId="0" applyNumberFormat="0" applyBorder="0" applyAlignment="0" applyProtection="0"/>
    <xf numFmtId="0" fontId="13" fillId="7" borderId="0" applyNumberFormat="0" applyBorder="0" applyAlignment="0" applyProtection="0"/>
    <xf numFmtId="0" fontId="13" fillId="37" borderId="0" applyNumberFormat="0" applyBorder="0" applyAlignment="0" applyProtection="0"/>
    <xf numFmtId="0" fontId="13" fillId="7" borderId="0" applyNumberFormat="0" applyBorder="0" applyAlignment="0" applyProtection="0"/>
    <xf numFmtId="0" fontId="13" fillId="37" borderId="0" applyNumberFormat="0" applyBorder="0" applyAlignment="0" applyProtection="0"/>
    <xf numFmtId="0" fontId="13" fillId="7" borderId="0" applyNumberFormat="0" applyBorder="0" applyAlignment="0" applyProtection="0"/>
    <xf numFmtId="0" fontId="13" fillId="37" borderId="0" applyNumberFormat="0" applyBorder="0" applyAlignment="0" applyProtection="0"/>
    <xf numFmtId="0" fontId="13" fillId="7" borderId="0" applyNumberFormat="0" applyBorder="0" applyAlignment="0" applyProtection="0"/>
    <xf numFmtId="0" fontId="13" fillId="37" borderId="0" applyNumberFormat="0" applyBorder="0" applyAlignment="0" applyProtection="0"/>
    <xf numFmtId="0" fontId="13" fillId="7" borderId="0" applyNumberFormat="0" applyBorder="0" applyAlignment="0" applyProtection="0"/>
    <xf numFmtId="0" fontId="13" fillId="3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7" borderId="0" applyNumberFormat="0" applyBorder="0" applyAlignment="0" applyProtection="0"/>
    <xf numFmtId="0" fontId="13" fillId="3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37" borderId="0" applyNumberFormat="0" applyBorder="0" applyAlignment="0" applyProtection="0"/>
    <xf numFmtId="0" fontId="13" fillId="7" borderId="0" applyNumberFormat="0" applyBorder="0" applyAlignment="0" applyProtection="0"/>
    <xf numFmtId="0" fontId="13" fillId="37" borderId="0" applyNumberFormat="0" applyBorder="0" applyAlignment="0" applyProtection="0"/>
    <xf numFmtId="0" fontId="13" fillId="7" borderId="0" applyNumberFormat="0" applyBorder="0" applyAlignment="0" applyProtection="0"/>
    <xf numFmtId="0" fontId="13" fillId="37" borderId="0" applyNumberFormat="0" applyBorder="0" applyAlignment="0" applyProtection="0"/>
    <xf numFmtId="0" fontId="13" fillId="7" borderId="0" applyNumberFormat="0" applyBorder="0" applyAlignment="0" applyProtection="0"/>
    <xf numFmtId="0" fontId="13" fillId="37" borderId="0" applyNumberFormat="0" applyBorder="0" applyAlignment="0" applyProtection="0"/>
    <xf numFmtId="0" fontId="13" fillId="7" borderId="0" applyNumberFormat="0" applyBorder="0" applyAlignment="0" applyProtection="0"/>
    <xf numFmtId="0" fontId="13" fillId="37" borderId="0" applyNumberFormat="0" applyBorder="0" applyAlignment="0" applyProtection="0"/>
    <xf numFmtId="0" fontId="13" fillId="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7" borderId="0" applyNumberFormat="0" applyBorder="0" applyAlignment="0" applyProtection="0"/>
    <xf numFmtId="0" fontId="13" fillId="3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37" borderId="0" applyNumberFormat="0" applyBorder="0" applyAlignment="0" applyProtection="0"/>
    <xf numFmtId="0" fontId="13" fillId="7" borderId="0" applyNumberFormat="0" applyBorder="0" applyAlignment="0" applyProtection="0"/>
    <xf numFmtId="0" fontId="13" fillId="37" borderId="0" applyNumberFormat="0" applyBorder="0" applyAlignment="0" applyProtection="0"/>
    <xf numFmtId="0" fontId="13" fillId="7" borderId="0" applyNumberFormat="0" applyBorder="0" applyAlignment="0" applyProtection="0"/>
    <xf numFmtId="0" fontId="13" fillId="37" borderId="0" applyNumberFormat="0" applyBorder="0" applyAlignment="0" applyProtection="0"/>
    <xf numFmtId="0" fontId="13" fillId="7" borderId="0" applyNumberFormat="0" applyBorder="0" applyAlignment="0" applyProtection="0"/>
    <xf numFmtId="0" fontId="13" fillId="37" borderId="0" applyNumberFormat="0" applyBorder="0" applyAlignment="0" applyProtection="0"/>
    <xf numFmtId="0" fontId="13" fillId="7" borderId="0" applyNumberFormat="0" applyBorder="0" applyAlignment="0" applyProtection="0"/>
    <xf numFmtId="0" fontId="13" fillId="37" borderId="0" applyNumberFormat="0" applyBorder="0" applyAlignment="0" applyProtection="0"/>
    <xf numFmtId="0" fontId="13" fillId="7" borderId="0" applyNumberFormat="0" applyBorder="0" applyAlignment="0" applyProtection="0"/>
    <xf numFmtId="0" fontId="13" fillId="3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7" borderId="0" applyNumberFormat="0" applyBorder="0" applyAlignment="0" applyProtection="0"/>
    <xf numFmtId="0" fontId="13" fillId="3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37" borderId="0" applyNumberFormat="0" applyBorder="0" applyAlignment="0" applyProtection="0"/>
    <xf numFmtId="0" fontId="13" fillId="7" borderId="0" applyNumberFormat="0" applyBorder="0" applyAlignment="0" applyProtection="0"/>
    <xf numFmtId="0" fontId="13" fillId="37" borderId="0" applyNumberFormat="0" applyBorder="0" applyAlignment="0" applyProtection="0"/>
    <xf numFmtId="0" fontId="13" fillId="7" borderId="0" applyNumberFormat="0" applyBorder="0" applyAlignment="0" applyProtection="0"/>
    <xf numFmtId="0" fontId="13" fillId="37" borderId="0" applyNumberFormat="0" applyBorder="0" applyAlignment="0" applyProtection="0"/>
    <xf numFmtId="0" fontId="13" fillId="7" borderId="0" applyNumberFormat="0" applyBorder="0" applyAlignment="0" applyProtection="0"/>
    <xf numFmtId="0" fontId="13" fillId="37" borderId="0" applyNumberFormat="0" applyBorder="0" applyAlignment="0" applyProtection="0"/>
    <xf numFmtId="0" fontId="13" fillId="7" borderId="0" applyNumberFormat="0" applyBorder="0" applyAlignment="0" applyProtection="0"/>
    <xf numFmtId="0" fontId="13" fillId="37" borderId="0" applyNumberFormat="0" applyBorder="0" applyAlignment="0" applyProtection="0"/>
    <xf numFmtId="0" fontId="13" fillId="7" borderId="0" applyNumberFormat="0" applyBorder="0" applyAlignment="0" applyProtection="0"/>
    <xf numFmtId="0" fontId="13" fillId="3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7" borderId="0" applyNumberFormat="0" applyBorder="0" applyAlignment="0" applyProtection="0"/>
    <xf numFmtId="0" fontId="13" fillId="3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37" borderId="0" applyNumberFormat="0" applyBorder="0" applyAlignment="0" applyProtection="0"/>
    <xf numFmtId="0" fontId="13" fillId="7" borderId="0" applyNumberFormat="0" applyBorder="0" applyAlignment="0" applyProtection="0"/>
    <xf numFmtId="0" fontId="13" fillId="37" borderId="0" applyNumberFormat="0" applyBorder="0" applyAlignment="0" applyProtection="0"/>
    <xf numFmtId="0" fontId="13" fillId="7" borderId="0" applyNumberFormat="0" applyBorder="0" applyAlignment="0" applyProtection="0"/>
    <xf numFmtId="0" fontId="13" fillId="37" borderId="0" applyNumberFormat="0" applyBorder="0" applyAlignment="0" applyProtection="0"/>
    <xf numFmtId="0" fontId="13" fillId="7" borderId="0" applyNumberFormat="0" applyBorder="0" applyAlignment="0" applyProtection="0"/>
    <xf numFmtId="0" fontId="13" fillId="37" borderId="0" applyNumberFormat="0" applyBorder="0" applyAlignment="0" applyProtection="0"/>
    <xf numFmtId="0" fontId="13" fillId="7" borderId="0" applyNumberFormat="0" applyBorder="0" applyAlignment="0" applyProtection="0"/>
    <xf numFmtId="0" fontId="13" fillId="37" borderId="0" applyNumberFormat="0" applyBorder="0" applyAlignment="0" applyProtection="0"/>
    <xf numFmtId="0" fontId="13" fillId="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7" borderId="0" applyNumberFormat="0" applyBorder="0" applyAlignment="0" applyProtection="0"/>
    <xf numFmtId="0" fontId="13" fillId="3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37" borderId="0" applyNumberFormat="0" applyBorder="0" applyAlignment="0" applyProtection="0"/>
    <xf numFmtId="0" fontId="13" fillId="7" borderId="0" applyNumberFormat="0" applyBorder="0" applyAlignment="0" applyProtection="0"/>
    <xf numFmtId="0" fontId="13" fillId="37" borderId="0" applyNumberFormat="0" applyBorder="0" applyAlignment="0" applyProtection="0"/>
    <xf numFmtId="0" fontId="13" fillId="7" borderId="0" applyNumberFormat="0" applyBorder="0" applyAlignment="0" applyProtection="0"/>
    <xf numFmtId="0" fontId="13" fillId="37" borderId="0" applyNumberFormat="0" applyBorder="0" applyAlignment="0" applyProtection="0"/>
    <xf numFmtId="0" fontId="13" fillId="7" borderId="0" applyNumberFormat="0" applyBorder="0" applyAlignment="0" applyProtection="0"/>
    <xf numFmtId="0" fontId="13" fillId="37" borderId="0" applyNumberFormat="0" applyBorder="0" applyAlignment="0" applyProtection="0"/>
    <xf numFmtId="0" fontId="13" fillId="7" borderId="0" applyNumberFormat="0" applyBorder="0" applyAlignment="0" applyProtection="0"/>
    <xf numFmtId="0" fontId="13" fillId="37" borderId="0" applyNumberFormat="0" applyBorder="0" applyAlignment="0" applyProtection="0"/>
    <xf numFmtId="0" fontId="13" fillId="7" borderId="0" applyNumberFormat="0" applyBorder="0" applyAlignment="0" applyProtection="0"/>
    <xf numFmtId="0" fontId="13" fillId="3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7" borderId="0" applyNumberFormat="0" applyBorder="0" applyAlignment="0" applyProtection="0"/>
    <xf numFmtId="0" fontId="13" fillId="3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37" borderId="0" applyNumberFormat="0" applyBorder="0" applyAlignment="0" applyProtection="0"/>
    <xf numFmtId="0" fontId="13" fillId="7" borderId="0" applyNumberFormat="0" applyBorder="0" applyAlignment="0" applyProtection="0"/>
    <xf numFmtId="0" fontId="13" fillId="37" borderId="0" applyNumberFormat="0" applyBorder="0" applyAlignment="0" applyProtection="0"/>
    <xf numFmtId="0" fontId="13" fillId="7" borderId="0" applyNumberFormat="0" applyBorder="0" applyAlignment="0" applyProtection="0"/>
    <xf numFmtId="0" fontId="13" fillId="37" borderId="0" applyNumberFormat="0" applyBorder="0" applyAlignment="0" applyProtection="0"/>
    <xf numFmtId="0" fontId="13" fillId="7" borderId="0" applyNumberFormat="0" applyBorder="0" applyAlignment="0" applyProtection="0"/>
    <xf numFmtId="0" fontId="13" fillId="37" borderId="0" applyNumberFormat="0" applyBorder="0" applyAlignment="0" applyProtection="0"/>
    <xf numFmtId="0" fontId="13" fillId="7" borderId="0" applyNumberFormat="0" applyBorder="0" applyAlignment="0" applyProtection="0"/>
    <xf numFmtId="0" fontId="13" fillId="37" borderId="0" applyNumberFormat="0" applyBorder="0" applyAlignment="0" applyProtection="0"/>
    <xf numFmtId="0" fontId="13" fillId="7" borderId="0" applyNumberFormat="0" applyBorder="0" applyAlignment="0" applyProtection="0"/>
    <xf numFmtId="0" fontId="13" fillId="3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8" borderId="0" applyNumberFormat="0" applyBorder="0" applyAlignment="0" applyProtection="0"/>
    <xf numFmtId="0" fontId="13" fillId="3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38" borderId="0" applyNumberFormat="0" applyBorder="0" applyAlignment="0" applyProtection="0"/>
    <xf numFmtId="0" fontId="13" fillId="8" borderId="0" applyNumberFormat="0" applyBorder="0" applyAlignment="0" applyProtection="0"/>
    <xf numFmtId="0" fontId="13" fillId="38" borderId="0" applyNumberFormat="0" applyBorder="0" applyAlignment="0" applyProtection="0"/>
    <xf numFmtId="0" fontId="13" fillId="8" borderId="0" applyNumberFormat="0" applyBorder="0" applyAlignment="0" applyProtection="0"/>
    <xf numFmtId="0" fontId="13" fillId="38" borderId="0" applyNumberFormat="0" applyBorder="0" applyAlignment="0" applyProtection="0"/>
    <xf numFmtId="0" fontId="13" fillId="8" borderId="0" applyNumberFormat="0" applyBorder="0" applyAlignment="0" applyProtection="0"/>
    <xf numFmtId="0" fontId="13" fillId="38" borderId="0" applyNumberFormat="0" applyBorder="0" applyAlignment="0" applyProtection="0"/>
    <xf numFmtId="0" fontId="13" fillId="8" borderId="0" applyNumberFormat="0" applyBorder="0" applyAlignment="0" applyProtection="0"/>
    <xf numFmtId="0" fontId="13" fillId="38" borderId="0" applyNumberFormat="0" applyBorder="0" applyAlignment="0" applyProtection="0"/>
    <xf numFmtId="0" fontId="13" fillId="8" borderId="0" applyNumberFormat="0" applyBorder="0" applyAlignment="0" applyProtection="0"/>
    <xf numFmtId="0" fontId="13" fillId="3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8" borderId="0" applyNumberFormat="0" applyBorder="0" applyAlignment="0" applyProtection="0"/>
    <xf numFmtId="0" fontId="13" fillId="3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38" borderId="0" applyNumberFormat="0" applyBorder="0" applyAlignment="0" applyProtection="0"/>
    <xf numFmtId="0" fontId="13" fillId="8" borderId="0" applyNumberFormat="0" applyBorder="0" applyAlignment="0" applyProtection="0"/>
    <xf numFmtId="0" fontId="13" fillId="38" borderId="0" applyNumberFormat="0" applyBorder="0" applyAlignment="0" applyProtection="0"/>
    <xf numFmtId="0" fontId="13" fillId="8" borderId="0" applyNumberFormat="0" applyBorder="0" applyAlignment="0" applyProtection="0"/>
    <xf numFmtId="0" fontId="13" fillId="38" borderId="0" applyNumberFormat="0" applyBorder="0" applyAlignment="0" applyProtection="0"/>
    <xf numFmtId="0" fontId="13" fillId="8" borderId="0" applyNumberFormat="0" applyBorder="0" applyAlignment="0" applyProtection="0"/>
    <xf numFmtId="0" fontId="13" fillId="38" borderId="0" applyNumberFormat="0" applyBorder="0" applyAlignment="0" applyProtection="0"/>
    <xf numFmtId="0" fontId="13" fillId="8" borderId="0" applyNumberFormat="0" applyBorder="0" applyAlignment="0" applyProtection="0"/>
    <xf numFmtId="0" fontId="13" fillId="38" borderId="0" applyNumberFormat="0" applyBorder="0" applyAlignment="0" applyProtection="0"/>
    <xf numFmtId="0" fontId="13" fillId="8" borderId="0" applyNumberFormat="0" applyBorder="0" applyAlignment="0" applyProtection="0"/>
    <xf numFmtId="0" fontId="13" fillId="3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8" borderId="0" applyNumberFormat="0" applyBorder="0" applyAlignment="0" applyProtection="0"/>
    <xf numFmtId="0" fontId="13" fillId="3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38" borderId="0" applyNumberFormat="0" applyBorder="0" applyAlignment="0" applyProtection="0"/>
    <xf numFmtId="0" fontId="13" fillId="8" borderId="0" applyNumberFormat="0" applyBorder="0" applyAlignment="0" applyProtection="0"/>
    <xf numFmtId="0" fontId="13" fillId="38" borderId="0" applyNumberFormat="0" applyBorder="0" applyAlignment="0" applyProtection="0"/>
    <xf numFmtId="0" fontId="13" fillId="8" borderId="0" applyNumberFormat="0" applyBorder="0" applyAlignment="0" applyProtection="0"/>
    <xf numFmtId="0" fontId="13" fillId="38" borderId="0" applyNumberFormat="0" applyBorder="0" applyAlignment="0" applyProtection="0"/>
    <xf numFmtId="0" fontId="13" fillId="8" borderId="0" applyNumberFormat="0" applyBorder="0" applyAlignment="0" applyProtection="0"/>
    <xf numFmtId="0" fontId="13" fillId="38" borderId="0" applyNumberFormat="0" applyBorder="0" applyAlignment="0" applyProtection="0"/>
    <xf numFmtId="0" fontId="13" fillId="8" borderId="0" applyNumberFormat="0" applyBorder="0" applyAlignment="0" applyProtection="0"/>
    <xf numFmtId="0" fontId="13" fillId="38" borderId="0" applyNumberFormat="0" applyBorder="0" applyAlignment="0" applyProtection="0"/>
    <xf numFmtId="0" fontId="13" fillId="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8" borderId="0" applyNumberFormat="0" applyBorder="0" applyAlignment="0" applyProtection="0"/>
    <xf numFmtId="0" fontId="13" fillId="3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38" borderId="0" applyNumberFormat="0" applyBorder="0" applyAlignment="0" applyProtection="0"/>
    <xf numFmtId="0" fontId="13" fillId="8" borderId="0" applyNumberFormat="0" applyBorder="0" applyAlignment="0" applyProtection="0"/>
    <xf numFmtId="0" fontId="13" fillId="38" borderId="0" applyNumberFormat="0" applyBorder="0" applyAlignment="0" applyProtection="0"/>
    <xf numFmtId="0" fontId="13" fillId="8" borderId="0" applyNumberFormat="0" applyBorder="0" applyAlignment="0" applyProtection="0"/>
    <xf numFmtId="0" fontId="13" fillId="38" borderId="0" applyNumberFormat="0" applyBorder="0" applyAlignment="0" applyProtection="0"/>
    <xf numFmtId="0" fontId="13" fillId="8" borderId="0" applyNumberFormat="0" applyBorder="0" applyAlignment="0" applyProtection="0"/>
    <xf numFmtId="0" fontId="13" fillId="38" borderId="0" applyNumberFormat="0" applyBorder="0" applyAlignment="0" applyProtection="0"/>
    <xf numFmtId="0" fontId="13" fillId="8" borderId="0" applyNumberFormat="0" applyBorder="0" applyAlignment="0" applyProtection="0"/>
    <xf numFmtId="0" fontId="13" fillId="38" borderId="0" applyNumberFormat="0" applyBorder="0" applyAlignment="0" applyProtection="0"/>
    <xf numFmtId="0" fontId="13" fillId="8" borderId="0" applyNumberFormat="0" applyBorder="0" applyAlignment="0" applyProtection="0"/>
    <xf numFmtId="0" fontId="13" fillId="3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8" borderId="0" applyNumberFormat="0" applyBorder="0" applyAlignment="0" applyProtection="0"/>
    <xf numFmtId="0" fontId="13" fillId="3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38" borderId="0" applyNumberFormat="0" applyBorder="0" applyAlignment="0" applyProtection="0"/>
    <xf numFmtId="0" fontId="13" fillId="8" borderId="0" applyNumberFormat="0" applyBorder="0" applyAlignment="0" applyProtection="0"/>
    <xf numFmtId="0" fontId="13" fillId="38" borderId="0" applyNumberFormat="0" applyBorder="0" applyAlignment="0" applyProtection="0"/>
    <xf numFmtId="0" fontId="13" fillId="8" borderId="0" applyNumberFormat="0" applyBorder="0" applyAlignment="0" applyProtection="0"/>
    <xf numFmtId="0" fontId="13" fillId="38" borderId="0" applyNumberFormat="0" applyBorder="0" applyAlignment="0" applyProtection="0"/>
    <xf numFmtId="0" fontId="13" fillId="8" borderId="0" applyNumberFormat="0" applyBorder="0" applyAlignment="0" applyProtection="0"/>
    <xf numFmtId="0" fontId="13" fillId="38" borderId="0" applyNumberFormat="0" applyBorder="0" applyAlignment="0" applyProtection="0"/>
    <xf numFmtId="0" fontId="13" fillId="8" borderId="0" applyNumberFormat="0" applyBorder="0" applyAlignment="0" applyProtection="0"/>
    <xf numFmtId="0" fontId="13" fillId="38" borderId="0" applyNumberFormat="0" applyBorder="0" applyAlignment="0" applyProtection="0"/>
    <xf numFmtId="0" fontId="13" fillId="8" borderId="0" applyNumberFormat="0" applyBorder="0" applyAlignment="0" applyProtection="0"/>
    <xf numFmtId="0" fontId="13" fillId="3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8" borderId="0" applyNumberFormat="0" applyBorder="0" applyAlignment="0" applyProtection="0"/>
    <xf numFmtId="0" fontId="13" fillId="3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38" borderId="0" applyNumberFormat="0" applyBorder="0" applyAlignment="0" applyProtection="0"/>
    <xf numFmtId="0" fontId="13" fillId="8" borderId="0" applyNumberFormat="0" applyBorder="0" applyAlignment="0" applyProtection="0"/>
    <xf numFmtId="0" fontId="13" fillId="38" borderId="0" applyNumberFormat="0" applyBorder="0" applyAlignment="0" applyProtection="0"/>
    <xf numFmtId="0" fontId="13" fillId="8" borderId="0" applyNumberFormat="0" applyBorder="0" applyAlignment="0" applyProtection="0"/>
    <xf numFmtId="0" fontId="13" fillId="38" borderId="0" applyNumberFormat="0" applyBorder="0" applyAlignment="0" applyProtection="0"/>
    <xf numFmtId="0" fontId="13" fillId="8" borderId="0" applyNumberFormat="0" applyBorder="0" applyAlignment="0" applyProtection="0"/>
    <xf numFmtId="0" fontId="13" fillId="38" borderId="0" applyNumberFormat="0" applyBorder="0" applyAlignment="0" applyProtection="0"/>
    <xf numFmtId="0" fontId="13" fillId="8" borderId="0" applyNumberFormat="0" applyBorder="0" applyAlignment="0" applyProtection="0"/>
    <xf numFmtId="0" fontId="13" fillId="38" borderId="0" applyNumberFormat="0" applyBorder="0" applyAlignment="0" applyProtection="0"/>
    <xf numFmtId="0" fontId="13" fillId="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8" borderId="0" applyNumberFormat="0" applyBorder="0" applyAlignment="0" applyProtection="0"/>
    <xf numFmtId="0" fontId="13" fillId="3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38" borderId="0" applyNumberFormat="0" applyBorder="0" applyAlignment="0" applyProtection="0"/>
    <xf numFmtId="0" fontId="13" fillId="8" borderId="0" applyNumberFormat="0" applyBorder="0" applyAlignment="0" applyProtection="0"/>
    <xf numFmtId="0" fontId="13" fillId="38" borderId="0" applyNumberFormat="0" applyBorder="0" applyAlignment="0" applyProtection="0"/>
    <xf numFmtId="0" fontId="13" fillId="8" borderId="0" applyNumberFormat="0" applyBorder="0" applyAlignment="0" applyProtection="0"/>
    <xf numFmtId="0" fontId="13" fillId="38" borderId="0" applyNumberFormat="0" applyBorder="0" applyAlignment="0" applyProtection="0"/>
    <xf numFmtId="0" fontId="13" fillId="8" borderId="0" applyNumberFormat="0" applyBorder="0" applyAlignment="0" applyProtection="0"/>
    <xf numFmtId="0" fontId="13" fillId="38" borderId="0" applyNumberFormat="0" applyBorder="0" applyAlignment="0" applyProtection="0"/>
    <xf numFmtId="0" fontId="13" fillId="8" borderId="0" applyNumberFormat="0" applyBorder="0" applyAlignment="0" applyProtection="0"/>
    <xf numFmtId="0" fontId="13" fillId="38" borderId="0" applyNumberFormat="0" applyBorder="0" applyAlignment="0" applyProtection="0"/>
    <xf numFmtId="0" fontId="13" fillId="8" borderId="0" applyNumberFormat="0" applyBorder="0" applyAlignment="0" applyProtection="0"/>
    <xf numFmtId="0" fontId="13" fillId="3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8" borderId="0" applyNumberFormat="0" applyBorder="0" applyAlignment="0" applyProtection="0"/>
    <xf numFmtId="0" fontId="13" fillId="3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38" borderId="0" applyNumberFormat="0" applyBorder="0" applyAlignment="0" applyProtection="0"/>
    <xf numFmtId="0" fontId="13" fillId="8" borderId="0" applyNumberFormat="0" applyBorder="0" applyAlignment="0" applyProtection="0"/>
    <xf numFmtId="0" fontId="13" fillId="38" borderId="0" applyNumberFormat="0" applyBorder="0" applyAlignment="0" applyProtection="0"/>
    <xf numFmtId="0" fontId="13" fillId="8" borderId="0" applyNumberFormat="0" applyBorder="0" applyAlignment="0" applyProtection="0"/>
    <xf numFmtId="0" fontId="13" fillId="38" borderId="0" applyNumberFormat="0" applyBorder="0" applyAlignment="0" applyProtection="0"/>
    <xf numFmtId="0" fontId="13" fillId="8" borderId="0" applyNumberFormat="0" applyBorder="0" applyAlignment="0" applyProtection="0"/>
    <xf numFmtId="0" fontId="13" fillId="38" borderId="0" applyNumberFormat="0" applyBorder="0" applyAlignment="0" applyProtection="0"/>
    <xf numFmtId="0" fontId="13" fillId="8" borderId="0" applyNumberFormat="0" applyBorder="0" applyAlignment="0" applyProtection="0"/>
    <xf numFmtId="0" fontId="13" fillId="38" borderId="0" applyNumberFormat="0" applyBorder="0" applyAlignment="0" applyProtection="0"/>
    <xf numFmtId="0" fontId="13" fillId="8" borderId="0" applyNumberFormat="0" applyBorder="0" applyAlignment="0" applyProtection="0"/>
    <xf numFmtId="0" fontId="13" fillId="3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167"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65" fontId="15" fillId="0" borderId="0" applyFill="0" applyBorder="0" applyAlignment="0" applyProtection="0"/>
    <xf numFmtId="165" fontId="15" fillId="0" borderId="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80" fontId="15" fillId="0" borderId="0" applyFont="0" applyFill="0" applyBorder="0" applyAlignment="0" applyProtection="0"/>
    <xf numFmtId="180"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5" fontId="15" fillId="0" borderId="0" applyFill="0" applyBorder="0" applyAlignment="0" applyProtection="0"/>
    <xf numFmtId="165" fontId="15" fillId="0" borderId="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83" fontId="15" fillId="0" borderId="0" applyFill="0" applyBorder="0" applyAlignment="0" applyProtection="0"/>
    <xf numFmtId="183" fontId="15" fillId="0" borderId="0" applyFill="0" applyBorder="0" applyAlignment="0" applyProtection="0"/>
    <xf numFmtId="184" fontId="15" fillId="0" borderId="0" applyFill="0" applyBorder="0" applyAlignment="0" applyProtection="0"/>
    <xf numFmtId="184" fontId="15"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5" fillId="0" borderId="0"/>
    <xf numFmtId="0" fontId="15" fillId="0" borderId="0"/>
    <xf numFmtId="0" fontId="15"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5" fillId="0" borderId="0"/>
    <xf numFmtId="0" fontId="15" fillId="0" borderId="0"/>
    <xf numFmtId="0" fontId="15" fillId="0" borderId="0"/>
    <xf numFmtId="0" fontId="15" fillId="0" borderId="0"/>
    <xf numFmtId="0" fontId="13" fillId="0" borderId="0"/>
    <xf numFmtId="0" fontId="15" fillId="0" borderId="0"/>
    <xf numFmtId="0" fontId="15"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5" fillId="0" borderId="0"/>
    <xf numFmtId="0" fontId="15" fillId="0" borderId="0"/>
    <xf numFmtId="0" fontId="15" fillId="0" borderId="0"/>
    <xf numFmtId="0" fontId="15" fillId="0" borderId="0"/>
    <xf numFmtId="0" fontId="15" fillId="0" borderId="0"/>
    <xf numFmtId="0" fontId="13" fillId="0" borderId="0"/>
    <xf numFmtId="0" fontId="15"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5" fillId="0" borderId="0" applyFill="0" applyBorder="0" applyAlignment="0" applyProtection="0"/>
    <xf numFmtId="9" fontId="15" fillId="0" borderId="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3" fillId="0" borderId="0"/>
    <xf numFmtId="0" fontId="12" fillId="0" borderId="0"/>
    <xf numFmtId="0" fontId="15" fillId="0" borderId="0"/>
    <xf numFmtId="0" fontId="12" fillId="30"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43" fontId="33" fillId="0" borderId="0" applyFont="0" applyFill="0" applyBorder="0" applyAlignment="0" applyProtection="0"/>
    <xf numFmtId="41" fontId="33" fillId="0" borderId="0" applyFont="0" applyFill="0" applyBorder="0" applyAlignment="0" applyProtection="0"/>
    <xf numFmtId="41" fontId="33" fillId="0" borderId="0" applyFont="0" applyFill="0" applyBorder="0" applyAlignment="0" applyProtection="0"/>
    <xf numFmtId="41"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2" fontId="33" fillId="0" borderId="0" applyFont="0" applyFill="0" applyBorder="0" applyAlignment="0" applyProtection="0"/>
    <xf numFmtId="42" fontId="33" fillId="0" borderId="0" applyFont="0" applyFill="0" applyBorder="0" applyAlignment="0" applyProtection="0"/>
    <xf numFmtId="42" fontId="33" fillId="0" borderId="0" applyFont="0" applyFill="0" applyBorder="0" applyAlignment="0" applyProtection="0"/>
    <xf numFmtId="42" fontId="33" fillId="0" borderId="0" applyFont="0" applyFill="0" applyBorder="0" applyAlignment="0" applyProtection="0"/>
    <xf numFmtId="168" fontId="15" fillId="0" borderId="0" applyFont="0" applyFill="0" applyBorder="0" applyAlignment="0" applyProtection="0"/>
    <xf numFmtId="41"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5" fillId="0" borderId="0" applyFont="0" applyFill="0" applyBorder="0" applyAlignment="0" applyProtection="0"/>
    <xf numFmtId="43" fontId="28" fillId="0" borderId="0" applyFont="0" applyFill="0" applyBorder="0" applyAlignment="0" applyProtection="0"/>
    <xf numFmtId="43" fontId="3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8" fillId="0" borderId="0" applyFont="0" applyFill="0" applyBorder="0" applyAlignment="0" applyProtection="0"/>
    <xf numFmtId="43" fontId="3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35" fillId="0" borderId="0" applyFont="0" applyFill="0" applyBorder="0" applyAlignment="0" applyProtection="0"/>
    <xf numFmtId="43" fontId="28" fillId="0" borderId="0" applyFont="0" applyFill="0" applyBorder="0" applyAlignment="0" applyProtection="0"/>
    <xf numFmtId="43" fontId="33" fillId="0" borderId="0" applyFont="0" applyFill="0" applyBorder="0" applyAlignment="0" applyProtection="0"/>
    <xf numFmtId="43" fontId="28" fillId="0" borderId="0" applyFont="0" applyFill="0" applyBorder="0" applyAlignment="0" applyProtection="0"/>
    <xf numFmtId="43" fontId="3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5" fillId="0" borderId="0" applyFont="0" applyFill="0" applyBorder="0" applyAlignment="0" applyProtection="0"/>
    <xf numFmtId="43" fontId="28"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8" fillId="0" borderId="0" applyFont="0" applyFill="0" applyBorder="0" applyAlignment="0" applyProtection="0"/>
    <xf numFmtId="43" fontId="3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5" fillId="0" borderId="0" applyFont="0" applyFill="0" applyBorder="0" applyAlignment="0" applyProtection="0"/>
    <xf numFmtId="43" fontId="28" fillId="0" borderId="0" applyFont="0" applyFill="0" applyBorder="0" applyAlignment="0" applyProtection="0"/>
    <xf numFmtId="43" fontId="3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5" fillId="0" borderId="0" applyFont="0" applyFill="0" applyBorder="0" applyAlignment="0" applyProtection="0"/>
    <xf numFmtId="43" fontId="28" fillId="0" borderId="0" applyFont="0" applyFill="0" applyBorder="0" applyAlignment="0" applyProtection="0"/>
    <xf numFmtId="43" fontId="3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5" fillId="0" borderId="0" applyFont="0" applyFill="0" applyBorder="0" applyAlignment="0" applyProtection="0"/>
    <xf numFmtId="42" fontId="52" fillId="0" borderId="0" applyFont="0" applyFill="0" applyBorder="0" applyAlignment="0" applyProtection="0"/>
    <xf numFmtId="43" fontId="52" fillId="0" borderId="0" applyFont="0" applyFill="0" applyBorder="0" applyAlignment="0" applyProtection="0"/>
    <xf numFmtId="41" fontId="52" fillId="0" borderId="0" applyFont="0" applyFill="0" applyBorder="0" applyAlignment="0" applyProtection="0"/>
    <xf numFmtId="0" fontId="12" fillId="0" borderId="0"/>
    <xf numFmtId="0" fontId="12" fillId="30"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30"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1"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32"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33"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34"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3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3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0" fillId="0" borderId="0"/>
    <xf numFmtId="0" fontId="9" fillId="0" borderId="0"/>
    <xf numFmtId="0" fontId="8" fillId="0" borderId="0"/>
    <xf numFmtId="0" fontId="70" fillId="0" borderId="0" applyNumberFormat="0" applyFill="0" applyBorder="0" applyAlignment="0" applyProtection="0"/>
    <xf numFmtId="0" fontId="71" fillId="0" borderId="54" applyNumberFormat="0" applyFill="0" applyAlignment="0" applyProtection="0"/>
    <xf numFmtId="0" fontId="72" fillId="0" borderId="55" applyNumberFormat="0" applyFill="0" applyAlignment="0" applyProtection="0"/>
    <xf numFmtId="0" fontId="73" fillId="0" borderId="56" applyNumberFormat="0" applyFill="0" applyAlignment="0" applyProtection="0"/>
    <xf numFmtId="0" fontId="73" fillId="0" borderId="0" applyNumberFormat="0" applyFill="0" applyBorder="0" applyAlignment="0" applyProtection="0"/>
    <xf numFmtId="0" fontId="74" fillId="58" borderId="0" applyNumberFormat="0" applyBorder="0" applyAlignment="0" applyProtection="0"/>
    <xf numFmtId="0" fontId="75" fillId="59" borderId="0" applyNumberFormat="0" applyBorder="0" applyAlignment="0" applyProtection="0"/>
    <xf numFmtId="0" fontId="76" fillId="60" borderId="0" applyNumberFormat="0" applyBorder="0" applyAlignment="0" applyProtection="0"/>
    <xf numFmtId="0" fontId="77" fillId="61" borderId="57" applyNumberFormat="0" applyAlignment="0" applyProtection="0"/>
    <xf numFmtId="0" fontId="78" fillId="62" borderId="58" applyNumberFormat="0" applyAlignment="0" applyProtection="0"/>
    <xf numFmtId="0" fontId="79" fillId="62" borderId="57" applyNumberFormat="0" applyAlignment="0" applyProtection="0"/>
    <xf numFmtId="0" fontId="80" fillId="0" borderId="59" applyNumberFormat="0" applyFill="0" applyAlignment="0" applyProtection="0"/>
    <xf numFmtId="0" fontId="81" fillId="63" borderId="60" applyNumberFormat="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69" fillId="0" borderId="61" applyNumberFormat="0" applyFill="0" applyAlignment="0" applyProtection="0"/>
    <xf numFmtId="0" fontId="7" fillId="30" borderId="0" applyNumberFormat="0" applyBorder="0" applyAlignment="0" applyProtection="0"/>
    <xf numFmtId="0" fontId="7" fillId="36" borderId="0" applyNumberFormat="0" applyBorder="0" applyAlignment="0" applyProtection="0"/>
    <xf numFmtId="0" fontId="45" fillId="64" borderId="0" applyNumberFormat="0" applyBorder="0" applyAlignment="0" applyProtection="0"/>
    <xf numFmtId="0" fontId="45" fillId="65" borderId="0" applyNumberFormat="0" applyBorder="0" applyAlignment="0" applyProtection="0"/>
    <xf numFmtId="0" fontId="7" fillId="31" borderId="0" applyNumberFormat="0" applyBorder="0" applyAlignment="0" applyProtection="0"/>
    <xf numFmtId="0" fontId="7" fillId="37" borderId="0" applyNumberFormat="0" applyBorder="0" applyAlignment="0" applyProtection="0"/>
    <xf numFmtId="0" fontId="45" fillId="66" borderId="0" applyNumberFormat="0" applyBorder="0" applyAlignment="0" applyProtection="0"/>
    <xf numFmtId="0" fontId="45" fillId="67" borderId="0" applyNumberFormat="0" applyBorder="0" applyAlignment="0" applyProtection="0"/>
    <xf numFmtId="0" fontId="7" fillId="32" borderId="0" applyNumberFormat="0" applyBorder="0" applyAlignment="0" applyProtection="0"/>
    <xf numFmtId="0" fontId="7" fillId="38" borderId="0" applyNumberFormat="0" applyBorder="0" applyAlignment="0" applyProtection="0"/>
    <xf numFmtId="0" fontId="45" fillId="68" borderId="0" applyNumberFormat="0" applyBorder="0" applyAlignment="0" applyProtection="0"/>
    <xf numFmtId="0" fontId="45" fillId="69" borderId="0" applyNumberFormat="0" applyBorder="0" applyAlignment="0" applyProtection="0"/>
    <xf numFmtId="0" fontId="7" fillId="33" borderId="0" applyNumberFormat="0" applyBorder="0" applyAlignment="0" applyProtection="0"/>
    <xf numFmtId="0" fontId="7" fillId="39" borderId="0" applyNumberFormat="0" applyBorder="0" applyAlignment="0" applyProtection="0"/>
    <xf numFmtId="0" fontId="45" fillId="70" borderId="0" applyNumberFormat="0" applyBorder="0" applyAlignment="0" applyProtection="0"/>
    <xf numFmtId="0" fontId="45" fillId="71"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45" fillId="72" borderId="0" applyNumberFormat="0" applyBorder="0" applyAlignment="0" applyProtection="0"/>
    <xf numFmtId="0" fontId="45" fillId="73" borderId="0" applyNumberFormat="0" applyBorder="0" applyAlignment="0" applyProtection="0"/>
    <xf numFmtId="0" fontId="7" fillId="35" borderId="0" applyNumberFormat="0" applyBorder="0" applyAlignment="0" applyProtection="0"/>
    <xf numFmtId="0" fontId="7" fillId="41" borderId="0" applyNumberFormat="0" applyBorder="0" applyAlignment="0" applyProtection="0"/>
    <xf numFmtId="0" fontId="45" fillId="74" borderId="0" applyNumberFormat="0" applyBorder="0" applyAlignment="0" applyProtection="0"/>
    <xf numFmtId="0" fontId="7" fillId="0" borderId="0"/>
    <xf numFmtId="0" fontId="7" fillId="47" borderId="45" applyNumberFormat="0" applyFont="0" applyAlignment="0" applyProtection="0"/>
    <xf numFmtId="0" fontId="6" fillId="0" borderId="0"/>
    <xf numFmtId="0" fontId="52" fillId="0" borderId="0"/>
    <xf numFmtId="0" fontId="6" fillId="0" borderId="0"/>
    <xf numFmtId="0" fontId="6" fillId="0" borderId="0"/>
    <xf numFmtId="0" fontId="6" fillId="47" borderId="45" applyNumberFormat="0" applyFont="0" applyAlignment="0" applyProtection="0"/>
    <xf numFmtId="0" fontId="6" fillId="30" borderId="0" applyNumberFormat="0" applyBorder="0" applyAlignment="0" applyProtection="0"/>
    <xf numFmtId="0" fontId="6" fillId="36" borderId="0" applyNumberFormat="0" applyBorder="0" applyAlignment="0" applyProtection="0"/>
    <xf numFmtId="0" fontId="6" fillId="31" borderId="0" applyNumberFormat="0" applyBorder="0" applyAlignment="0" applyProtection="0"/>
    <xf numFmtId="0" fontId="6" fillId="37" borderId="0" applyNumberFormat="0" applyBorder="0" applyAlignment="0" applyProtection="0"/>
    <xf numFmtId="0" fontId="6" fillId="32" borderId="0" applyNumberFormat="0" applyBorder="0" applyAlignment="0" applyProtection="0"/>
    <xf numFmtId="0" fontId="6" fillId="38"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4" borderId="0" applyNumberFormat="0" applyBorder="0" applyAlignment="0" applyProtection="0"/>
    <xf numFmtId="0" fontId="6" fillId="40" borderId="0" applyNumberFormat="0" applyBorder="0" applyAlignment="0" applyProtection="0"/>
    <xf numFmtId="0" fontId="6" fillId="35" borderId="0" applyNumberFormat="0" applyBorder="0" applyAlignment="0" applyProtection="0"/>
    <xf numFmtId="0" fontId="6" fillId="41" borderId="0" applyNumberFormat="0" applyBorder="0" applyAlignment="0" applyProtection="0"/>
    <xf numFmtId="176" fontId="52" fillId="0" borderId="0" applyFont="0" applyFill="0" applyBorder="0" applyAlignment="0" applyProtection="0"/>
    <xf numFmtId="43" fontId="52" fillId="0" borderId="0" applyFont="0" applyFill="0" applyBorder="0" applyAlignment="0" applyProtection="0"/>
    <xf numFmtId="0" fontId="84" fillId="0" borderId="0" applyNumberFormat="0" applyFill="0" applyBorder="0" applyAlignment="0" applyProtection="0"/>
    <xf numFmtId="0" fontId="5" fillId="0" borderId="0"/>
    <xf numFmtId="0" fontId="4" fillId="0" borderId="0"/>
    <xf numFmtId="0" fontId="3" fillId="0" borderId="0"/>
    <xf numFmtId="178" fontId="1" fillId="0" borderId="0"/>
  </cellStyleXfs>
  <cellXfs count="779">
    <xf numFmtId="0" fontId="0" fillId="0" borderId="0" xfId="0"/>
    <xf numFmtId="0" fontId="16" fillId="0" borderId="0" xfId="0" applyFont="1" applyAlignment="1">
      <alignment wrapText="1"/>
    </xf>
    <xf numFmtId="0" fontId="0" fillId="0" borderId="0" xfId="0" applyAlignment="1">
      <alignment wrapText="1"/>
    </xf>
    <xf numFmtId="167" fontId="16" fillId="0" borderId="0" xfId="0" applyNumberFormat="1" applyFont="1"/>
    <xf numFmtId="0" fontId="0" fillId="0" borderId="0" xfId="0" applyFill="1"/>
    <xf numFmtId="0" fontId="0" fillId="0" borderId="0" xfId="0" applyBorder="1"/>
    <xf numFmtId="167" fontId="17" fillId="0" borderId="0" xfId="1774" applyNumberFormat="1" applyFont="1" applyBorder="1" applyAlignment="1">
      <alignment horizontal="center" wrapText="1"/>
    </xf>
    <xf numFmtId="167" fontId="18" fillId="0" borderId="0" xfId="1774" applyNumberFormat="1" applyFont="1" applyBorder="1" applyAlignment="1">
      <alignment horizontal="center" wrapText="1"/>
    </xf>
    <xf numFmtId="169" fontId="0" fillId="0" borderId="0" xfId="1774" applyNumberFormat="1" applyFont="1"/>
    <xf numFmtId="0" fontId="17" fillId="0" borderId="0" xfId="0" applyFont="1" applyAlignment="1">
      <alignment horizontal="center" wrapText="1"/>
    </xf>
    <xf numFmtId="0" fontId="18" fillId="15" borderId="1" xfId="0" applyFont="1" applyFill="1" applyBorder="1" applyAlignment="1">
      <alignment horizontal="center" vertical="center" wrapText="1"/>
    </xf>
    <xf numFmtId="0" fontId="18" fillId="0" borderId="0" xfId="0" applyFont="1" applyBorder="1" applyAlignment="1">
      <alignment wrapText="1"/>
    </xf>
    <xf numFmtId="0" fontId="20" fillId="15" borderId="0" xfId="0" applyFont="1" applyFill="1" applyBorder="1" applyAlignment="1">
      <alignment horizontal="center"/>
    </xf>
    <xf numFmtId="0" fontId="17" fillId="16" borderId="5" xfId="0" applyFont="1" applyFill="1" applyBorder="1" applyAlignment="1">
      <alignment horizontal="center" vertical="center" wrapText="1"/>
    </xf>
    <xf numFmtId="168" fontId="31" fillId="15" borderId="5" xfId="1774" applyFont="1" applyFill="1" applyBorder="1"/>
    <xf numFmtId="167" fontId="18" fillId="17" borderId="5" xfId="1774" applyNumberFormat="1" applyFont="1" applyFill="1" applyBorder="1" applyAlignment="1">
      <alignment horizontal="center" wrapText="1"/>
    </xf>
    <xf numFmtId="0" fontId="0" fillId="18" borderId="6" xfId="0" applyFill="1" applyBorder="1" applyAlignment="1">
      <alignment horizontal="center" vertical="center" wrapText="1"/>
    </xf>
    <xf numFmtId="167" fontId="0" fillId="18" borderId="6" xfId="0" applyNumberFormat="1" applyFill="1" applyBorder="1" applyAlignment="1">
      <alignment horizontal="center" vertical="center" wrapText="1"/>
    </xf>
    <xf numFmtId="0" fontId="0" fillId="18" borderId="6" xfId="0" applyFill="1" applyBorder="1" applyAlignment="1"/>
    <xf numFmtId="0" fontId="19" fillId="0" borderId="0" xfId="0" applyFont="1"/>
    <xf numFmtId="0" fontId="17" fillId="0" borderId="0" xfId="0" applyFont="1" applyAlignment="1">
      <alignment horizontal="right" wrapText="1"/>
    </xf>
    <xf numFmtId="0" fontId="16" fillId="0" borderId="0" xfId="0" applyFont="1" applyAlignment="1">
      <alignment horizontal="left"/>
    </xf>
    <xf numFmtId="169" fontId="16" fillId="0" borderId="0" xfId="1774" applyNumberFormat="1" applyFont="1"/>
    <xf numFmtId="0" fontId="17" fillId="0" borderId="0" xfId="0" applyFont="1" applyAlignment="1">
      <alignment horizontal="right"/>
    </xf>
    <xf numFmtId="0" fontId="17" fillId="0" borderId="0" xfId="0" applyFont="1" applyAlignment="1">
      <alignment horizontal="left"/>
    </xf>
    <xf numFmtId="167" fontId="17" fillId="16" borderId="5" xfId="0" applyNumberFormat="1" applyFont="1" applyFill="1" applyBorder="1" applyAlignment="1">
      <alignment horizontal="center" vertical="center" wrapText="1"/>
    </xf>
    <xf numFmtId="0" fontId="18" fillId="18" borderId="7" xfId="0" applyFont="1" applyFill="1" applyBorder="1" applyAlignment="1">
      <alignment horizontal="center" vertical="center" wrapText="1"/>
    </xf>
    <xf numFmtId="169" fontId="18" fillId="0" borderId="5" xfId="1774" applyNumberFormat="1" applyFont="1" applyBorder="1" applyAlignment="1">
      <alignment horizontal="center" vertical="center" wrapText="1"/>
    </xf>
    <xf numFmtId="168" fontId="31" fillId="15" borderId="7" xfId="1774" applyFont="1" applyFill="1" applyBorder="1"/>
    <xf numFmtId="0" fontId="18" fillId="15" borderId="7" xfId="0" applyFont="1" applyFill="1" applyBorder="1" applyAlignment="1">
      <alignment horizontal="center" vertical="center" wrapText="1"/>
    </xf>
    <xf numFmtId="167" fontId="21" fillId="18" borderId="7" xfId="0" applyNumberFormat="1" applyFont="1" applyFill="1" applyBorder="1" applyAlignment="1">
      <alignment horizontal="center" vertical="center" wrapText="1"/>
    </xf>
    <xf numFmtId="3" fontId="21" fillId="18" borderId="8" xfId="0" applyNumberFormat="1" applyFont="1" applyFill="1" applyBorder="1" applyAlignment="1">
      <alignment horizontal="center" vertical="center" wrapText="1"/>
    </xf>
    <xf numFmtId="167" fontId="18" fillId="19" borderId="9" xfId="1774" applyNumberFormat="1" applyFont="1" applyFill="1" applyBorder="1" applyAlignment="1">
      <alignment horizontal="center" wrapText="1"/>
    </xf>
    <xf numFmtId="167" fontId="18" fillId="19" borderId="10" xfId="1774" applyNumberFormat="1" applyFont="1" applyFill="1" applyBorder="1" applyAlignment="1">
      <alignment horizontal="center" wrapText="1"/>
    </xf>
    <xf numFmtId="167" fontId="18" fillId="19" borderId="11" xfId="1774" applyNumberFormat="1" applyFont="1" applyFill="1" applyBorder="1" applyAlignment="1">
      <alignment horizontal="center" wrapText="1"/>
    </xf>
    <xf numFmtId="167" fontId="21" fillId="19" borderId="9" xfId="1774" applyNumberFormat="1" applyFont="1" applyFill="1" applyBorder="1" applyAlignment="1">
      <alignment horizontal="center" wrapText="1"/>
    </xf>
    <xf numFmtId="167" fontId="17" fillId="19" borderId="12" xfId="1774" applyNumberFormat="1" applyFont="1" applyFill="1" applyBorder="1" applyAlignment="1">
      <alignment horizontal="center" wrapText="1"/>
    </xf>
    <xf numFmtId="167" fontId="21" fillId="19" borderId="13" xfId="1774" applyNumberFormat="1" applyFont="1" applyFill="1" applyBorder="1" applyAlignment="1">
      <alignment horizontal="center" wrapText="1"/>
    </xf>
    <xf numFmtId="0" fontId="18" fillId="0" borderId="5" xfId="0" applyFont="1" applyFill="1" applyBorder="1" applyAlignment="1">
      <alignment horizontal="center" vertical="center" wrapText="1"/>
    </xf>
    <xf numFmtId="170" fontId="18" fillId="0" borderId="5" xfId="0" applyNumberFormat="1" applyFont="1" applyFill="1" applyBorder="1" applyAlignment="1">
      <alignment horizontal="center" vertical="center" wrapText="1"/>
    </xf>
    <xf numFmtId="0" fontId="21" fillId="0" borderId="5" xfId="0" applyFont="1" applyFill="1" applyBorder="1" applyAlignment="1">
      <alignment horizontal="center" vertical="center" wrapText="1"/>
    </xf>
    <xf numFmtId="167" fontId="21" fillId="0" borderId="5" xfId="0" applyNumberFormat="1" applyFont="1" applyFill="1" applyBorder="1" applyAlignment="1">
      <alignment horizontal="center" vertical="center" wrapText="1"/>
    </xf>
    <xf numFmtId="3" fontId="21" fillId="0" borderId="5" xfId="0" applyNumberFormat="1" applyFont="1" applyFill="1" applyBorder="1" applyAlignment="1">
      <alignment horizontal="center" vertical="center" wrapText="1"/>
    </xf>
    <xf numFmtId="3" fontId="21" fillId="0" borderId="14" xfId="0" applyNumberFormat="1" applyFont="1" applyFill="1" applyBorder="1" applyAlignment="1">
      <alignment horizontal="center" vertical="center" wrapText="1"/>
    </xf>
    <xf numFmtId="0" fontId="20" fillId="15" borderId="16" xfId="0" applyFont="1" applyFill="1" applyBorder="1" applyAlignment="1">
      <alignment horizontal="center"/>
    </xf>
    <xf numFmtId="0" fontId="15" fillId="15" borderId="0" xfId="0" applyFont="1" applyFill="1" applyBorder="1" applyAlignment="1">
      <alignment horizontal="left" wrapText="1"/>
    </xf>
    <xf numFmtId="0" fontId="15" fillId="15" borderId="16" xfId="0" applyFont="1" applyFill="1" applyBorder="1" applyAlignment="1">
      <alignment horizontal="left" wrapText="1"/>
    </xf>
    <xf numFmtId="0" fontId="0" fillId="15" borderId="17" xfId="0" applyFill="1" applyBorder="1"/>
    <xf numFmtId="0" fontId="0" fillId="15" borderId="18" xfId="0" applyFill="1" applyBorder="1"/>
    <xf numFmtId="0" fontId="0" fillId="18" borderId="0" xfId="0" applyFill="1" applyBorder="1"/>
    <xf numFmtId="0" fontId="0" fillId="18" borderId="16" xfId="0" applyFill="1" applyBorder="1"/>
    <xf numFmtId="0" fontId="0" fillId="18" borderId="17" xfId="0" applyFill="1" applyBorder="1"/>
    <xf numFmtId="0" fontId="0" fillId="18" borderId="18" xfId="0" applyFill="1" applyBorder="1"/>
    <xf numFmtId="0" fontId="15" fillId="15" borderId="21" xfId="0" applyFont="1" applyFill="1" applyBorder="1" applyAlignment="1">
      <alignment horizontal="left" vertical="center"/>
    </xf>
    <xf numFmtId="0" fontId="15" fillId="15" borderId="21" xfId="0" applyFont="1" applyFill="1" applyBorder="1" applyAlignment="1">
      <alignment vertical="center"/>
    </xf>
    <xf numFmtId="0" fontId="17" fillId="0" borderId="21" xfId="0" applyFont="1" applyBorder="1" applyAlignment="1">
      <alignment vertical="center"/>
    </xf>
    <xf numFmtId="0" fontId="31" fillId="15" borderId="22" xfId="0" applyFont="1" applyFill="1" applyBorder="1" applyAlignment="1">
      <alignment vertical="center"/>
    </xf>
    <xf numFmtId="0" fontId="18" fillId="15" borderId="23" xfId="0" applyFont="1" applyFill="1" applyBorder="1" applyAlignment="1">
      <alignment horizontal="center" vertical="center" wrapText="1"/>
    </xf>
    <xf numFmtId="0" fontId="18" fillId="0" borderId="22" xfId="0" applyFont="1" applyFill="1" applyBorder="1" applyAlignment="1">
      <alignment horizontal="center" vertical="center" wrapText="1"/>
    </xf>
    <xf numFmtId="0" fontId="18" fillId="19" borderId="24" xfId="0" applyFont="1" applyFill="1" applyBorder="1" applyAlignment="1">
      <alignment wrapText="1"/>
    </xf>
    <xf numFmtId="0" fontId="18" fillId="0" borderId="21" xfId="0" applyFont="1" applyBorder="1" applyAlignment="1">
      <alignment wrapText="1"/>
    </xf>
    <xf numFmtId="0" fontId="18" fillId="17" borderId="22" xfId="0" applyFont="1" applyFill="1" applyBorder="1" applyAlignment="1">
      <alignment wrapText="1"/>
    </xf>
    <xf numFmtId="0" fontId="17" fillId="16" borderId="22" xfId="0" applyFont="1" applyFill="1" applyBorder="1" applyAlignment="1">
      <alignment horizontal="center" vertical="center" wrapText="1"/>
    </xf>
    <xf numFmtId="0" fontId="0" fillId="0" borderId="21" xfId="0" applyBorder="1"/>
    <xf numFmtId="0" fontId="17" fillId="0" borderId="25" xfId="0" applyFont="1" applyBorder="1"/>
    <xf numFmtId="0" fontId="0" fillId="0" borderId="26" xfId="0" applyBorder="1"/>
    <xf numFmtId="0" fontId="19" fillId="0" borderId="26" xfId="0" applyFont="1" applyBorder="1"/>
    <xf numFmtId="169" fontId="16" fillId="0" borderId="26" xfId="0" applyNumberFormat="1" applyFont="1" applyBorder="1" applyAlignment="1">
      <alignment wrapText="1"/>
    </xf>
    <xf numFmtId="0" fontId="16" fillId="0" borderId="26" xfId="0" applyFont="1" applyBorder="1" applyAlignment="1">
      <alignment wrapText="1"/>
    </xf>
    <xf numFmtId="0" fontId="16" fillId="0" borderId="26" xfId="0" applyFont="1" applyBorder="1" applyAlignment="1">
      <alignment horizontal="center"/>
    </xf>
    <xf numFmtId="167" fontId="16" fillId="0" borderId="26" xfId="0" applyNumberFormat="1" applyFont="1" applyBorder="1"/>
    <xf numFmtId="0" fontId="20" fillId="15" borderId="21" xfId="0" applyFont="1" applyFill="1" applyBorder="1" applyAlignment="1">
      <alignment horizontal="center" wrapText="1"/>
    </xf>
    <xf numFmtId="0" fontId="20" fillId="15" borderId="0" xfId="0" applyFont="1" applyFill="1" applyBorder="1" applyAlignment="1">
      <alignment horizontal="center" wrapText="1"/>
    </xf>
    <xf numFmtId="0" fontId="20" fillId="15" borderId="16" xfId="0" applyFont="1" applyFill="1" applyBorder="1" applyAlignment="1">
      <alignment horizontal="center" wrapText="1"/>
    </xf>
    <xf numFmtId="0" fontId="16" fillId="0" borderId="0" xfId="0" applyFont="1"/>
    <xf numFmtId="0" fontId="18" fillId="15" borderId="27" xfId="0" applyFont="1" applyFill="1" applyBorder="1" applyAlignment="1">
      <alignment horizontal="center" vertical="center" wrapText="1"/>
    </xf>
    <xf numFmtId="0" fontId="22" fillId="18" borderId="0" xfId="0" applyFont="1" applyFill="1" applyBorder="1" applyAlignment="1">
      <alignment horizontal="center" vertical="center" wrapText="1"/>
    </xf>
    <xf numFmtId="0" fontId="22" fillId="18" borderId="19" xfId="0" applyFont="1" applyFill="1" applyBorder="1" applyAlignment="1">
      <alignment horizontal="center" vertical="center" wrapText="1"/>
    </xf>
    <xf numFmtId="0" fontId="22" fillId="18" borderId="16" xfId="0" applyFont="1" applyFill="1" applyBorder="1" applyAlignment="1">
      <alignment horizontal="center" vertical="center" wrapText="1"/>
    </xf>
    <xf numFmtId="0" fontId="23" fillId="18" borderId="29" xfId="0" applyFont="1" applyFill="1" applyBorder="1" applyAlignment="1"/>
    <xf numFmtId="173" fontId="23" fillId="18" borderId="29" xfId="0" applyNumberFormat="1" applyFont="1" applyFill="1" applyBorder="1" applyAlignment="1"/>
    <xf numFmtId="0" fontId="0" fillId="0" borderId="0" xfId="0" applyFill="1" applyAlignment="1">
      <alignment horizontal="left" vertical="center" wrapText="1"/>
    </xf>
    <xf numFmtId="0" fontId="0" fillId="0" borderId="0" xfId="0" applyFill="1" applyAlignment="1">
      <alignment horizontal="center" vertical="center"/>
    </xf>
    <xf numFmtId="174" fontId="0" fillId="0" borderId="0" xfId="0" applyNumberFormat="1" applyFill="1" applyAlignment="1">
      <alignment horizontal="center" vertical="center"/>
    </xf>
    <xf numFmtId="0" fontId="0" fillId="0" borderId="0" xfId="0" applyFill="1" applyAlignment="1">
      <alignment horizontal="center" vertical="center" wrapText="1"/>
    </xf>
    <xf numFmtId="3" fontId="0" fillId="0" borderId="0" xfId="0" applyNumberFormat="1" applyFill="1" applyAlignment="1">
      <alignment horizontal="center" vertical="center"/>
    </xf>
    <xf numFmtId="0" fontId="31" fillId="0" borderId="0" xfId="0" applyFont="1" applyFill="1" applyAlignment="1">
      <alignment horizontal="center" vertical="center"/>
    </xf>
    <xf numFmtId="0" fontId="23" fillId="18" borderId="0" xfId="0" applyFont="1" applyFill="1" applyBorder="1" applyAlignment="1"/>
    <xf numFmtId="173" fontId="23" fillId="18" borderId="0" xfId="0" applyNumberFormat="1" applyFont="1" applyFill="1" applyBorder="1" applyAlignment="1"/>
    <xf numFmtId="0" fontId="23" fillId="0" borderId="0" xfId="0" applyFont="1" applyFill="1"/>
    <xf numFmtId="0" fontId="23" fillId="0" borderId="0" xfId="0" applyFont="1" applyFill="1" applyAlignment="1">
      <alignment horizontal="left" vertical="center" wrapText="1"/>
    </xf>
    <xf numFmtId="0" fontId="23" fillId="0" borderId="0" xfId="0" applyFont="1" applyFill="1" applyAlignment="1">
      <alignment horizontal="center" vertical="center"/>
    </xf>
    <xf numFmtId="174" fontId="23" fillId="0" borderId="0" xfId="0" applyNumberFormat="1" applyFont="1" applyFill="1" applyAlignment="1">
      <alignment horizontal="center" vertical="center"/>
    </xf>
    <xf numFmtId="0" fontId="23" fillId="0" borderId="0" xfId="0" applyFont="1" applyFill="1" applyAlignment="1">
      <alignment horizontal="center" vertical="center" wrapText="1"/>
    </xf>
    <xf numFmtId="3" fontId="23" fillId="0" borderId="0" xfId="0" applyNumberFormat="1" applyFont="1" applyFill="1" applyAlignment="1">
      <alignment horizontal="center" vertical="center"/>
    </xf>
    <xf numFmtId="0" fontId="32" fillId="0" borderId="0" xfId="0" applyFont="1" applyFill="1" applyAlignment="1">
      <alignment horizontal="center" vertical="center"/>
    </xf>
    <xf numFmtId="0" fontId="18" fillId="20" borderId="22" xfId="0" applyFont="1" applyFill="1" applyBorder="1" applyAlignment="1">
      <alignment horizontal="center" vertical="center" wrapText="1"/>
    </xf>
    <xf numFmtId="0" fontId="18" fillId="21" borderId="22" xfId="0" applyFont="1" applyFill="1" applyBorder="1" applyAlignment="1">
      <alignment horizontal="center" vertical="center" wrapText="1"/>
    </xf>
    <xf numFmtId="0" fontId="18" fillId="22" borderId="22" xfId="0" applyFont="1" applyFill="1" applyBorder="1" applyAlignment="1">
      <alignment horizontal="center" vertical="center" wrapText="1"/>
    </xf>
    <xf numFmtId="0" fontId="18" fillId="21" borderId="5" xfId="0" applyFont="1" applyFill="1" applyBorder="1" applyAlignment="1">
      <alignment horizontal="center" vertical="center" wrapText="1"/>
    </xf>
    <xf numFmtId="0" fontId="18" fillId="21" borderId="31" xfId="0" applyFont="1" applyFill="1" applyBorder="1" applyAlignment="1">
      <alignment horizontal="center" vertical="center" wrapText="1"/>
    </xf>
    <xf numFmtId="0" fontId="18" fillId="15" borderId="22" xfId="0" applyFont="1" applyFill="1" applyBorder="1" applyAlignment="1">
      <alignment horizontal="center" vertical="center" wrapText="1"/>
    </xf>
    <xf numFmtId="170" fontId="18" fillId="15" borderId="5" xfId="0" applyNumberFormat="1" applyFont="1" applyFill="1" applyBorder="1" applyAlignment="1">
      <alignment horizontal="center" vertical="center" wrapText="1"/>
    </xf>
    <xf numFmtId="0" fontId="18" fillId="15" borderId="5" xfId="0" applyFont="1" applyFill="1" applyBorder="1" applyAlignment="1">
      <alignment horizontal="center" vertical="center" wrapText="1"/>
    </xf>
    <xf numFmtId="0" fontId="18" fillId="15" borderId="31" xfId="0" applyFont="1" applyFill="1" applyBorder="1" applyAlignment="1">
      <alignment horizontal="center" vertical="center" wrapText="1"/>
    </xf>
    <xf numFmtId="0" fontId="21" fillId="15" borderId="5" xfId="0" applyFont="1" applyFill="1" applyBorder="1" applyAlignment="1">
      <alignment horizontal="center" vertical="center" wrapText="1"/>
    </xf>
    <xf numFmtId="167" fontId="21" fillId="15" borderId="5" xfId="0" applyNumberFormat="1" applyFont="1" applyFill="1" applyBorder="1" applyAlignment="1">
      <alignment horizontal="center" vertical="center" wrapText="1"/>
    </xf>
    <xf numFmtId="3" fontId="21" fillId="15" borderId="5" xfId="0" applyNumberFormat="1" applyFont="1" applyFill="1" applyBorder="1" applyAlignment="1">
      <alignment horizontal="center" vertical="center" wrapText="1"/>
    </xf>
    <xf numFmtId="3" fontId="21" fillId="15" borderId="14" xfId="0" applyNumberFormat="1" applyFont="1" applyFill="1" applyBorder="1" applyAlignment="1">
      <alignment horizontal="center" vertical="center" wrapText="1"/>
    </xf>
    <xf numFmtId="171" fontId="18" fillId="0" borderId="5" xfId="0" applyNumberFormat="1" applyFont="1" applyFill="1" applyBorder="1" applyAlignment="1">
      <alignment horizontal="center" vertical="center" wrapText="1"/>
    </xf>
    <xf numFmtId="171" fontId="19" fillId="0" borderId="5" xfId="0" applyNumberFormat="1" applyFont="1" applyFill="1" applyBorder="1" applyAlignment="1">
      <alignment horizontal="center" vertical="center" wrapText="1"/>
    </xf>
    <xf numFmtId="0" fontId="19" fillId="21" borderId="22" xfId="0" applyFont="1" applyFill="1" applyBorder="1" applyAlignment="1">
      <alignment horizontal="center" vertical="center" wrapText="1"/>
    </xf>
    <xf numFmtId="0" fontId="19" fillId="20" borderId="22" xfId="0" applyFont="1" applyFill="1" applyBorder="1" applyAlignment="1">
      <alignment horizontal="center" vertical="center" wrapText="1"/>
    </xf>
    <xf numFmtId="0" fontId="19" fillId="22" borderId="22" xfId="0" applyFont="1" applyFill="1" applyBorder="1" applyAlignment="1">
      <alignment horizontal="center" vertical="center" wrapText="1"/>
    </xf>
    <xf numFmtId="0" fontId="18" fillId="23" borderId="22" xfId="0" applyFont="1" applyFill="1" applyBorder="1" applyAlignment="1">
      <alignment horizontal="center" vertical="center" wrapText="1"/>
    </xf>
    <xf numFmtId="0" fontId="19" fillId="23" borderId="22" xfId="0" applyFont="1" applyFill="1" applyBorder="1" applyAlignment="1">
      <alignment horizontal="center" vertical="center" wrapText="1"/>
    </xf>
    <xf numFmtId="0" fontId="18" fillId="23" borderId="5" xfId="0" applyFont="1" applyFill="1" applyBorder="1" applyAlignment="1">
      <alignment horizontal="center" vertical="center" wrapText="1"/>
    </xf>
    <xf numFmtId="0" fontId="18" fillId="23" borderId="15" xfId="0" applyFont="1" applyFill="1" applyBorder="1" applyAlignment="1">
      <alignment horizontal="center" vertical="center" wrapText="1"/>
    </xf>
    <xf numFmtId="0" fontId="18" fillId="23" borderId="31" xfId="0" applyFont="1" applyFill="1" applyBorder="1" applyAlignment="1">
      <alignment horizontal="center" vertical="center" wrapText="1"/>
    </xf>
    <xf numFmtId="165" fontId="18" fillId="23" borderId="5" xfId="0" applyNumberFormat="1" applyFont="1" applyFill="1" applyBorder="1" applyAlignment="1">
      <alignment horizontal="center" vertical="center" wrapText="1"/>
    </xf>
    <xf numFmtId="0" fontId="18" fillId="15" borderId="30" xfId="0" applyFont="1" applyFill="1" applyBorder="1" applyAlignment="1">
      <alignment horizontal="center" vertical="center" wrapText="1"/>
    </xf>
    <xf numFmtId="170" fontId="19" fillId="0" borderId="5" xfId="0" applyNumberFormat="1" applyFont="1" applyFill="1" applyBorder="1" applyAlignment="1">
      <alignment horizontal="right" vertical="center" wrapText="1"/>
    </xf>
    <xf numFmtId="16" fontId="19" fillId="0" borderId="22" xfId="0" applyNumberFormat="1" applyFont="1" applyFill="1" applyBorder="1" applyAlignment="1">
      <alignment horizontal="right" vertical="center" wrapText="1"/>
    </xf>
    <xf numFmtId="0" fontId="18" fillId="15" borderId="33" xfId="0" applyFont="1" applyFill="1" applyBorder="1" applyAlignment="1">
      <alignment horizontal="center" vertical="center" wrapText="1"/>
    </xf>
    <xf numFmtId="169" fontId="19" fillId="0" borderId="5" xfId="0" applyNumberFormat="1" applyFont="1" applyFill="1" applyBorder="1" applyAlignment="1">
      <alignment horizontal="center" vertical="center" wrapText="1"/>
    </xf>
    <xf numFmtId="167" fontId="18" fillId="17" borderId="34" xfId="1774" applyNumberFormat="1" applyFont="1" applyFill="1" applyBorder="1" applyAlignment="1">
      <alignment horizontal="center" wrapText="1"/>
    </xf>
    <xf numFmtId="0" fontId="19" fillId="0" borderId="21" xfId="0" applyFont="1" applyBorder="1" applyAlignment="1">
      <alignment horizontal="right"/>
    </xf>
    <xf numFmtId="0" fontId="18" fillId="15" borderId="28" xfId="0" applyFont="1" applyFill="1" applyBorder="1" applyAlignment="1">
      <alignment horizontal="center" vertical="center" wrapText="1"/>
    </xf>
    <xf numFmtId="0" fontId="18" fillId="0" borderId="5" xfId="0" applyFont="1" applyFill="1" applyBorder="1" applyAlignment="1">
      <alignment vertical="center" wrapText="1"/>
    </xf>
    <xf numFmtId="0" fontId="18" fillId="15" borderId="5" xfId="0" applyFont="1" applyFill="1" applyBorder="1" applyAlignment="1">
      <alignment vertical="center" wrapText="1"/>
    </xf>
    <xf numFmtId="171" fontId="31" fillId="15" borderId="5" xfId="1774" applyNumberFormat="1" applyFont="1" applyFill="1" applyBorder="1"/>
    <xf numFmtId="171" fontId="31" fillId="15" borderId="7" xfId="1774" applyNumberFormat="1" applyFont="1" applyFill="1" applyBorder="1"/>
    <xf numFmtId="171" fontId="18" fillId="15" borderId="7" xfId="0" applyNumberFormat="1" applyFont="1" applyFill="1" applyBorder="1" applyAlignment="1">
      <alignment horizontal="center" vertical="center" wrapText="1"/>
    </xf>
    <xf numFmtId="171" fontId="18" fillId="15" borderId="5" xfId="0" applyNumberFormat="1" applyFont="1" applyFill="1" applyBorder="1" applyAlignment="1">
      <alignment horizontal="center" vertical="center" wrapText="1"/>
    </xf>
    <xf numFmtId="171" fontId="18" fillId="19" borderId="9" xfId="1774" applyNumberFormat="1" applyFont="1" applyFill="1" applyBorder="1" applyAlignment="1">
      <alignment horizontal="center" wrapText="1"/>
    </xf>
    <xf numFmtId="171" fontId="18" fillId="0" borderId="0" xfId="1774" applyNumberFormat="1" applyFont="1" applyBorder="1" applyAlignment="1">
      <alignment horizontal="center" wrapText="1"/>
    </xf>
    <xf numFmtId="171" fontId="18" fillId="0" borderId="5" xfId="1774" applyNumberFormat="1" applyFont="1" applyBorder="1" applyAlignment="1">
      <alignment horizontal="center" vertical="center" wrapText="1"/>
    </xf>
    <xf numFmtId="171" fontId="0" fillId="0" borderId="0" xfId="0" applyNumberFormat="1" applyBorder="1"/>
    <xf numFmtId="171" fontId="0" fillId="0" borderId="26" xfId="0" applyNumberFormat="1" applyBorder="1"/>
    <xf numFmtId="171" fontId="0" fillId="0" borderId="0" xfId="0" applyNumberFormat="1"/>
    <xf numFmtId="171" fontId="17" fillId="0" borderId="0" xfId="0" applyNumberFormat="1" applyFont="1" applyAlignment="1">
      <alignment horizontal="center" wrapText="1"/>
    </xf>
    <xf numFmtId="171" fontId="16" fillId="0" borderId="0" xfId="0" applyNumberFormat="1" applyFont="1"/>
    <xf numFmtId="169" fontId="31" fillId="15" borderId="5" xfId="1774" applyNumberFormat="1" applyFont="1" applyFill="1" applyBorder="1"/>
    <xf numFmtId="169" fontId="31" fillId="15" borderId="7" xfId="1774" applyNumberFormat="1" applyFont="1" applyFill="1" applyBorder="1"/>
    <xf numFmtId="169" fontId="0" fillId="0" borderId="0" xfId="0" applyNumberFormat="1"/>
    <xf numFmtId="169" fontId="17" fillId="0" borderId="0" xfId="0" applyNumberFormat="1" applyFont="1" applyAlignment="1">
      <alignment horizontal="center" wrapText="1"/>
    </xf>
    <xf numFmtId="169" fontId="16" fillId="0" borderId="0" xfId="0" applyNumberFormat="1" applyFont="1"/>
    <xf numFmtId="0" fontId="18" fillId="19" borderId="22" xfId="0" applyFont="1" applyFill="1" applyBorder="1" applyAlignment="1">
      <alignment horizontal="center" vertical="center" wrapText="1"/>
    </xf>
    <xf numFmtId="0" fontId="21" fillId="19" borderId="5" xfId="0" applyFont="1" applyFill="1" applyBorder="1" applyAlignment="1">
      <alignment horizontal="center" vertical="center" wrapText="1"/>
    </xf>
    <xf numFmtId="3" fontId="21" fillId="19" borderId="5" xfId="0" applyNumberFormat="1" applyFont="1" applyFill="1" applyBorder="1" applyAlignment="1">
      <alignment horizontal="center" vertical="center" wrapText="1"/>
    </xf>
    <xf numFmtId="3" fontId="21" fillId="19" borderId="14" xfId="0" applyNumberFormat="1" applyFont="1" applyFill="1" applyBorder="1" applyAlignment="1">
      <alignment horizontal="center" vertical="center" wrapText="1"/>
    </xf>
    <xf numFmtId="171" fontId="18" fillId="19" borderId="5" xfId="0" applyNumberFormat="1" applyFont="1" applyFill="1" applyBorder="1" applyAlignment="1">
      <alignment horizontal="center" vertical="center" wrapText="1"/>
    </xf>
    <xf numFmtId="171" fontId="18" fillId="19" borderId="9" xfId="1774" applyNumberFormat="1" applyFont="1" applyFill="1" applyBorder="1" applyAlignment="1">
      <alignment horizontal="center" vertical="center" wrapText="1"/>
    </xf>
    <xf numFmtId="171" fontId="19" fillId="0" borderId="0" xfId="0" applyNumberFormat="1" applyFont="1" applyBorder="1" applyAlignment="1">
      <alignment horizontal="right"/>
    </xf>
    <xf numFmtId="0" fontId="19" fillId="0" borderId="0" xfId="0" applyFont="1" applyAlignment="1">
      <alignment wrapText="1"/>
    </xf>
    <xf numFmtId="0" fontId="19" fillId="0" borderId="22" xfId="0" applyFont="1" applyFill="1" applyBorder="1" applyAlignment="1">
      <alignment horizontal="left" vertical="center" wrapText="1"/>
    </xf>
    <xf numFmtId="0" fontId="19" fillId="0" borderId="35" xfId="0" applyFont="1" applyFill="1" applyBorder="1" applyAlignment="1">
      <alignment horizontal="left" vertical="center" wrapText="1"/>
    </xf>
    <xf numFmtId="0" fontId="19" fillId="0" borderId="0" xfId="0" applyFont="1" applyFill="1" applyBorder="1" applyAlignment="1">
      <alignment horizontal="left" vertical="center" wrapText="1"/>
    </xf>
    <xf numFmtId="0" fontId="18" fillId="27" borderId="0" xfId="0" applyFont="1" applyFill="1" applyBorder="1" applyAlignment="1">
      <alignment horizontal="left" vertical="center" wrapText="1"/>
    </xf>
    <xf numFmtId="0" fontId="18" fillId="27" borderId="0" xfId="0" applyFont="1" applyFill="1" applyAlignment="1">
      <alignment wrapText="1"/>
    </xf>
    <xf numFmtId="0" fontId="18" fillId="27" borderId="0" xfId="0" applyFont="1" applyFill="1" applyAlignment="1">
      <alignment vertical="center" wrapText="1"/>
    </xf>
    <xf numFmtId="0" fontId="19" fillId="0" borderId="0" xfId="0" applyFont="1" applyAlignment="1"/>
    <xf numFmtId="0" fontId="33" fillId="0" borderId="0" xfId="2112" applyFont="1" applyFill="1" applyAlignment="1">
      <alignment horizontal="left" vertical="center" readingOrder="1"/>
    </xf>
    <xf numFmtId="0" fontId="18" fillId="0" borderId="0" xfId="0" applyFont="1" applyAlignment="1"/>
    <xf numFmtId="0" fontId="19" fillId="15" borderId="0" xfId="0" applyFont="1" applyFill="1" applyAlignment="1"/>
    <xf numFmtId="0" fontId="44" fillId="0" borderId="0" xfId="2112"/>
    <xf numFmtId="0" fontId="33" fillId="0" borderId="1" xfId="2112" applyFont="1" applyFill="1" applyBorder="1" applyAlignment="1" applyProtection="1">
      <alignment horizontal="center" vertical="center" wrapText="1"/>
    </xf>
    <xf numFmtId="14" fontId="19" fillId="0" borderId="1" xfId="2272" applyNumberFormat="1" applyFont="1" applyFill="1" applyBorder="1" applyAlignment="1" applyProtection="1">
      <alignment horizontal="center" vertical="center" wrapText="1"/>
    </xf>
    <xf numFmtId="0" fontId="19" fillId="0" borderId="1" xfId="2112" applyFont="1" applyFill="1" applyBorder="1" applyAlignment="1" applyProtection="1">
      <alignment horizontal="center" vertical="center" wrapText="1"/>
    </xf>
    <xf numFmtId="3" fontId="33" fillId="0" borderId="1" xfId="2112" applyNumberFormat="1" applyFont="1" applyFill="1" applyBorder="1" applyAlignment="1" applyProtection="1">
      <alignment horizontal="center" vertical="center" wrapText="1"/>
    </xf>
    <xf numFmtId="3" fontId="19" fillId="0" borderId="1" xfId="2272" applyNumberFormat="1" applyFont="1" applyFill="1" applyBorder="1" applyAlignment="1">
      <alignment horizontal="center" vertical="center" wrapText="1"/>
    </xf>
    <xf numFmtId="3" fontId="33" fillId="0" borderId="40" xfId="2112" applyNumberFormat="1" applyFont="1" applyFill="1" applyBorder="1" applyAlignment="1" applyProtection="1">
      <alignment horizontal="center" vertical="center" wrapText="1"/>
    </xf>
    <xf numFmtId="0" fontId="44" fillId="0" borderId="0" xfId="2112"/>
    <xf numFmtId="14" fontId="44" fillId="0" borderId="1" xfId="2112" applyNumberFormat="1" applyBorder="1"/>
    <xf numFmtId="0" fontId="44" fillId="0" borderId="0" xfId="2002"/>
    <xf numFmtId="0" fontId="19" fillId="0" borderId="0" xfId="0" applyFont="1" applyAlignment="1">
      <alignment vertical="center"/>
    </xf>
    <xf numFmtId="0" fontId="16" fillId="15" borderId="0" xfId="0" applyFont="1" applyFill="1" applyAlignment="1">
      <alignment horizontal="left"/>
    </xf>
    <xf numFmtId="0" fontId="16" fillId="15" borderId="0" xfId="0" applyFont="1" applyFill="1" applyAlignment="1">
      <alignment wrapText="1"/>
    </xf>
    <xf numFmtId="49" fontId="46" fillId="0" borderId="1" xfId="1521" applyBorder="1" applyProtection="1">
      <alignment horizontal="left" vertical="center"/>
    </xf>
    <xf numFmtId="49" fontId="46" fillId="0" borderId="1" xfId="1521" applyBorder="1" applyProtection="1">
      <alignment horizontal="left" vertical="center"/>
    </xf>
    <xf numFmtId="0" fontId="0" fillId="11" borderId="0" xfId="0" applyFill="1" applyBorder="1"/>
    <xf numFmtId="0" fontId="41" fillId="0" borderId="0" xfId="2109" applyFont="1" applyAlignment="1">
      <alignment vertical="center" wrapText="1"/>
    </xf>
    <xf numFmtId="0" fontId="41" fillId="0" borderId="0" xfId="2109" applyFont="1" applyAlignment="1">
      <alignment vertical="center"/>
    </xf>
    <xf numFmtId="0" fontId="0" fillId="0" borderId="1" xfId="0" applyBorder="1" applyAlignment="1">
      <alignment vertical="center" wrapText="1"/>
    </xf>
    <xf numFmtId="172" fontId="19" fillId="15" borderId="1" xfId="2272" applyNumberFormat="1" applyFont="1" applyFill="1" applyBorder="1" applyAlignment="1">
      <alignment horizontal="center" vertical="center" wrapText="1"/>
    </xf>
    <xf numFmtId="0" fontId="19" fillId="15" borderId="1" xfId="2272" applyFont="1" applyFill="1" applyBorder="1" applyAlignment="1">
      <alignment vertical="center" wrapText="1"/>
    </xf>
    <xf numFmtId="0" fontId="37" fillId="0" borderId="0" xfId="2109" applyFont="1" applyAlignment="1">
      <alignment vertical="center"/>
    </xf>
    <xf numFmtId="49" fontId="39" fillId="0" borderId="0" xfId="1521" applyFont="1" applyProtection="1">
      <alignment horizontal="left" vertical="center"/>
      <protection locked="0"/>
    </xf>
    <xf numFmtId="0" fontId="18" fillId="21" borderId="5" xfId="0" applyFont="1" applyFill="1" applyBorder="1" applyAlignment="1">
      <alignment horizontal="left" vertical="center" wrapText="1"/>
    </xf>
    <xf numFmtId="0" fontId="19" fillId="21" borderId="5" xfId="0" applyFont="1" applyFill="1" applyBorder="1" applyAlignment="1">
      <alignment horizontal="left" vertical="center" wrapText="1"/>
    </xf>
    <xf numFmtId="0" fontId="18" fillId="15" borderId="5" xfId="0" applyFont="1" applyFill="1" applyBorder="1" applyAlignment="1">
      <alignment horizontal="left" vertical="center" wrapText="1"/>
    </xf>
    <xf numFmtId="3" fontId="26" fillId="25" borderId="5" xfId="0" applyNumberFormat="1" applyFont="1" applyFill="1" applyBorder="1" applyAlignment="1">
      <alignment horizontal="left" vertical="center" wrapText="1"/>
    </xf>
    <xf numFmtId="3" fontId="27" fillId="25" borderId="5" xfId="0" applyNumberFormat="1" applyFont="1" applyFill="1" applyBorder="1" applyAlignment="1">
      <alignment horizontal="left" vertical="center" wrapText="1"/>
    </xf>
    <xf numFmtId="3" fontId="26" fillId="15" borderId="5" xfId="0" applyNumberFormat="1" applyFont="1" applyFill="1" applyBorder="1" applyAlignment="1">
      <alignment horizontal="left" vertical="center" wrapText="1"/>
    </xf>
    <xf numFmtId="0" fontId="19" fillId="21" borderId="5" xfId="0" applyFont="1" applyFill="1" applyBorder="1" applyAlignment="1">
      <alignment horizontal="justify" vertical="center" wrapText="1"/>
    </xf>
    <xf numFmtId="0" fontId="18" fillId="15" borderId="5" xfId="0" applyFont="1" applyFill="1" applyBorder="1" applyAlignment="1">
      <alignment horizontal="justify" vertical="center" wrapText="1"/>
    </xf>
    <xf numFmtId="3" fontId="27" fillId="25" borderId="5" xfId="0" applyNumberFormat="1" applyFont="1" applyFill="1" applyBorder="1" applyAlignment="1">
      <alignment horizontal="justify" vertical="center" wrapText="1"/>
    </xf>
    <xf numFmtId="0" fontId="19" fillId="20" borderId="5" xfId="0" applyFont="1" applyFill="1" applyBorder="1" applyAlignment="1">
      <alignment horizontal="justify" vertical="center" wrapText="1"/>
    </xf>
    <xf numFmtId="0" fontId="18" fillId="27" borderId="0" xfId="0" applyFont="1" applyFill="1" applyAlignment="1">
      <alignment vertical="center"/>
    </xf>
    <xf numFmtId="0" fontId="0" fillId="11" borderId="0" xfId="0" applyFill="1"/>
    <xf numFmtId="0" fontId="19" fillId="21" borderId="31" xfId="0" applyFont="1" applyFill="1" applyBorder="1" applyAlignment="1">
      <alignment horizontal="justify" vertical="center" wrapText="1"/>
    </xf>
    <xf numFmtId="0" fontId="19" fillId="19" borderId="5" xfId="0" applyFont="1" applyFill="1" applyBorder="1" applyAlignment="1">
      <alignment horizontal="justify" vertical="center" wrapText="1"/>
    </xf>
    <xf numFmtId="0" fontId="19" fillId="19" borderId="31" xfId="0" applyFont="1" applyFill="1" applyBorder="1" applyAlignment="1">
      <alignment horizontal="justify" vertical="center" wrapText="1"/>
    </xf>
    <xf numFmtId="0" fontId="18" fillId="15" borderId="31" xfId="0" applyFont="1" applyFill="1" applyBorder="1" applyAlignment="1">
      <alignment horizontal="justify" vertical="center" wrapText="1"/>
    </xf>
    <xf numFmtId="0" fontId="19" fillId="20" borderId="31" xfId="0" applyFont="1" applyFill="1" applyBorder="1" applyAlignment="1">
      <alignment horizontal="justify" vertical="center" wrapText="1"/>
    </xf>
    <xf numFmtId="0" fontId="19" fillId="22" borderId="5" xfId="0" applyFont="1" applyFill="1" applyBorder="1" applyAlignment="1">
      <alignment horizontal="justify" vertical="center" wrapText="1"/>
    </xf>
    <xf numFmtId="0" fontId="18" fillId="22" borderId="31" xfId="0" applyFont="1" applyFill="1" applyBorder="1" applyAlignment="1">
      <alignment horizontal="justify" vertical="center" wrapText="1"/>
    </xf>
    <xf numFmtId="0" fontId="19" fillId="22" borderId="31" xfId="0" applyFont="1" applyFill="1" applyBorder="1" applyAlignment="1">
      <alignment horizontal="justify" vertical="center" wrapText="1"/>
    </xf>
    <xf numFmtId="0" fontId="18" fillId="19" borderId="5" xfId="0" applyFont="1" applyFill="1" applyBorder="1" applyAlignment="1">
      <alignment horizontal="justify" vertical="center" wrapText="1"/>
    </xf>
    <xf numFmtId="0" fontId="18" fillId="19" borderId="31" xfId="0" applyFont="1" applyFill="1" applyBorder="1" applyAlignment="1">
      <alignment horizontal="justify" vertical="center" wrapText="1"/>
    </xf>
    <xf numFmtId="0" fontId="18" fillId="17" borderId="22" xfId="0" applyFont="1" applyFill="1" applyBorder="1" applyAlignment="1">
      <alignment vertical="center" wrapText="1"/>
    </xf>
    <xf numFmtId="171" fontId="18" fillId="17" borderId="5" xfId="1774" applyNumberFormat="1" applyFont="1" applyFill="1" applyBorder="1" applyAlignment="1">
      <alignment horizontal="center" vertical="center" wrapText="1"/>
    </xf>
    <xf numFmtId="171" fontId="31" fillId="15" borderId="0" xfId="1774" applyNumberFormat="1" applyFont="1" applyFill="1" applyBorder="1"/>
    <xf numFmtId="171" fontId="18" fillId="19" borderId="5" xfId="0" applyNumberFormat="1" applyFont="1" applyFill="1" applyBorder="1" applyAlignment="1">
      <alignment horizontal="left" vertical="center" wrapText="1"/>
    </xf>
    <xf numFmtId="171" fontId="18" fillId="0" borderId="5" xfId="0" applyNumberFormat="1" applyFont="1" applyFill="1" applyBorder="1" applyAlignment="1">
      <alignment horizontal="left" vertical="center" wrapText="1"/>
    </xf>
    <xf numFmtId="171" fontId="18" fillId="15" borderId="5" xfId="0" applyNumberFormat="1" applyFont="1" applyFill="1" applyBorder="1" applyAlignment="1">
      <alignment horizontal="left" vertical="center" wrapText="1"/>
    </xf>
    <xf numFmtId="1" fontId="18" fillId="0" borderId="5" xfId="1774" applyNumberFormat="1" applyFont="1" applyBorder="1" applyAlignment="1">
      <alignment horizontal="center" vertical="center" wrapText="1"/>
    </xf>
    <xf numFmtId="171" fontId="21" fillId="0" borderId="5" xfId="0" applyNumberFormat="1" applyFont="1" applyFill="1" applyBorder="1" applyAlignment="1">
      <alignment horizontal="center" vertical="center" wrapText="1"/>
    </xf>
    <xf numFmtId="0" fontId="19" fillId="0" borderId="0" xfId="0" applyFont="1" applyBorder="1"/>
    <xf numFmtId="169" fontId="31" fillId="15" borderId="0" xfId="1774" applyNumberFormat="1" applyFont="1" applyFill="1" applyBorder="1"/>
    <xf numFmtId="169" fontId="18" fillId="0" borderId="0" xfId="1774" applyNumberFormat="1" applyFont="1" applyBorder="1" applyAlignment="1">
      <alignment horizontal="center" vertical="center" wrapText="1"/>
    </xf>
    <xf numFmtId="0" fontId="18" fillId="18" borderId="30" xfId="0" applyFont="1" applyFill="1" applyBorder="1" applyAlignment="1">
      <alignment horizontal="center" vertical="center" wrapText="1"/>
    </xf>
    <xf numFmtId="3" fontId="21" fillId="18" borderId="19" xfId="0" applyNumberFormat="1" applyFont="1" applyFill="1" applyBorder="1" applyAlignment="1">
      <alignment horizontal="center" vertical="center" wrapText="1"/>
    </xf>
    <xf numFmtId="0" fontId="21" fillId="15" borderId="23" xfId="0" applyFont="1" applyFill="1" applyBorder="1" applyAlignment="1">
      <alignment horizontal="center" vertical="center" wrapText="1"/>
    </xf>
    <xf numFmtId="0" fontId="18" fillId="29" borderId="22" xfId="0" applyFont="1" applyFill="1" applyBorder="1" applyAlignment="1">
      <alignment horizontal="center" vertical="center" wrapText="1"/>
    </xf>
    <xf numFmtId="0" fontId="19" fillId="29" borderId="22" xfId="0" applyFont="1" applyFill="1" applyBorder="1" applyAlignment="1">
      <alignment horizontal="center" vertical="center" wrapText="1"/>
    </xf>
    <xf numFmtId="0" fontId="18" fillId="17" borderId="22" xfId="0" applyFont="1" applyFill="1" applyBorder="1" applyAlignment="1">
      <alignment horizontal="center" vertical="center" wrapText="1"/>
    </xf>
    <xf numFmtId="0" fontId="19" fillId="17" borderId="22" xfId="0" applyFont="1" applyFill="1" applyBorder="1" applyAlignment="1">
      <alignment horizontal="center" vertical="center" wrapText="1"/>
    </xf>
    <xf numFmtId="0" fontId="19" fillId="17" borderId="5" xfId="0" applyFont="1" applyFill="1" applyBorder="1" applyAlignment="1">
      <alignment horizontal="justify" vertical="center" wrapText="1"/>
    </xf>
    <xf numFmtId="0" fontId="19" fillId="17" borderId="31" xfId="0" applyFont="1" applyFill="1" applyBorder="1" applyAlignment="1">
      <alignment horizontal="justify" vertical="center" wrapText="1"/>
    </xf>
    <xf numFmtId="171" fontId="18" fillId="0" borderId="0" xfId="0" applyNumberFormat="1" applyFont="1" applyFill="1" applyBorder="1" applyAlignment="1">
      <alignment horizontal="left" vertical="center" wrapText="1"/>
    </xf>
    <xf numFmtId="0" fontId="18" fillId="0" borderId="0" xfId="0" applyFont="1" applyFill="1" applyBorder="1" applyAlignment="1">
      <alignment horizontal="justify" vertical="center" wrapText="1"/>
    </xf>
    <xf numFmtId="0" fontId="21" fillId="0" borderId="0" xfId="0" applyFont="1" applyFill="1" applyBorder="1" applyAlignment="1">
      <alignment horizontal="center" vertical="center" wrapText="1"/>
    </xf>
    <xf numFmtId="3" fontId="21" fillId="0" borderId="0" xfId="0" applyNumberFormat="1" applyFont="1" applyFill="1" applyBorder="1" applyAlignment="1">
      <alignment horizontal="center" vertical="center" wrapText="1"/>
    </xf>
    <xf numFmtId="168" fontId="31" fillId="15" borderId="0" xfId="1774" applyFont="1" applyFill="1" applyBorder="1"/>
    <xf numFmtId="170" fontId="19" fillId="0" borderId="0" xfId="0" applyNumberFormat="1" applyFont="1" applyFill="1" applyBorder="1" applyAlignment="1">
      <alignment horizontal="right" vertical="center" wrapText="1"/>
    </xf>
    <xf numFmtId="171" fontId="18" fillId="15" borderId="7" xfId="0" applyNumberFormat="1" applyFont="1" applyFill="1" applyBorder="1" applyAlignment="1">
      <alignment horizontal="center" vertical="center"/>
    </xf>
    <xf numFmtId="165" fontId="18" fillId="23" borderId="5" xfId="0" applyNumberFormat="1" applyFont="1" applyFill="1" applyBorder="1" applyAlignment="1">
      <alignment horizontal="center" vertical="center"/>
    </xf>
    <xf numFmtId="170" fontId="18" fillId="15" borderId="5" xfId="0" applyNumberFormat="1" applyFont="1" applyFill="1" applyBorder="1" applyAlignment="1">
      <alignment horizontal="center" vertical="center"/>
    </xf>
    <xf numFmtId="167" fontId="18" fillId="11" borderId="0" xfId="1774" applyNumberFormat="1" applyFont="1" applyFill="1" applyBorder="1" applyAlignment="1">
      <alignment horizontal="center" wrapText="1"/>
    </xf>
    <xf numFmtId="167" fontId="17" fillId="11" borderId="0" xfId="1774" applyNumberFormat="1" applyFont="1" applyFill="1" applyBorder="1" applyAlignment="1">
      <alignment horizontal="center" wrapText="1"/>
    </xf>
    <xf numFmtId="167" fontId="18" fillId="11" borderId="0" xfId="1774" applyNumberFormat="1" applyFont="1" applyFill="1" applyBorder="1" applyAlignment="1">
      <alignment horizontal="left" wrapText="1"/>
    </xf>
    <xf numFmtId="167" fontId="18" fillId="11" borderId="43" xfId="1774" applyNumberFormat="1" applyFont="1" applyFill="1" applyBorder="1" applyAlignment="1">
      <alignment horizontal="center" wrapText="1"/>
    </xf>
    <xf numFmtId="167" fontId="18" fillId="11" borderId="0" xfId="1774" applyNumberFormat="1" applyFont="1" applyFill="1" applyBorder="1" applyAlignment="1">
      <alignment horizontal="left"/>
    </xf>
    <xf numFmtId="167" fontId="19" fillId="11" borderId="0" xfId="1774" applyNumberFormat="1" applyFont="1" applyFill="1" applyBorder="1" applyAlignment="1">
      <alignment horizontal="left" wrapText="1"/>
    </xf>
    <xf numFmtId="169" fontId="16" fillId="11" borderId="26" xfId="0" applyNumberFormat="1" applyFont="1" applyFill="1" applyBorder="1" applyAlignment="1">
      <alignment wrapText="1"/>
    </xf>
    <xf numFmtId="0" fontId="16" fillId="11" borderId="26" xfId="0" applyFont="1" applyFill="1" applyBorder="1" applyAlignment="1">
      <alignment wrapText="1"/>
    </xf>
    <xf numFmtId="0" fontId="16" fillId="11" borderId="26" xfId="0" applyFont="1" applyFill="1" applyBorder="1" applyAlignment="1">
      <alignment horizontal="center"/>
    </xf>
    <xf numFmtId="0" fontId="0" fillId="11" borderId="26" xfId="0" applyFill="1" applyBorder="1"/>
    <xf numFmtId="0" fontId="19" fillId="11" borderId="0" xfId="0" applyFont="1" applyFill="1"/>
    <xf numFmtId="167" fontId="19" fillId="11" borderId="0" xfId="1774" applyNumberFormat="1" applyFont="1" applyFill="1" applyBorder="1" applyAlignment="1">
      <alignment horizontal="left"/>
    </xf>
    <xf numFmtId="0" fontId="18" fillId="11" borderId="21" xfId="0" applyFont="1" applyFill="1" applyBorder="1" applyAlignment="1">
      <alignment wrapText="1"/>
    </xf>
    <xf numFmtId="0" fontId="0" fillId="11" borderId="21" xfId="0" applyFill="1" applyBorder="1"/>
    <xf numFmtId="0" fontId="17" fillId="11" borderId="25" xfId="0" applyFont="1" applyFill="1" applyBorder="1"/>
    <xf numFmtId="0" fontId="19" fillId="11" borderId="26" xfId="0" applyFont="1" applyFill="1" applyBorder="1"/>
    <xf numFmtId="0" fontId="16" fillId="11" borderId="0" xfId="0" applyFont="1" applyFill="1"/>
    <xf numFmtId="0" fontId="17" fillId="11" borderId="0" xfId="0" applyFont="1" applyFill="1" applyAlignment="1">
      <alignment horizontal="right" wrapText="1"/>
    </xf>
    <xf numFmtId="0" fontId="17" fillId="11" borderId="0" xfId="0" applyFont="1" applyFill="1" applyAlignment="1">
      <alignment horizontal="center" wrapText="1"/>
    </xf>
    <xf numFmtId="0" fontId="17" fillId="11" borderId="0" xfId="0" applyFont="1" applyFill="1" applyAlignment="1">
      <alignment horizontal="right"/>
    </xf>
    <xf numFmtId="0" fontId="17" fillId="11" borderId="0" xfId="0" applyFont="1" applyFill="1" applyAlignment="1">
      <alignment horizontal="left"/>
    </xf>
    <xf numFmtId="0" fontId="16" fillId="11" borderId="0" xfId="0" applyFont="1" applyFill="1" applyAlignment="1">
      <alignment wrapText="1"/>
    </xf>
    <xf numFmtId="167" fontId="16" fillId="11" borderId="0" xfId="0" applyNumberFormat="1" applyFont="1" applyFill="1"/>
    <xf numFmtId="169" fontId="16" fillId="11" borderId="0" xfId="1774" applyNumberFormat="1" applyFont="1" applyFill="1"/>
    <xf numFmtId="0" fontId="16" fillId="11" borderId="0" xfId="0" applyFont="1" applyFill="1" applyAlignment="1">
      <alignment horizontal="left"/>
    </xf>
    <xf numFmtId="14" fontId="15" fillId="15" borderId="1" xfId="2272" applyNumberFormat="1" applyFont="1" applyFill="1" applyBorder="1" applyAlignment="1">
      <alignment vertical="center" wrapText="1"/>
    </xf>
    <xf numFmtId="0" fontId="0" fillId="0" borderId="0" xfId="0"/>
    <xf numFmtId="0" fontId="55" fillId="0" borderId="1" xfId="0" applyFont="1" applyBorder="1" applyAlignment="1">
      <alignment horizontal="center"/>
    </xf>
    <xf numFmtId="14" fontId="0" fillId="0" borderId="0" xfId="0" applyNumberFormat="1"/>
    <xf numFmtId="14" fontId="15" fillId="0" borderId="1" xfId="2272" applyNumberFormat="1" applyFont="1" applyFill="1" applyBorder="1" applyAlignment="1" applyProtection="1">
      <alignment horizontal="center" vertical="center" wrapText="1"/>
    </xf>
    <xf numFmtId="0" fontId="52" fillId="0" borderId="1" xfId="0" applyFont="1" applyFill="1" applyBorder="1" applyAlignment="1" applyProtection="1">
      <alignment horizontal="center" vertical="center" wrapText="1"/>
    </xf>
    <xf numFmtId="3" fontId="15" fillId="0" borderId="1" xfId="2272" applyNumberFormat="1" applyFont="1" applyFill="1" applyBorder="1" applyAlignment="1">
      <alignment horizontal="center" vertical="center" wrapText="1"/>
    </xf>
    <xf numFmtId="0" fontId="15" fillId="0" borderId="1" xfId="0" applyFont="1" applyFill="1" applyBorder="1" applyAlignment="1" applyProtection="1">
      <alignment horizontal="center" vertical="center" wrapText="1"/>
    </xf>
    <xf numFmtId="3" fontId="52" fillId="0" borderId="1" xfId="0" applyNumberFormat="1" applyFont="1" applyFill="1" applyBorder="1" applyAlignment="1" applyProtection="1">
      <alignment horizontal="center" vertical="center" wrapText="1"/>
    </xf>
    <xf numFmtId="3" fontId="52" fillId="0" borderId="46" xfId="0" applyNumberFormat="1" applyFont="1" applyFill="1" applyBorder="1" applyAlignment="1" applyProtection="1">
      <alignment horizontal="center" vertical="center" wrapText="1"/>
    </xf>
    <xf numFmtId="0" fontId="15" fillId="0" borderId="0" xfId="0" applyFont="1"/>
    <xf numFmtId="14" fontId="15" fillId="0" borderId="0" xfId="0" applyNumberFormat="1" applyFont="1" applyAlignment="1">
      <alignment horizontal="right"/>
    </xf>
    <xf numFmtId="14" fontId="15" fillId="0" borderId="0" xfId="0" applyNumberFormat="1" applyFont="1"/>
    <xf numFmtId="0" fontId="0" fillId="0" borderId="0" xfId="0" applyAlignment="1">
      <alignment horizontal="right"/>
    </xf>
    <xf numFmtId="14" fontId="0" fillId="0" borderId="0" xfId="0" applyNumberFormat="1" applyAlignment="1">
      <alignment horizontal="right"/>
    </xf>
    <xf numFmtId="0" fontId="0" fillId="0" borderId="0" xfId="0" applyAlignment="1">
      <alignment horizontal="center"/>
    </xf>
    <xf numFmtId="0" fontId="15" fillId="0" borderId="0" xfId="0" applyFont="1" applyAlignment="1">
      <alignment horizontal="center"/>
    </xf>
    <xf numFmtId="0" fontId="15" fillId="21" borderId="5" xfId="0" applyFont="1" applyFill="1" applyBorder="1" applyAlignment="1">
      <alignment horizontal="left" vertical="center" wrapText="1"/>
    </xf>
    <xf numFmtId="169" fontId="38" fillId="15" borderId="5" xfId="1774" applyNumberFormat="1" applyFont="1" applyFill="1" applyBorder="1" applyAlignment="1">
      <alignment horizontal="center" vertical="center" wrapText="1"/>
    </xf>
    <xf numFmtId="169" fontId="38" fillId="15" borderId="14" xfId="1774" applyNumberFormat="1" applyFont="1" applyFill="1" applyBorder="1" applyAlignment="1">
      <alignment horizontal="center" vertical="center" wrapText="1"/>
    </xf>
    <xf numFmtId="169" fontId="38" fillId="0" borderId="5" xfId="1774" applyNumberFormat="1" applyFont="1" applyFill="1" applyBorder="1" applyAlignment="1">
      <alignment horizontal="center" vertical="center" wrapText="1"/>
    </xf>
    <xf numFmtId="169" fontId="38" fillId="0" borderId="14" xfId="1774" applyNumberFormat="1" applyFont="1" applyFill="1" applyBorder="1" applyAlignment="1">
      <alignment horizontal="center" vertical="center" wrapText="1"/>
    </xf>
    <xf numFmtId="0" fontId="15" fillId="0" borderId="0" xfId="0" applyFont="1" applyAlignment="1">
      <alignment wrapText="1"/>
    </xf>
    <xf numFmtId="0" fontId="18" fillId="49" borderId="0" xfId="0" applyFont="1" applyFill="1" applyAlignment="1">
      <alignment horizontal="center" vertical="center"/>
    </xf>
    <xf numFmtId="0" fontId="18" fillId="49" borderId="0" xfId="0" applyFont="1" applyFill="1"/>
    <xf numFmtId="9" fontId="0" fillId="11" borderId="0" xfId="0" applyNumberFormat="1" applyFill="1"/>
    <xf numFmtId="0" fontId="0" fillId="0" borderId="0" xfId="0"/>
    <xf numFmtId="0" fontId="0" fillId="0" borderId="0" xfId="0"/>
    <xf numFmtId="0" fontId="18" fillId="0" borderId="6" xfId="0" applyFont="1" applyBorder="1" applyAlignment="1">
      <alignment vertical="center" wrapText="1"/>
    </xf>
    <xf numFmtId="0" fontId="18" fillId="0" borderId="15" xfId="0" applyFont="1" applyBorder="1" applyAlignment="1">
      <alignment vertical="center" wrapText="1"/>
    </xf>
    <xf numFmtId="3" fontId="15" fillId="52" borderId="6" xfId="0" applyNumberFormat="1" applyFont="1" applyFill="1" applyBorder="1" applyAlignment="1">
      <alignment vertical="center" wrapText="1"/>
    </xf>
    <xf numFmtId="3" fontId="15" fillId="52" borderId="15" xfId="0" applyNumberFormat="1" applyFont="1" applyFill="1" applyBorder="1" applyAlignment="1">
      <alignment vertical="center" wrapText="1"/>
    </xf>
    <xf numFmtId="3" fontId="18" fillId="0" borderId="6" xfId="0" applyNumberFormat="1" applyFont="1" applyBorder="1" applyAlignment="1">
      <alignment vertical="center" wrapText="1"/>
    </xf>
    <xf numFmtId="3" fontId="18" fillId="0" borderId="15" xfId="0" applyNumberFormat="1" applyFont="1" applyBorder="1" applyAlignment="1">
      <alignment vertical="center" wrapText="1"/>
    </xf>
    <xf numFmtId="0" fontId="18" fillId="0" borderId="29" xfId="0" applyFont="1" applyBorder="1" applyAlignment="1">
      <alignment vertical="center" wrapText="1"/>
    </xf>
    <xf numFmtId="0" fontId="18" fillId="0" borderId="30" xfId="0" applyFont="1" applyBorder="1" applyAlignment="1">
      <alignment vertical="center" wrapText="1"/>
    </xf>
    <xf numFmtId="3" fontId="15" fillId="52" borderId="29" xfId="0" applyNumberFormat="1" applyFont="1" applyFill="1" applyBorder="1" applyAlignment="1">
      <alignment vertical="center" wrapText="1"/>
    </xf>
    <xf numFmtId="3" fontId="15" fillId="52" borderId="30" xfId="0" applyNumberFormat="1" applyFont="1" applyFill="1" applyBorder="1" applyAlignment="1">
      <alignment vertical="center" wrapText="1"/>
    </xf>
    <xf numFmtId="3" fontId="18" fillId="0" borderId="29" xfId="0" applyNumberFormat="1" applyFont="1" applyBorder="1" applyAlignment="1">
      <alignment vertical="center" wrapText="1"/>
    </xf>
    <xf numFmtId="3" fontId="18" fillId="0" borderId="30" xfId="0" applyNumberFormat="1" applyFont="1" applyBorder="1" applyAlignment="1">
      <alignment vertical="center" wrapText="1"/>
    </xf>
    <xf numFmtId="0" fontId="0" fillId="48" borderId="0" xfId="0" applyFill="1"/>
    <xf numFmtId="0" fontId="19" fillId="48" borderId="0" xfId="0" applyFont="1" applyFill="1"/>
    <xf numFmtId="0" fontId="20" fillId="48" borderId="0" xfId="0" applyFont="1" applyFill="1" applyBorder="1" applyAlignment="1">
      <alignment horizontal="center"/>
    </xf>
    <xf numFmtId="0" fontId="15" fillId="52" borderId="1" xfId="0" applyFont="1" applyFill="1" applyBorder="1" applyAlignment="1">
      <alignment vertical="center" wrapText="1"/>
    </xf>
    <xf numFmtId="0" fontId="15" fillId="48" borderId="0" xfId="0" applyFont="1" applyFill="1" applyBorder="1" applyAlignment="1">
      <alignment horizontal="left" wrapText="1"/>
    </xf>
    <xf numFmtId="0" fontId="15" fillId="48" borderId="0" xfId="0" applyFont="1" applyFill="1" applyBorder="1" applyAlignment="1">
      <alignment horizontal="left" vertical="center"/>
    </xf>
    <xf numFmtId="0" fontId="0" fillId="48" borderId="0" xfId="0" applyFill="1" applyBorder="1"/>
    <xf numFmtId="0" fontId="15" fillId="48" borderId="0" xfId="0" applyFont="1" applyFill="1" applyBorder="1" applyAlignment="1">
      <alignment vertical="center"/>
    </xf>
    <xf numFmtId="14" fontId="31" fillId="48" borderId="0" xfId="1774" applyNumberFormat="1" applyFont="1" applyFill="1" applyBorder="1"/>
    <xf numFmtId="0" fontId="31" fillId="48" borderId="0" xfId="0" applyFont="1" applyFill="1" applyBorder="1" applyAlignment="1">
      <alignment vertical="center"/>
    </xf>
    <xf numFmtId="171" fontId="31" fillId="48" borderId="0" xfId="1774" applyNumberFormat="1" applyFont="1" applyFill="1" applyBorder="1"/>
    <xf numFmtId="0" fontId="18" fillId="48" borderId="0" xfId="0" applyFont="1" applyFill="1" applyBorder="1" applyAlignment="1">
      <alignment horizontal="center" vertical="center" wrapText="1"/>
    </xf>
    <xf numFmtId="0" fontId="0" fillId="48" borderId="0" xfId="0" applyFill="1" applyBorder="1" applyAlignment="1">
      <alignment horizontal="center" vertical="center" wrapText="1"/>
    </xf>
    <xf numFmtId="167" fontId="0" fillId="48" borderId="0" xfId="0" applyNumberFormat="1" applyFill="1" applyBorder="1" applyAlignment="1">
      <alignment horizontal="center" vertical="center" wrapText="1"/>
    </xf>
    <xf numFmtId="0" fontId="0" fillId="48" borderId="0" xfId="0" applyFill="1" applyBorder="1" applyAlignment="1"/>
    <xf numFmtId="0" fontId="18" fillId="48" borderId="0" xfId="0" applyFont="1" applyFill="1" applyBorder="1" applyAlignment="1">
      <alignment vertical="center"/>
    </xf>
    <xf numFmtId="171" fontId="18" fillId="15" borderId="1" xfId="0" applyNumberFormat="1" applyFont="1" applyFill="1" applyBorder="1" applyAlignment="1">
      <alignment horizontal="center" vertical="center" wrapText="1"/>
    </xf>
    <xf numFmtId="0" fontId="18" fillId="18" borderId="1" xfId="0" applyFont="1" applyFill="1" applyBorder="1" applyAlignment="1">
      <alignment horizontal="center" vertical="center" wrapText="1"/>
    </xf>
    <xf numFmtId="167" fontId="21" fillId="18" borderId="1" xfId="0" applyNumberFormat="1" applyFont="1" applyFill="1" applyBorder="1" applyAlignment="1">
      <alignment horizontal="center" vertical="center" wrapText="1"/>
    </xf>
    <xf numFmtId="3" fontId="21" fillId="18" borderId="1" xfId="0" applyNumberFormat="1" applyFont="1" applyFill="1" applyBorder="1" applyAlignment="1">
      <alignment horizontal="center" vertical="center" wrapText="1"/>
    </xf>
    <xf numFmtId="0" fontId="18" fillId="21" borderId="22" xfId="0" applyFont="1" applyFill="1" applyBorder="1" applyAlignment="1">
      <alignment horizontal="left" vertical="center" wrapText="1"/>
    </xf>
    <xf numFmtId="171" fontId="56" fillId="0" borderId="5" xfId="0" applyNumberFormat="1" applyFont="1" applyFill="1" applyBorder="1" applyAlignment="1">
      <alignment horizontal="center" vertical="center" wrapText="1"/>
    </xf>
    <xf numFmtId="0" fontId="56" fillId="21" borderId="5" xfId="0" applyFont="1" applyFill="1" applyBorder="1" applyAlignment="1">
      <alignment horizontal="center" vertical="center" wrapText="1"/>
    </xf>
    <xf numFmtId="0" fontId="56" fillId="21" borderId="31" xfId="0" applyFont="1" applyFill="1" applyBorder="1" applyAlignment="1">
      <alignment horizontal="center" vertical="center" wrapText="1"/>
    </xf>
    <xf numFmtId="0" fontId="57" fillId="0" borderId="5" xfId="0" applyFont="1" applyFill="1" applyBorder="1" applyAlignment="1">
      <alignment horizontal="center" vertical="center" wrapText="1"/>
    </xf>
    <xf numFmtId="3" fontId="57" fillId="0" borderId="5" xfId="0" applyNumberFormat="1" applyFont="1" applyFill="1" applyBorder="1" applyAlignment="1">
      <alignment horizontal="center" vertical="center" wrapText="1"/>
    </xf>
    <xf numFmtId="3" fontId="57" fillId="0" borderId="14" xfId="0" applyNumberFormat="1" applyFont="1" applyFill="1" applyBorder="1" applyAlignment="1">
      <alignment horizontal="center" vertical="center" wrapText="1"/>
    </xf>
    <xf numFmtId="0" fontId="54" fillId="0" borderId="0" xfId="0" applyFont="1" applyFill="1"/>
    <xf numFmtId="171" fontId="56" fillId="15" borderId="5" xfId="0" applyNumberFormat="1" applyFont="1" applyFill="1" applyBorder="1" applyAlignment="1">
      <alignment horizontal="left" vertical="center" wrapText="1"/>
    </xf>
    <xf numFmtId="0" fontId="56" fillId="15" borderId="5" xfId="0" applyFont="1" applyFill="1" applyBorder="1" applyAlignment="1">
      <alignment horizontal="justify" vertical="center" wrapText="1"/>
    </xf>
    <xf numFmtId="0" fontId="56" fillId="15" borderId="31" xfId="0" applyFont="1" applyFill="1" applyBorder="1" applyAlignment="1">
      <alignment horizontal="justify" vertical="center" wrapText="1"/>
    </xf>
    <xf numFmtId="0" fontId="57" fillId="15" borderId="5" xfId="0" applyFont="1" applyFill="1" applyBorder="1" applyAlignment="1">
      <alignment horizontal="center" vertical="center" wrapText="1"/>
    </xf>
    <xf numFmtId="3" fontId="57" fillId="15" borderId="5" xfId="0" applyNumberFormat="1" applyFont="1" applyFill="1" applyBorder="1" applyAlignment="1">
      <alignment horizontal="center" vertical="center" wrapText="1"/>
    </xf>
    <xf numFmtId="3" fontId="57" fillId="15" borderId="14" xfId="0" applyNumberFormat="1" applyFont="1" applyFill="1" applyBorder="1" applyAlignment="1">
      <alignment horizontal="center" vertical="center" wrapText="1"/>
    </xf>
    <xf numFmtId="0" fontId="19" fillId="21" borderId="22" xfId="0" applyFont="1" applyFill="1" applyBorder="1" applyAlignment="1">
      <alignment horizontal="left" vertical="center" wrapText="1"/>
    </xf>
    <xf numFmtId="0" fontId="18" fillId="19" borderId="22" xfId="0" applyFont="1" applyFill="1" applyBorder="1" applyAlignment="1">
      <alignment horizontal="left" vertical="center" wrapText="1"/>
    </xf>
    <xf numFmtId="0" fontId="18" fillId="15" borderId="22" xfId="0" applyFont="1" applyFill="1" applyBorder="1" applyAlignment="1">
      <alignment horizontal="left" vertical="center" wrapText="1"/>
    </xf>
    <xf numFmtId="0" fontId="18" fillId="20" borderId="22" xfId="0" applyFont="1" applyFill="1" applyBorder="1" applyAlignment="1">
      <alignment horizontal="left" vertical="center" wrapText="1"/>
    </xf>
    <xf numFmtId="0" fontId="19" fillId="20" borderId="22" xfId="0" applyFont="1" applyFill="1" applyBorder="1" applyAlignment="1">
      <alignment horizontal="left" vertical="center" wrapText="1"/>
    </xf>
    <xf numFmtId="0" fontId="18" fillId="22" borderId="22" xfId="0" applyFont="1" applyFill="1" applyBorder="1" applyAlignment="1">
      <alignment horizontal="left" vertical="center" wrapText="1"/>
    </xf>
    <xf numFmtId="0" fontId="19" fillId="22" borderId="22" xfId="0" applyFont="1" applyFill="1" applyBorder="1" applyAlignment="1">
      <alignment horizontal="left" vertical="center" wrapText="1"/>
    </xf>
    <xf numFmtId="171" fontId="56" fillId="0" borderId="5" xfId="0" applyNumberFormat="1" applyFont="1" applyFill="1" applyBorder="1" applyAlignment="1">
      <alignment horizontal="left" vertical="center" wrapText="1"/>
    </xf>
    <xf numFmtId="0" fontId="54" fillId="22" borderId="5" xfId="0" applyFont="1" applyFill="1" applyBorder="1" applyAlignment="1">
      <alignment horizontal="justify" vertical="center" wrapText="1"/>
    </xf>
    <xf numFmtId="0" fontId="56" fillId="22" borderId="31" xfId="0" applyFont="1" applyFill="1" applyBorder="1" applyAlignment="1">
      <alignment horizontal="justify" vertical="center" wrapText="1"/>
    </xf>
    <xf numFmtId="0" fontId="54" fillId="21" borderId="47" xfId="0" applyFont="1" applyFill="1" applyBorder="1" applyAlignment="1">
      <alignment horizontal="left" vertical="center" wrapText="1"/>
    </xf>
    <xf numFmtId="0" fontId="54" fillId="21" borderId="47" xfId="0" applyFont="1" applyFill="1" applyBorder="1" applyAlignment="1">
      <alignment horizontal="justify" vertical="center" wrapText="1"/>
    </xf>
    <xf numFmtId="0" fontId="56" fillId="0" borderId="47" xfId="0" applyFont="1" applyFill="1" applyBorder="1" applyAlignment="1">
      <alignment vertical="center" wrapText="1"/>
    </xf>
    <xf numFmtId="167" fontId="57" fillId="0" borderId="47" xfId="0" applyNumberFormat="1" applyFont="1" applyFill="1" applyBorder="1" applyAlignment="1">
      <alignment horizontal="center" vertical="center" wrapText="1"/>
    </xf>
    <xf numFmtId="3" fontId="57" fillId="0" borderId="47" xfId="0" applyNumberFormat="1" applyFont="1" applyFill="1" applyBorder="1" applyAlignment="1">
      <alignment horizontal="center" vertical="center" wrapText="1"/>
    </xf>
    <xf numFmtId="3" fontId="57" fillId="0" borderId="48" xfId="0" applyNumberFormat="1" applyFont="1" applyFill="1" applyBorder="1" applyAlignment="1">
      <alignment horizontal="center" vertical="center" wrapText="1"/>
    </xf>
    <xf numFmtId="3" fontId="59" fillId="25" borderId="5" xfId="0" applyNumberFormat="1" applyFont="1" applyFill="1" applyBorder="1" applyAlignment="1">
      <alignment horizontal="left" vertical="center" wrapText="1"/>
    </xf>
    <xf numFmtId="3" fontId="59" fillId="25" borderId="5" xfId="0" applyNumberFormat="1" applyFont="1" applyFill="1" applyBorder="1" applyAlignment="1">
      <alignment horizontal="justify" vertical="center" wrapText="1"/>
    </xf>
    <xf numFmtId="0" fontId="56" fillId="0" borderId="5" xfId="0" applyFont="1" applyFill="1" applyBorder="1" applyAlignment="1">
      <alignment vertical="center" wrapText="1"/>
    </xf>
    <xf numFmtId="169" fontId="58" fillId="0" borderId="5" xfId="1774" applyNumberFormat="1" applyFont="1" applyFill="1" applyBorder="1" applyAlignment="1">
      <alignment horizontal="center" vertical="center" wrapText="1"/>
    </xf>
    <xf numFmtId="169" fontId="58" fillId="0" borderId="14" xfId="1774" applyNumberFormat="1" applyFont="1" applyFill="1" applyBorder="1" applyAlignment="1">
      <alignment horizontal="center" vertical="center" wrapText="1"/>
    </xf>
    <xf numFmtId="0" fontId="0" fillId="0" borderId="0" xfId="0" applyAlignment="1">
      <alignment vertical="center" wrapText="1"/>
    </xf>
    <xf numFmtId="169" fontId="0" fillId="0" borderId="0" xfId="1774" applyNumberFormat="1" applyFont="1" applyAlignment="1">
      <alignment vertical="center" wrapText="1"/>
    </xf>
    <xf numFmtId="0" fontId="0" fillId="53" borderId="1" xfId="0" applyFill="1" applyBorder="1" applyAlignment="1">
      <alignment vertical="center" wrapText="1"/>
    </xf>
    <xf numFmtId="169" fontId="0" fillId="53" borderId="1" xfId="0" applyNumberFormat="1" applyFill="1" applyBorder="1" applyAlignment="1">
      <alignment vertical="center"/>
    </xf>
    <xf numFmtId="0" fontId="0" fillId="55" borderId="1" xfId="0" applyFill="1" applyBorder="1" applyAlignment="1">
      <alignment vertical="center" wrapText="1"/>
    </xf>
    <xf numFmtId="0" fontId="0" fillId="56" borderId="1" xfId="0" applyFill="1" applyBorder="1" applyAlignment="1">
      <alignment vertical="center" wrapText="1"/>
    </xf>
    <xf numFmtId="0" fontId="0" fillId="57" borderId="1" xfId="0" applyFill="1" applyBorder="1" applyAlignment="1">
      <alignment vertical="center" wrapText="1"/>
    </xf>
    <xf numFmtId="0" fontId="60" fillId="53" borderId="1" xfId="0" applyFont="1" applyFill="1" applyBorder="1" applyAlignment="1">
      <alignment vertical="center" wrapText="1"/>
    </xf>
    <xf numFmtId="0" fontId="60" fillId="55" borderId="1" xfId="0" applyFont="1" applyFill="1" applyBorder="1" applyAlignment="1">
      <alignment vertical="center" wrapText="1"/>
    </xf>
    <xf numFmtId="0" fontId="60" fillId="56" borderId="1" xfId="0" applyFont="1" applyFill="1" applyBorder="1" applyAlignment="1">
      <alignment vertical="center" wrapText="1"/>
    </xf>
    <xf numFmtId="0" fontId="60" fillId="56" borderId="1" xfId="0" applyFont="1" applyFill="1" applyBorder="1" applyAlignment="1">
      <alignment vertical="center"/>
    </xf>
    <xf numFmtId="0" fontId="60" fillId="57" borderId="1" xfId="0" applyFont="1" applyFill="1" applyBorder="1" applyAlignment="1">
      <alignment vertical="center" wrapText="1"/>
    </xf>
    <xf numFmtId="0" fontId="18" fillId="51" borderId="1" xfId="0" applyFont="1" applyFill="1" applyBorder="1" applyAlignment="1">
      <alignment horizontal="center" vertical="center" wrapText="1"/>
    </xf>
    <xf numFmtId="169" fontId="0" fillId="53" borderId="1" xfId="1774" applyNumberFormat="1" applyFont="1" applyFill="1" applyBorder="1" applyAlignment="1">
      <alignment vertical="center" wrapText="1"/>
    </xf>
    <xf numFmtId="169" fontId="0" fillId="55" borderId="1" xfId="1774" applyNumberFormat="1" applyFont="1" applyFill="1" applyBorder="1" applyAlignment="1">
      <alignment vertical="center" wrapText="1"/>
    </xf>
    <xf numFmtId="169" fontId="0" fillId="56" borderId="1" xfId="1774" applyNumberFormat="1" applyFont="1" applyFill="1" applyBorder="1" applyAlignment="1">
      <alignment vertical="center" wrapText="1"/>
    </xf>
    <xf numFmtId="169" fontId="0" fillId="57" borderId="1" xfId="1774" applyNumberFormat="1" applyFont="1" applyFill="1" applyBorder="1" applyAlignment="1">
      <alignment vertical="center" wrapText="1"/>
    </xf>
    <xf numFmtId="169" fontId="0" fillId="0" borderId="1" xfId="0" applyNumberFormat="1" applyBorder="1" applyAlignment="1">
      <alignment vertical="center" wrapText="1"/>
    </xf>
    <xf numFmtId="0" fontId="56" fillId="22" borderId="22" xfId="0" applyFont="1" applyFill="1" applyBorder="1" applyAlignment="1">
      <alignment horizontal="center" vertical="center" wrapText="1"/>
    </xf>
    <xf numFmtId="0" fontId="18" fillId="0" borderId="21" xfId="0" applyFont="1" applyFill="1" applyBorder="1" applyAlignment="1">
      <alignment horizontal="right" wrapText="1"/>
    </xf>
    <xf numFmtId="171" fontId="18" fillId="15" borderId="5" xfId="0" applyNumberFormat="1" applyFont="1" applyFill="1" applyBorder="1" applyAlignment="1">
      <alignment horizontal="justify" vertical="center" wrapText="1"/>
    </xf>
    <xf numFmtId="171" fontId="18" fillId="0" borderId="0" xfId="0" applyNumberFormat="1" applyFont="1" applyFill="1" applyBorder="1" applyAlignment="1">
      <alignment horizontal="justify" vertical="center" wrapText="1"/>
    </xf>
    <xf numFmtId="0" fontId="56" fillId="0" borderId="0" xfId="0" applyFont="1" applyFill="1"/>
    <xf numFmtId="0" fontId="18" fillId="51" borderId="1" xfId="0" applyFont="1" applyFill="1" applyBorder="1" applyAlignment="1">
      <alignment horizontal="center" vertical="center"/>
    </xf>
    <xf numFmtId="0" fontId="60" fillId="53" borderId="1" xfId="0" applyFont="1" applyFill="1" applyBorder="1" applyAlignment="1">
      <alignment vertical="center"/>
    </xf>
    <xf numFmtId="0" fontId="60" fillId="54" borderId="1" xfId="0" applyFont="1" applyFill="1" applyBorder="1" applyAlignment="1">
      <alignment vertical="center"/>
    </xf>
    <xf numFmtId="0" fontId="60" fillId="55" borderId="1" xfId="0" applyFont="1" applyFill="1" applyBorder="1" applyAlignment="1">
      <alignment vertical="center"/>
    </xf>
    <xf numFmtId="0" fontId="60" fillId="57" borderId="1" xfId="0" applyFont="1" applyFill="1" applyBorder="1" applyAlignment="1">
      <alignment vertical="center"/>
    </xf>
    <xf numFmtId="0" fontId="61" fillId="53" borderId="1" xfId="0" applyFont="1" applyFill="1" applyBorder="1" applyAlignment="1">
      <alignment vertical="center" wrapText="1"/>
    </xf>
    <xf numFmtId="0" fontId="61" fillId="54" borderId="1" xfId="0" applyFont="1" applyFill="1" applyBorder="1" applyAlignment="1">
      <alignment vertical="center" wrapText="1"/>
    </xf>
    <xf numFmtId="0" fontId="61" fillId="55" borderId="1" xfId="0" applyFont="1" applyFill="1" applyBorder="1" applyAlignment="1">
      <alignment vertical="center" wrapText="1"/>
    </xf>
    <xf numFmtId="0" fontId="61" fillId="56" borderId="1" xfId="0" applyFont="1" applyFill="1" applyBorder="1" applyAlignment="1">
      <alignment vertical="center" wrapText="1"/>
    </xf>
    <xf numFmtId="0" fontId="61" fillId="57" borderId="1" xfId="0" applyFont="1" applyFill="1" applyBorder="1" applyAlignment="1">
      <alignment vertical="center" wrapText="1"/>
    </xf>
    <xf numFmtId="49" fontId="0" fillId="0" borderId="0" xfId="0" applyNumberFormat="1"/>
    <xf numFmtId="49" fontId="15" fillId="0" borderId="0" xfId="0" applyNumberFormat="1" applyFont="1" applyAlignment="1">
      <alignment horizontal="center"/>
    </xf>
    <xf numFmtId="169" fontId="61" fillId="53" borderId="1" xfId="1774" applyNumberFormat="1" applyFont="1" applyFill="1" applyBorder="1" applyAlignment="1">
      <alignment vertical="center" wrapText="1"/>
    </xf>
    <xf numFmtId="169" fontId="61" fillId="54" borderId="1" xfId="1774" applyNumberFormat="1" applyFont="1" applyFill="1" applyBorder="1" applyAlignment="1">
      <alignment vertical="center" wrapText="1"/>
    </xf>
    <xf numFmtId="169" fontId="61" fillId="55" borderId="1" xfId="1774" applyNumberFormat="1" applyFont="1" applyFill="1" applyBorder="1" applyAlignment="1">
      <alignment vertical="center" wrapText="1"/>
    </xf>
    <xf numFmtId="169" fontId="61" fillId="56" borderId="1" xfId="1774" applyNumberFormat="1" applyFont="1" applyFill="1" applyBorder="1" applyAlignment="1">
      <alignment vertical="center" wrapText="1"/>
    </xf>
    <xf numFmtId="169" fontId="61" fillId="57" borderId="1" xfId="1774" applyNumberFormat="1" applyFont="1" applyFill="1" applyBorder="1" applyAlignment="1">
      <alignment vertical="center" wrapText="1"/>
    </xf>
    <xf numFmtId="0" fontId="0" fillId="0" borderId="0" xfId="0"/>
    <xf numFmtId="0" fontId="0" fillId="0" borderId="0" xfId="0" applyFill="1" applyBorder="1"/>
    <xf numFmtId="9" fontId="61" fillId="53" borderId="1" xfId="3416" applyFont="1" applyFill="1" applyBorder="1" applyAlignment="1">
      <alignment vertical="center" wrapText="1"/>
    </xf>
    <xf numFmtId="9" fontId="61" fillId="54" borderId="1" xfId="3416" applyFont="1" applyFill="1" applyBorder="1" applyAlignment="1">
      <alignment vertical="center" wrapText="1"/>
    </xf>
    <xf numFmtId="9" fontId="61" fillId="55" borderId="1" xfId="3416" applyFont="1" applyFill="1" applyBorder="1" applyAlignment="1">
      <alignment vertical="center" wrapText="1"/>
    </xf>
    <xf numFmtId="9" fontId="61" fillId="56" borderId="1" xfId="3416" applyFont="1" applyFill="1" applyBorder="1" applyAlignment="1">
      <alignment vertical="center" wrapText="1"/>
    </xf>
    <xf numFmtId="9" fontId="61" fillId="57" borderId="1" xfId="3416" applyFont="1" applyFill="1" applyBorder="1" applyAlignment="1">
      <alignment vertical="center" wrapText="1"/>
    </xf>
    <xf numFmtId="9" fontId="18" fillId="51" borderId="1" xfId="3416" applyFont="1" applyFill="1" applyBorder="1" applyAlignment="1">
      <alignment horizontal="center" vertical="center" wrapText="1"/>
    </xf>
    <xf numFmtId="0" fontId="60" fillId="0" borderId="0" xfId="0" applyFont="1" applyFill="1" applyBorder="1" applyAlignment="1">
      <alignment vertical="center"/>
    </xf>
    <xf numFmtId="0" fontId="61" fillId="0" borderId="0" xfId="0" applyFont="1" applyFill="1" applyBorder="1" applyAlignment="1">
      <alignment vertical="center" wrapText="1"/>
    </xf>
    <xf numFmtId="169" fontId="61" fillId="0" borderId="0" xfId="1774" applyNumberFormat="1" applyFont="1" applyFill="1" applyBorder="1" applyAlignment="1">
      <alignment vertical="center" wrapText="1"/>
    </xf>
    <xf numFmtId="9" fontId="61" fillId="0" borderId="0" xfId="3416" applyFont="1" applyFill="1" applyBorder="1" applyAlignment="1">
      <alignment vertical="center" wrapText="1"/>
    </xf>
    <xf numFmtId="0" fontId="60" fillId="53" borderId="49" xfId="0" applyFont="1" applyFill="1" applyBorder="1" applyAlignment="1">
      <alignment vertical="center"/>
    </xf>
    <xf numFmtId="0" fontId="61" fillId="53" borderId="49" xfId="0" applyFont="1" applyFill="1" applyBorder="1" applyAlignment="1">
      <alignment vertical="center" wrapText="1"/>
    </xf>
    <xf numFmtId="169" fontId="61" fillId="53" borderId="49" xfId="1774" applyNumberFormat="1" applyFont="1" applyFill="1" applyBorder="1" applyAlignment="1">
      <alignment vertical="center" wrapText="1"/>
    </xf>
    <xf numFmtId="9" fontId="61" fillId="53" borderId="49" xfId="3416" applyFont="1" applyFill="1" applyBorder="1" applyAlignment="1">
      <alignment vertical="center" wrapText="1"/>
    </xf>
    <xf numFmtId="169" fontId="61" fillId="54" borderId="49" xfId="1774" applyNumberFormat="1" applyFont="1" applyFill="1" applyBorder="1" applyAlignment="1">
      <alignment vertical="center" wrapText="1"/>
    </xf>
    <xf numFmtId="9" fontId="61" fillId="54" borderId="49" xfId="3416" applyFont="1" applyFill="1" applyBorder="1" applyAlignment="1">
      <alignment vertical="center" wrapText="1"/>
    </xf>
    <xf numFmtId="0" fontId="60" fillId="54" borderId="49" xfId="0" applyFont="1" applyFill="1" applyBorder="1" applyAlignment="1">
      <alignment vertical="center"/>
    </xf>
    <xf numFmtId="0" fontId="61" fillId="54" borderId="49" xfId="0" applyFont="1" applyFill="1" applyBorder="1" applyAlignment="1">
      <alignment vertical="center" wrapText="1"/>
    </xf>
    <xf numFmtId="0" fontId="60" fillId="55" borderId="49" xfId="0" applyFont="1" applyFill="1" applyBorder="1" applyAlignment="1">
      <alignment vertical="center"/>
    </xf>
    <xf numFmtId="0" fontId="61" fillId="55" borderId="49" xfId="0" applyFont="1" applyFill="1" applyBorder="1" applyAlignment="1">
      <alignment vertical="center" wrapText="1"/>
    </xf>
    <xf numFmtId="169" fontId="61" fillId="55" borderId="49" xfId="1774" applyNumberFormat="1" applyFont="1" applyFill="1" applyBorder="1" applyAlignment="1">
      <alignment vertical="center" wrapText="1"/>
    </xf>
    <xf numFmtId="9" fontId="61" fillId="55" borderId="49" xfId="3416" applyFont="1" applyFill="1" applyBorder="1" applyAlignment="1">
      <alignment vertical="center" wrapText="1"/>
    </xf>
    <xf numFmtId="169" fontId="61" fillId="56" borderId="49" xfId="1774" applyNumberFormat="1" applyFont="1" applyFill="1" applyBorder="1" applyAlignment="1">
      <alignment vertical="center" wrapText="1"/>
    </xf>
    <xf numFmtId="9" fontId="61" fillId="56" borderId="49" xfId="3416" applyFont="1" applyFill="1" applyBorder="1" applyAlignment="1">
      <alignment vertical="center" wrapText="1"/>
    </xf>
    <xf numFmtId="0" fontId="60" fillId="56" borderId="49" xfId="0" applyFont="1" applyFill="1" applyBorder="1" applyAlignment="1">
      <alignment vertical="center"/>
    </xf>
    <xf numFmtId="0" fontId="61" fillId="56" borderId="49" xfId="0" applyFont="1" applyFill="1" applyBorder="1" applyAlignment="1">
      <alignment vertical="center" wrapText="1"/>
    </xf>
    <xf numFmtId="0" fontId="60" fillId="57" borderId="49" xfId="0" applyFont="1" applyFill="1" applyBorder="1" applyAlignment="1">
      <alignment vertical="center"/>
    </xf>
    <xf numFmtId="0" fontId="61" fillId="57" borderId="49" xfId="0" applyFont="1" applyFill="1" applyBorder="1" applyAlignment="1">
      <alignment vertical="center" wrapText="1"/>
    </xf>
    <xf numFmtId="169" fontId="61" fillId="57" borderId="49" xfId="1774" applyNumberFormat="1" applyFont="1" applyFill="1" applyBorder="1" applyAlignment="1">
      <alignment vertical="center" wrapText="1"/>
    </xf>
    <xf numFmtId="9" fontId="61" fillId="57" borderId="49" xfId="3416" applyFont="1" applyFill="1" applyBorder="1" applyAlignment="1">
      <alignment vertical="center" wrapText="1"/>
    </xf>
    <xf numFmtId="0" fontId="15" fillId="48" borderId="0" xfId="0" applyFont="1" applyFill="1"/>
    <xf numFmtId="0" fontId="18" fillId="51" borderId="41" xfId="0" applyFont="1" applyFill="1" applyBorder="1" applyAlignment="1">
      <alignment horizontal="center" vertical="center" wrapText="1"/>
    </xf>
    <xf numFmtId="169" fontId="60" fillId="53" borderId="1" xfId="1774" applyNumberFormat="1" applyFont="1" applyFill="1" applyBorder="1" applyAlignment="1">
      <alignment vertical="center" wrapText="1"/>
    </xf>
    <xf numFmtId="9" fontId="60" fillId="53" borderId="1" xfId="3416" applyFont="1" applyFill="1" applyBorder="1" applyAlignment="1">
      <alignment vertical="center" wrapText="1"/>
    </xf>
    <xf numFmtId="0" fontId="0" fillId="48" borderId="0" xfId="0" applyFill="1" applyAlignment="1">
      <alignment vertical="center" wrapText="1"/>
    </xf>
    <xf numFmtId="9" fontId="0" fillId="53" borderId="1" xfId="3416" applyFont="1" applyFill="1" applyBorder="1" applyAlignment="1">
      <alignment vertical="center"/>
    </xf>
    <xf numFmtId="9" fontId="0" fillId="55" borderId="1" xfId="3416" applyFont="1" applyFill="1" applyBorder="1" applyAlignment="1">
      <alignment vertical="center" wrapText="1"/>
    </xf>
    <xf numFmtId="9" fontId="0" fillId="56" borderId="1" xfId="3416" applyFont="1" applyFill="1" applyBorder="1" applyAlignment="1">
      <alignment vertical="center" wrapText="1"/>
    </xf>
    <xf numFmtId="9" fontId="0" fillId="57" borderId="1" xfId="3416" applyFont="1" applyFill="1" applyBorder="1" applyAlignment="1">
      <alignment vertical="center" wrapText="1"/>
    </xf>
    <xf numFmtId="9" fontId="0" fillId="0" borderId="0" xfId="3416" applyFont="1" applyAlignment="1">
      <alignment vertical="center" wrapText="1"/>
    </xf>
    <xf numFmtId="170" fontId="18" fillId="15" borderId="5" xfId="0" applyNumberFormat="1" applyFont="1" applyFill="1" applyBorder="1" applyAlignment="1">
      <alignment horizontal="right" vertical="center" wrapText="1"/>
    </xf>
    <xf numFmtId="0" fontId="18" fillId="50" borderId="22" xfId="0" applyFont="1" applyFill="1" applyBorder="1" applyAlignment="1">
      <alignment horizontal="center" vertical="center" wrapText="1"/>
    </xf>
    <xf numFmtId="0" fontId="19" fillId="50" borderId="22" xfId="0" applyFont="1" applyFill="1" applyBorder="1" applyAlignment="1">
      <alignment horizontal="center" vertical="center" wrapText="1"/>
    </xf>
    <xf numFmtId="3" fontId="18" fillId="0" borderId="5" xfId="1774" applyNumberFormat="1" applyFont="1" applyBorder="1" applyAlignment="1">
      <alignment horizontal="center" vertical="center" wrapText="1"/>
    </xf>
    <xf numFmtId="0" fontId="63" fillId="23" borderId="22" xfId="0" applyFont="1" applyFill="1" applyBorder="1" applyAlignment="1">
      <alignment horizontal="center" vertical="center" wrapText="1"/>
    </xf>
    <xf numFmtId="169" fontId="64" fillId="11" borderId="5" xfId="1774" applyNumberFormat="1" applyFont="1" applyFill="1" applyBorder="1" applyAlignment="1">
      <alignment horizontal="center" vertical="center" wrapText="1"/>
    </xf>
    <xf numFmtId="169" fontId="64" fillId="11" borderId="5" xfId="1774" applyNumberFormat="1" applyFont="1" applyFill="1" applyBorder="1" applyAlignment="1">
      <alignment horizontal="center" vertical="center"/>
    </xf>
    <xf numFmtId="3" fontId="64" fillId="23" borderId="5" xfId="2261" applyNumberFormat="1" applyFont="1" applyFill="1" applyBorder="1" applyAlignment="1">
      <alignment horizontal="center" vertical="center" wrapText="1"/>
    </xf>
    <xf numFmtId="3" fontId="64" fillId="23" borderId="7" xfId="2261" applyNumberFormat="1" applyFont="1" applyFill="1" applyBorder="1" applyAlignment="1">
      <alignment horizontal="center" vertical="center" wrapText="1"/>
    </xf>
    <xf numFmtId="3" fontId="64" fillId="23" borderId="33" xfId="2261" applyNumberFormat="1" applyFont="1" applyFill="1" applyBorder="1" applyAlignment="1">
      <alignment horizontal="center" vertical="center" wrapText="1"/>
    </xf>
    <xf numFmtId="171" fontId="55" fillId="0" borderId="5" xfId="0" applyNumberFormat="1" applyFont="1" applyFill="1" applyBorder="1" applyAlignment="1">
      <alignment horizontal="center" vertical="center" wrapText="1"/>
    </xf>
    <xf numFmtId="0" fontId="52" fillId="23" borderId="22" xfId="0" applyFont="1" applyFill="1" applyBorder="1" applyAlignment="1">
      <alignment horizontal="center" vertical="center" wrapText="1"/>
    </xf>
    <xf numFmtId="169" fontId="65" fillId="11" borderId="5" xfId="1774" applyNumberFormat="1" applyFont="1" applyFill="1" applyBorder="1" applyAlignment="1">
      <alignment horizontal="center" vertical="center" wrapText="1"/>
    </xf>
    <xf numFmtId="169" fontId="65" fillId="11" borderId="5" xfId="1774" applyNumberFormat="1" applyFont="1" applyFill="1" applyBorder="1" applyAlignment="1">
      <alignment horizontal="center" vertical="center"/>
    </xf>
    <xf numFmtId="3" fontId="65" fillId="23" borderId="5" xfId="2261" applyNumberFormat="1" applyFont="1" applyFill="1" applyBorder="1" applyAlignment="1">
      <alignment horizontal="center" vertical="center" wrapText="1"/>
    </xf>
    <xf numFmtId="3" fontId="65" fillId="23" borderId="7" xfId="2261" applyNumberFormat="1" applyFont="1" applyFill="1" applyBorder="1" applyAlignment="1">
      <alignment horizontal="center" vertical="center" wrapText="1"/>
    </xf>
    <xf numFmtId="3" fontId="65" fillId="23" borderId="33" xfId="2261" applyNumberFormat="1" applyFont="1" applyFill="1" applyBorder="1" applyAlignment="1">
      <alignment horizontal="center" vertical="center" wrapText="1"/>
    </xf>
    <xf numFmtId="0" fontId="63" fillId="23" borderId="23" xfId="0" applyFont="1" applyFill="1" applyBorder="1" applyAlignment="1">
      <alignment vertical="center" wrapText="1"/>
    </xf>
    <xf numFmtId="0" fontId="52" fillId="23" borderId="23" xfId="0" applyFont="1" applyFill="1" applyBorder="1" applyAlignment="1">
      <alignment vertical="center" wrapText="1"/>
    </xf>
    <xf numFmtId="0" fontId="63" fillId="28" borderId="22" xfId="0" applyFont="1" applyFill="1" applyBorder="1" applyAlignment="1">
      <alignment horizontal="center" vertical="center" wrapText="1"/>
    </xf>
    <xf numFmtId="3" fontId="65" fillId="28" borderId="5" xfId="2261" applyNumberFormat="1" applyFont="1" applyFill="1" applyBorder="1" applyAlignment="1">
      <alignment horizontal="center" vertical="center" wrapText="1"/>
    </xf>
    <xf numFmtId="3" fontId="65" fillId="28" borderId="7" xfId="2261" applyNumberFormat="1" applyFont="1" applyFill="1" applyBorder="1" applyAlignment="1">
      <alignment horizontal="center" vertical="center" wrapText="1"/>
    </xf>
    <xf numFmtId="3" fontId="65" fillId="28" borderId="33" xfId="2261" applyNumberFormat="1" applyFont="1" applyFill="1" applyBorder="1" applyAlignment="1">
      <alignment horizontal="center" vertical="center" wrapText="1"/>
    </xf>
    <xf numFmtId="3" fontId="64" fillId="28" borderId="5" xfId="2261" applyNumberFormat="1" applyFont="1" applyFill="1" applyBorder="1" applyAlignment="1">
      <alignment horizontal="center" vertical="center" wrapText="1"/>
    </xf>
    <xf numFmtId="3" fontId="64" fillId="28" borderId="7" xfId="2261" applyNumberFormat="1" applyFont="1" applyFill="1" applyBorder="1" applyAlignment="1">
      <alignment horizontal="center" vertical="center" wrapText="1"/>
    </xf>
    <xf numFmtId="3" fontId="64" fillId="28" borderId="33" xfId="2261" applyNumberFormat="1" applyFont="1" applyFill="1" applyBorder="1" applyAlignment="1">
      <alignment horizontal="center" vertical="center" wrapText="1"/>
    </xf>
    <xf numFmtId="0" fontId="52" fillId="28" borderId="22" xfId="0" applyFont="1" applyFill="1" applyBorder="1" applyAlignment="1">
      <alignment horizontal="center" vertical="center" wrapText="1"/>
    </xf>
    <xf numFmtId="0" fontId="63" fillId="0" borderId="0" xfId="0" applyFont="1" applyBorder="1" applyAlignment="1">
      <alignment vertical="center"/>
    </xf>
    <xf numFmtId="0" fontId="52" fillId="0" borderId="0" xfId="0" applyFont="1" applyBorder="1" applyAlignment="1">
      <alignment vertical="center"/>
    </xf>
    <xf numFmtId="0" fontId="63" fillId="21" borderId="22" xfId="0" applyFont="1" applyFill="1" applyBorder="1" applyAlignment="1">
      <alignment horizontal="center" vertical="center" wrapText="1"/>
    </xf>
    <xf numFmtId="0" fontId="63" fillId="24" borderId="32" xfId="0" applyFont="1" applyFill="1" applyBorder="1" applyAlignment="1">
      <alignment horizontal="center" vertical="center" wrapText="1"/>
    </xf>
    <xf numFmtId="0" fontId="63" fillId="21" borderId="31" xfId="0" applyFont="1" applyFill="1" applyBorder="1" applyAlignment="1">
      <alignment horizontal="center" vertical="center" wrapText="1"/>
    </xf>
    <xf numFmtId="0" fontId="52" fillId="24" borderId="32" xfId="0" applyFont="1" applyFill="1" applyBorder="1" applyAlignment="1">
      <alignment horizontal="center" vertical="center" wrapText="1"/>
    </xf>
    <xf numFmtId="0" fontId="52" fillId="21" borderId="31" xfId="0" applyFont="1" applyFill="1" applyBorder="1" applyAlignment="1">
      <alignment horizontal="center" vertical="center" wrapText="1"/>
    </xf>
    <xf numFmtId="172" fontId="23" fillId="18" borderId="28" xfId="0" applyNumberFormat="1" applyFont="1" applyFill="1" applyBorder="1" applyAlignment="1">
      <alignment horizontal="center"/>
    </xf>
    <xf numFmtId="172" fontId="23" fillId="18" borderId="19" xfId="0" applyNumberFormat="1" applyFont="1" applyFill="1" applyBorder="1" applyAlignment="1">
      <alignment horizontal="center"/>
    </xf>
    <xf numFmtId="0" fontId="0" fillId="18" borderId="19" xfId="0" applyFill="1" applyBorder="1" applyAlignment="1">
      <alignment horizontal="center"/>
    </xf>
    <xf numFmtId="0" fontId="0" fillId="18" borderId="20" xfId="0" applyFill="1" applyBorder="1" applyAlignment="1">
      <alignment horizontal="center"/>
    </xf>
    <xf numFmtId="0" fontId="63" fillId="0" borderId="15" xfId="0" applyFont="1" applyFill="1" applyBorder="1" applyAlignment="1">
      <alignment horizontal="center" vertical="center" wrapText="1"/>
    </xf>
    <xf numFmtId="0" fontId="18" fillId="15" borderId="15" xfId="0" applyFont="1" applyFill="1" applyBorder="1" applyAlignment="1">
      <alignment horizontal="center" vertical="center" wrapText="1"/>
    </xf>
    <xf numFmtId="0" fontId="0" fillId="11" borderId="0" xfId="0" applyFill="1" applyBorder="1" applyAlignment="1">
      <alignment horizontal="center"/>
    </xf>
    <xf numFmtId="0" fontId="0" fillId="11" borderId="26" xfId="0" applyFill="1" applyBorder="1" applyAlignment="1">
      <alignment horizontal="center"/>
    </xf>
    <xf numFmtId="0" fontId="0" fillId="11" borderId="0" xfId="0" applyFill="1" applyAlignment="1">
      <alignment horizontal="center"/>
    </xf>
    <xf numFmtId="186" fontId="18" fillId="19" borderId="9" xfId="1774" applyNumberFormat="1" applyFont="1" applyFill="1" applyBorder="1" applyAlignment="1">
      <alignment horizontal="center" wrapText="1"/>
    </xf>
    <xf numFmtId="186" fontId="18" fillId="0" borderId="0" xfId="1774" applyNumberFormat="1" applyFont="1" applyBorder="1" applyAlignment="1">
      <alignment horizontal="center" wrapText="1"/>
    </xf>
    <xf numFmtId="0" fontId="63" fillId="26" borderId="5" xfId="0" applyFont="1" applyFill="1" applyBorder="1" applyAlignment="1">
      <alignment horizontal="center" vertical="center" wrapText="1"/>
    </xf>
    <xf numFmtId="171" fontId="63" fillId="0" borderId="5" xfId="0" applyNumberFormat="1" applyFont="1" applyFill="1" applyBorder="1" applyAlignment="1">
      <alignment horizontal="center" vertical="center" wrapText="1"/>
    </xf>
    <xf numFmtId="0" fontId="52" fillId="26" borderId="5" xfId="0" applyFont="1" applyFill="1" applyBorder="1" applyAlignment="1">
      <alignment horizontal="center" vertical="center" wrapText="1"/>
    </xf>
    <xf numFmtId="0" fontId="55" fillId="0" borderId="5" xfId="0" applyFont="1" applyFill="1" applyBorder="1" applyAlignment="1">
      <alignment horizontal="center" vertical="center" wrapText="1"/>
    </xf>
    <xf numFmtId="3" fontId="55" fillId="0" borderId="5" xfId="0" applyNumberFormat="1" applyFont="1" applyFill="1" applyBorder="1" applyAlignment="1">
      <alignment horizontal="center" vertical="center" wrapText="1"/>
    </xf>
    <xf numFmtId="3" fontId="55" fillId="0" borderId="14" xfId="0" applyNumberFormat="1" applyFont="1" applyFill="1" applyBorder="1" applyAlignment="1">
      <alignment horizontal="center" vertical="center" wrapText="1"/>
    </xf>
    <xf numFmtId="171" fontId="52" fillId="0" borderId="5" xfId="0" applyNumberFormat="1" applyFont="1" applyFill="1" applyBorder="1" applyAlignment="1">
      <alignment horizontal="left" vertical="center"/>
    </xf>
    <xf numFmtId="0" fontId="63" fillId="20" borderId="22" xfId="0" applyFont="1" applyFill="1" applyBorder="1" applyAlignment="1">
      <alignment horizontal="center" vertical="center" wrapText="1"/>
    </xf>
    <xf numFmtId="0" fontId="52" fillId="20" borderId="5" xfId="0" applyFont="1" applyFill="1" applyBorder="1" applyAlignment="1">
      <alignment horizontal="center" vertical="center" wrapText="1"/>
    </xf>
    <xf numFmtId="0" fontId="52" fillId="20" borderId="22" xfId="0" applyFont="1" applyFill="1" applyBorder="1" applyAlignment="1">
      <alignment horizontal="center" vertical="center" wrapText="1"/>
    </xf>
    <xf numFmtId="3" fontId="66" fillId="25" borderId="15" xfId="0" applyNumberFormat="1" applyFont="1" applyFill="1" applyBorder="1" applyAlignment="1">
      <alignment horizontal="center" vertical="center" wrapText="1"/>
    </xf>
    <xf numFmtId="3" fontId="67" fillId="25" borderId="15" xfId="0" applyNumberFormat="1" applyFont="1" applyFill="1" applyBorder="1" applyAlignment="1">
      <alignment horizontal="center" vertical="center" wrapText="1"/>
    </xf>
    <xf numFmtId="0" fontId="52" fillId="21" borderId="5" xfId="0" applyFont="1" applyFill="1" applyBorder="1" applyAlignment="1">
      <alignment horizontal="justify" vertical="center" wrapText="1"/>
    </xf>
    <xf numFmtId="0" fontId="52" fillId="21" borderId="31" xfId="0" applyFont="1" applyFill="1" applyBorder="1" applyAlignment="1">
      <alignment horizontal="justify" vertical="center" wrapText="1"/>
    </xf>
    <xf numFmtId="0" fontId="52" fillId="21" borderId="22" xfId="0" applyFont="1" applyFill="1" applyBorder="1" applyAlignment="1">
      <alignment horizontal="center" vertical="center" wrapText="1"/>
    </xf>
    <xf numFmtId="0" fontId="52" fillId="20" borderId="5" xfId="0" applyFont="1" applyFill="1" applyBorder="1" applyAlignment="1">
      <alignment horizontal="justify" vertical="center" wrapText="1"/>
    </xf>
    <xf numFmtId="0" fontId="52" fillId="20" borderId="31" xfId="0" applyFont="1" applyFill="1" applyBorder="1" applyAlignment="1">
      <alignment horizontal="justify" vertical="center" wrapText="1"/>
    </xf>
    <xf numFmtId="0" fontId="52" fillId="22" borderId="5" xfId="0" applyFont="1" applyFill="1" applyBorder="1" applyAlignment="1">
      <alignment horizontal="justify" vertical="center" wrapText="1"/>
    </xf>
    <xf numFmtId="0" fontId="52" fillId="22" borderId="31" xfId="0" applyFont="1" applyFill="1" applyBorder="1" applyAlignment="1">
      <alignment horizontal="justify" vertical="center" wrapText="1"/>
    </xf>
    <xf numFmtId="0" fontId="52" fillId="17" borderId="5" xfId="0" applyFont="1" applyFill="1" applyBorder="1" applyAlignment="1">
      <alignment horizontal="justify" vertical="center" wrapText="1"/>
    </xf>
    <xf numFmtId="0" fontId="52" fillId="17" borderId="31" xfId="0" applyFont="1" applyFill="1" applyBorder="1" applyAlignment="1">
      <alignment horizontal="justify" vertical="center" wrapText="1"/>
    </xf>
    <xf numFmtId="171" fontId="63" fillId="15" borderId="5" xfId="0" applyNumberFormat="1" applyFont="1" applyFill="1" applyBorder="1" applyAlignment="1">
      <alignment horizontal="center" vertical="center" wrapText="1"/>
    </xf>
    <xf numFmtId="0" fontId="52" fillId="23" borderId="5" xfId="0" applyFont="1" applyFill="1" applyBorder="1" applyAlignment="1">
      <alignment horizontal="justify" vertical="center" wrapText="1"/>
    </xf>
    <xf numFmtId="0" fontId="52" fillId="23" borderId="31" xfId="0" applyFont="1" applyFill="1" applyBorder="1" applyAlignment="1">
      <alignment horizontal="justify" vertical="center" wrapText="1"/>
    </xf>
    <xf numFmtId="0" fontId="52" fillId="29" borderId="5" xfId="0" applyFont="1" applyFill="1" applyBorder="1" applyAlignment="1">
      <alignment horizontal="justify" vertical="center" wrapText="1"/>
    </xf>
    <xf numFmtId="0" fontId="52" fillId="29" borderId="31" xfId="0" applyFont="1" applyFill="1" applyBorder="1" applyAlignment="1">
      <alignment horizontal="justify" vertical="center" wrapText="1"/>
    </xf>
    <xf numFmtId="0" fontId="52" fillId="50" borderId="5" xfId="0" applyFont="1" applyFill="1" applyBorder="1" applyAlignment="1">
      <alignment horizontal="justify" vertical="center" wrapText="1"/>
    </xf>
    <xf numFmtId="0" fontId="52" fillId="50" borderId="31" xfId="0" applyFont="1" applyFill="1" applyBorder="1" applyAlignment="1">
      <alignment horizontal="justify" vertical="center" wrapText="1"/>
    </xf>
    <xf numFmtId="171" fontId="63" fillId="15" borderId="5" xfId="0" applyNumberFormat="1" applyFont="1" applyFill="1" applyBorder="1" applyAlignment="1">
      <alignment horizontal="left" vertical="center" wrapText="1"/>
    </xf>
    <xf numFmtId="0" fontId="63" fillId="15" borderId="5" xfId="0" applyFont="1" applyFill="1" applyBorder="1" applyAlignment="1">
      <alignment horizontal="justify" vertical="center" wrapText="1"/>
    </xf>
    <xf numFmtId="0" fontId="63" fillId="15" borderId="31" xfId="0" applyFont="1" applyFill="1" applyBorder="1" applyAlignment="1">
      <alignment horizontal="justify" vertical="center" wrapText="1"/>
    </xf>
    <xf numFmtId="0" fontId="55" fillId="15" borderId="5" xfId="0" applyFont="1" applyFill="1" applyBorder="1" applyAlignment="1">
      <alignment horizontal="center" vertical="center" wrapText="1"/>
    </xf>
    <xf numFmtId="3" fontId="55" fillId="15" borderId="5" xfId="0" applyNumberFormat="1" applyFont="1" applyFill="1" applyBorder="1" applyAlignment="1">
      <alignment horizontal="center" vertical="center" wrapText="1"/>
    </xf>
    <xf numFmtId="3" fontId="55" fillId="15" borderId="14" xfId="0" applyNumberFormat="1" applyFont="1" applyFill="1" applyBorder="1" applyAlignment="1">
      <alignment horizontal="center" vertical="center" wrapText="1"/>
    </xf>
    <xf numFmtId="0" fontId="63" fillId="50" borderId="22" xfId="0" applyFont="1" applyFill="1" applyBorder="1" applyAlignment="1">
      <alignment horizontal="center" vertical="center" wrapText="1"/>
    </xf>
    <xf numFmtId="0" fontId="63" fillId="29" borderId="22" xfId="0" applyFont="1" applyFill="1" applyBorder="1" applyAlignment="1">
      <alignment horizontal="center" vertical="center" wrapText="1"/>
    </xf>
    <xf numFmtId="0" fontId="63" fillId="17" borderId="22" xfId="0" applyFont="1" applyFill="1" applyBorder="1" applyAlignment="1">
      <alignment horizontal="center" vertical="center" wrapText="1"/>
    </xf>
    <xf numFmtId="0" fontId="63" fillId="21" borderId="22" xfId="0" applyFont="1" applyFill="1" applyBorder="1" applyAlignment="1">
      <alignment horizontal="left" vertical="center" wrapText="1"/>
    </xf>
    <xf numFmtId="0" fontId="63" fillId="20" borderId="22" xfId="0" applyFont="1" applyFill="1" applyBorder="1" applyAlignment="1">
      <alignment horizontal="left" vertical="center" wrapText="1"/>
    </xf>
    <xf numFmtId="0" fontId="63" fillId="22" borderId="22" xfId="0" applyFont="1" applyFill="1" applyBorder="1" applyAlignment="1">
      <alignment horizontal="left" vertical="center" wrapText="1"/>
    </xf>
    <xf numFmtId="0" fontId="63" fillId="20" borderId="5" xfId="0" applyFont="1" applyFill="1" applyBorder="1" applyAlignment="1">
      <alignment horizontal="left" vertical="center" wrapText="1"/>
    </xf>
    <xf numFmtId="0" fontId="52" fillId="20" borderId="5" xfId="0" applyFont="1" applyFill="1" applyBorder="1" applyAlignment="1">
      <alignment horizontal="left" vertical="center" wrapText="1"/>
    </xf>
    <xf numFmtId="0" fontId="63" fillId="0" borderId="5" xfId="0" applyFont="1" applyFill="1" applyBorder="1" applyAlignment="1">
      <alignment vertical="center" wrapText="1"/>
    </xf>
    <xf numFmtId="169" fontId="68" fillId="0" borderId="5" xfId="1774" applyNumberFormat="1" applyFont="1" applyFill="1" applyBorder="1" applyAlignment="1">
      <alignment horizontal="center" vertical="center" wrapText="1"/>
    </xf>
    <xf numFmtId="169" fontId="68" fillId="0" borderId="14" xfId="1774" applyNumberFormat="1" applyFont="1" applyFill="1" applyBorder="1" applyAlignment="1">
      <alignment horizontal="center" vertical="center" wrapText="1"/>
    </xf>
    <xf numFmtId="0" fontId="52" fillId="0" borderId="0" xfId="0" applyFont="1" applyFill="1"/>
    <xf numFmtId="0" fontId="63" fillId="0" borderId="5" xfId="0" applyFont="1" applyFill="1" applyBorder="1" applyAlignment="1">
      <alignment horizontal="center" vertical="center" wrapText="1"/>
    </xf>
    <xf numFmtId="169" fontId="55" fillId="0" borderId="5" xfId="1774" applyNumberFormat="1" applyFont="1" applyFill="1" applyBorder="1" applyAlignment="1">
      <alignment horizontal="center" vertical="center" wrapText="1"/>
    </xf>
    <xf numFmtId="169" fontId="55" fillId="0" borderId="14" xfId="1774" applyNumberFormat="1" applyFont="1" applyFill="1" applyBorder="1" applyAlignment="1">
      <alignment horizontal="center" vertical="center" wrapText="1"/>
    </xf>
    <xf numFmtId="171" fontId="52" fillId="0" borderId="5" xfId="0" applyNumberFormat="1" applyFont="1" applyFill="1" applyBorder="1" applyAlignment="1">
      <alignment horizontal="center" vertical="center" wrapText="1"/>
    </xf>
    <xf numFmtId="3" fontId="67" fillId="25" borderId="5" xfId="0" applyNumberFormat="1" applyFont="1" applyFill="1" applyBorder="1" applyAlignment="1">
      <alignment horizontal="left" vertical="center" wrapText="1"/>
    </xf>
    <xf numFmtId="3" fontId="67" fillId="25" borderId="5" xfId="0" applyNumberFormat="1" applyFont="1" applyFill="1" applyBorder="1" applyAlignment="1">
      <alignment horizontal="justify" vertical="center" wrapText="1"/>
    </xf>
    <xf numFmtId="3" fontId="66" fillId="25" borderId="5" xfId="0" applyNumberFormat="1" applyFont="1" applyFill="1" applyBorder="1" applyAlignment="1">
      <alignment horizontal="left" vertical="center" wrapText="1"/>
    </xf>
    <xf numFmtId="0" fontId="52" fillId="21" borderId="5" xfId="0" applyFont="1" applyFill="1" applyBorder="1" applyAlignment="1">
      <alignment horizontal="left" vertical="center" wrapText="1"/>
    </xf>
    <xf numFmtId="0" fontId="63" fillId="21" borderId="47" xfId="0" applyFont="1" applyFill="1" applyBorder="1" applyAlignment="1">
      <alignment horizontal="left" vertical="center" wrapText="1"/>
    </xf>
    <xf numFmtId="171" fontId="63" fillId="0" borderId="47" xfId="0" applyNumberFormat="1" applyFont="1" applyFill="1" applyBorder="1" applyAlignment="1">
      <alignment horizontal="center" vertical="center" wrapText="1"/>
    </xf>
    <xf numFmtId="0" fontId="56" fillId="0" borderId="15"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8" fillId="19" borderId="15" xfId="0" applyFont="1" applyFill="1" applyBorder="1" applyAlignment="1">
      <alignment horizontal="center" vertical="center" wrapText="1"/>
    </xf>
    <xf numFmtId="0" fontId="56" fillId="15" borderId="15" xfId="0" applyFont="1" applyFill="1" applyBorder="1" applyAlignment="1">
      <alignment horizontal="center" vertical="center" wrapText="1"/>
    </xf>
    <xf numFmtId="0" fontId="0" fillId="0" borderId="0" xfId="0" applyBorder="1" applyAlignment="1">
      <alignment horizontal="center"/>
    </xf>
    <xf numFmtId="0" fontId="0" fillId="0" borderId="26" xfId="0" applyBorder="1" applyAlignment="1">
      <alignment horizontal="center"/>
    </xf>
    <xf numFmtId="0" fontId="63" fillId="15" borderId="15"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5" fillId="20" borderId="22" xfId="0" applyFont="1" applyFill="1" applyBorder="1" applyAlignment="1">
      <alignment horizontal="center" vertical="center" wrapText="1"/>
    </xf>
    <xf numFmtId="0" fontId="15" fillId="0" borderId="35" xfId="0" applyFont="1" applyFill="1" applyBorder="1" applyAlignment="1">
      <alignment horizontal="left" vertical="center" wrapText="1"/>
    </xf>
    <xf numFmtId="0" fontId="0" fillId="0" borderId="0" xfId="0"/>
    <xf numFmtId="169" fontId="0" fillId="0" borderId="0" xfId="0" applyNumberFormat="1" applyAlignment="1">
      <alignment vertical="center" wrapText="1"/>
    </xf>
    <xf numFmtId="0" fontId="0" fillId="0" borderId="0" xfId="0"/>
    <xf numFmtId="171" fontId="0" fillId="0" borderId="0" xfId="0" applyNumberFormat="1" applyFill="1"/>
    <xf numFmtId="0" fontId="38" fillId="76" borderId="1" xfId="0" applyFont="1" applyFill="1" applyBorder="1" applyAlignment="1">
      <alignment horizontal="center" vertical="center" wrapText="1"/>
    </xf>
    <xf numFmtId="0" fontId="47" fillId="43" borderId="0" xfId="1697" applyAlignment="1" applyProtection="1">
      <alignment horizontal="left" vertical="center"/>
    </xf>
    <xf numFmtId="1" fontId="47" fillId="43" borderId="0" xfId="1697" applyNumberFormat="1" applyAlignment="1" applyProtection="1">
      <alignment horizontal="left" vertical="center"/>
      <protection locked="0"/>
    </xf>
    <xf numFmtId="0" fontId="0" fillId="0" borderId="0" xfId="0"/>
    <xf numFmtId="0" fontId="61" fillId="55" borderId="46" xfId="0" applyFont="1" applyFill="1" applyBorder="1" applyAlignment="1">
      <alignment vertical="center" wrapText="1"/>
    </xf>
    <xf numFmtId="0" fontId="16" fillId="0" borderId="0" xfId="0" applyFont="1" applyFill="1" applyBorder="1"/>
    <xf numFmtId="0" fontId="84" fillId="0" borderId="0" xfId="9560"/>
    <xf numFmtId="0" fontId="0" fillId="0" borderId="0" xfId="0"/>
    <xf numFmtId="0" fontId="15" fillId="0" borderId="0" xfId="0" applyFont="1" applyAlignment="1"/>
    <xf numFmtId="169" fontId="85" fillId="57" borderId="1" xfId="1774" applyNumberFormat="1" applyFont="1" applyFill="1" applyBorder="1" applyAlignment="1">
      <alignment vertical="center" wrapText="1"/>
    </xf>
    <xf numFmtId="0" fontId="85" fillId="0" borderId="0" xfId="0" applyFont="1"/>
    <xf numFmtId="0" fontId="85" fillId="0" borderId="35" xfId="0" applyFont="1" applyFill="1" applyBorder="1" applyAlignment="1">
      <alignment horizontal="left" vertical="center" wrapText="1"/>
    </xf>
    <xf numFmtId="171" fontId="63" fillId="77" borderId="5" xfId="0" applyNumberFormat="1" applyFont="1" applyFill="1" applyBorder="1" applyAlignment="1">
      <alignment horizontal="center" vertical="center"/>
    </xf>
    <xf numFmtId="0" fontId="0" fillId="0" borderId="0" xfId="0"/>
    <xf numFmtId="0" fontId="61" fillId="55" borderId="1" xfId="0" applyFont="1" applyFill="1" applyBorder="1" applyAlignment="1">
      <alignment vertical="top" wrapText="1"/>
    </xf>
    <xf numFmtId="0" fontId="61" fillId="55" borderId="49" xfId="0" applyFont="1" applyFill="1" applyBorder="1" applyAlignment="1">
      <alignment vertical="top" wrapText="1"/>
    </xf>
    <xf numFmtId="0" fontId="15" fillId="0" borderId="0" xfId="0" applyFont="1" applyAlignment="1">
      <alignment vertical="center" wrapText="1"/>
    </xf>
    <xf numFmtId="0" fontId="0" fillId="0" borderId="0" xfId="0"/>
    <xf numFmtId="0" fontId="16" fillId="0" borderId="0" xfId="0" applyFont="1" applyFill="1"/>
    <xf numFmtId="0" fontId="16" fillId="0" borderId="0" xfId="0" applyFont="1" applyFill="1" applyAlignment="1">
      <alignment vertical="center" wrapText="1"/>
    </xf>
    <xf numFmtId="1" fontId="16" fillId="0" borderId="0" xfId="0" applyNumberFormat="1" applyFont="1" applyFill="1"/>
    <xf numFmtId="3" fontId="16" fillId="0" borderId="0" xfId="0" applyNumberFormat="1" applyFont="1" applyFill="1"/>
    <xf numFmtId="3" fontId="16" fillId="0" borderId="0" xfId="0" applyNumberFormat="1" applyFont="1" applyFill="1" applyAlignment="1">
      <alignment horizontal="center"/>
    </xf>
    <xf numFmtId="0" fontId="16" fillId="0" borderId="0" xfId="0" applyFont="1" applyFill="1" applyAlignment="1">
      <alignment horizontal="center" vertical="center" wrapText="1"/>
    </xf>
    <xf numFmtId="1" fontId="16" fillId="0" borderId="0" xfId="0" applyNumberFormat="1" applyFont="1" applyFill="1" applyAlignment="1">
      <alignment horizontal="center" vertical="center"/>
    </xf>
    <xf numFmtId="172" fontId="16" fillId="0" borderId="0" xfId="0" applyNumberFormat="1" applyFont="1" applyFill="1" applyAlignment="1">
      <alignment horizontal="center" vertical="center"/>
    </xf>
    <xf numFmtId="0" fontId="16" fillId="0" borderId="41" xfId="2272" applyFont="1" applyFill="1" applyBorder="1" applyAlignment="1">
      <alignment vertical="center" wrapText="1"/>
    </xf>
    <xf numFmtId="0" fontId="16" fillId="0" borderId="0" xfId="2272" applyFont="1" applyFill="1" applyBorder="1" applyAlignment="1">
      <alignment vertical="center" wrapText="1"/>
    </xf>
    <xf numFmtId="0" fontId="17" fillId="0" borderId="0" xfId="2272" applyFont="1" applyFill="1" applyBorder="1" applyAlignment="1">
      <alignment horizontal="center" vertical="center"/>
    </xf>
    <xf numFmtId="0" fontId="16" fillId="0" borderId="0" xfId="2272" applyFont="1" applyFill="1" applyBorder="1" applyAlignment="1">
      <alignment horizontal="center" vertical="center" wrapText="1"/>
    </xf>
    <xf numFmtId="1" fontId="16" fillId="0" borderId="0" xfId="2272" applyNumberFormat="1" applyFont="1" applyFill="1" applyBorder="1" applyAlignment="1">
      <alignment horizontal="center" vertical="center" wrapText="1"/>
    </xf>
    <xf numFmtId="3" fontId="16" fillId="0" borderId="0" xfId="2272" applyNumberFormat="1" applyFont="1" applyFill="1" applyBorder="1" applyAlignment="1">
      <alignment vertical="center" wrapText="1"/>
    </xf>
    <xf numFmtId="3" fontId="16" fillId="0" borderId="0" xfId="2272" applyNumberFormat="1" applyFont="1" applyFill="1" applyBorder="1" applyAlignment="1">
      <alignment horizontal="right" vertical="center" wrapText="1"/>
    </xf>
    <xf numFmtId="3" fontId="16" fillId="0" borderId="0" xfId="2272" applyNumberFormat="1" applyFont="1" applyFill="1" applyBorder="1" applyAlignment="1">
      <alignment horizontal="center" vertical="center" wrapText="1"/>
    </xf>
    <xf numFmtId="3" fontId="16" fillId="0" borderId="0" xfId="0" applyNumberFormat="1" applyFont="1" applyFill="1" applyBorder="1"/>
    <xf numFmtId="0" fontId="16" fillId="0" borderId="42" xfId="0" applyFont="1" applyFill="1" applyBorder="1" applyAlignment="1">
      <alignment horizontal="left" vertical="center" wrapText="1"/>
    </xf>
    <xf numFmtId="0" fontId="17" fillId="0" borderId="0" xfId="2272" applyFont="1" applyFill="1" applyBorder="1" applyAlignment="1">
      <alignment vertical="center"/>
    </xf>
    <xf numFmtId="0" fontId="16" fillId="0" borderId="36" xfId="2272" applyFont="1" applyFill="1" applyBorder="1" applyAlignment="1">
      <alignment horizontal="center" vertical="center" wrapText="1"/>
    </xf>
    <xf numFmtId="0" fontId="16" fillId="0" borderId="37" xfId="2272" applyFont="1" applyFill="1" applyBorder="1" applyAlignment="1">
      <alignment vertical="center" wrapText="1"/>
    </xf>
    <xf numFmtId="0" fontId="16" fillId="0" borderId="38" xfId="2272" applyFont="1" applyFill="1" applyBorder="1" applyAlignment="1">
      <alignment horizontal="center" vertical="center" wrapText="1"/>
    </xf>
    <xf numFmtId="0" fontId="16" fillId="0" borderId="39" xfId="2272" applyFont="1" applyFill="1" applyBorder="1" applyAlignment="1">
      <alignment vertical="center" wrapText="1"/>
    </xf>
    <xf numFmtId="0" fontId="16" fillId="0" borderId="39" xfId="2272" quotePrefix="1" applyFont="1" applyFill="1" applyBorder="1" applyAlignment="1">
      <alignment horizontal="left" vertical="center" wrapText="1"/>
    </xf>
    <xf numFmtId="0" fontId="87" fillId="0" borderId="39" xfId="1711" quotePrefix="1" applyFont="1" applyFill="1" applyBorder="1" applyAlignment="1">
      <alignment vertical="center" wrapText="1"/>
    </xf>
    <xf numFmtId="0" fontId="16" fillId="0" borderId="39" xfId="2272" applyFont="1" applyFill="1" applyBorder="1" applyAlignment="1">
      <alignment horizontal="justify" vertical="center" wrapText="1"/>
    </xf>
    <xf numFmtId="0" fontId="88" fillId="0" borderId="0" xfId="2272" applyFont="1" applyFill="1" applyBorder="1"/>
    <xf numFmtId="0" fontId="16" fillId="0" borderId="39" xfId="2272" applyNumberFormat="1" applyFont="1" applyFill="1" applyBorder="1" applyAlignment="1">
      <alignment horizontal="left" vertical="center" wrapText="1"/>
    </xf>
    <xf numFmtId="175" fontId="16" fillId="0" borderId="39" xfId="1930" applyNumberFormat="1" applyFont="1" applyFill="1" applyBorder="1" applyAlignment="1">
      <alignment horizontal="left" vertical="center" wrapText="1"/>
    </xf>
    <xf numFmtId="1" fontId="16" fillId="0" borderId="0" xfId="0" applyNumberFormat="1" applyFont="1" applyFill="1" applyBorder="1" applyAlignment="1">
      <alignment horizontal="center"/>
    </xf>
    <xf numFmtId="3" fontId="16" fillId="0" borderId="0" xfId="0" applyNumberFormat="1" applyFont="1" applyFill="1" applyBorder="1" applyAlignment="1">
      <alignment horizontal="center"/>
    </xf>
    <xf numFmtId="0" fontId="16" fillId="0" borderId="0" xfId="0" applyFont="1" applyFill="1" applyBorder="1" applyAlignment="1">
      <alignment horizontal="center"/>
    </xf>
    <xf numFmtId="0" fontId="16" fillId="0" borderId="0" xfId="0" applyFont="1" applyFill="1" applyBorder="1" applyAlignment="1">
      <alignment horizontal="center" vertical="center" wrapText="1"/>
    </xf>
    <xf numFmtId="0" fontId="16" fillId="0" borderId="0" xfId="0" applyFont="1" applyFill="1" applyBorder="1" applyAlignment="1">
      <alignment horizontal="left" vertical="center" wrapText="1"/>
    </xf>
    <xf numFmtId="172" fontId="16" fillId="0" borderId="0" xfId="2272" applyNumberFormat="1" applyFont="1" applyFill="1" applyBorder="1" applyAlignment="1">
      <alignment horizontal="center" vertical="center" wrapText="1"/>
    </xf>
    <xf numFmtId="169" fontId="16" fillId="0" borderId="0" xfId="2272" applyNumberFormat="1" applyFont="1" applyFill="1" applyBorder="1" applyAlignment="1">
      <alignment vertical="center" wrapText="1"/>
    </xf>
    <xf numFmtId="172" fontId="16" fillId="0" borderId="41" xfId="2272" applyNumberFormat="1" applyFont="1" applyFill="1" applyBorder="1" applyAlignment="1">
      <alignment vertical="center" wrapText="1"/>
    </xf>
    <xf numFmtId="0" fontId="17" fillId="0" borderId="1" xfId="2272" applyFont="1" applyFill="1" applyBorder="1" applyAlignment="1">
      <alignment horizontal="center" vertical="center" wrapText="1"/>
    </xf>
    <xf numFmtId="168" fontId="16" fillId="0" borderId="1" xfId="1774" applyFont="1" applyFill="1" applyBorder="1" applyAlignment="1">
      <alignment horizontal="center" vertical="center" wrapText="1"/>
    </xf>
    <xf numFmtId="169" fontId="16" fillId="0" borderId="1" xfId="2272" applyNumberFormat="1" applyFont="1" applyFill="1" applyBorder="1" applyAlignment="1">
      <alignment horizontal="center" vertical="center" wrapText="1"/>
    </xf>
    <xf numFmtId="0" fontId="16" fillId="0" borderId="1" xfId="0" applyFont="1" applyFill="1" applyBorder="1" applyAlignment="1">
      <alignment horizontal="left" vertical="center" wrapText="1"/>
    </xf>
    <xf numFmtId="169" fontId="16" fillId="0" borderId="1" xfId="1774" applyNumberFormat="1" applyFont="1" applyFill="1" applyBorder="1" applyAlignment="1">
      <alignment horizontal="center" vertical="center" wrapText="1"/>
    </xf>
    <xf numFmtId="0" fontId="87" fillId="0" borderId="0" xfId="9560" applyFont="1"/>
    <xf numFmtId="186" fontId="16" fillId="0" borderId="1" xfId="1774" applyNumberFormat="1" applyFont="1" applyFill="1" applyBorder="1" applyAlignment="1">
      <alignment horizontal="center" vertical="center" wrapText="1"/>
    </xf>
    <xf numFmtId="3" fontId="16" fillId="0" borderId="0" xfId="0" applyNumberFormat="1" applyFont="1" applyFill="1" applyAlignment="1">
      <alignment horizontal="center" vertical="center"/>
    </xf>
    <xf numFmtId="3" fontId="16" fillId="0" borderId="0" xfId="0" applyNumberFormat="1" applyFont="1" applyFill="1" applyBorder="1" applyAlignment="1">
      <alignment horizontal="left" vertical="center" wrapText="1"/>
    </xf>
    <xf numFmtId="0" fontId="16" fillId="0" borderId="43" xfId="2272" applyFont="1" applyFill="1" applyBorder="1" applyAlignment="1">
      <alignment horizontal="center" vertical="center" wrapText="1"/>
    </xf>
    <xf numFmtId="0" fontId="16" fillId="0" borderId="43" xfId="2272" applyFont="1" applyFill="1" applyBorder="1" applyAlignment="1">
      <alignment vertical="center" wrapText="1"/>
    </xf>
    <xf numFmtId="0" fontId="16" fillId="0" borderId="0" xfId="0" applyFont="1" applyFill="1" applyAlignment="1">
      <alignment vertical="center"/>
    </xf>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6" fillId="76" borderId="1" xfId="0" applyFont="1" applyFill="1" applyBorder="1" applyAlignment="1">
      <alignment wrapText="1"/>
    </xf>
    <xf numFmtId="0" fontId="16" fillId="76" borderId="1" xfId="0" applyFont="1" applyFill="1" applyBorder="1" applyAlignment="1">
      <alignment horizontal="center" vertical="center" wrapText="1"/>
    </xf>
    <xf numFmtId="172" fontId="16" fillId="0" borderId="1" xfId="2272" applyNumberFormat="1" applyFont="1" applyFill="1" applyBorder="1" applyAlignment="1">
      <alignment horizontal="center" vertical="center" wrapText="1"/>
    </xf>
    <xf numFmtId="172" fontId="16" fillId="0" borderId="1" xfId="0" applyNumberFormat="1" applyFont="1" applyFill="1" applyBorder="1" applyAlignment="1">
      <alignment horizontal="center" vertical="center"/>
    </xf>
    <xf numFmtId="172" fontId="16" fillId="76" borderId="1" xfId="2272" applyNumberFormat="1" applyFont="1" applyFill="1" applyBorder="1" applyAlignment="1">
      <alignment horizontal="center" vertical="center" wrapText="1"/>
    </xf>
    <xf numFmtId="3" fontId="16" fillId="0" borderId="1" xfId="1930" applyNumberFormat="1" applyFont="1" applyFill="1" applyBorder="1" applyAlignment="1">
      <alignment horizontal="center" vertical="center" wrapText="1"/>
    </xf>
    <xf numFmtId="0" fontId="16" fillId="76" borderId="1" xfId="0" applyFont="1" applyFill="1" applyBorder="1" applyAlignment="1">
      <alignment vertical="center" wrapText="1"/>
    </xf>
    <xf numFmtId="0" fontId="16" fillId="0" borderId="1" xfId="2272" applyFont="1" applyFill="1" applyBorder="1" applyAlignment="1">
      <alignment horizontal="center" vertical="center" wrapText="1"/>
    </xf>
    <xf numFmtId="0" fontId="16" fillId="0" borderId="1" xfId="2272" applyFont="1" applyFill="1" applyBorder="1" applyAlignment="1">
      <alignment vertical="center" wrapText="1"/>
    </xf>
    <xf numFmtId="0" fontId="16" fillId="76" borderId="1" xfId="2272" applyFont="1" applyFill="1" applyBorder="1" applyAlignment="1">
      <alignment vertical="center" wrapText="1"/>
    </xf>
    <xf numFmtId="14" fontId="16" fillId="0" borderId="1" xfId="2272" applyNumberFormat="1" applyFont="1" applyFill="1" applyBorder="1" applyAlignment="1">
      <alignment horizontal="center" vertical="center" wrapText="1"/>
    </xf>
    <xf numFmtId="1" fontId="16" fillId="76" borderId="1" xfId="2272" applyNumberFormat="1" applyFont="1" applyFill="1" applyBorder="1" applyAlignment="1">
      <alignment horizontal="center" vertical="center" wrapText="1"/>
    </xf>
    <xf numFmtId="14" fontId="16" fillId="76" borderId="1" xfId="2272" applyNumberFormat="1" applyFont="1" applyFill="1" applyBorder="1" applyAlignment="1">
      <alignment horizontal="center" vertical="center" wrapText="1"/>
    </xf>
    <xf numFmtId="1" fontId="16" fillId="0" borderId="1" xfId="2272" applyNumberFormat="1" applyFont="1" applyFill="1" applyBorder="1" applyAlignment="1">
      <alignment horizontal="center" vertical="center" wrapText="1"/>
    </xf>
    <xf numFmtId="14" fontId="16" fillId="0" borderId="1" xfId="2272" applyNumberFormat="1" applyFont="1" applyFill="1" applyBorder="1" applyAlignment="1">
      <alignment vertical="center" wrapText="1"/>
    </xf>
    <xf numFmtId="14" fontId="16" fillId="76" borderId="1" xfId="2272" applyNumberFormat="1" applyFont="1" applyFill="1" applyBorder="1" applyAlignment="1">
      <alignment vertical="center" wrapText="1"/>
    </xf>
    <xf numFmtId="1" fontId="16" fillId="0" borderId="1" xfId="1774" applyNumberFormat="1" applyFont="1" applyFill="1" applyBorder="1" applyAlignment="1">
      <alignment vertical="center" wrapText="1"/>
    </xf>
    <xf numFmtId="171" fontId="16" fillId="76" borderId="1" xfId="2272" applyNumberFormat="1" applyFont="1" applyFill="1" applyBorder="1" applyAlignment="1">
      <alignment vertical="center" wrapText="1"/>
    </xf>
    <xf numFmtId="1" fontId="16" fillId="0" borderId="1" xfId="2272" applyNumberFormat="1" applyFont="1" applyFill="1" applyBorder="1" applyAlignment="1">
      <alignment vertical="center" wrapText="1"/>
    </xf>
    <xf numFmtId="3" fontId="16" fillId="0" borderId="1" xfId="0" applyNumberFormat="1" applyFont="1" applyFill="1" applyBorder="1" applyAlignment="1">
      <alignment horizontal="center" vertical="center"/>
    </xf>
    <xf numFmtId="169" fontId="16" fillId="0" borderId="1" xfId="1774" applyNumberFormat="1" applyFont="1" applyFill="1" applyBorder="1" applyAlignment="1">
      <alignment vertical="center" wrapText="1"/>
    </xf>
    <xf numFmtId="3" fontId="16" fillId="76" borderId="1" xfId="0" applyNumberFormat="1" applyFont="1" applyFill="1" applyBorder="1" applyAlignment="1">
      <alignment horizontal="center" vertical="center"/>
    </xf>
    <xf numFmtId="0" fontId="16" fillId="0" borderId="1" xfId="0" applyFont="1" applyFill="1" applyBorder="1" applyAlignment="1">
      <alignment horizontal="center" vertical="center"/>
    </xf>
    <xf numFmtId="1" fontId="16" fillId="0" borderId="1" xfId="1774" applyNumberFormat="1" applyFont="1" applyFill="1" applyBorder="1" applyAlignment="1">
      <alignment horizontal="center" vertical="center" wrapText="1"/>
    </xf>
    <xf numFmtId="3" fontId="16" fillId="0" borderId="1" xfId="1774" applyNumberFormat="1" applyFont="1" applyFill="1" applyBorder="1" applyAlignment="1">
      <alignment horizontal="center" vertical="center" wrapText="1"/>
    </xf>
    <xf numFmtId="185" fontId="16" fillId="0" borderId="1" xfId="0" applyNumberFormat="1" applyFont="1" applyFill="1" applyBorder="1" applyAlignment="1">
      <alignment horizontal="center" vertical="center" wrapText="1"/>
    </xf>
    <xf numFmtId="185" fontId="16" fillId="0" borderId="1" xfId="0" applyNumberFormat="1" applyFont="1" applyFill="1" applyBorder="1" applyAlignment="1">
      <alignment horizontal="center" vertical="center"/>
    </xf>
    <xf numFmtId="1" fontId="16" fillId="76" borderId="1" xfId="0" applyNumberFormat="1" applyFont="1" applyFill="1" applyBorder="1" applyAlignment="1">
      <alignment horizontal="center" vertical="center"/>
    </xf>
    <xf numFmtId="0" fontId="16" fillId="75" borderId="0" xfId="0" applyFont="1" applyFill="1" applyBorder="1"/>
    <xf numFmtId="0" fontId="16" fillId="49" borderId="0" xfId="0" applyFont="1" applyFill="1"/>
    <xf numFmtId="185" fontId="89" fillId="0" borderId="0" xfId="0" applyNumberFormat="1" applyFont="1" applyFill="1" applyAlignment="1">
      <alignment horizontal="center" vertical="center"/>
    </xf>
    <xf numFmtId="3" fontId="89" fillId="0" borderId="0" xfId="0" applyNumberFormat="1" applyFont="1" applyFill="1" applyAlignment="1">
      <alignment horizontal="center" vertical="center"/>
    </xf>
    <xf numFmtId="185" fontId="89" fillId="0" borderId="0" xfId="0" applyNumberFormat="1" applyFont="1" applyFill="1" applyAlignment="1">
      <alignment horizontal="center" vertical="center" wrapText="1"/>
    </xf>
    <xf numFmtId="3" fontId="89" fillId="0" borderId="0" xfId="0" applyNumberFormat="1" applyFont="1" applyFill="1" applyAlignment="1">
      <alignment horizontal="center" vertical="center" wrapText="1"/>
    </xf>
    <xf numFmtId="0" fontId="86" fillId="0" borderId="0" xfId="0" applyFont="1" applyFill="1" applyBorder="1"/>
    <xf numFmtId="0" fontId="0" fillId="0" borderId="0" xfId="0"/>
    <xf numFmtId="169" fontId="0" fillId="79" borderId="0" xfId="1774" applyNumberFormat="1" applyFont="1" applyFill="1" applyAlignment="1">
      <alignment vertical="center" wrapText="1"/>
    </xf>
    <xf numFmtId="0" fontId="18" fillId="51" borderId="0" xfId="0" applyFont="1" applyFill="1" applyBorder="1" applyAlignment="1">
      <alignment horizontal="center" vertical="center" wrapText="1"/>
    </xf>
    <xf numFmtId="169" fontId="0" fillId="53" borderId="0" xfId="1774" applyNumberFormat="1" applyFont="1" applyFill="1" applyBorder="1" applyAlignment="1">
      <alignment vertical="center" wrapText="1"/>
    </xf>
    <xf numFmtId="169" fontId="0" fillId="55" borderId="0" xfId="1774" applyNumberFormat="1" applyFont="1" applyFill="1" applyBorder="1" applyAlignment="1">
      <alignment vertical="center" wrapText="1"/>
    </xf>
    <xf numFmtId="169" fontId="0" fillId="56" borderId="0" xfId="1774" applyNumberFormat="1" applyFont="1" applyFill="1" applyBorder="1" applyAlignment="1">
      <alignment vertical="center" wrapText="1"/>
    </xf>
    <xf numFmtId="169" fontId="0" fillId="57" borderId="0" xfId="1774" applyNumberFormat="1" applyFont="1" applyFill="1" applyBorder="1" applyAlignment="1">
      <alignment vertical="center" wrapText="1"/>
    </xf>
    <xf numFmtId="169" fontId="85" fillId="57" borderId="0" xfId="1774" applyNumberFormat="1" applyFont="1" applyFill="1" applyBorder="1" applyAlignment="1">
      <alignment vertical="center" wrapText="1"/>
    </xf>
    <xf numFmtId="169" fontId="0" fillId="0" borderId="0" xfId="0" applyNumberFormat="1" applyBorder="1" applyAlignment="1">
      <alignment vertical="center" wrapText="1"/>
    </xf>
    <xf numFmtId="0" fontId="16" fillId="78" borderId="0" xfId="0" applyFont="1" applyFill="1" applyBorder="1"/>
    <xf numFmtId="0" fontId="16" fillId="0" borderId="1" xfId="0" applyFont="1" applyFill="1" applyBorder="1" applyAlignment="1">
      <alignment horizontal="center" vertical="center" wrapText="1"/>
    </xf>
    <xf numFmtId="169" fontId="15" fillId="79" borderId="0" xfId="1774" applyNumberFormat="1" applyFont="1" applyFill="1" applyAlignment="1">
      <alignment vertical="center" wrapText="1"/>
    </xf>
    <xf numFmtId="0" fontId="0" fillId="0" borderId="0" xfId="0"/>
    <xf numFmtId="0" fontId="16" fillId="0" borderId="0" xfId="2272" quotePrefix="1" applyFont="1" applyFill="1" applyBorder="1" applyAlignment="1">
      <alignment horizontal="left" vertical="center" wrapText="1"/>
    </xf>
    <xf numFmtId="0" fontId="87" fillId="0" borderId="0" xfId="1711" quotePrefix="1" applyFont="1" applyFill="1" applyBorder="1" applyAlignment="1">
      <alignment vertical="center" wrapText="1"/>
    </xf>
    <xf numFmtId="0" fontId="16" fillId="0" borderId="0" xfId="2272" applyFont="1" applyFill="1" applyBorder="1" applyAlignment="1">
      <alignment horizontal="justify" vertical="center" wrapText="1"/>
    </xf>
    <xf numFmtId="0" fontId="16" fillId="0" borderId="0" xfId="2272" applyNumberFormat="1" applyFont="1" applyFill="1" applyBorder="1" applyAlignment="1">
      <alignment horizontal="left" vertical="center" wrapText="1"/>
    </xf>
    <xf numFmtId="175" fontId="16" fillId="0" borderId="0" xfId="1930" applyNumberFormat="1" applyFont="1" applyFill="1" applyBorder="1" applyAlignment="1">
      <alignment horizontal="left" vertical="center" wrapText="1"/>
    </xf>
    <xf numFmtId="0" fontId="17" fillId="48" borderId="1" xfId="0" applyFont="1" applyFill="1" applyBorder="1" applyAlignment="1">
      <alignment horizontal="center" vertical="center" wrapText="1"/>
    </xf>
    <xf numFmtId="0" fontId="17" fillId="48" borderId="1" xfId="0" applyFont="1" applyFill="1" applyBorder="1" applyAlignment="1">
      <alignment horizontal="center" vertical="center"/>
    </xf>
    <xf numFmtId="172" fontId="17" fillId="48" borderId="1" xfId="1671" applyNumberFormat="1" applyFont="1" applyFill="1" applyBorder="1" applyAlignment="1">
      <alignment horizontal="center" vertical="center" wrapText="1"/>
    </xf>
    <xf numFmtId="0" fontId="17" fillId="48" borderId="1" xfId="1671" applyFont="1" applyFill="1" applyBorder="1" applyAlignment="1">
      <alignment horizontal="center" vertical="center" wrapText="1"/>
    </xf>
    <xf numFmtId="1" fontId="17" fillId="48" borderId="1" xfId="1671" applyNumberFormat="1" applyFont="1" applyFill="1" applyBorder="1" applyAlignment="1">
      <alignment horizontal="center" vertical="center" wrapText="1"/>
    </xf>
    <xf numFmtId="0" fontId="17" fillId="48" borderId="3" xfId="1671" applyFont="1" applyFill="1" applyBorder="1" applyAlignment="1">
      <alignment horizontal="center" vertical="center" wrapText="1"/>
    </xf>
    <xf numFmtId="3" fontId="17" fillId="48" borderId="1" xfId="1671" applyNumberFormat="1" applyFont="1" applyFill="1" applyBorder="1" applyAlignment="1">
      <alignment horizontal="center" vertical="center" wrapText="1"/>
    </xf>
    <xf numFmtId="3" fontId="21" fillId="48" borderId="1" xfId="1671" applyNumberFormat="1" applyFont="1" applyFill="1" applyBorder="1" applyAlignment="1">
      <alignment horizontal="center" vertical="center" wrapText="1"/>
    </xf>
    <xf numFmtId="0" fontId="16" fillId="48" borderId="0" xfId="0" applyFont="1" applyFill="1" applyBorder="1"/>
    <xf numFmtId="0" fontId="17" fillId="48" borderId="0" xfId="0" applyFont="1" applyFill="1" applyAlignment="1">
      <alignment horizontal="center" vertical="center"/>
    </xf>
    <xf numFmtId="0" fontId="17" fillId="48" borderId="1" xfId="1671" applyFont="1" applyFill="1" applyBorder="1" applyAlignment="1">
      <alignment horizontal="left" vertical="center" wrapText="1"/>
    </xf>
    <xf numFmtId="0" fontId="16" fillId="48" borderId="0" xfId="0" applyFont="1" applyFill="1"/>
    <xf numFmtId="0" fontId="16" fillId="48" borderId="0" xfId="0" applyFont="1" applyFill="1" applyAlignment="1">
      <alignment vertical="center" wrapText="1"/>
    </xf>
    <xf numFmtId="172" fontId="16" fillId="48" borderId="0" xfId="0" applyNumberFormat="1" applyFont="1" applyFill="1"/>
    <xf numFmtId="172" fontId="16" fillId="48" borderId="0" xfId="0" applyNumberFormat="1" applyFont="1" applyFill="1" applyAlignment="1">
      <alignment horizontal="center" vertical="center"/>
    </xf>
    <xf numFmtId="1" fontId="16" fillId="48" borderId="0" xfId="0" applyNumberFormat="1" applyFont="1" applyFill="1"/>
    <xf numFmtId="1" fontId="16" fillId="48" borderId="0" xfId="0" applyNumberFormat="1" applyFont="1" applyFill="1" applyAlignment="1">
      <alignment horizontal="center"/>
    </xf>
    <xf numFmtId="3" fontId="16" fillId="48" borderId="0" xfId="0" applyNumberFormat="1" applyFont="1" applyFill="1"/>
    <xf numFmtId="3" fontId="16" fillId="48" borderId="0" xfId="0" applyNumberFormat="1" applyFont="1" applyFill="1" applyAlignment="1">
      <alignment horizontal="center"/>
    </xf>
    <xf numFmtId="0" fontId="16" fillId="48" borderId="0" xfId="0" applyFont="1" applyFill="1" applyAlignment="1">
      <alignment horizontal="center"/>
    </xf>
    <xf numFmtId="185" fontId="89" fillId="48" borderId="0" xfId="0" applyNumberFormat="1" applyFont="1" applyFill="1" applyAlignment="1">
      <alignment horizontal="center" vertical="center" wrapText="1"/>
    </xf>
    <xf numFmtId="3" fontId="16" fillId="48" borderId="0" xfId="0" applyNumberFormat="1" applyFont="1" applyFill="1" applyAlignment="1">
      <alignment horizontal="center" vertical="center" wrapText="1"/>
    </xf>
    <xf numFmtId="1" fontId="16" fillId="48" borderId="0" xfId="0" applyNumberFormat="1" applyFont="1" applyFill="1" applyAlignment="1">
      <alignment horizontal="center" vertical="center"/>
    </xf>
    <xf numFmtId="0" fontId="16" fillId="48" borderId="0" xfId="0" applyFont="1" applyFill="1" applyAlignment="1">
      <alignment horizontal="center" vertical="center" wrapText="1"/>
    </xf>
    <xf numFmtId="0" fontId="16" fillId="48" borderId="0" xfId="0" applyFont="1" applyFill="1" applyAlignment="1">
      <alignment horizontal="left" vertical="center" wrapText="1"/>
    </xf>
    <xf numFmtId="185" fontId="89" fillId="48" borderId="0" xfId="0" applyNumberFormat="1" applyFont="1" applyFill="1" applyAlignment="1">
      <alignment horizontal="center" vertical="center"/>
    </xf>
    <xf numFmtId="0" fontId="0" fillId="0" borderId="0" xfId="0" applyAlignment="1">
      <alignment horizontal="right"/>
    </xf>
    <xf numFmtId="0" fontId="16" fillId="0" borderId="1" xfId="0" applyFont="1" applyFill="1" applyBorder="1"/>
    <xf numFmtId="0" fontId="2" fillId="0" borderId="0" xfId="2002" applyFont="1"/>
    <xf numFmtId="0" fontId="2" fillId="0" borderId="0" xfId="2002" applyFont="1" applyFill="1"/>
    <xf numFmtId="0" fontId="0" fillId="0" borderId="0" xfId="1774" applyNumberFormat="1" applyFont="1"/>
    <xf numFmtId="0" fontId="0" fillId="80" borderId="0" xfId="0" applyFill="1"/>
    <xf numFmtId="0" fontId="0" fillId="80" borderId="0" xfId="1774" applyNumberFormat="1" applyFont="1" applyFill="1"/>
    <xf numFmtId="169" fontId="0" fillId="80" borderId="0" xfId="1774" applyNumberFormat="1" applyFont="1" applyFill="1"/>
    <xf numFmtId="187" fontId="16" fillId="0" borderId="1" xfId="2272" applyNumberFormat="1" applyFont="1" applyFill="1" applyBorder="1" applyAlignment="1">
      <alignment horizontal="center" vertical="center" wrapText="1"/>
    </xf>
    <xf numFmtId="0" fontId="0" fillId="0" borderId="0" xfId="0"/>
    <xf numFmtId="0" fontId="90" fillId="81" borderId="1" xfId="0" applyFont="1" applyFill="1" applyBorder="1" applyAlignment="1">
      <alignment horizontal="center" vertical="center"/>
    </xf>
    <xf numFmtId="0" fontId="0" fillId="0" borderId="1" xfId="0" applyBorder="1" applyAlignment="1">
      <alignment horizontal="left" vertical="center"/>
    </xf>
    <xf numFmtId="0" fontId="0" fillId="0" borderId="1" xfId="0" applyBorder="1" applyAlignment="1">
      <alignment horizontal="right" vertical="center"/>
    </xf>
    <xf numFmtId="0" fontId="0" fillId="0" borderId="0" xfId="0" applyAlignment="1">
      <alignment horizontal="left" vertical="center"/>
    </xf>
    <xf numFmtId="0" fontId="0" fillId="0" borderId="0" xfId="0" applyAlignment="1">
      <alignment horizontal="right" vertical="center"/>
    </xf>
    <xf numFmtId="0" fontId="15" fillId="0" borderId="1" xfId="0" applyFont="1" applyBorder="1" applyAlignment="1">
      <alignment horizontal="left" vertical="center"/>
    </xf>
    <xf numFmtId="0" fontId="0" fillId="0" borderId="3" xfId="0" applyBorder="1" applyAlignment="1">
      <alignment horizontal="right" vertical="center"/>
    </xf>
    <xf numFmtId="0" fontId="0" fillId="0" borderId="0" xfId="0" applyAlignment="1"/>
    <xf numFmtId="0" fontId="15" fillId="0" borderId="62" xfId="0" applyFont="1" applyBorder="1" applyAlignment="1">
      <alignment horizontal="right" vertical="center"/>
    </xf>
    <xf numFmtId="178" fontId="91" fillId="0" borderId="1" xfId="9564" applyFont="1" applyBorder="1" applyAlignment="1">
      <alignment horizontal="left" vertical="center"/>
    </xf>
    <xf numFmtId="178" fontId="91" fillId="0" borderId="1" xfId="9564" applyFont="1" applyBorder="1" applyAlignment="1">
      <alignment horizontal="right" vertical="center"/>
    </xf>
    <xf numFmtId="0" fontId="19" fillId="15" borderId="1" xfId="2272" applyFont="1" applyFill="1" applyBorder="1" applyAlignment="1">
      <alignment vertical="center"/>
    </xf>
    <xf numFmtId="0" fontId="15" fillId="15" borderId="1" xfId="2272" applyFont="1" applyFill="1" applyBorder="1" applyAlignment="1">
      <alignment vertical="center"/>
    </xf>
    <xf numFmtId="0" fontId="0" fillId="0" borderId="0" xfId="0" applyBorder="1" applyAlignment="1">
      <alignment horizontal="right" vertical="center"/>
    </xf>
    <xf numFmtId="178" fontId="91" fillId="0" borderId="0" xfId="9564" applyFont="1" applyBorder="1" applyAlignment="1">
      <alignment horizontal="right" vertical="center"/>
    </xf>
    <xf numFmtId="0" fontId="0" fillId="0" borderId="0" xfId="0" pivotButton="1"/>
    <xf numFmtId="0" fontId="0" fillId="0" borderId="0" xfId="0" applyAlignment="1">
      <alignment horizontal="left"/>
    </xf>
    <xf numFmtId="0" fontId="0" fillId="0" borderId="0" xfId="0" applyNumberFormat="1"/>
    <xf numFmtId="1" fontId="0" fillId="0" borderId="0" xfId="0" applyNumberFormat="1"/>
    <xf numFmtId="0" fontId="18" fillId="0" borderId="0" xfId="0" applyFont="1" applyAlignment="1">
      <alignment horizontal="center" vertical="center"/>
    </xf>
    <xf numFmtId="0" fontId="18" fillId="0" borderId="0" xfId="0" applyFont="1"/>
    <xf numFmtId="9" fontId="0" fillId="0" borderId="0" xfId="3416" applyFont="1"/>
    <xf numFmtId="3" fontId="18" fillId="0" borderId="1" xfId="0" applyNumberFormat="1" applyFont="1" applyBorder="1" applyAlignment="1">
      <alignment horizontal="center" vertical="center" wrapText="1"/>
    </xf>
    <xf numFmtId="3" fontId="15" fillId="52" borderId="1" xfId="0" applyNumberFormat="1" applyFont="1" applyFill="1" applyBorder="1" applyAlignment="1">
      <alignment horizontal="center" vertical="center" wrapText="1"/>
    </xf>
    <xf numFmtId="186" fontId="18" fillId="48" borderId="0" xfId="1774" applyNumberFormat="1" applyFont="1" applyFill="1" applyBorder="1" applyAlignment="1">
      <alignment horizontal="left" vertical="center"/>
    </xf>
    <xf numFmtId="0" fontId="15" fillId="0" borderId="1" xfId="0" applyFont="1" applyBorder="1" applyAlignment="1">
      <alignment horizontal="center" wrapText="1"/>
    </xf>
    <xf numFmtId="0" fontId="0" fillId="48" borderId="0" xfId="0" applyFill="1"/>
    <xf numFmtId="0" fontId="0" fillId="0" borderId="0" xfId="0"/>
    <xf numFmtId="0" fontId="0" fillId="48" borderId="0" xfId="0" applyFill="1" applyBorder="1"/>
    <xf numFmtId="0" fontId="18" fillId="0" borderId="1" xfId="0" applyFont="1" applyBorder="1" applyAlignment="1">
      <alignment horizontal="center" vertical="center" wrapText="1"/>
    </xf>
    <xf numFmtId="3" fontId="18" fillId="0" borderId="0" xfId="0" applyNumberFormat="1" applyFont="1" applyAlignment="1">
      <alignment horizontal="center"/>
    </xf>
    <xf numFmtId="186" fontId="18" fillId="0" borderId="0" xfId="1774" applyNumberFormat="1" applyFont="1" applyAlignment="1">
      <alignment horizontal="center"/>
    </xf>
    <xf numFmtId="3" fontId="18" fillId="0" borderId="0" xfId="0" applyNumberFormat="1" applyFont="1" applyAlignment="1">
      <alignment horizontal="center" vertical="center"/>
    </xf>
    <xf numFmtId="0" fontId="17" fillId="16" borderId="0" xfId="0" applyFont="1" applyFill="1" applyBorder="1" applyAlignment="1">
      <alignment horizontal="center" vertical="center" wrapText="1"/>
    </xf>
    <xf numFmtId="0" fontId="17" fillId="16" borderId="16" xfId="0" applyFont="1" applyFill="1" applyBorder="1" applyAlignment="1">
      <alignment horizontal="center" vertical="center" wrapText="1"/>
    </xf>
    <xf numFmtId="0" fontId="0" fillId="0" borderId="1" xfId="0" applyBorder="1" applyAlignment="1">
      <alignment horizontal="left" vertical="center"/>
    </xf>
    <xf numFmtId="178" fontId="91" fillId="0" borderId="1" xfId="9564" applyFont="1" applyBorder="1" applyAlignment="1">
      <alignment horizontal="left" vertical="center"/>
    </xf>
    <xf numFmtId="0" fontId="15" fillId="0" borderId="1" xfId="0" applyFont="1" applyBorder="1" applyAlignment="1">
      <alignment horizontal="left" vertical="center"/>
    </xf>
    <xf numFmtId="0" fontId="16" fillId="0" borderId="1" xfId="0" applyFont="1" applyFill="1" applyBorder="1" applyAlignment="1">
      <alignment horizontal="left" vertical="top"/>
    </xf>
    <xf numFmtId="3" fontId="16" fillId="0" borderId="1" xfId="0" applyNumberFormat="1" applyFont="1" applyFill="1" applyBorder="1" applyAlignment="1">
      <alignment horizontal="center" vertical="top"/>
    </xf>
    <xf numFmtId="3" fontId="16" fillId="0" borderId="1" xfId="0" applyNumberFormat="1" applyFont="1" applyFill="1" applyBorder="1" applyAlignment="1">
      <alignment horizontal="left" vertical="top"/>
    </xf>
    <xf numFmtId="0" fontId="16" fillId="0" borderId="1" xfId="0" applyFont="1" applyFill="1" applyBorder="1" applyAlignment="1">
      <alignment horizontal="center" vertical="top"/>
    </xf>
    <xf numFmtId="1" fontId="16" fillId="0" borderId="1" xfId="0" applyNumberFormat="1" applyFont="1" applyFill="1" applyBorder="1" applyAlignment="1">
      <alignment horizontal="center" vertical="top"/>
    </xf>
    <xf numFmtId="0" fontId="89" fillId="0" borderId="1" xfId="0" applyFont="1" applyFill="1" applyBorder="1" applyAlignment="1">
      <alignment horizontal="left" vertical="top"/>
    </xf>
    <xf numFmtId="3" fontId="16" fillId="0" borderId="1" xfId="0" applyNumberFormat="1" applyFont="1" applyFill="1" applyBorder="1" applyAlignment="1">
      <alignment horizontal="center" vertical="center" wrapText="1"/>
    </xf>
    <xf numFmtId="0" fontId="89" fillId="0" borderId="1" xfId="0" applyFont="1" applyFill="1" applyBorder="1" applyAlignment="1">
      <alignment horizontal="center" vertical="center" wrapText="1"/>
    </xf>
    <xf numFmtId="0" fontId="16" fillId="0" borderId="1" xfId="0" applyFont="1" applyFill="1" applyBorder="1" applyAlignment="1">
      <alignment horizontal="center" vertical="center" wrapText="1"/>
    </xf>
    <xf numFmtId="172" fontId="16" fillId="0" borderId="1" xfId="0" applyNumberFormat="1" applyFont="1" applyFill="1" applyBorder="1" applyAlignment="1">
      <alignment horizontal="left" vertical="top"/>
    </xf>
    <xf numFmtId="0" fontId="16" fillId="0" borderId="52" xfId="0" applyFont="1" applyFill="1" applyBorder="1" applyAlignment="1">
      <alignment horizontal="left" vertical="top"/>
    </xf>
    <xf numFmtId="0" fontId="16" fillId="0" borderId="51" xfId="0" applyFont="1" applyFill="1" applyBorder="1" applyAlignment="1">
      <alignment horizontal="left" vertical="top"/>
    </xf>
    <xf numFmtId="0" fontId="16" fillId="0" borderId="53" xfId="0" applyFont="1" applyFill="1" applyBorder="1" applyAlignment="1">
      <alignment horizontal="left" vertical="top"/>
    </xf>
    <xf numFmtId="0" fontId="16" fillId="0" borderId="41" xfId="0" applyFont="1" applyFill="1" applyBorder="1" applyAlignment="1">
      <alignment horizontal="left" vertical="top"/>
    </xf>
    <xf numFmtId="0" fontId="16" fillId="0" borderId="0" xfId="0" applyFont="1" applyFill="1" applyBorder="1" applyAlignment="1">
      <alignment horizontal="left" vertical="top"/>
    </xf>
    <xf numFmtId="0" fontId="16" fillId="0" borderId="42" xfId="0" applyFont="1" applyFill="1" applyBorder="1" applyAlignment="1">
      <alignment horizontal="left" vertical="top"/>
    </xf>
    <xf numFmtId="0" fontId="16" fillId="0" borderId="4" xfId="0" applyFont="1" applyFill="1" applyBorder="1" applyAlignment="1">
      <alignment horizontal="left" vertical="top"/>
    </xf>
    <xf numFmtId="0" fontId="16" fillId="0" borderId="43" xfId="0" applyFont="1" applyFill="1" applyBorder="1" applyAlignment="1">
      <alignment horizontal="left" vertical="top"/>
    </xf>
    <xf numFmtId="0" fontId="16" fillId="0" borderId="44" xfId="0" applyFont="1" applyFill="1" applyBorder="1" applyAlignment="1">
      <alignment horizontal="left" vertical="top"/>
    </xf>
    <xf numFmtId="0" fontId="47" fillId="46" borderId="1" xfId="1740" applyProtection="1">
      <alignment horizontal="left" vertical="center" wrapText="1"/>
    </xf>
    <xf numFmtId="0" fontId="0" fillId="0" borderId="0" xfId="0" applyProtection="1">
      <protection locked="0"/>
    </xf>
    <xf numFmtId="1" fontId="0" fillId="0" borderId="0" xfId="0" applyNumberFormat="1" applyProtection="1">
      <protection locked="0"/>
    </xf>
    <xf numFmtId="0" fontId="0" fillId="0" borderId="1" xfId="0" applyBorder="1" applyAlignment="1">
      <alignment horizontal="right" vertical="center" wrapText="1"/>
    </xf>
    <xf numFmtId="0" fontId="15" fillId="0" borderId="0" xfId="0" applyFont="1" applyAlignment="1">
      <alignment horizontal="right"/>
    </xf>
    <xf numFmtId="0" fontId="0" fillId="0" borderId="0" xfId="0" applyAlignment="1">
      <alignment horizontal="right"/>
    </xf>
    <xf numFmtId="0" fontId="62" fillId="0" borderId="50" xfId="0" applyFont="1" applyFill="1" applyBorder="1" applyAlignment="1">
      <alignment horizontal="right" vertical="center"/>
    </xf>
    <xf numFmtId="0" fontId="18" fillId="49" borderId="0" xfId="0" applyFont="1" applyFill="1" applyAlignment="1">
      <alignment horizontal="center"/>
    </xf>
  </cellXfs>
  <cellStyles count="9565">
    <cellStyle name="20% - Énfasis1" xfId="9516" builtinId="30" customBuiltin="1"/>
    <cellStyle name="20% - Énfasis1 2" xfId="1"/>
    <cellStyle name="20% - Énfasis1 2 10" xfId="2"/>
    <cellStyle name="20% - Énfasis1 2 10 2" xfId="3"/>
    <cellStyle name="20% - Énfasis1 2 10 2 2" xfId="3467"/>
    <cellStyle name="20% - Énfasis1 2 10 2 2 2" xfId="7567"/>
    <cellStyle name="20% - Énfasis1 2 10 2 3" xfId="5516"/>
    <cellStyle name="20% - Énfasis1 2 10 3" xfId="3466"/>
    <cellStyle name="20% - Énfasis1 2 10 3 2" xfId="7566"/>
    <cellStyle name="20% - Énfasis1 2 10 4" xfId="5515"/>
    <cellStyle name="20% - Énfasis1 2 11" xfId="4"/>
    <cellStyle name="20% - Énfasis1 2 11 2" xfId="3468"/>
    <cellStyle name="20% - Énfasis1 2 11 2 2" xfId="7568"/>
    <cellStyle name="20% - Énfasis1 2 11 3" xfId="5517"/>
    <cellStyle name="20% - Énfasis1 2 12" xfId="3465"/>
    <cellStyle name="20% - Énfasis1 2 12 2" xfId="7565"/>
    <cellStyle name="20% - Énfasis1 2 13" xfId="5514"/>
    <cellStyle name="20% - Énfasis1 2 2" xfId="5"/>
    <cellStyle name="20% - Énfasis1 2 2 10" xfId="3469"/>
    <cellStyle name="20% - Énfasis1 2 2 10 2" xfId="7569"/>
    <cellStyle name="20% - Énfasis1 2 2 11" xfId="5518"/>
    <cellStyle name="20% - Énfasis1 2 2 2" xfId="6"/>
    <cellStyle name="20% - Énfasis1 2 2 2 2" xfId="7"/>
    <cellStyle name="20% - Énfasis1 2 2 2 2 2" xfId="8"/>
    <cellStyle name="20% - Énfasis1 2 2 2 2 2 2" xfId="3472"/>
    <cellStyle name="20% - Énfasis1 2 2 2 2 2 2 2" xfId="7572"/>
    <cellStyle name="20% - Énfasis1 2 2 2 2 2 3" xfId="5521"/>
    <cellStyle name="20% - Énfasis1 2 2 2 2 3" xfId="3471"/>
    <cellStyle name="20% - Énfasis1 2 2 2 2 3 2" xfId="7571"/>
    <cellStyle name="20% - Énfasis1 2 2 2 2 4" xfId="5520"/>
    <cellStyle name="20% - Énfasis1 2 2 2 3" xfId="9"/>
    <cellStyle name="20% - Énfasis1 2 2 2 3 2" xfId="10"/>
    <cellStyle name="20% - Énfasis1 2 2 2 3 2 2" xfId="3474"/>
    <cellStyle name="20% - Énfasis1 2 2 2 3 2 2 2" xfId="7574"/>
    <cellStyle name="20% - Énfasis1 2 2 2 3 2 3" xfId="5523"/>
    <cellStyle name="20% - Énfasis1 2 2 2 3 3" xfId="3473"/>
    <cellStyle name="20% - Énfasis1 2 2 2 3 3 2" xfId="7573"/>
    <cellStyle name="20% - Énfasis1 2 2 2 3 4" xfId="5522"/>
    <cellStyle name="20% - Énfasis1 2 2 2 4" xfId="11"/>
    <cellStyle name="20% - Énfasis1 2 2 2 4 2" xfId="3475"/>
    <cellStyle name="20% - Énfasis1 2 2 2 4 2 2" xfId="7575"/>
    <cellStyle name="20% - Énfasis1 2 2 2 4 3" xfId="5524"/>
    <cellStyle name="20% - Énfasis1 2 2 2 5" xfId="3470"/>
    <cellStyle name="20% - Énfasis1 2 2 2 5 2" xfId="7570"/>
    <cellStyle name="20% - Énfasis1 2 2 2 6" xfId="5519"/>
    <cellStyle name="20% - Énfasis1 2 2 3" xfId="12"/>
    <cellStyle name="20% - Énfasis1 2 2 3 2" xfId="13"/>
    <cellStyle name="20% - Énfasis1 2 2 3 2 2" xfId="3477"/>
    <cellStyle name="20% - Énfasis1 2 2 3 2 2 2" xfId="7577"/>
    <cellStyle name="20% - Énfasis1 2 2 3 2 3" xfId="5526"/>
    <cellStyle name="20% - Énfasis1 2 2 3 3" xfId="3476"/>
    <cellStyle name="20% - Énfasis1 2 2 3 3 2" xfId="7576"/>
    <cellStyle name="20% - Énfasis1 2 2 3 4" xfId="5525"/>
    <cellStyle name="20% - Énfasis1 2 2 4" xfId="14"/>
    <cellStyle name="20% - Énfasis1 2 2 4 2" xfId="15"/>
    <cellStyle name="20% - Énfasis1 2 2 4 2 2" xfId="3479"/>
    <cellStyle name="20% - Énfasis1 2 2 4 2 2 2" xfId="7579"/>
    <cellStyle name="20% - Énfasis1 2 2 4 2 3" xfId="5528"/>
    <cellStyle name="20% - Énfasis1 2 2 4 3" xfId="3478"/>
    <cellStyle name="20% - Énfasis1 2 2 4 3 2" xfId="7578"/>
    <cellStyle name="20% - Énfasis1 2 2 4 4" xfId="5527"/>
    <cellStyle name="20% - Énfasis1 2 2 5" xfId="16"/>
    <cellStyle name="20% - Énfasis1 2 2 5 2" xfId="17"/>
    <cellStyle name="20% - Énfasis1 2 2 5 2 2" xfId="3481"/>
    <cellStyle name="20% - Énfasis1 2 2 5 2 2 2" xfId="7581"/>
    <cellStyle name="20% - Énfasis1 2 2 5 2 3" xfId="5530"/>
    <cellStyle name="20% - Énfasis1 2 2 5 3" xfId="3480"/>
    <cellStyle name="20% - Énfasis1 2 2 5 3 2" xfId="7580"/>
    <cellStyle name="20% - Énfasis1 2 2 5 4" xfId="5529"/>
    <cellStyle name="20% - Énfasis1 2 2 6" xfId="18"/>
    <cellStyle name="20% - Énfasis1 2 2 6 2" xfId="19"/>
    <cellStyle name="20% - Énfasis1 2 2 6 2 2" xfId="3483"/>
    <cellStyle name="20% - Énfasis1 2 2 6 2 2 2" xfId="7583"/>
    <cellStyle name="20% - Énfasis1 2 2 6 2 3" xfId="5532"/>
    <cellStyle name="20% - Énfasis1 2 2 6 3" xfId="3482"/>
    <cellStyle name="20% - Énfasis1 2 2 6 3 2" xfId="7582"/>
    <cellStyle name="20% - Énfasis1 2 2 6 4" xfId="5531"/>
    <cellStyle name="20% - Énfasis1 2 2 7" xfId="20"/>
    <cellStyle name="20% - Énfasis1 2 2 7 2" xfId="21"/>
    <cellStyle name="20% - Énfasis1 2 2 7 2 2" xfId="3485"/>
    <cellStyle name="20% - Énfasis1 2 2 7 2 2 2" xfId="7585"/>
    <cellStyle name="20% - Énfasis1 2 2 7 2 3" xfId="5534"/>
    <cellStyle name="20% - Énfasis1 2 2 7 3" xfId="3484"/>
    <cellStyle name="20% - Énfasis1 2 2 7 3 2" xfId="7584"/>
    <cellStyle name="20% - Énfasis1 2 2 7 4" xfId="5533"/>
    <cellStyle name="20% - Énfasis1 2 2 8" xfId="22"/>
    <cellStyle name="20% - Énfasis1 2 2 8 2" xfId="23"/>
    <cellStyle name="20% - Énfasis1 2 2 8 2 2" xfId="3487"/>
    <cellStyle name="20% - Énfasis1 2 2 8 2 2 2" xfId="7587"/>
    <cellStyle name="20% - Énfasis1 2 2 8 2 3" xfId="5536"/>
    <cellStyle name="20% - Énfasis1 2 2 8 3" xfId="3486"/>
    <cellStyle name="20% - Énfasis1 2 2 8 3 2" xfId="7586"/>
    <cellStyle name="20% - Énfasis1 2 2 8 4" xfId="5535"/>
    <cellStyle name="20% - Énfasis1 2 2 9" xfId="24"/>
    <cellStyle name="20% - Énfasis1 2 2 9 2" xfId="3488"/>
    <cellStyle name="20% - Énfasis1 2 2 9 2 2" xfId="7588"/>
    <cellStyle name="20% - Énfasis1 2 2 9 3" xfId="5537"/>
    <cellStyle name="20% - Énfasis1 2 3" xfId="25"/>
    <cellStyle name="20% - Énfasis1 2 3 10" xfId="3489"/>
    <cellStyle name="20% - Énfasis1 2 3 10 2" xfId="7589"/>
    <cellStyle name="20% - Énfasis1 2 3 11" xfId="5538"/>
    <cellStyle name="20% - Énfasis1 2 3 2" xfId="26"/>
    <cellStyle name="20% - Énfasis1 2 3 2 2" xfId="27"/>
    <cellStyle name="20% - Énfasis1 2 3 2 2 2" xfId="28"/>
    <cellStyle name="20% - Énfasis1 2 3 2 2 2 2" xfId="3492"/>
    <cellStyle name="20% - Énfasis1 2 3 2 2 2 2 2" xfId="7592"/>
    <cellStyle name="20% - Énfasis1 2 3 2 2 2 3" xfId="5541"/>
    <cellStyle name="20% - Énfasis1 2 3 2 2 3" xfId="3491"/>
    <cellStyle name="20% - Énfasis1 2 3 2 2 3 2" xfId="7591"/>
    <cellStyle name="20% - Énfasis1 2 3 2 2 4" xfId="5540"/>
    <cellStyle name="20% - Énfasis1 2 3 2 3" xfId="29"/>
    <cellStyle name="20% - Énfasis1 2 3 2 3 2" xfId="30"/>
    <cellStyle name="20% - Énfasis1 2 3 2 3 2 2" xfId="3494"/>
    <cellStyle name="20% - Énfasis1 2 3 2 3 2 2 2" xfId="7594"/>
    <cellStyle name="20% - Énfasis1 2 3 2 3 2 3" xfId="5543"/>
    <cellStyle name="20% - Énfasis1 2 3 2 3 3" xfId="3493"/>
    <cellStyle name="20% - Énfasis1 2 3 2 3 3 2" xfId="7593"/>
    <cellStyle name="20% - Énfasis1 2 3 2 3 4" xfId="5542"/>
    <cellStyle name="20% - Énfasis1 2 3 2 4" xfId="31"/>
    <cellStyle name="20% - Énfasis1 2 3 2 4 2" xfId="3495"/>
    <cellStyle name="20% - Énfasis1 2 3 2 4 2 2" xfId="7595"/>
    <cellStyle name="20% - Énfasis1 2 3 2 4 3" xfId="5544"/>
    <cellStyle name="20% - Énfasis1 2 3 2 5" xfId="3490"/>
    <cellStyle name="20% - Énfasis1 2 3 2 5 2" xfId="7590"/>
    <cellStyle name="20% - Énfasis1 2 3 2 6" xfId="5539"/>
    <cellStyle name="20% - Énfasis1 2 3 3" xfId="32"/>
    <cellStyle name="20% - Énfasis1 2 3 3 2" xfId="33"/>
    <cellStyle name="20% - Énfasis1 2 3 3 2 2" xfId="3497"/>
    <cellStyle name="20% - Énfasis1 2 3 3 2 2 2" xfId="7597"/>
    <cellStyle name="20% - Énfasis1 2 3 3 2 3" xfId="5546"/>
    <cellStyle name="20% - Énfasis1 2 3 3 3" xfId="3496"/>
    <cellStyle name="20% - Énfasis1 2 3 3 3 2" xfId="7596"/>
    <cellStyle name="20% - Énfasis1 2 3 3 4" xfId="5545"/>
    <cellStyle name="20% - Énfasis1 2 3 4" xfId="34"/>
    <cellStyle name="20% - Énfasis1 2 3 4 2" xfId="35"/>
    <cellStyle name="20% - Énfasis1 2 3 4 2 2" xfId="3499"/>
    <cellStyle name="20% - Énfasis1 2 3 4 2 2 2" xfId="7599"/>
    <cellStyle name="20% - Énfasis1 2 3 4 2 3" xfId="5548"/>
    <cellStyle name="20% - Énfasis1 2 3 4 3" xfId="3498"/>
    <cellStyle name="20% - Énfasis1 2 3 4 3 2" xfId="7598"/>
    <cellStyle name="20% - Énfasis1 2 3 4 4" xfId="5547"/>
    <cellStyle name="20% - Énfasis1 2 3 5" xfId="36"/>
    <cellStyle name="20% - Énfasis1 2 3 5 2" xfId="37"/>
    <cellStyle name="20% - Énfasis1 2 3 5 2 2" xfId="3501"/>
    <cellStyle name="20% - Énfasis1 2 3 5 2 2 2" xfId="7601"/>
    <cellStyle name="20% - Énfasis1 2 3 5 2 3" xfId="5550"/>
    <cellStyle name="20% - Énfasis1 2 3 5 3" xfId="3500"/>
    <cellStyle name="20% - Énfasis1 2 3 5 3 2" xfId="7600"/>
    <cellStyle name="20% - Énfasis1 2 3 5 4" xfId="5549"/>
    <cellStyle name="20% - Énfasis1 2 3 6" xfId="38"/>
    <cellStyle name="20% - Énfasis1 2 3 6 2" xfId="39"/>
    <cellStyle name="20% - Énfasis1 2 3 6 2 2" xfId="3503"/>
    <cellStyle name="20% - Énfasis1 2 3 6 2 2 2" xfId="7603"/>
    <cellStyle name="20% - Énfasis1 2 3 6 2 3" xfId="5552"/>
    <cellStyle name="20% - Énfasis1 2 3 6 3" xfId="3502"/>
    <cellStyle name="20% - Énfasis1 2 3 6 3 2" xfId="7602"/>
    <cellStyle name="20% - Énfasis1 2 3 6 4" xfId="5551"/>
    <cellStyle name="20% - Énfasis1 2 3 7" xfId="40"/>
    <cellStyle name="20% - Énfasis1 2 3 7 2" xfId="41"/>
    <cellStyle name="20% - Énfasis1 2 3 7 2 2" xfId="3505"/>
    <cellStyle name="20% - Énfasis1 2 3 7 2 2 2" xfId="7605"/>
    <cellStyle name="20% - Énfasis1 2 3 7 2 3" xfId="5554"/>
    <cellStyle name="20% - Énfasis1 2 3 7 3" xfId="3504"/>
    <cellStyle name="20% - Énfasis1 2 3 7 3 2" xfId="7604"/>
    <cellStyle name="20% - Énfasis1 2 3 7 4" xfId="5553"/>
    <cellStyle name="20% - Énfasis1 2 3 8" xfId="42"/>
    <cellStyle name="20% - Énfasis1 2 3 8 2" xfId="43"/>
    <cellStyle name="20% - Énfasis1 2 3 8 2 2" xfId="3507"/>
    <cellStyle name="20% - Énfasis1 2 3 8 2 2 2" xfId="7607"/>
    <cellStyle name="20% - Énfasis1 2 3 8 2 3" xfId="5556"/>
    <cellStyle name="20% - Énfasis1 2 3 8 3" xfId="3506"/>
    <cellStyle name="20% - Énfasis1 2 3 8 3 2" xfId="7606"/>
    <cellStyle name="20% - Énfasis1 2 3 8 4" xfId="5555"/>
    <cellStyle name="20% - Énfasis1 2 3 9" xfId="44"/>
    <cellStyle name="20% - Énfasis1 2 3 9 2" xfId="3508"/>
    <cellStyle name="20% - Énfasis1 2 3 9 2 2" xfId="7608"/>
    <cellStyle name="20% - Énfasis1 2 3 9 3" xfId="5557"/>
    <cellStyle name="20% - Énfasis1 2 4" xfId="45"/>
    <cellStyle name="20% - Énfasis1 2 4 2" xfId="46"/>
    <cellStyle name="20% - Énfasis1 2 4 2 2" xfId="47"/>
    <cellStyle name="20% - Énfasis1 2 4 2 2 2" xfId="3511"/>
    <cellStyle name="20% - Énfasis1 2 4 2 2 2 2" xfId="7611"/>
    <cellStyle name="20% - Énfasis1 2 4 2 2 3" xfId="5560"/>
    <cellStyle name="20% - Énfasis1 2 4 2 3" xfId="3510"/>
    <cellStyle name="20% - Énfasis1 2 4 2 3 2" xfId="7610"/>
    <cellStyle name="20% - Énfasis1 2 4 2 4" xfId="5559"/>
    <cellStyle name="20% - Énfasis1 2 4 3" xfId="48"/>
    <cellStyle name="20% - Énfasis1 2 4 3 2" xfId="49"/>
    <cellStyle name="20% - Énfasis1 2 4 3 2 2" xfId="3513"/>
    <cellStyle name="20% - Énfasis1 2 4 3 2 2 2" xfId="7613"/>
    <cellStyle name="20% - Énfasis1 2 4 3 2 3" xfId="5562"/>
    <cellStyle name="20% - Énfasis1 2 4 3 3" xfId="3512"/>
    <cellStyle name="20% - Énfasis1 2 4 3 3 2" xfId="7612"/>
    <cellStyle name="20% - Énfasis1 2 4 3 4" xfId="5561"/>
    <cellStyle name="20% - Énfasis1 2 4 4" xfId="50"/>
    <cellStyle name="20% - Énfasis1 2 4 4 2" xfId="3514"/>
    <cellStyle name="20% - Énfasis1 2 4 4 2 2" xfId="7614"/>
    <cellStyle name="20% - Énfasis1 2 4 4 3" xfId="5563"/>
    <cellStyle name="20% - Énfasis1 2 4 5" xfId="3509"/>
    <cellStyle name="20% - Énfasis1 2 4 5 2" xfId="7609"/>
    <cellStyle name="20% - Énfasis1 2 4 6" xfId="5558"/>
    <cellStyle name="20% - Énfasis1 2 5" xfId="51"/>
    <cellStyle name="20% - Énfasis1 2 5 2" xfId="52"/>
    <cellStyle name="20% - Énfasis1 2 5 2 2" xfId="3516"/>
    <cellStyle name="20% - Énfasis1 2 5 2 2 2" xfId="7616"/>
    <cellStyle name="20% - Énfasis1 2 5 2 3" xfId="5565"/>
    <cellStyle name="20% - Énfasis1 2 5 3" xfId="3515"/>
    <cellStyle name="20% - Énfasis1 2 5 3 2" xfId="7615"/>
    <cellStyle name="20% - Énfasis1 2 5 4" xfId="5564"/>
    <cellStyle name="20% - Énfasis1 2 6" xfId="53"/>
    <cellStyle name="20% - Énfasis1 2 6 2" xfId="54"/>
    <cellStyle name="20% - Énfasis1 2 6 2 2" xfId="3518"/>
    <cellStyle name="20% - Énfasis1 2 6 2 2 2" xfId="7618"/>
    <cellStyle name="20% - Énfasis1 2 6 2 3" xfId="5567"/>
    <cellStyle name="20% - Énfasis1 2 6 3" xfId="3517"/>
    <cellStyle name="20% - Énfasis1 2 6 3 2" xfId="7617"/>
    <cellStyle name="20% - Énfasis1 2 6 4" xfId="5566"/>
    <cellStyle name="20% - Énfasis1 2 7" xfId="55"/>
    <cellStyle name="20% - Énfasis1 2 7 2" xfId="56"/>
    <cellStyle name="20% - Énfasis1 2 7 2 2" xfId="3520"/>
    <cellStyle name="20% - Énfasis1 2 7 2 2 2" xfId="7620"/>
    <cellStyle name="20% - Énfasis1 2 7 2 3" xfId="5569"/>
    <cellStyle name="20% - Énfasis1 2 7 3" xfId="3519"/>
    <cellStyle name="20% - Énfasis1 2 7 3 2" xfId="7619"/>
    <cellStyle name="20% - Énfasis1 2 7 4" xfId="5568"/>
    <cellStyle name="20% - Énfasis1 2 8" xfId="57"/>
    <cellStyle name="20% - Énfasis1 2 8 2" xfId="58"/>
    <cellStyle name="20% - Énfasis1 2 8 2 2" xfId="3522"/>
    <cellStyle name="20% - Énfasis1 2 8 2 2 2" xfId="7622"/>
    <cellStyle name="20% - Énfasis1 2 8 2 3" xfId="5571"/>
    <cellStyle name="20% - Énfasis1 2 8 3" xfId="3521"/>
    <cellStyle name="20% - Énfasis1 2 8 3 2" xfId="7621"/>
    <cellStyle name="20% - Énfasis1 2 8 4" xfId="5570"/>
    <cellStyle name="20% - Énfasis1 2 9" xfId="59"/>
    <cellStyle name="20% - Énfasis1 2 9 2" xfId="60"/>
    <cellStyle name="20% - Énfasis1 2 9 2 2" xfId="3524"/>
    <cellStyle name="20% - Énfasis1 2 9 2 2 2" xfId="7624"/>
    <cellStyle name="20% - Énfasis1 2 9 2 3" xfId="5573"/>
    <cellStyle name="20% - Énfasis1 2 9 3" xfId="3523"/>
    <cellStyle name="20% - Énfasis1 2 9 3 2" xfId="7623"/>
    <cellStyle name="20% - Énfasis1 2 9 4" xfId="5572"/>
    <cellStyle name="20% - Énfasis1 3" xfId="61"/>
    <cellStyle name="20% - Énfasis1 3 10" xfId="62"/>
    <cellStyle name="20% - Énfasis1 3 10 2" xfId="63"/>
    <cellStyle name="20% - Énfasis1 3 10 2 2" xfId="3527"/>
    <cellStyle name="20% - Énfasis1 3 10 2 2 2" xfId="7627"/>
    <cellStyle name="20% - Énfasis1 3 10 2 3" xfId="5576"/>
    <cellStyle name="20% - Énfasis1 3 10 3" xfId="3526"/>
    <cellStyle name="20% - Énfasis1 3 10 3 2" xfId="7626"/>
    <cellStyle name="20% - Énfasis1 3 10 4" xfId="5575"/>
    <cellStyle name="20% - Énfasis1 3 11" xfId="64"/>
    <cellStyle name="20% - Énfasis1 3 11 2" xfId="3528"/>
    <cellStyle name="20% - Énfasis1 3 11 2 2" xfId="7628"/>
    <cellStyle name="20% - Énfasis1 3 11 3" xfId="5577"/>
    <cellStyle name="20% - Énfasis1 3 12" xfId="3525"/>
    <cellStyle name="20% - Énfasis1 3 12 2" xfId="7625"/>
    <cellStyle name="20% - Énfasis1 3 13" xfId="5574"/>
    <cellStyle name="20% - Énfasis1 3 2" xfId="65"/>
    <cellStyle name="20% - Énfasis1 3 2 10" xfId="3529"/>
    <cellStyle name="20% - Énfasis1 3 2 10 2" xfId="7629"/>
    <cellStyle name="20% - Énfasis1 3 2 11" xfId="5578"/>
    <cellStyle name="20% - Énfasis1 3 2 2" xfId="66"/>
    <cellStyle name="20% - Énfasis1 3 2 2 2" xfId="67"/>
    <cellStyle name="20% - Énfasis1 3 2 2 2 2" xfId="68"/>
    <cellStyle name="20% - Énfasis1 3 2 2 2 2 2" xfId="3532"/>
    <cellStyle name="20% - Énfasis1 3 2 2 2 2 2 2" xfId="7632"/>
    <cellStyle name="20% - Énfasis1 3 2 2 2 2 3" xfId="5581"/>
    <cellStyle name="20% - Énfasis1 3 2 2 2 3" xfId="3531"/>
    <cellStyle name="20% - Énfasis1 3 2 2 2 3 2" xfId="7631"/>
    <cellStyle name="20% - Énfasis1 3 2 2 2 4" xfId="5580"/>
    <cellStyle name="20% - Énfasis1 3 2 2 3" xfId="69"/>
    <cellStyle name="20% - Énfasis1 3 2 2 3 2" xfId="70"/>
    <cellStyle name="20% - Énfasis1 3 2 2 3 2 2" xfId="3534"/>
    <cellStyle name="20% - Énfasis1 3 2 2 3 2 2 2" xfId="7634"/>
    <cellStyle name="20% - Énfasis1 3 2 2 3 2 3" xfId="5583"/>
    <cellStyle name="20% - Énfasis1 3 2 2 3 3" xfId="3533"/>
    <cellStyle name="20% - Énfasis1 3 2 2 3 3 2" xfId="7633"/>
    <cellStyle name="20% - Énfasis1 3 2 2 3 4" xfId="5582"/>
    <cellStyle name="20% - Énfasis1 3 2 2 4" xfId="71"/>
    <cellStyle name="20% - Énfasis1 3 2 2 4 2" xfId="3535"/>
    <cellStyle name="20% - Énfasis1 3 2 2 4 2 2" xfId="7635"/>
    <cellStyle name="20% - Énfasis1 3 2 2 4 3" xfId="5584"/>
    <cellStyle name="20% - Énfasis1 3 2 2 5" xfId="3530"/>
    <cellStyle name="20% - Énfasis1 3 2 2 5 2" xfId="7630"/>
    <cellStyle name="20% - Énfasis1 3 2 2 6" xfId="5579"/>
    <cellStyle name="20% - Énfasis1 3 2 3" xfId="72"/>
    <cellStyle name="20% - Énfasis1 3 2 3 2" xfId="73"/>
    <cellStyle name="20% - Énfasis1 3 2 3 2 2" xfId="3537"/>
    <cellStyle name="20% - Énfasis1 3 2 3 2 2 2" xfId="7637"/>
    <cellStyle name="20% - Énfasis1 3 2 3 2 3" xfId="5586"/>
    <cellStyle name="20% - Énfasis1 3 2 3 3" xfId="3536"/>
    <cellStyle name="20% - Énfasis1 3 2 3 3 2" xfId="7636"/>
    <cellStyle name="20% - Énfasis1 3 2 3 4" xfId="5585"/>
    <cellStyle name="20% - Énfasis1 3 2 4" xfId="74"/>
    <cellStyle name="20% - Énfasis1 3 2 4 2" xfId="75"/>
    <cellStyle name="20% - Énfasis1 3 2 4 2 2" xfId="3539"/>
    <cellStyle name="20% - Énfasis1 3 2 4 2 2 2" xfId="7639"/>
    <cellStyle name="20% - Énfasis1 3 2 4 2 3" xfId="5588"/>
    <cellStyle name="20% - Énfasis1 3 2 4 3" xfId="3538"/>
    <cellStyle name="20% - Énfasis1 3 2 4 3 2" xfId="7638"/>
    <cellStyle name="20% - Énfasis1 3 2 4 4" xfId="5587"/>
    <cellStyle name="20% - Énfasis1 3 2 5" xfId="76"/>
    <cellStyle name="20% - Énfasis1 3 2 5 2" xfId="77"/>
    <cellStyle name="20% - Énfasis1 3 2 5 2 2" xfId="3541"/>
    <cellStyle name="20% - Énfasis1 3 2 5 2 2 2" xfId="7641"/>
    <cellStyle name="20% - Énfasis1 3 2 5 2 3" xfId="5590"/>
    <cellStyle name="20% - Énfasis1 3 2 5 3" xfId="3540"/>
    <cellStyle name="20% - Énfasis1 3 2 5 3 2" xfId="7640"/>
    <cellStyle name="20% - Énfasis1 3 2 5 4" xfId="5589"/>
    <cellStyle name="20% - Énfasis1 3 2 6" xfId="78"/>
    <cellStyle name="20% - Énfasis1 3 2 6 2" xfId="79"/>
    <cellStyle name="20% - Énfasis1 3 2 6 2 2" xfId="3543"/>
    <cellStyle name="20% - Énfasis1 3 2 6 2 2 2" xfId="7643"/>
    <cellStyle name="20% - Énfasis1 3 2 6 2 3" xfId="5592"/>
    <cellStyle name="20% - Énfasis1 3 2 6 3" xfId="3542"/>
    <cellStyle name="20% - Énfasis1 3 2 6 3 2" xfId="7642"/>
    <cellStyle name="20% - Énfasis1 3 2 6 4" xfId="5591"/>
    <cellStyle name="20% - Énfasis1 3 2 7" xfId="80"/>
    <cellStyle name="20% - Énfasis1 3 2 7 2" xfId="81"/>
    <cellStyle name="20% - Énfasis1 3 2 7 2 2" xfId="3545"/>
    <cellStyle name="20% - Énfasis1 3 2 7 2 2 2" xfId="7645"/>
    <cellStyle name="20% - Énfasis1 3 2 7 2 3" xfId="5594"/>
    <cellStyle name="20% - Énfasis1 3 2 7 3" xfId="3544"/>
    <cellStyle name="20% - Énfasis1 3 2 7 3 2" xfId="7644"/>
    <cellStyle name="20% - Énfasis1 3 2 7 4" xfId="5593"/>
    <cellStyle name="20% - Énfasis1 3 2 8" xfId="82"/>
    <cellStyle name="20% - Énfasis1 3 2 8 2" xfId="83"/>
    <cellStyle name="20% - Énfasis1 3 2 8 2 2" xfId="3547"/>
    <cellStyle name="20% - Énfasis1 3 2 8 2 2 2" xfId="7647"/>
    <cellStyle name="20% - Énfasis1 3 2 8 2 3" xfId="5596"/>
    <cellStyle name="20% - Énfasis1 3 2 8 3" xfId="3546"/>
    <cellStyle name="20% - Énfasis1 3 2 8 3 2" xfId="7646"/>
    <cellStyle name="20% - Énfasis1 3 2 8 4" xfId="5595"/>
    <cellStyle name="20% - Énfasis1 3 2 9" xfId="84"/>
    <cellStyle name="20% - Énfasis1 3 2 9 2" xfId="3548"/>
    <cellStyle name="20% - Énfasis1 3 2 9 2 2" xfId="7648"/>
    <cellStyle name="20% - Énfasis1 3 2 9 3" xfId="5597"/>
    <cellStyle name="20% - Énfasis1 3 3" xfId="85"/>
    <cellStyle name="20% - Énfasis1 3 3 10" xfId="3549"/>
    <cellStyle name="20% - Énfasis1 3 3 10 2" xfId="7649"/>
    <cellStyle name="20% - Énfasis1 3 3 11" xfId="5598"/>
    <cellStyle name="20% - Énfasis1 3 3 2" xfId="86"/>
    <cellStyle name="20% - Énfasis1 3 3 2 2" xfId="87"/>
    <cellStyle name="20% - Énfasis1 3 3 2 2 2" xfId="88"/>
    <cellStyle name="20% - Énfasis1 3 3 2 2 2 2" xfId="3552"/>
    <cellStyle name="20% - Énfasis1 3 3 2 2 2 2 2" xfId="7652"/>
    <cellStyle name="20% - Énfasis1 3 3 2 2 2 3" xfId="5601"/>
    <cellStyle name="20% - Énfasis1 3 3 2 2 3" xfId="3551"/>
    <cellStyle name="20% - Énfasis1 3 3 2 2 3 2" xfId="7651"/>
    <cellStyle name="20% - Énfasis1 3 3 2 2 4" xfId="5600"/>
    <cellStyle name="20% - Énfasis1 3 3 2 3" xfId="89"/>
    <cellStyle name="20% - Énfasis1 3 3 2 3 2" xfId="90"/>
    <cellStyle name="20% - Énfasis1 3 3 2 3 2 2" xfId="3554"/>
    <cellStyle name="20% - Énfasis1 3 3 2 3 2 2 2" xfId="7654"/>
    <cellStyle name="20% - Énfasis1 3 3 2 3 2 3" xfId="5603"/>
    <cellStyle name="20% - Énfasis1 3 3 2 3 3" xfId="3553"/>
    <cellStyle name="20% - Énfasis1 3 3 2 3 3 2" xfId="7653"/>
    <cellStyle name="20% - Énfasis1 3 3 2 3 4" xfId="5602"/>
    <cellStyle name="20% - Énfasis1 3 3 2 4" xfId="91"/>
    <cellStyle name="20% - Énfasis1 3 3 2 4 2" xfId="3555"/>
    <cellStyle name="20% - Énfasis1 3 3 2 4 2 2" xfId="7655"/>
    <cellStyle name="20% - Énfasis1 3 3 2 4 3" xfId="5604"/>
    <cellStyle name="20% - Énfasis1 3 3 2 5" xfId="3550"/>
    <cellStyle name="20% - Énfasis1 3 3 2 5 2" xfId="7650"/>
    <cellStyle name="20% - Énfasis1 3 3 2 6" xfId="5599"/>
    <cellStyle name="20% - Énfasis1 3 3 3" xfId="92"/>
    <cellStyle name="20% - Énfasis1 3 3 3 2" xfId="93"/>
    <cellStyle name="20% - Énfasis1 3 3 3 2 2" xfId="3557"/>
    <cellStyle name="20% - Énfasis1 3 3 3 2 2 2" xfId="7657"/>
    <cellStyle name="20% - Énfasis1 3 3 3 2 3" xfId="5606"/>
    <cellStyle name="20% - Énfasis1 3 3 3 3" xfId="3556"/>
    <cellStyle name="20% - Énfasis1 3 3 3 3 2" xfId="7656"/>
    <cellStyle name="20% - Énfasis1 3 3 3 4" xfId="5605"/>
    <cellStyle name="20% - Énfasis1 3 3 4" xfId="94"/>
    <cellStyle name="20% - Énfasis1 3 3 4 2" xfId="95"/>
    <cellStyle name="20% - Énfasis1 3 3 4 2 2" xfId="3559"/>
    <cellStyle name="20% - Énfasis1 3 3 4 2 2 2" xfId="7659"/>
    <cellStyle name="20% - Énfasis1 3 3 4 2 3" xfId="5608"/>
    <cellStyle name="20% - Énfasis1 3 3 4 3" xfId="3558"/>
    <cellStyle name="20% - Énfasis1 3 3 4 3 2" xfId="7658"/>
    <cellStyle name="20% - Énfasis1 3 3 4 4" xfId="5607"/>
    <cellStyle name="20% - Énfasis1 3 3 5" xfId="96"/>
    <cellStyle name="20% - Énfasis1 3 3 5 2" xfId="97"/>
    <cellStyle name="20% - Énfasis1 3 3 5 2 2" xfId="3561"/>
    <cellStyle name="20% - Énfasis1 3 3 5 2 2 2" xfId="7661"/>
    <cellStyle name="20% - Énfasis1 3 3 5 2 3" xfId="5610"/>
    <cellStyle name="20% - Énfasis1 3 3 5 3" xfId="3560"/>
    <cellStyle name="20% - Énfasis1 3 3 5 3 2" xfId="7660"/>
    <cellStyle name="20% - Énfasis1 3 3 5 4" xfId="5609"/>
    <cellStyle name="20% - Énfasis1 3 3 6" xfId="98"/>
    <cellStyle name="20% - Énfasis1 3 3 6 2" xfId="99"/>
    <cellStyle name="20% - Énfasis1 3 3 6 2 2" xfId="3563"/>
    <cellStyle name="20% - Énfasis1 3 3 6 2 2 2" xfId="7663"/>
    <cellStyle name="20% - Énfasis1 3 3 6 2 3" xfId="5612"/>
    <cellStyle name="20% - Énfasis1 3 3 6 3" xfId="3562"/>
    <cellStyle name="20% - Énfasis1 3 3 6 3 2" xfId="7662"/>
    <cellStyle name="20% - Énfasis1 3 3 6 4" xfId="5611"/>
    <cellStyle name="20% - Énfasis1 3 3 7" xfId="100"/>
    <cellStyle name="20% - Énfasis1 3 3 7 2" xfId="101"/>
    <cellStyle name="20% - Énfasis1 3 3 7 2 2" xfId="3565"/>
    <cellStyle name="20% - Énfasis1 3 3 7 2 2 2" xfId="7665"/>
    <cellStyle name="20% - Énfasis1 3 3 7 2 3" xfId="5614"/>
    <cellStyle name="20% - Énfasis1 3 3 7 3" xfId="3564"/>
    <cellStyle name="20% - Énfasis1 3 3 7 3 2" xfId="7664"/>
    <cellStyle name="20% - Énfasis1 3 3 7 4" xfId="5613"/>
    <cellStyle name="20% - Énfasis1 3 3 8" xfId="102"/>
    <cellStyle name="20% - Énfasis1 3 3 8 2" xfId="103"/>
    <cellStyle name="20% - Énfasis1 3 3 8 2 2" xfId="3567"/>
    <cellStyle name="20% - Énfasis1 3 3 8 2 2 2" xfId="7667"/>
    <cellStyle name="20% - Énfasis1 3 3 8 2 3" xfId="5616"/>
    <cellStyle name="20% - Énfasis1 3 3 8 3" xfId="3566"/>
    <cellStyle name="20% - Énfasis1 3 3 8 3 2" xfId="7666"/>
    <cellStyle name="20% - Énfasis1 3 3 8 4" xfId="5615"/>
    <cellStyle name="20% - Énfasis1 3 3 9" xfId="104"/>
    <cellStyle name="20% - Énfasis1 3 3 9 2" xfId="3568"/>
    <cellStyle name="20% - Énfasis1 3 3 9 2 2" xfId="7668"/>
    <cellStyle name="20% - Énfasis1 3 3 9 3" xfId="5617"/>
    <cellStyle name="20% - Énfasis1 3 4" xfId="105"/>
    <cellStyle name="20% - Énfasis1 3 4 2" xfId="106"/>
    <cellStyle name="20% - Énfasis1 3 4 2 2" xfId="107"/>
    <cellStyle name="20% - Énfasis1 3 4 2 2 2" xfId="3571"/>
    <cellStyle name="20% - Énfasis1 3 4 2 2 2 2" xfId="7671"/>
    <cellStyle name="20% - Énfasis1 3 4 2 2 3" xfId="5620"/>
    <cellStyle name="20% - Énfasis1 3 4 2 3" xfId="3570"/>
    <cellStyle name="20% - Énfasis1 3 4 2 3 2" xfId="7670"/>
    <cellStyle name="20% - Énfasis1 3 4 2 4" xfId="5619"/>
    <cellStyle name="20% - Énfasis1 3 4 3" xfId="108"/>
    <cellStyle name="20% - Énfasis1 3 4 3 2" xfId="109"/>
    <cellStyle name="20% - Énfasis1 3 4 3 2 2" xfId="3573"/>
    <cellStyle name="20% - Énfasis1 3 4 3 2 2 2" xfId="7673"/>
    <cellStyle name="20% - Énfasis1 3 4 3 2 3" xfId="5622"/>
    <cellStyle name="20% - Énfasis1 3 4 3 3" xfId="3572"/>
    <cellStyle name="20% - Énfasis1 3 4 3 3 2" xfId="7672"/>
    <cellStyle name="20% - Énfasis1 3 4 3 4" xfId="5621"/>
    <cellStyle name="20% - Énfasis1 3 4 4" xfId="110"/>
    <cellStyle name="20% - Énfasis1 3 4 4 2" xfId="3574"/>
    <cellStyle name="20% - Énfasis1 3 4 4 2 2" xfId="7674"/>
    <cellStyle name="20% - Énfasis1 3 4 4 3" xfId="5623"/>
    <cellStyle name="20% - Énfasis1 3 4 5" xfId="3569"/>
    <cellStyle name="20% - Énfasis1 3 4 5 2" xfId="7669"/>
    <cellStyle name="20% - Énfasis1 3 4 6" xfId="5618"/>
    <cellStyle name="20% - Énfasis1 3 5" xfId="111"/>
    <cellStyle name="20% - Énfasis1 3 5 2" xfId="112"/>
    <cellStyle name="20% - Énfasis1 3 5 2 2" xfId="3576"/>
    <cellStyle name="20% - Énfasis1 3 5 2 2 2" xfId="7676"/>
    <cellStyle name="20% - Énfasis1 3 5 2 3" xfId="5625"/>
    <cellStyle name="20% - Énfasis1 3 5 3" xfId="3575"/>
    <cellStyle name="20% - Énfasis1 3 5 3 2" xfId="7675"/>
    <cellStyle name="20% - Énfasis1 3 5 4" xfId="5624"/>
    <cellStyle name="20% - Énfasis1 3 6" xfId="113"/>
    <cellStyle name="20% - Énfasis1 3 6 2" xfId="114"/>
    <cellStyle name="20% - Énfasis1 3 6 2 2" xfId="3578"/>
    <cellStyle name="20% - Énfasis1 3 6 2 2 2" xfId="7678"/>
    <cellStyle name="20% - Énfasis1 3 6 2 3" xfId="5627"/>
    <cellStyle name="20% - Énfasis1 3 6 3" xfId="3577"/>
    <cellStyle name="20% - Énfasis1 3 6 3 2" xfId="7677"/>
    <cellStyle name="20% - Énfasis1 3 6 4" xfId="5626"/>
    <cellStyle name="20% - Énfasis1 3 7" xfId="115"/>
    <cellStyle name="20% - Énfasis1 3 7 2" xfId="116"/>
    <cellStyle name="20% - Énfasis1 3 7 2 2" xfId="3580"/>
    <cellStyle name="20% - Énfasis1 3 7 2 2 2" xfId="7680"/>
    <cellStyle name="20% - Énfasis1 3 7 2 3" xfId="5629"/>
    <cellStyle name="20% - Énfasis1 3 7 3" xfId="3579"/>
    <cellStyle name="20% - Énfasis1 3 7 3 2" xfId="7679"/>
    <cellStyle name="20% - Énfasis1 3 7 4" xfId="5628"/>
    <cellStyle name="20% - Énfasis1 3 8" xfId="117"/>
    <cellStyle name="20% - Énfasis1 3 8 2" xfId="118"/>
    <cellStyle name="20% - Énfasis1 3 8 2 2" xfId="3582"/>
    <cellStyle name="20% - Énfasis1 3 8 2 2 2" xfId="7682"/>
    <cellStyle name="20% - Énfasis1 3 8 2 3" xfId="5631"/>
    <cellStyle name="20% - Énfasis1 3 8 3" xfId="3581"/>
    <cellStyle name="20% - Énfasis1 3 8 3 2" xfId="7681"/>
    <cellStyle name="20% - Énfasis1 3 8 4" xfId="5630"/>
    <cellStyle name="20% - Énfasis1 3 9" xfId="119"/>
    <cellStyle name="20% - Énfasis1 3 9 2" xfId="120"/>
    <cellStyle name="20% - Énfasis1 3 9 2 2" xfId="3584"/>
    <cellStyle name="20% - Énfasis1 3 9 2 2 2" xfId="7684"/>
    <cellStyle name="20% - Énfasis1 3 9 2 3" xfId="5633"/>
    <cellStyle name="20% - Énfasis1 3 9 3" xfId="3583"/>
    <cellStyle name="20% - Énfasis1 3 9 3 2" xfId="7683"/>
    <cellStyle name="20% - Énfasis1 3 9 4" xfId="5632"/>
    <cellStyle name="20% - Énfasis1 4" xfId="121"/>
    <cellStyle name="20% - Énfasis1 4 10" xfId="3585"/>
    <cellStyle name="20% - Énfasis1 4 10 2" xfId="7685"/>
    <cellStyle name="20% - Énfasis1 4 11" xfId="5634"/>
    <cellStyle name="20% - Énfasis1 4 2" xfId="122"/>
    <cellStyle name="20% - Énfasis1 4 2 2" xfId="123"/>
    <cellStyle name="20% - Énfasis1 4 2 2 2" xfId="124"/>
    <cellStyle name="20% - Énfasis1 4 2 2 2 2" xfId="3588"/>
    <cellStyle name="20% - Énfasis1 4 2 2 2 2 2" xfId="7688"/>
    <cellStyle name="20% - Énfasis1 4 2 2 2 3" xfId="5637"/>
    <cellStyle name="20% - Énfasis1 4 2 2 3" xfId="3587"/>
    <cellStyle name="20% - Énfasis1 4 2 2 3 2" xfId="7687"/>
    <cellStyle name="20% - Énfasis1 4 2 2 4" xfId="5636"/>
    <cellStyle name="20% - Énfasis1 4 2 3" xfId="125"/>
    <cellStyle name="20% - Énfasis1 4 2 3 2" xfId="126"/>
    <cellStyle name="20% - Énfasis1 4 2 3 2 2" xfId="3590"/>
    <cellStyle name="20% - Énfasis1 4 2 3 2 2 2" xfId="7690"/>
    <cellStyle name="20% - Énfasis1 4 2 3 2 3" xfId="5639"/>
    <cellStyle name="20% - Énfasis1 4 2 3 3" xfId="3589"/>
    <cellStyle name="20% - Énfasis1 4 2 3 3 2" xfId="7689"/>
    <cellStyle name="20% - Énfasis1 4 2 3 4" xfId="5638"/>
    <cellStyle name="20% - Énfasis1 4 2 4" xfId="127"/>
    <cellStyle name="20% - Énfasis1 4 2 4 2" xfId="3591"/>
    <cellStyle name="20% - Énfasis1 4 2 4 2 2" xfId="7691"/>
    <cellStyle name="20% - Énfasis1 4 2 4 3" xfId="5640"/>
    <cellStyle name="20% - Énfasis1 4 2 5" xfId="3586"/>
    <cellStyle name="20% - Énfasis1 4 2 5 2" xfId="7686"/>
    <cellStyle name="20% - Énfasis1 4 2 6" xfId="5635"/>
    <cellStyle name="20% - Énfasis1 4 3" xfId="128"/>
    <cellStyle name="20% - Énfasis1 4 3 2" xfId="129"/>
    <cellStyle name="20% - Énfasis1 4 3 2 2" xfId="3593"/>
    <cellStyle name="20% - Énfasis1 4 3 2 2 2" xfId="7693"/>
    <cellStyle name="20% - Énfasis1 4 3 2 3" xfId="5642"/>
    <cellStyle name="20% - Énfasis1 4 3 3" xfId="3592"/>
    <cellStyle name="20% - Énfasis1 4 3 3 2" xfId="7692"/>
    <cellStyle name="20% - Énfasis1 4 3 4" xfId="5641"/>
    <cellStyle name="20% - Énfasis1 4 4" xfId="130"/>
    <cellStyle name="20% - Énfasis1 4 4 2" xfId="131"/>
    <cellStyle name="20% - Énfasis1 4 4 2 2" xfId="3595"/>
    <cellStyle name="20% - Énfasis1 4 4 2 2 2" xfId="7695"/>
    <cellStyle name="20% - Énfasis1 4 4 2 3" xfId="5644"/>
    <cellStyle name="20% - Énfasis1 4 4 3" xfId="3594"/>
    <cellStyle name="20% - Énfasis1 4 4 3 2" xfId="7694"/>
    <cellStyle name="20% - Énfasis1 4 4 4" xfId="5643"/>
    <cellStyle name="20% - Énfasis1 4 5" xfId="132"/>
    <cellStyle name="20% - Énfasis1 4 5 2" xfId="133"/>
    <cellStyle name="20% - Énfasis1 4 5 2 2" xfId="3597"/>
    <cellStyle name="20% - Énfasis1 4 5 2 2 2" xfId="7697"/>
    <cellStyle name="20% - Énfasis1 4 5 2 3" xfId="5646"/>
    <cellStyle name="20% - Énfasis1 4 5 3" xfId="3596"/>
    <cellStyle name="20% - Énfasis1 4 5 3 2" xfId="7696"/>
    <cellStyle name="20% - Énfasis1 4 5 4" xfId="5645"/>
    <cellStyle name="20% - Énfasis1 4 6" xfId="134"/>
    <cellStyle name="20% - Énfasis1 4 6 2" xfId="135"/>
    <cellStyle name="20% - Énfasis1 4 6 2 2" xfId="3599"/>
    <cellStyle name="20% - Énfasis1 4 6 2 2 2" xfId="7699"/>
    <cellStyle name="20% - Énfasis1 4 6 2 3" xfId="5648"/>
    <cellStyle name="20% - Énfasis1 4 6 3" xfId="3598"/>
    <cellStyle name="20% - Énfasis1 4 6 3 2" xfId="7698"/>
    <cellStyle name="20% - Énfasis1 4 6 4" xfId="5647"/>
    <cellStyle name="20% - Énfasis1 4 7" xfId="136"/>
    <cellStyle name="20% - Énfasis1 4 7 2" xfId="137"/>
    <cellStyle name="20% - Énfasis1 4 7 2 2" xfId="3601"/>
    <cellStyle name="20% - Énfasis1 4 7 2 2 2" xfId="7701"/>
    <cellStyle name="20% - Énfasis1 4 7 2 3" xfId="5650"/>
    <cellStyle name="20% - Énfasis1 4 7 3" xfId="3600"/>
    <cellStyle name="20% - Énfasis1 4 7 3 2" xfId="7700"/>
    <cellStyle name="20% - Énfasis1 4 7 4" xfId="5649"/>
    <cellStyle name="20% - Énfasis1 4 8" xfId="138"/>
    <cellStyle name="20% - Énfasis1 4 8 2" xfId="139"/>
    <cellStyle name="20% - Énfasis1 4 8 2 2" xfId="3603"/>
    <cellStyle name="20% - Énfasis1 4 8 2 2 2" xfId="7703"/>
    <cellStyle name="20% - Énfasis1 4 8 2 3" xfId="5652"/>
    <cellStyle name="20% - Énfasis1 4 8 3" xfId="3602"/>
    <cellStyle name="20% - Énfasis1 4 8 3 2" xfId="7702"/>
    <cellStyle name="20% - Énfasis1 4 8 4" xfId="5651"/>
    <cellStyle name="20% - Énfasis1 4 9" xfId="140"/>
    <cellStyle name="20% - Énfasis1 4 9 2" xfId="3604"/>
    <cellStyle name="20% - Énfasis1 4 9 2 2" xfId="7704"/>
    <cellStyle name="20% - Énfasis1 4 9 3" xfId="5653"/>
    <cellStyle name="20% - Énfasis1 5" xfId="141"/>
    <cellStyle name="20% - Énfasis1 5 10" xfId="3605"/>
    <cellStyle name="20% - Énfasis1 5 10 2" xfId="7705"/>
    <cellStyle name="20% - Énfasis1 5 11" xfId="5654"/>
    <cellStyle name="20% - Énfasis1 5 2" xfId="142"/>
    <cellStyle name="20% - Énfasis1 5 2 2" xfId="143"/>
    <cellStyle name="20% - Énfasis1 5 2 2 2" xfId="144"/>
    <cellStyle name="20% - Énfasis1 5 2 2 2 2" xfId="3608"/>
    <cellStyle name="20% - Énfasis1 5 2 2 2 2 2" xfId="7708"/>
    <cellStyle name="20% - Énfasis1 5 2 2 2 3" xfId="5657"/>
    <cellStyle name="20% - Énfasis1 5 2 2 3" xfId="3607"/>
    <cellStyle name="20% - Énfasis1 5 2 2 3 2" xfId="7707"/>
    <cellStyle name="20% - Énfasis1 5 2 2 4" xfId="5656"/>
    <cellStyle name="20% - Énfasis1 5 2 3" xfId="145"/>
    <cellStyle name="20% - Énfasis1 5 2 3 2" xfId="146"/>
    <cellStyle name="20% - Énfasis1 5 2 3 2 2" xfId="3610"/>
    <cellStyle name="20% - Énfasis1 5 2 3 2 2 2" xfId="7710"/>
    <cellStyle name="20% - Énfasis1 5 2 3 2 3" xfId="5659"/>
    <cellStyle name="20% - Énfasis1 5 2 3 3" xfId="3609"/>
    <cellStyle name="20% - Énfasis1 5 2 3 3 2" xfId="7709"/>
    <cellStyle name="20% - Énfasis1 5 2 3 4" xfId="5658"/>
    <cellStyle name="20% - Énfasis1 5 2 4" xfId="147"/>
    <cellStyle name="20% - Énfasis1 5 2 4 2" xfId="3611"/>
    <cellStyle name="20% - Énfasis1 5 2 4 2 2" xfId="7711"/>
    <cellStyle name="20% - Énfasis1 5 2 4 3" xfId="5660"/>
    <cellStyle name="20% - Énfasis1 5 2 5" xfId="3606"/>
    <cellStyle name="20% - Énfasis1 5 2 5 2" xfId="7706"/>
    <cellStyle name="20% - Énfasis1 5 2 6" xfId="5655"/>
    <cellStyle name="20% - Énfasis1 5 3" xfId="148"/>
    <cellStyle name="20% - Énfasis1 5 3 2" xfId="149"/>
    <cellStyle name="20% - Énfasis1 5 3 2 2" xfId="3613"/>
    <cellStyle name="20% - Énfasis1 5 3 2 2 2" xfId="7713"/>
    <cellStyle name="20% - Énfasis1 5 3 2 3" xfId="5662"/>
    <cellStyle name="20% - Énfasis1 5 3 3" xfId="3612"/>
    <cellStyle name="20% - Énfasis1 5 3 3 2" xfId="7712"/>
    <cellStyle name="20% - Énfasis1 5 3 4" xfId="5661"/>
    <cellStyle name="20% - Énfasis1 5 4" xfId="150"/>
    <cellStyle name="20% - Énfasis1 5 4 2" xfId="151"/>
    <cellStyle name="20% - Énfasis1 5 4 2 2" xfId="3615"/>
    <cellStyle name="20% - Énfasis1 5 4 2 2 2" xfId="7715"/>
    <cellStyle name="20% - Énfasis1 5 4 2 3" xfId="5664"/>
    <cellStyle name="20% - Énfasis1 5 4 3" xfId="3614"/>
    <cellStyle name="20% - Énfasis1 5 4 3 2" xfId="7714"/>
    <cellStyle name="20% - Énfasis1 5 4 4" xfId="5663"/>
    <cellStyle name="20% - Énfasis1 5 5" xfId="152"/>
    <cellStyle name="20% - Énfasis1 5 5 2" xfId="153"/>
    <cellStyle name="20% - Énfasis1 5 5 2 2" xfId="3617"/>
    <cellStyle name="20% - Énfasis1 5 5 2 2 2" xfId="7717"/>
    <cellStyle name="20% - Énfasis1 5 5 2 3" xfId="5666"/>
    <cellStyle name="20% - Énfasis1 5 5 3" xfId="3616"/>
    <cellStyle name="20% - Énfasis1 5 5 3 2" xfId="7716"/>
    <cellStyle name="20% - Énfasis1 5 5 4" xfId="5665"/>
    <cellStyle name="20% - Énfasis1 5 6" xfId="154"/>
    <cellStyle name="20% - Énfasis1 5 6 2" xfId="155"/>
    <cellStyle name="20% - Énfasis1 5 6 2 2" xfId="3619"/>
    <cellStyle name="20% - Énfasis1 5 6 2 2 2" xfId="7719"/>
    <cellStyle name="20% - Énfasis1 5 6 2 3" xfId="5668"/>
    <cellStyle name="20% - Énfasis1 5 6 3" xfId="3618"/>
    <cellStyle name="20% - Énfasis1 5 6 3 2" xfId="7718"/>
    <cellStyle name="20% - Énfasis1 5 6 4" xfId="5667"/>
    <cellStyle name="20% - Énfasis1 5 7" xfId="156"/>
    <cellStyle name="20% - Énfasis1 5 7 2" xfId="157"/>
    <cellStyle name="20% - Énfasis1 5 7 2 2" xfId="3621"/>
    <cellStyle name="20% - Énfasis1 5 7 2 2 2" xfId="7721"/>
    <cellStyle name="20% - Énfasis1 5 7 2 3" xfId="5670"/>
    <cellStyle name="20% - Énfasis1 5 7 3" xfId="3620"/>
    <cellStyle name="20% - Énfasis1 5 7 3 2" xfId="7720"/>
    <cellStyle name="20% - Énfasis1 5 7 4" xfId="5669"/>
    <cellStyle name="20% - Énfasis1 5 8" xfId="158"/>
    <cellStyle name="20% - Énfasis1 5 8 2" xfId="159"/>
    <cellStyle name="20% - Énfasis1 5 8 2 2" xfId="3623"/>
    <cellStyle name="20% - Énfasis1 5 8 2 2 2" xfId="7723"/>
    <cellStyle name="20% - Énfasis1 5 8 2 3" xfId="5672"/>
    <cellStyle name="20% - Énfasis1 5 8 3" xfId="3622"/>
    <cellStyle name="20% - Énfasis1 5 8 3 2" xfId="7722"/>
    <cellStyle name="20% - Énfasis1 5 8 4" xfId="5671"/>
    <cellStyle name="20% - Énfasis1 5 9" xfId="160"/>
    <cellStyle name="20% - Énfasis1 5 9 2" xfId="3624"/>
    <cellStyle name="20% - Énfasis1 5 9 2 2" xfId="7724"/>
    <cellStyle name="20% - Énfasis1 5 9 3" xfId="5673"/>
    <cellStyle name="20% - Énfasis1 6" xfId="9546"/>
    <cellStyle name="20% - Énfasis2" xfId="9520" builtinId="34" customBuiltin="1"/>
    <cellStyle name="20% - Énfasis2 2" xfId="161"/>
    <cellStyle name="20% - Énfasis2 2 10" xfId="162"/>
    <cellStyle name="20% - Énfasis2 2 10 2" xfId="163"/>
    <cellStyle name="20% - Énfasis2 2 10 2 2" xfId="3627"/>
    <cellStyle name="20% - Énfasis2 2 10 2 2 2" xfId="7727"/>
    <cellStyle name="20% - Énfasis2 2 10 2 3" xfId="5676"/>
    <cellStyle name="20% - Énfasis2 2 10 3" xfId="3626"/>
    <cellStyle name="20% - Énfasis2 2 10 3 2" xfId="7726"/>
    <cellStyle name="20% - Énfasis2 2 10 4" xfId="5675"/>
    <cellStyle name="20% - Énfasis2 2 11" xfId="164"/>
    <cellStyle name="20% - Énfasis2 2 11 2" xfId="3628"/>
    <cellStyle name="20% - Énfasis2 2 11 2 2" xfId="7728"/>
    <cellStyle name="20% - Énfasis2 2 11 3" xfId="5677"/>
    <cellStyle name="20% - Énfasis2 2 12" xfId="3625"/>
    <cellStyle name="20% - Énfasis2 2 12 2" xfId="7725"/>
    <cellStyle name="20% - Énfasis2 2 13" xfId="5674"/>
    <cellStyle name="20% - Énfasis2 2 2" xfId="165"/>
    <cellStyle name="20% - Énfasis2 2 2 10" xfId="3629"/>
    <cellStyle name="20% - Énfasis2 2 2 10 2" xfId="7729"/>
    <cellStyle name="20% - Énfasis2 2 2 11" xfId="5678"/>
    <cellStyle name="20% - Énfasis2 2 2 2" xfId="166"/>
    <cellStyle name="20% - Énfasis2 2 2 2 2" xfId="167"/>
    <cellStyle name="20% - Énfasis2 2 2 2 2 2" xfId="168"/>
    <cellStyle name="20% - Énfasis2 2 2 2 2 2 2" xfId="3632"/>
    <cellStyle name="20% - Énfasis2 2 2 2 2 2 2 2" xfId="7732"/>
    <cellStyle name="20% - Énfasis2 2 2 2 2 2 3" xfId="5681"/>
    <cellStyle name="20% - Énfasis2 2 2 2 2 3" xfId="3631"/>
    <cellStyle name="20% - Énfasis2 2 2 2 2 3 2" xfId="7731"/>
    <cellStyle name="20% - Énfasis2 2 2 2 2 4" xfId="5680"/>
    <cellStyle name="20% - Énfasis2 2 2 2 3" xfId="169"/>
    <cellStyle name="20% - Énfasis2 2 2 2 3 2" xfId="170"/>
    <cellStyle name="20% - Énfasis2 2 2 2 3 2 2" xfId="3634"/>
    <cellStyle name="20% - Énfasis2 2 2 2 3 2 2 2" xfId="7734"/>
    <cellStyle name="20% - Énfasis2 2 2 2 3 2 3" xfId="5683"/>
    <cellStyle name="20% - Énfasis2 2 2 2 3 3" xfId="3633"/>
    <cellStyle name="20% - Énfasis2 2 2 2 3 3 2" xfId="7733"/>
    <cellStyle name="20% - Énfasis2 2 2 2 3 4" xfId="5682"/>
    <cellStyle name="20% - Énfasis2 2 2 2 4" xfId="171"/>
    <cellStyle name="20% - Énfasis2 2 2 2 4 2" xfId="3635"/>
    <cellStyle name="20% - Énfasis2 2 2 2 4 2 2" xfId="7735"/>
    <cellStyle name="20% - Énfasis2 2 2 2 4 3" xfId="5684"/>
    <cellStyle name="20% - Énfasis2 2 2 2 5" xfId="3630"/>
    <cellStyle name="20% - Énfasis2 2 2 2 5 2" xfId="7730"/>
    <cellStyle name="20% - Énfasis2 2 2 2 6" xfId="5679"/>
    <cellStyle name="20% - Énfasis2 2 2 3" xfId="172"/>
    <cellStyle name="20% - Énfasis2 2 2 3 2" xfId="173"/>
    <cellStyle name="20% - Énfasis2 2 2 3 2 2" xfId="3637"/>
    <cellStyle name="20% - Énfasis2 2 2 3 2 2 2" xfId="7737"/>
    <cellStyle name="20% - Énfasis2 2 2 3 2 3" xfId="5686"/>
    <cellStyle name="20% - Énfasis2 2 2 3 3" xfId="3636"/>
    <cellStyle name="20% - Énfasis2 2 2 3 3 2" xfId="7736"/>
    <cellStyle name="20% - Énfasis2 2 2 3 4" xfId="5685"/>
    <cellStyle name="20% - Énfasis2 2 2 4" xfId="174"/>
    <cellStyle name="20% - Énfasis2 2 2 4 2" xfId="175"/>
    <cellStyle name="20% - Énfasis2 2 2 4 2 2" xfId="3639"/>
    <cellStyle name="20% - Énfasis2 2 2 4 2 2 2" xfId="7739"/>
    <cellStyle name="20% - Énfasis2 2 2 4 2 3" xfId="5688"/>
    <cellStyle name="20% - Énfasis2 2 2 4 3" xfId="3638"/>
    <cellStyle name="20% - Énfasis2 2 2 4 3 2" xfId="7738"/>
    <cellStyle name="20% - Énfasis2 2 2 4 4" xfId="5687"/>
    <cellStyle name="20% - Énfasis2 2 2 5" xfId="176"/>
    <cellStyle name="20% - Énfasis2 2 2 5 2" xfId="177"/>
    <cellStyle name="20% - Énfasis2 2 2 5 2 2" xfId="3641"/>
    <cellStyle name="20% - Énfasis2 2 2 5 2 2 2" xfId="7741"/>
    <cellStyle name="20% - Énfasis2 2 2 5 2 3" xfId="5690"/>
    <cellStyle name="20% - Énfasis2 2 2 5 3" xfId="3640"/>
    <cellStyle name="20% - Énfasis2 2 2 5 3 2" xfId="7740"/>
    <cellStyle name="20% - Énfasis2 2 2 5 4" xfId="5689"/>
    <cellStyle name="20% - Énfasis2 2 2 6" xfId="178"/>
    <cellStyle name="20% - Énfasis2 2 2 6 2" xfId="179"/>
    <cellStyle name="20% - Énfasis2 2 2 6 2 2" xfId="3643"/>
    <cellStyle name="20% - Énfasis2 2 2 6 2 2 2" xfId="7743"/>
    <cellStyle name="20% - Énfasis2 2 2 6 2 3" xfId="5692"/>
    <cellStyle name="20% - Énfasis2 2 2 6 3" xfId="3642"/>
    <cellStyle name="20% - Énfasis2 2 2 6 3 2" xfId="7742"/>
    <cellStyle name="20% - Énfasis2 2 2 6 4" xfId="5691"/>
    <cellStyle name="20% - Énfasis2 2 2 7" xfId="180"/>
    <cellStyle name="20% - Énfasis2 2 2 7 2" xfId="181"/>
    <cellStyle name="20% - Énfasis2 2 2 7 2 2" xfId="3645"/>
    <cellStyle name="20% - Énfasis2 2 2 7 2 2 2" xfId="7745"/>
    <cellStyle name="20% - Énfasis2 2 2 7 2 3" xfId="5694"/>
    <cellStyle name="20% - Énfasis2 2 2 7 3" xfId="3644"/>
    <cellStyle name="20% - Énfasis2 2 2 7 3 2" xfId="7744"/>
    <cellStyle name="20% - Énfasis2 2 2 7 4" xfId="5693"/>
    <cellStyle name="20% - Énfasis2 2 2 8" xfId="182"/>
    <cellStyle name="20% - Énfasis2 2 2 8 2" xfId="183"/>
    <cellStyle name="20% - Énfasis2 2 2 8 2 2" xfId="3647"/>
    <cellStyle name="20% - Énfasis2 2 2 8 2 2 2" xfId="7747"/>
    <cellStyle name="20% - Énfasis2 2 2 8 2 3" xfId="5696"/>
    <cellStyle name="20% - Énfasis2 2 2 8 3" xfId="3646"/>
    <cellStyle name="20% - Énfasis2 2 2 8 3 2" xfId="7746"/>
    <cellStyle name="20% - Énfasis2 2 2 8 4" xfId="5695"/>
    <cellStyle name="20% - Énfasis2 2 2 9" xfId="184"/>
    <cellStyle name="20% - Énfasis2 2 2 9 2" xfId="3648"/>
    <cellStyle name="20% - Énfasis2 2 2 9 2 2" xfId="7748"/>
    <cellStyle name="20% - Énfasis2 2 2 9 3" xfId="5697"/>
    <cellStyle name="20% - Énfasis2 2 3" xfId="185"/>
    <cellStyle name="20% - Énfasis2 2 3 10" xfId="3649"/>
    <cellStyle name="20% - Énfasis2 2 3 10 2" xfId="7749"/>
    <cellStyle name="20% - Énfasis2 2 3 11" xfId="5698"/>
    <cellStyle name="20% - Énfasis2 2 3 2" xfId="186"/>
    <cellStyle name="20% - Énfasis2 2 3 2 2" xfId="187"/>
    <cellStyle name="20% - Énfasis2 2 3 2 2 2" xfId="188"/>
    <cellStyle name="20% - Énfasis2 2 3 2 2 2 2" xfId="3652"/>
    <cellStyle name="20% - Énfasis2 2 3 2 2 2 2 2" xfId="7752"/>
    <cellStyle name="20% - Énfasis2 2 3 2 2 2 3" xfId="5701"/>
    <cellStyle name="20% - Énfasis2 2 3 2 2 3" xfId="3651"/>
    <cellStyle name="20% - Énfasis2 2 3 2 2 3 2" xfId="7751"/>
    <cellStyle name="20% - Énfasis2 2 3 2 2 4" xfId="5700"/>
    <cellStyle name="20% - Énfasis2 2 3 2 3" xfId="189"/>
    <cellStyle name="20% - Énfasis2 2 3 2 3 2" xfId="190"/>
    <cellStyle name="20% - Énfasis2 2 3 2 3 2 2" xfId="3654"/>
    <cellStyle name="20% - Énfasis2 2 3 2 3 2 2 2" xfId="7754"/>
    <cellStyle name="20% - Énfasis2 2 3 2 3 2 3" xfId="5703"/>
    <cellStyle name="20% - Énfasis2 2 3 2 3 3" xfId="3653"/>
    <cellStyle name="20% - Énfasis2 2 3 2 3 3 2" xfId="7753"/>
    <cellStyle name="20% - Énfasis2 2 3 2 3 4" xfId="5702"/>
    <cellStyle name="20% - Énfasis2 2 3 2 4" xfId="191"/>
    <cellStyle name="20% - Énfasis2 2 3 2 4 2" xfId="3655"/>
    <cellStyle name="20% - Énfasis2 2 3 2 4 2 2" xfId="7755"/>
    <cellStyle name="20% - Énfasis2 2 3 2 4 3" xfId="5704"/>
    <cellStyle name="20% - Énfasis2 2 3 2 5" xfId="3650"/>
    <cellStyle name="20% - Énfasis2 2 3 2 5 2" xfId="7750"/>
    <cellStyle name="20% - Énfasis2 2 3 2 6" xfId="5699"/>
    <cellStyle name="20% - Énfasis2 2 3 3" xfId="192"/>
    <cellStyle name="20% - Énfasis2 2 3 3 2" xfId="193"/>
    <cellStyle name="20% - Énfasis2 2 3 3 2 2" xfId="3657"/>
    <cellStyle name="20% - Énfasis2 2 3 3 2 2 2" xfId="7757"/>
    <cellStyle name="20% - Énfasis2 2 3 3 2 3" xfId="5706"/>
    <cellStyle name="20% - Énfasis2 2 3 3 3" xfId="3656"/>
    <cellStyle name="20% - Énfasis2 2 3 3 3 2" xfId="7756"/>
    <cellStyle name="20% - Énfasis2 2 3 3 4" xfId="5705"/>
    <cellStyle name="20% - Énfasis2 2 3 4" xfId="194"/>
    <cellStyle name="20% - Énfasis2 2 3 4 2" xfId="195"/>
    <cellStyle name="20% - Énfasis2 2 3 4 2 2" xfId="3659"/>
    <cellStyle name="20% - Énfasis2 2 3 4 2 2 2" xfId="7759"/>
    <cellStyle name="20% - Énfasis2 2 3 4 2 3" xfId="5708"/>
    <cellStyle name="20% - Énfasis2 2 3 4 3" xfId="3658"/>
    <cellStyle name="20% - Énfasis2 2 3 4 3 2" xfId="7758"/>
    <cellStyle name="20% - Énfasis2 2 3 4 4" xfId="5707"/>
    <cellStyle name="20% - Énfasis2 2 3 5" xfId="196"/>
    <cellStyle name="20% - Énfasis2 2 3 5 2" xfId="197"/>
    <cellStyle name="20% - Énfasis2 2 3 5 2 2" xfId="3661"/>
    <cellStyle name="20% - Énfasis2 2 3 5 2 2 2" xfId="7761"/>
    <cellStyle name="20% - Énfasis2 2 3 5 2 3" xfId="5710"/>
    <cellStyle name="20% - Énfasis2 2 3 5 3" xfId="3660"/>
    <cellStyle name="20% - Énfasis2 2 3 5 3 2" xfId="7760"/>
    <cellStyle name="20% - Énfasis2 2 3 5 4" xfId="5709"/>
    <cellStyle name="20% - Énfasis2 2 3 6" xfId="198"/>
    <cellStyle name="20% - Énfasis2 2 3 6 2" xfId="199"/>
    <cellStyle name="20% - Énfasis2 2 3 6 2 2" xfId="3663"/>
    <cellStyle name="20% - Énfasis2 2 3 6 2 2 2" xfId="7763"/>
    <cellStyle name="20% - Énfasis2 2 3 6 2 3" xfId="5712"/>
    <cellStyle name="20% - Énfasis2 2 3 6 3" xfId="3662"/>
    <cellStyle name="20% - Énfasis2 2 3 6 3 2" xfId="7762"/>
    <cellStyle name="20% - Énfasis2 2 3 6 4" xfId="5711"/>
    <cellStyle name="20% - Énfasis2 2 3 7" xfId="200"/>
    <cellStyle name="20% - Énfasis2 2 3 7 2" xfId="201"/>
    <cellStyle name="20% - Énfasis2 2 3 7 2 2" xfId="3665"/>
    <cellStyle name="20% - Énfasis2 2 3 7 2 2 2" xfId="7765"/>
    <cellStyle name="20% - Énfasis2 2 3 7 2 3" xfId="5714"/>
    <cellStyle name="20% - Énfasis2 2 3 7 3" xfId="3664"/>
    <cellStyle name="20% - Énfasis2 2 3 7 3 2" xfId="7764"/>
    <cellStyle name="20% - Énfasis2 2 3 7 4" xfId="5713"/>
    <cellStyle name="20% - Énfasis2 2 3 8" xfId="202"/>
    <cellStyle name="20% - Énfasis2 2 3 8 2" xfId="203"/>
    <cellStyle name="20% - Énfasis2 2 3 8 2 2" xfId="3667"/>
    <cellStyle name="20% - Énfasis2 2 3 8 2 2 2" xfId="7767"/>
    <cellStyle name="20% - Énfasis2 2 3 8 2 3" xfId="5716"/>
    <cellStyle name="20% - Énfasis2 2 3 8 3" xfId="3666"/>
    <cellStyle name="20% - Énfasis2 2 3 8 3 2" xfId="7766"/>
    <cellStyle name="20% - Énfasis2 2 3 8 4" xfId="5715"/>
    <cellStyle name="20% - Énfasis2 2 3 9" xfId="204"/>
    <cellStyle name="20% - Énfasis2 2 3 9 2" xfId="3668"/>
    <cellStyle name="20% - Énfasis2 2 3 9 2 2" xfId="7768"/>
    <cellStyle name="20% - Énfasis2 2 3 9 3" xfId="5717"/>
    <cellStyle name="20% - Énfasis2 2 4" xfId="205"/>
    <cellStyle name="20% - Énfasis2 2 4 2" xfId="206"/>
    <cellStyle name="20% - Énfasis2 2 4 2 2" xfId="207"/>
    <cellStyle name="20% - Énfasis2 2 4 2 2 2" xfId="3671"/>
    <cellStyle name="20% - Énfasis2 2 4 2 2 2 2" xfId="7771"/>
    <cellStyle name="20% - Énfasis2 2 4 2 2 3" xfId="5720"/>
    <cellStyle name="20% - Énfasis2 2 4 2 3" xfId="3670"/>
    <cellStyle name="20% - Énfasis2 2 4 2 3 2" xfId="7770"/>
    <cellStyle name="20% - Énfasis2 2 4 2 4" xfId="5719"/>
    <cellStyle name="20% - Énfasis2 2 4 3" xfId="208"/>
    <cellStyle name="20% - Énfasis2 2 4 3 2" xfId="209"/>
    <cellStyle name="20% - Énfasis2 2 4 3 2 2" xfId="3673"/>
    <cellStyle name="20% - Énfasis2 2 4 3 2 2 2" xfId="7773"/>
    <cellStyle name="20% - Énfasis2 2 4 3 2 3" xfId="5722"/>
    <cellStyle name="20% - Énfasis2 2 4 3 3" xfId="3672"/>
    <cellStyle name="20% - Énfasis2 2 4 3 3 2" xfId="7772"/>
    <cellStyle name="20% - Énfasis2 2 4 3 4" xfId="5721"/>
    <cellStyle name="20% - Énfasis2 2 4 4" xfId="210"/>
    <cellStyle name="20% - Énfasis2 2 4 4 2" xfId="3674"/>
    <cellStyle name="20% - Énfasis2 2 4 4 2 2" xfId="7774"/>
    <cellStyle name="20% - Énfasis2 2 4 4 3" xfId="5723"/>
    <cellStyle name="20% - Énfasis2 2 4 5" xfId="3669"/>
    <cellStyle name="20% - Énfasis2 2 4 5 2" xfId="7769"/>
    <cellStyle name="20% - Énfasis2 2 4 6" xfId="5718"/>
    <cellStyle name="20% - Énfasis2 2 5" xfId="211"/>
    <cellStyle name="20% - Énfasis2 2 5 2" xfId="212"/>
    <cellStyle name="20% - Énfasis2 2 5 2 2" xfId="3676"/>
    <cellStyle name="20% - Énfasis2 2 5 2 2 2" xfId="7776"/>
    <cellStyle name="20% - Énfasis2 2 5 2 3" xfId="5725"/>
    <cellStyle name="20% - Énfasis2 2 5 3" xfId="3675"/>
    <cellStyle name="20% - Énfasis2 2 5 3 2" xfId="7775"/>
    <cellStyle name="20% - Énfasis2 2 5 4" xfId="5724"/>
    <cellStyle name="20% - Énfasis2 2 6" xfId="213"/>
    <cellStyle name="20% - Énfasis2 2 6 2" xfId="214"/>
    <cellStyle name="20% - Énfasis2 2 6 2 2" xfId="3678"/>
    <cellStyle name="20% - Énfasis2 2 6 2 2 2" xfId="7778"/>
    <cellStyle name="20% - Énfasis2 2 6 2 3" xfId="5727"/>
    <cellStyle name="20% - Énfasis2 2 6 3" xfId="3677"/>
    <cellStyle name="20% - Énfasis2 2 6 3 2" xfId="7777"/>
    <cellStyle name="20% - Énfasis2 2 6 4" xfId="5726"/>
    <cellStyle name="20% - Énfasis2 2 7" xfId="215"/>
    <cellStyle name="20% - Énfasis2 2 7 2" xfId="216"/>
    <cellStyle name="20% - Énfasis2 2 7 2 2" xfId="3680"/>
    <cellStyle name="20% - Énfasis2 2 7 2 2 2" xfId="7780"/>
    <cellStyle name="20% - Énfasis2 2 7 2 3" xfId="5729"/>
    <cellStyle name="20% - Énfasis2 2 7 3" xfId="3679"/>
    <cellStyle name="20% - Énfasis2 2 7 3 2" xfId="7779"/>
    <cellStyle name="20% - Énfasis2 2 7 4" xfId="5728"/>
    <cellStyle name="20% - Énfasis2 2 8" xfId="217"/>
    <cellStyle name="20% - Énfasis2 2 8 2" xfId="218"/>
    <cellStyle name="20% - Énfasis2 2 8 2 2" xfId="3682"/>
    <cellStyle name="20% - Énfasis2 2 8 2 2 2" xfId="7782"/>
    <cellStyle name="20% - Énfasis2 2 8 2 3" xfId="5731"/>
    <cellStyle name="20% - Énfasis2 2 8 3" xfId="3681"/>
    <cellStyle name="20% - Énfasis2 2 8 3 2" xfId="7781"/>
    <cellStyle name="20% - Énfasis2 2 8 4" xfId="5730"/>
    <cellStyle name="20% - Énfasis2 2 9" xfId="219"/>
    <cellStyle name="20% - Énfasis2 2 9 2" xfId="220"/>
    <cellStyle name="20% - Énfasis2 2 9 2 2" xfId="3684"/>
    <cellStyle name="20% - Énfasis2 2 9 2 2 2" xfId="7784"/>
    <cellStyle name="20% - Énfasis2 2 9 2 3" xfId="5733"/>
    <cellStyle name="20% - Énfasis2 2 9 3" xfId="3683"/>
    <cellStyle name="20% - Énfasis2 2 9 3 2" xfId="7783"/>
    <cellStyle name="20% - Énfasis2 2 9 4" xfId="5732"/>
    <cellStyle name="20% - Énfasis2 3" xfId="221"/>
    <cellStyle name="20% - Énfasis2 3 10" xfId="222"/>
    <cellStyle name="20% - Énfasis2 3 10 2" xfId="223"/>
    <cellStyle name="20% - Énfasis2 3 10 2 2" xfId="3687"/>
    <cellStyle name="20% - Énfasis2 3 10 2 2 2" xfId="7787"/>
    <cellStyle name="20% - Énfasis2 3 10 2 3" xfId="5736"/>
    <cellStyle name="20% - Énfasis2 3 10 3" xfId="3686"/>
    <cellStyle name="20% - Énfasis2 3 10 3 2" xfId="7786"/>
    <cellStyle name="20% - Énfasis2 3 10 4" xfId="5735"/>
    <cellStyle name="20% - Énfasis2 3 11" xfId="224"/>
    <cellStyle name="20% - Énfasis2 3 11 2" xfId="3688"/>
    <cellStyle name="20% - Énfasis2 3 11 2 2" xfId="7788"/>
    <cellStyle name="20% - Énfasis2 3 11 3" xfId="5737"/>
    <cellStyle name="20% - Énfasis2 3 12" xfId="3685"/>
    <cellStyle name="20% - Énfasis2 3 12 2" xfId="7785"/>
    <cellStyle name="20% - Énfasis2 3 13" xfId="5734"/>
    <cellStyle name="20% - Énfasis2 3 2" xfId="225"/>
    <cellStyle name="20% - Énfasis2 3 2 10" xfId="3689"/>
    <cellStyle name="20% - Énfasis2 3 2 10 2" xfId="7789"/>
    <cellStyle name="20% - Énfasis2 3 2 11" xfId="5738"/>
    <cellStyle name="20% - Énfasis2 3 2 2" xfId="226"/>
    <cellStyle name="20% - Énfasis2 3 2 2 2" xfId="227"/>
    <cellStyle name="20% - Énfasis2 3 2 2 2 2" xfId="228"/>
    <cellStyle name="20% - Énfasis2 3 2 2 2 2 2" xfId="3692"/>
    <cellStyle name="20% - Énfasis2 3 2 2 2 2 2 2" xfId="7792"/>
    <cellStyle name="20% - Énfasis2 3 2 2 2 2 3" xfId="5741"/>
    <cellStyle name="20% - Énfasis2 3 2 2 2 3" xfId="3691"/>
    <cellStyle name="20% - Énfasis2 3 2 2 2 3 2" xfId="7791"/>
    <cellStyle name="20% - Énfasis2 3 2 2 2 4" xfId="5740"/>
    <cellStyle name="20% - Énfasis2 3 2 2 3" xfId="229"/>
    <cellStyle name="20% - Énfasis2 3 2 2 3 2" xfId="230"/>
    <cellStyle name="20% - Énfasis2 3 2 2 3 2 2" xfId="3694"/>
    <cellStyle name="20% - Énfasis2 3 2 2 3 2 2 2" xfId="7794"/>
    <cellStyle name="20% - Énfasis2 3 2 2 3 2 3" xfId="5743"/>
    <cellStyle name="20% - Énfasis2 3 2 2 3 3" xfId="3693"/>
    <cellStyle name="20% - Énfasis2 3 2 2 3 3 2" xfId="7793"/>
    <cellStyle name="20% - Énfasis2 3 2 2 3 4" xfId="5742"/>
    <cellStyle name="20% - Énfasis2 3 2 2 4" xfId="231"/>
    <cellStyle name="20% - Énfasis2 3 2 2 4 2" xfId="3695"/>
    <cellStyle name="20% - Énfasis2 3 2 2 4 2 2" xfId="7795"/>
    <cellStyle name="20% - Énfasis2 3 2 2 4 3" xfId="5744"/>
    <cellStyle name="20% - Énfasis2 3 2 2 5" xfId="3690"/>
    <cellStyle name="20% - Énfasis2 3 2 2 5 2" xfId="7790"/>
    <cellStyle name="20% - Énfasis2 3 2 2 6" xfId="5739"/>
    <cellStyle name="20% - Énfasis2 3 2 3" xfId="232"/>
    <cellStyle name="20% - Énfasis2 3 2 3 2" xfId="233"/>
    <cellStyle name="20% - Énfasis2 3 2 3 2 2" xfId="3697"/>
    <cellStyle name="20% - Énfasis2 3 2 3 2 2 2" xfId="7797"/>
    <cellStyle name="20% - Énfasis2 3 2 3 2 3" xfId="5746"/>
    <cellStyle name="20% - Énfasis2 3 2 3 3" xfId="3696"/>
    <cellStyle name="20% - Énfasis2 3 2 3 3 2" xfId="7796"/>
    <cellStyle name="20% - Énfasis2 3 2 3 4" xfId="5745"/>
    <cellStyle name="20% - Énfasis2 3 2 4" xfId="234"/>
    <cellStyle name="20% - Énfasis2 3 2 4 2" xfId="235"/>
    <cellStyle name="20% - Énfasis2 3 2 4 2 2" xfId="3699"/>
    <cellStyle name="20% - Énfasis2 3 2 4 2 2 2" xfId="7799"/>
    <cellStyle name="20% - Énfasis2 3 2 4 2 3" xfId="5748"/>
    <cellStyle name="20% - Énfasis2 3 2 4 3" xfId="3698"/>
    <cellStyle name="20% - Énfasis2 3 2 4 3 2" xfId="7798"/>
    <cellStyle name="20% - Énfasis2 3 2 4 4" xfId="5747"/>
    <cellStyle name="20% - Énfasis2 3 2 5" xfId="236"/>
    <cellStyle name="20% - Énfasis2 3 2 5 2" xfId="237"/>
    <cellStyle name="20% - Énfasis2 3 2 5 2 2" xfId="3701"/>
    <cellStyle name="20% - Énfasis2 3 2 5 2 2 2" xfId="7801"/>
    <cellStyle name="20% - Énfasis2 3 2 5 2 3" xfId="5750"/>
    <cellStyle name="20% - Énfasis2 3 2 5 3" xfId="3700"/>
    <cellStyle name="20% - Énfasis2 3 2 5 3 2" xfId="7800"/>
    <cellStyle name="20% - Énfasis2 3 2 5 4" xfId="5749"/>
    <cellStyle name="20% - Énfasis2 3 2 6" xfId="238"/>
    <cellStyle name="20% - Énfasis2 3 2 6 2" xfId="239"/>
    <cellStyle name="20% - Énfasis2 3 2 6 2 2" xfId="3703"/>
    <cellStyle name="20% - Énfasis2 3 2 6 2 2 2" xfId="7803"/>
    <cellStyle name="20% - Énfasis2 3 2 6 2 3" xfId="5752"/>
    <cellStyle name="20% - Énfasis2 3 2 6 3" xfId="3702"/>
    <cellStyle name="20% - Énfasis2 3 2 6 3 2" xfId="7802"/>
    <cellStyle name="20% - Énfasis2 3 2 6 4" xfId="5751"/>
    <cellStyle name="20% - Énfasis2 3 2 7" xfId="240"/>
    <cellStyle name="20% - Énfasis2 3 2 7 2" xfId="241"/>
    <cellStyle name="20% - Énfasis2 3 2 7 2 2" xfId="3705"/>
    <cellStyle name="20% - Énfasis2 3 2 7 2 2 2" xfId="7805"/>
    <cellStyle name="20% - Énfasis2 3 2 7 2 3" xfId="5754"/>
    <cellStyle name="20% - Énfasis2 3 2 7 3" xfId="3704"/>
    <cellStyle name="20% - Énfasis2 3 2 7 3 2" xfId="7804"/>
    <cellStyle name="20% - Énfasis2 3 2 7 4" xfId="5753"/>
    <cellStyle name="20% - Énfasis2 3 2 8" xfId="242"/>
    <cellStyle name="20% - Énfasis2 3 2 8 2" xfId="243"/>
    <cellStyle name="20% - Énfasis2 3 2 8 2 2" xfId="3707"/>
    <cellStyle name="20% - Énfasis2 3 2 8 2 2 2" xfId="7807"/>
    <cellStyle name="20% - Énfasis2 3 2 8 2 3" xfId="5756"/>
    <cellStyle name="20% - Énfasis2 3 2 8 3" xfId="3706"/>
    <cellStyle name="20% - Énfasis2 3 2 8 3 2" xfId="7806"/>
    <cellStyle name="20% - Énfasis2 3 2 8 4" xfId="5755"/>
    <cellStyle name="20% - Énfasis2 3 2 9" xfId="244"/>
    <cellStyle name="20% - Énfasis2 3 2 9 2" xfId="3708"/>
    <cellStyle name="20% - Énfasis2 3 2 9 2 2" xfId="7808"/>
    <cellStyle name="20% - Énfasis2 3 2 9 3" xfId="5757"/>
    <cellStyle name="20% - Énfasis2 3 3" xfId="245"/>
    <cellStyle name="20% - Énfasis2 3 3 10" xfId="3709"/>
    <cellStyle name="20% - Énfasis2 3 3 10 2" xfId="7809"/>
    <cellStyle name="20% - Énfasis2 3 3 11" xfId="5758"/>
    <cellStyle name="20% - Énfasis2 3 3 2" xfId="246"/>
    <cellStyle name="20% - Énfasis2 3 3 2 2" xfId="247"/>
    <cellStyle name="20% - Énfasis2 3 3 2 2 2" xfId="248"/>
    <cellStyle name="20% - Énfasis2 3 3 2 2 2 2" xfId="3712"/>
    <cellStyle name="20% - Énfasis2 3 3 2 2 2 2 2" xfId="7812"/>
    <cellStyle name="20% - Énfasis2 3 3 2 2 2 3" xfId="5761"/>
    <cellStyle name="20% - Énfasis2 3 3 2 2 3" xfId="3711"/>
    <cellStyle name="20% - Énfasis2 3 3 2 2 3 2" xfId="7811"/>
    <cellStyle name="20% - Énfasis2 3 3 2 2 4" xfId="5760"/>
    <cellStyle name="20% - Énfasis2 3 3 2 3" xfId="249"/>
    <cellStyle name="20% - Énfasis2 3 3 2 3 2" xfId="250"/>
    <cellStyle name="20% - Énfasis2 3 3 2 3 2 2" xfId="3714"/>
    <cellStyle name="20% - Énfasis2 3 3 2 3 2 2 2" xfId="7814"/>
    <cellStyle name="20% - Énfasis2 3 3 2 3 2 3" xfId="5763"/>
    <cellStyle name="20% - Énfasis2 3 3 2 3 3" xfId="3713"/>
    <cellStyle name="20% - Énfasis2 3 3 2 3 3 2" xfId="7813"/>
    <cellStyle name="20% - Énfasis2 3 3 2 3 4" xfId="5762"/>
    <cellStyle name="20% - Énfasis2 3 3 2 4" xfId="251"/>
    <cellStyle name="20% - Énfasis2 3 3 2 4 2" xfId="3715"/>
    <cellStyle name="20% - Énfasis2 3 3 2 4 2 2" xfId="7815"/>
    <cellStyle name="20% - Énfasis2 3 3 2 4 3" xfId="5764"/>
    <cellStyle name="20% - Énfasis2 3 3 2 5" xfId="3710"/>
    <cellStyle name="20% - Énfasis2 3 3 2 5 2" xfId="7810"/>
    <cellStyle name="20% - Énfasis2 3 3 2 6" xfId="5759"/>
    <cellStyle name="20% - Énfasis2 3 3 3" xfId="252"/>
    <cellStyle name="20% - Énfasis2 3 3 3 2" xfId="253"/>
    <cellStyle name="20% - Énfasis2 3 3 3 2 2" xfId="3717"/>
    <cellStyle name="20% - Énfasis2 3 3 3 2 2 2" xfId="7817"/>
    <cellStyle name="20% - Énfasis2 3 3 3 2 3" xfId="5766"/>
    <cellStyle name="20% - Énfasis2 3 3 3 3" xfId="3716"/>
    <cellStyle name="20% - Énfasis2 3 3 3 3 2" xfId="7816"/>
    <cellStyle name="20% - Énfasis2 3 3 3 4" xfId="5765"/>
    <cellStyle name="20% - Énfasis2 3 3 4" xfId="254"/>
    <cellStyle name="20% - Énfasis2 3 3 4 2" xfId="255"/>
    <cellStyle name="20% - Énfasis2 3 3 4 2 2" xfId="3719"/>
    <cellStyle name="20% - Énfasis2 3 3 4 2 2 2" xfId="7819"/>
    <cellStyle name="20% - Énfasis2 3 3 4 2 3" xfId="5768"/>
    <cellStyle name="20% - Énfasis2 3 3 4 3" xfId="3718"/>
    <cellStyle name="20% - Énfasis2 3 3 4 3 2" xfId="7818"/>
    <cellStyle name="20% - Énfasis2 3 3 4 4" xfId="5767"/>
    <cellStyle name="20% - Énfasis2 3 3 5" xfId="256"/>
    <cellStyle name="20% - Énfasis2 3 3 5 2" xfId="257"/>
    <cellStyle name="20% - Énfasis2 3 3 5 2 2" xfId="3721"/>
    <cellStyle name="20% - Énfasis2 3 3 5 2 2 2" xfId="7821"/>
    <cellStyle name="20% - Énfasis2 3 3 5 2 3" xfId="5770"/>
    <cellStyle name="20% - Énfasis2 3 3 5 3" xfId="3720"/>
    <cellStyle name="20% - Énfasis2 3 3 5 3 2" xfId="7820"/>
    <cellStyle name="20% - Énfasis2 3 3 5 4" xfId="5769"/>
    <cellStyle name="20% - Énfasis2 3 3 6" xfId="258"/>
    <cellStyle name="20% - Énfasis2 3 3 6 2" xfId="259"/>
    <cellStyle name="20% - Énfasis2 3 3 6 2 2" xfId="3723"/>
    <cellStyle name="20% - Énfasis2 3 3 6 2 2 2" xfId="7823"/>
    <cellStyle name="20% - Énfasis2 3 3 6 2 3" xfId="5772"/>
    <cellStyle name="20% - Énfasis2 3 3 6 3" xfId="3722"/>
    <cellStyle name="20% - Énfasis2 3 3 6 3 2" xfId="7822"/>
    <cellStyle name="20% - Énfasis2 3 3 6 4" xfId="5771"/>
    <cellStyle name="20% - Énfasis2 3 3 7" xfId="260"/>
    <cellStyle name="20% - Énfasis2 3 3 7 2" xfId="261"/>
    <cellStyle name="20% - Énfasis2 3 3 7 2 2" xfId="3725"/>
    <cellStyle name="20% - Énfasis2 3 3 7 2 2 2" xfId="7825"/>
    <cellStyle name="20% - Énfasis2 3 3 7 2 3" xfId="5774"/>
    <cellStyle name="20% - Énfasis2 3 3 7 3" xfId="3724"/>
    <cellStyle name="20% - Énfasis2 3 3 7 3 2" xfId="7824"/>
    <cellStyle name="20% - Énfasis2 3 3 7 4" xfId="5773"/>
    <cellStyle name="20% - Énfasis2 3 3 8" xfId="262"/>
    <cellStyle name="20% - Énfasis2 3 3 8 2" xfId="263"/>
    <cellStyle name="20% - Énfasis2 3 3 8 2 2" xfId="3727"/>
    <cellStyle name="20% - Énfasis2 3 3 8 2 2 2" xfId="7827"/>
    <cellStyle name="20% - Énfasis2 3 3 8 2 3" xfId="5776"/>
    <cellStyle name="20% - Énfasis2 3 3 8 3" xfId="3726"/>
    <cellStyle name="20% - Énfasis2 3 3 8 3 2" xfId="7826"/>
    <cellStyle name="20% - Énfasis2 3 3 8 4" xfId="5775"/>
    <cellStyle name="20% - Énfasis2 3 3 9" xfId="264"/>
    <cellStyle name="20% - Énfasis2 3 3 9 2" xfId="3728"/>
    <cellStyle name="20% - Énfasis2 3 3 9 2 2" xfId="7828"/>
    <cellStyle name="20% - Énfasis2 3 3 9 3" xfId="5777"/>
    <cellStyle name="20% - Énfasis2 3 4" xfId="265"/>
    <cellStyle name="20% - Énfasis2 3 4 2" xfId="266"/>
    <cellStyle name="20% - Énfasis2 3 4 2 2" xfId="267"/>
    <cellStyle name="20% - Énfasis2 3 4 2 2 2" xfId="3731"/>
    <cellStyle name="20% - Énfasis2 3 4 2 2 2 2" xfId="7831"/>
    <cellStyle name="20% - Énfasis2 3 4 2 2 3" xfId="5780"/>
    <cellStyle name="20% - Énfasis2 3 4 2 3" xfId="3730"/>
    <cellStyle name="20% - Énfasis2 3 4 2 3 2" xfId="7830"/>
    <cellStyle name="20% - Énfasis2 3 4 2 4" xfId="5779"/>
    <cellStyle name="20% - Énfasis2 3 4 3" xfId="268"/>
    <cellStyle name="20% - Énfasis2 3 4 3 2" xfId="269"/>
    <cellStyle name="20% - Énfasis2 3 4 3 2 2" xfId="3733"/>
    <cellStyle name="20% - Énfasis2 3 4 3 2 2 2" xfId="7833"/>
    <cellStyle name="20% - Énfasis2 3 4 3 2 3" xfId="5782"/>
    <cellStyle name="20% - Énfasis2 3 4 3 3" xfId="3732"/>
    <cellStyle name="20% - Énfasis2 3 4 3 3 2" xfId="7832"/>
    <cellStyle name="20% - Énfasis2 3 4 3 4" xfId="5781"/>
    <cellStyle name="20% - Énfasis2 3 4 4" xfId="270"/>
    <cellStyle name="20% - Énfasis2 3 4 4 2" xfId="3734"/>
    <cellStyle name="20% - Énfasis2 3 4 4 2 2" xfId="7834"/>
    <cellStyle name="20% - Énfasis2 3 4 4 3" xfId="5783"/>
    <cellStyle name="20% - Énfasis2 3 4 5" xfId="3729"/>
    <cellStyle name="20% - Énfasis2 3 4 5 2" xfId="7829"/>
    <cellStyle name="20% - Énfasis2 3 4 6" xfId="5778"/>
    <cellStyle name="20% - Énfasis2 3 5" xfId="271"/>
    <cellStyle name="20% - Énfasis2 3 5 2" xfId="272"/>
    <cellStyle name="20% - Énfasis2 3 5 2 2" xfId="3736"/>
    <cellStyle name="20% - Énfasis2 3 5 2 2 2" xfId="7836"/>
    <cellStyle name="20% - Énfasis2 3 5 2 3" xfId="5785"/>
    <cellStyle name="20% - Énfasis2 3 5 3" xfId="3735"/>
    <cellStyle name="20% - Énfasis2 3 5 3 2" xfId="7835"/>
    <cellStyle name="20% - Énfasis2 3 5 4" xfId="5784"/>
    <cellStyle name="20% - Énfasis2 3 6" xfId="273"/>
    <cellStyle name="20% - Énfasis2 3 6 2" xfId="274"/>
    <cellStyle name="20% - Énfasis2 3 6 2 2" xfId="3738"/>
    <cellStyle name="20% - Énfasis2 3 6 2 2 2" xfId="7838"/>
    <cellStyle name="20% - Énfasis2 3 6 2 3" xfId="5787"/>
    <cellStyle name="20% - Énfasis2 3 6 3" xfId="3737"/>
    <cellStyle name="20% - Énfasis2 3 6 3 2" xfId="7837"/>
    <cellStyle name="20% - Énfasis2 3 6 4" xfId="5786"/>
    <cellStyle name="20% - Énfasis2 3 7" xfId="275"/>
    <cellStyle name="20% - Énfasis2 3 7 2" xfId="276"/>
    <cellStyle name="20% - Énfasis2 3 7 2 2" xfId="3740"/>
    <cellStyle name="20% - Énfasis2 3 7 2 2 2" xfId="7840"/>
    <cellStyle name="20% - Énfasis2 3 7 2 3" xfId="5789"/>
    <cellStyle name="20% - Énfasis2 3 7 3" xfId="3739"/>
    <cellStyle name="20% - Énfasis2 3 7 3 2" xfId="7839"/>
    <cellStyle name="20% - Énfasis2 3 7 4" xfId="5788"/>
    <cellStyle name="20% - Énfasis2 3 8" xfId="277"/>
    <cellStyle name="20% - Énfasis2 3 8 2" xfId="278"/>
    <cellStyle name="20% - Énfasis2 3 8 2 2" xfId="3742"/>
    <cellStyle name="20% - Énfasis2 3 8 2 2 2" xfId="7842"/>
    <cellStyle name="20% - Énfasis2 3 8 2 3" xfId="5791"/>
    <cellStyle name="20% - Énfasis2 3 8 3" xfId="3741"/>
    <cellStyle name="20% - Énfasis2 3 8 3 2" xfId="7841"/>
    <cellStyle name="20% - Énfasis2 3 8 4" xfId="5790"/>
    <cellStyle name="20% - Énfasis2 3 9" xfId="279"/>
    <cellStyle name="20% - Énfasis2 3 9 2" xfId="280"/>
    <cellStyle name="20% - Énfasis2 3 9 2 2" xfId="3744"/>
    <cellStyle name="20% - Énfasis2 3 9 2 2 2" xfId="7844"/>
    <cellStyle name="20% - Énfasis2 3 9 2 3" xfId="5793"/>
    <cellStyle name="20% - Énfasis2 3 9 3" xfId="3743"/>
    <cellStyle name="20% - Énfasis2 3 9 3 2" xfId="7843"/>
    <cellStyle name="20% - Énfasis2 3 9 4" xfId="5792"/>
    <cellStyle name="20% - Énfasis2 4" xfId="281"/>
    <cellStyle name="20% - Énfasis2 4 10" xfId="3745"/>
    <cellStyle name="20% - Énfasis2 4 10 2" xfId="7845"/>
    <cellStyle name="20% - Énfasis2 4 11" xfId="5794"/>
    <cellStyle name="20% - Énfasis2 4 2" xfId="282"/>
    <cellStyle name="20% - Énfasis2 4 2 2" xfId="283"/>
    <cellStyle name="20% - Énfasis2 4 2 2 2" xfId="284"/>
    <cellStyle name="20% - Énfasis2 4 2 2 2 2" xfId="3748"/>
    <cellStyle name="20% - Énfasis2 4 2 2 2 2 2" xfId="7848"/>
    <cellStyle name="20% - Énfasis2 4 2 2 2 3" xfId="5797"/>
    <cellStyle name="20% - Énfasis2 4 2 2 3" xfId="3747"/>
    <cellStyle name="20% - Énfasis2 4 2 2 3 2" xfId="7847"/>
    <cellStyle name="20% - Énfasis2 4 2 2 4" xfId="5796"/>
    <cellStyle name="20% - Énfasis2 4 2 3" xfId="285"/>
    <cellStyle name="20% - Énfasis2 4 2 3 2" xfId="286"/>
    <cellStyle name="20% - Énfasis2 4 2 3 2 2" xfId="3750"/>
    <cellStyle name="20% - Énfasis2 4 2 3 2 2 2" xfId="7850"/>
    <cellStyle name="20% - Énfasis2 4 2 3 2 3" xfId="5799"/>
    <cellStyle name="20% - Énfasis2 4 2 3 3" xfId="3749"/>
    <cellStyle name="20% - Énfasis2 4 2 3 3 2" xfId="7849"/>
    <cellStyle name="20% - Énfasis2 4 2 3 4" xfId="5798"/>
    <cellStyle name="20% - Énfasis2 4 2 4" xfId="287"/>
    <cellStyle name="20% - Énfasis2 4 2 4 2" xfId="3751"/>
    <cellStyle name="20% - Énfasis2 4 2 4 2 2" xfId="7851"/>
    <cellStyle name="20% - Énfasis2 4 2 4 3" xfId="5800"/>
    <cellStyle name="20% - Énfasis2 4 2 5" xfId="3746"/>
    <cellStyle name="20% - Énfasis2 4 2 5 2" xfId="7846"/>
    <cellStyle name="20% - Énfasis2 4 2 6" xfId="5795"/>
    <cellStyle name="20% - Énfasis2 4 3" xfId="288"/>
    <cellStyle name="20% - Énfasis2 4 3 2" xfId="289"/>
    <cellStyle name="20% - Énfasis2 4 3 2 2" xfId="3753"/>
    <cellStyle name="20% - Énfasis2 4 3 2 2 2" xfId="7853"/>
    <cellStyle name="20% - Énfasis2 4 3 2 3" xfId="5802"/>
    <cellStyle name="20% - Énfasis2 4 3 3" xfId="3752"/>
    <cellStyle name="20% - Énfasis2 4 3 3 2" xfId="7852"/>
    <cellStyle name="20% - Énfasis2 4 3 4" xfId="5801"/>
    <cellStyle name="20% - Énfasis2 4 4" xfId="290"/>
    <cellStyle name="20% - Énfasis2 4 4 2" xfId="291"/>
    <cellStyle name="20% - Énfasis2 4 4 2 2" xfId="3755"/>
    <cellStyle name="20% - Énfasis2 4 4 2 2 2" xfId="7855"/>
    <cellStyle name="20% - Énfasis2 4 4 2 3" xfId="5804"/>
    <cellStyle name="20% - Énfasis2 4 4 3" xfId="3754"/>
    <cellStyle name="20% - Énfasis2 4 4 3 2" xfId="7854"/>
    <cellStyle name="20% - Énfasis2 4 4 4" xfId="5803"/>
    <cellStyle name="20% - Énfasis2 4 5" xfId="292"/>
    <cellStyle name="20% - Énfasis2 4 5 2" xfId="293"/>
    <cellStyle name="20% - Énfasis2 4 5 2 2" xfId="3757"/>
    <cellStyle name="20% - Énfasis2 4 5 2 2 2" xfId="7857"/>
    <cellStyle name="20% - Énfasis2 4 5 2 3" xfId="5806"/>
    <cellStyle name="20% - Énfasis2 4 5 3" xfId="3756"/>
    <cellStyle name="20% - Énfasis2 4 5 3 2" xfId="7856"/>
    <cellStyle name="20% - Énfasis2 4 5 4" xfId="5805"/>
    <cellStyle name="20% - Énfasis2 4 6" xfId="294"/>
    <cellStyle name="20% - Énfasis2 4 6 2" xfId="295"/>
    <cellStyle name="20% - Énfasis2 4 6 2 2" xfId="3759"/>
    <cellStyle name="20% - Énfasis2 4 6 2 2 2" xfId="7859"/>
    <cellStyle name="20% - Énfasis2 4 6 2 3" xfId="5808"/>
    <cellStyle name="20% - Énfasis2 4 6 3" xfId="3758"/>
    <cellStyle name="20% - Énfasis2 4 6 3 2" xfId="7858"/>
    <cellStyle name="20% - Énfasis2 4 6 4" xfId="5807"/>
    <cellStyle name="20% - Énfasis2 4 7" xfId="296"/>
    <cellStyle name="20% - Énfasis2 4 7 2" xfId="297"/>
    <cellStyle name="20% - Énfasis2 4 7 2 2" xfId="3761"/>
    <cellStyle name="20% - Énfasis2 4 7 2 2 2" xfId="7861"/>
    <cellStyle name="20% - Énfasis2 4 7 2 3" xfId="5810"/>
    <cellStyle name="20% - Énfasis2 4 7 3" xfId="3760"/>
    <cellStyle name="20% - Énfasis2 4 7 3 2" xfId="7860"/>
    <cellStyle name="20% - Énfasis2 4 7 4" xfId="5809"/>
    <cellStyle name="20% - Énfasis2 4 8" xfId="298"/>
    <cellStyle name="20% - Énfasis2 4 8 2" xfId="299"/>
    <cellStyle name="20% - Énfasis2 4 8 2 2" xfId="3763"/>
    <cellStyle name="20% - Énfasis2 4 8 2 2 2" xfId="7863"/>
    <cellStyle name="20% - Énfasis2 4 8 2 3" xfId="5812"/>
    <cellStyle name="20% - Énfasis2 4 8 3" xfId="3762"/>
    <cellStyle name="20% - Énfasis2 4 8 3 2" xfId="7862"/>
    <cellStyle name="20% - Énfasis2 4 8 4" xfId="5811"/>
    <cellStyle name="20% - Énfasis2 4 9" xfId="300"/>
    <cellStyle name="20% - Énfasis2 4 9 2" xfId="3764"/>
    <cellStyle name="20% - Énfasis2 4 9 2 2" xfId="7864"/>
    <cellStyle name="20% - Énfasis2 4 9 3" xfId="5813"/>
    <cellStyle name="20% - Énfasis2 5" xfId="301"/>
    <cellStyle name="20% - Énfasis2 5 10" xfId="3765"/>
    <cellStyle name="20% - Énfasis2 5 10 2" xfId="7865"/>
    <cellStyle name="20% - Énfasis2 5 11" xfId="5814"/>
    <cellStyle name="20% - Énfasis2 5 2" xfId="302"/>
    <cellStyle name="20% - Énfasis2 5 2 2" xfId="303"/>
    <cellStyle name="20% - Énfasis2 5 2 2 2" xfId="304"/>
    <cellStyle name="20% - Énfasis2 5 2 2 2 2" xfId="3768"/>
    <cellStyle name="20% - Énfasis2 5 2 2 2 2 2" xfId="7868"/>
    <cellStyle name="20% - Énfasis2 5 2 2 2 3" xfId="5817"/>
    <cellStyle name="20% - Énfasis2 5 2 2 3" xfId="3767"/>
    <cellStyle name="20% - Énfasis2 5 2 2 3 2" xfId="7867"/>
    <cellStyle name="20% - Énfasis2 5 2 2 4" xfId="5816"/>
    <cellStyle name="20% - Énfasis2 5 2 3" xfId="305"/>
    <cellStyle name="20% - Énfasis2 5 2 3 2" xfId="306"/>
    <cellStyle name="20% - Énfasis2 5 2 3 2 2" xfId="3770"/>
    <cellStyle name="20% - Énfasis2 5 2 3 2 2 2" xfId="7870"/>
    <cellStyle name="20% - Énfasis2 5 2 3 2 3" xfId="5819"/>
    <cellStyle name="20% - Énfasis2 5 2 3 3" xfId="3769"/>
    <cellStyle name="20% - Énfasis2 5 2 3 3 2" xfId="7869"/>
    <cellStyle name="20% - Énfasis2 5 2 3 4" xfId="5818"/>
    <cellStyle name="20% - Énfasis2 5 2 4" xfId="307"/>
    <cellStyle name="20% - Énfasis2 5 2 4 2" xfId="3771"/>
    <cellStyle name="20% - Énfasis2 5 2 4 2 2" xfId="7871"/>
    <cellStyle name="20% - Énfasis2 5 2 4 3" xfId="5820"/>
    <cellStyle name="20% - Énfasis2 5 2 5" xfId="3766"/>
    <cellStyle name="20% - Énfasis2 5 2 5 2" xfId="7866"/>
    <cellStyle name="20% - Énfasis2 5 2 6" xfId="5815"/>
    <cellStyle name="20% - Énfasis2 5 3" xfId="308"/>
    <cellStyle name="20% - Énfasis2 5 3 2" xfId="309"/>
    <cellStyle name="20% - Énfasis2 5 3 2 2" xfId="3773"/>
    <cellStyle name="20% - Énfasis2 5 3 2 2 2" xfId="7873"/>
    <cellStyle name="20% - Énfasis2 5 3 2 3" xfId="5822"/>
    <cellStyle name="20% - Énfasis2 5 3 3" xfId="3772"/>
    <cellStyle name="20% - Énfasis2 5 3 3 2" xfId="7872"/>
    <cellStyle name="20% - Énfasis2 5 3 4" xfId="5821"/>
    <cellStyle name="20% - Énfasis2 5 4" xfId="310"/>
    <cellStyle name="20% - Énfasis2 5 4 2" xfId="311"/>
    <cellStyle name="20% - Énfasis2 5 4 2 2" xfId="3775"/>
    <cellStyle name="20% - Énfasis2 5 4 2 2 2" xfId="7875"/>
    <cellStyle name="20% - Énfasis2 5 4 2 3" xfId="5824"/>
    <cellStyle name="20% - Énfasis2 5 4 3" xfId="3774"/>
    <cellStyle name="20% - Énfasis2 5 4 3 2" xfId="7874"/>
    <cellStyle name="20% - Énfasis2 5 4 4" xfId="5823"/>
    <cellStyle name="20% - Énfasis2 5 5" xfId="312"/>
    <cellStyle name="20% - Énfasis2 5 5 2" xfId="313"/>
    <cellStyle name="20% - Énfasis2 5 5 2 2" xfId="3777"/>
    <cellStyle name="20% - Énfasis2 5 5 2 2 2" xfId="7877"/>
    <cellStyle name="20% - Énfasis2 5 5 2 3" xfId="5826"/>
    <cellStyle name="20% - Énfasis2 5 5 3" xfId="3776"/>
    <cellStyle name="20% - Énfasis2 5 5 3 2" xfId="7876"/>
    <cellStyle name="20% - Énfasis2 5 5 4" xfId="5825"/>
    <cellStyle name="20% - Énfasis2 5 6" xfId="314"/>
    <cellStyle name="20% - Énfasis2 5 6 2" xfId="315"/>
    <cellStyle name="20% - Énfasis2 5 6 2 2" xfId="3779"/>
    <cellStyle name="20% - Énfasis2 5 6 2 2 2" xfId="7879"/>
    <cellStyle name="20% - Énfasis2 5 6 2 3" xfId="5828"/>
    <cellStyle name="20% - Énfasis2 5 6 3" xfId="3778"/>
    <cellStyle name="20% - Énfasis2 5 6 3 2" xfId="7878"/>
    <cellStyle name="20% - Énfasis2 5 6 4" xfId="5827"/>
    <cellStyle name="20% - Énfasis2 5 7" xfId="316"/>
    <cellStyle name="20% - Énfasis2 5 7 2" xfId="317"/>
    <cellStyle name="20% - Énfasis2 5 7 2 2" xfId="3781"/>
    <cellStyle name="20% - Énfasis2 5 7 2 2 2" xfId="7881"/>
    <cellStyle name="20% - Énfasis2 5 7 2 3" xfId="5830"/>
    <cellStyle name="20% - Énfasis2 5 7 3" xfId="3780"/>
    <cellStyle name="20% - Énfasis2 5 7 3 2" xfId="7880"/>
    <cellStyle name="20% - Énfasis2 5 7 4" xfId="5829"/>
    <cellStyle name="20% - Énfasis2 5 8" xfId="318"/>
    <cellStyle name="20% - Énfasis2 5 8 2" xfId="319"/>
    <cellStyle name="20% - Énfasis2 5 8 2 2" xfId="3783"/>
    <cellStyle name="20% - Énfasis2 5 8 2 2 2" xfId="7883"/>
    <cellStyle name="20% - Énfasis2 5 8 2 3" xfId="5832"/>
    <cellStyle name="20% - Énfasis2 5 8 3" xfId="3782"/>
    <cellStyle name="20% - Énfasis2 5 8 3 2" xfId="7882"/>
    <cellStyle name="20% - Énfasis2 5 8 4" xfId="5831"/>
    <cellStyle name="20% - Énfasis2 5 9" xfId="320"/>
    <cellStyle name="20% - Énfasis2 5 9 2" xfId="3784"/>
    <cellStyle name="20% - Énfasis2 5 9 2 2" xfId="7884"/>
    <cellStyle name="20% - Énfasis2 5 9 3" xfId="5833"/>
    <cellStyle name="20% - Énfasis2 6" xfId="9548"/>
    <cellStyle name="20% - Énfasis3" xfId="9524" builtinId="38" customBuiltin="1"/>
    <cellStyle name="20% - Énfasis3 2" xfId="321"/>
    <cellStyle name="20% - Énfasis3 2 10" xfId="322"/>
    <cellStyle name="20% - Énfasis3 2 10 2" xfId="323"/>
    <cellStyle name="20% - Énfasis3 2 10 2 2" xfId="3787"/>
    <cellStyle name="20% - Énfasis3 2 10 2 2 2" xfId="7887"/>
    <cellStyle name="20% - Énfasis3 2 10 2 3" xfId="5836"/>
    <cellStyle name="20% - Énfasis3 2 10 3" xfId="3786"/>
    <cellStyle name="20% - Énfasis3 2 10 3 2" xfId="7886"/>
    <cellStyle name="20% - Énfasis3 2 10 4" xfId="5835"/>
    <cellStyle name="20% - Énfasis3 2 11" xfId="324"/>
    <cellStyle name="20% - Énfasis3 2 11 2" xfId="3788"/>
    <cellStyle name="20% - Énfasis3 2 11 2 2" xfId="7888"/>
    <cellStyle name="20% - Énfasis3 2 11 3" xfId="5837"/>
    <cellStyle name="20% - Énfasis3 2 12" xfId="3785"/>
    <cellStyle name="20% - Énfasis3 2 12 2" xfId="7885"/>
    <cellStyle name="20% - Énfasis3 2 13" xfId="5834"/>
    <cellStyle name="20% - Énfasis3 2 2" xfId="325"/>
    <cellStyle name="20% - Énfasis3 2 2 10" xfId="3789"/>
    <cellStyle name="20% - Énfasis3 2 2 10 2" xfId="7889"/>
    <cellStyle name="20% - Énfasis3 2 2 11" xfId="5838"/>
    <cellStyle name="20% - Énfasis3 2 2 2" xfId="326"/>
    <cellStyle name="20% - Énfasis3 2 2 2 2" xfId="327"/>
    <cellStyle name="20% - Énfasis3 2 2 2 2 2" xfId="328"/>
    <cellStyle name="20% - Énfasis3 2 2 2 2 2 2" xfId="3792"/>
    <cellStyle name="20% - Énfasis3 2 2 2 2 2 2 2" xfId="7892"/>
    <cellStyle name="20% - Énfasis3 2 2 2 2 2 3" xfId="5841"/>
    <cellStyle name="20% - Énfasis3 2 2 2 2 3" xfId="3791"/>
    <cellStyle name="20% - Énfasis3 2 2 2 2 3 2" xfId="7891"/>
    <cellStyle name="20% - Énfasis3 2 2 2 2 4" xfId="5840"/>
    <cellStyle name="20% - Énfasis3 2 2 2 3" xfId="329"/>
    <cellStyle name="20% - Énfasis3 2 2 2 3 2" xfId="330"/>
    <cellStyle name="20% - Énfasis3 2 2 2 3 2 2" xfId="3794"/>
    <cellStyle name="20% - Énfasis3 2 2 2 3 2 2 2" xfId="7894"/>
    <cellStyle name="20% - Énfasis3 2 2 2 3 2 3" xfId="5843"/>
    <cellStyle name="20% - Énfasis3 2 2 2 3 3" xfId="3793"/>
    <cellStyle name="20% - Énfasis3 2 2 2 3 3 2" xfId="7893"/>
    <cellStyle name="20% - Énfasis3 2 2 2 3 4" xfId="5842"/>
    <cellStyle name="20% - Énfasis3 2 2 2 4" xfId="331"/>
    <cellStyle name="20% - Énfasis3 2 2 2 4 2" xfId="3795"/>
    <cellStyle name="20% - Énfasis3 2 2 2 4 2 2" xfId="7895"/>
    <cellStyle name="20% - Énfasis3 2 2 2 4 3" xfId="5844"/>
    <cellStyle name="20% - Énfasis3 2 2 2 5" xfId="3790"/>
    <cellStyle name="20% - Énfasis3 2 2 2 5 2" xfId="7890"/>
    <cellStyle name="20% - Énfasis3 2 2 2 6" xfId="5839"/>
    <cellStyle name="20% - Énfasis3 2 2 3" xfId="332"/>
    <cellStyle name="20% - Énfasis3 2 2 3 2" xfId="333"/>
    <cellStyle name="20% - Énfasis3 2 2 3 2 2" xfId="3797"/>
    <cellStyle name="20% - Énfasis3 2 2 3 2 2 2" xfId="7897"/>
    <cellStyle name="20% - Énfasis3 2 2 3 2 3" xfId="5846"/>
    <cellStyle name="20% - Énfasis3 2 2 3 3" xfId="3796"/>
    <cellStyle name="20% - Énfasis3 2 2 3 3 2" xfId="7896"/>
    <cellStyle name="20% - Énfasis3 2 2 3 4" xfId="5845"/>
    <cellStyle name="20% - Énfasis3 2 2 4" xfId="334"/>
    <cellStyle name="20% - Énfasis3 2 2 4 2" xfId="335"/>
    <cellStyle name="20% - Énfasis3 2 2 4 2 2" xfId="3799"/>
    <cellStyle name="20% - Énfasis3 2 2 4 2 2 2" xfId="7899"/>
    <cellStyle name="20% - Énfasis3 2 2 4 2 3" xfId="5848"/>
    <cellStyle name="20% - Énfasis3 2 2 4 3" xfId="3798"/>
    <cellStyle name="20% - Énfasis3 2 2 4 3 2" xfId="7898"/>
    <cellStyle name="20% - Énfasis3 2 2 4 4" xfId="5847"/>
    <cellStyle name="20% - Énfasis3 2 2 5" xfId="336"/>
    <cellStyle name="20% - Énfasis3 2 2 5 2" xfId="337"/>
    <cellStyle name="20% - Énfasis3 2 2 5 2 2" xfId="3801"/>
    <cellStyle name="20% - Énfasis3 2 2 5 2 2 2" xfId="7901"/>
    <cellStyle name="20% - Énfasis3 2 2 5 2 3" xfId="5850"/>
    <cellStyle name="20% - Énfasis3 2 2 5 3" xfId="3800"/>
    <cellStyle name="20% - Énfasis3 2 2 5 3 2" xfId="7900"/>
    <cellStyle name="20% - Énfasis3 2 2 5 4" xfId="5849"/>
    <cellStyle name="20% - Énfasis3 2 2 6" xfId="338"/>
    <cellStyle name="20% - Énfasis3 2 2 6 2" xfId="339"/>
    <cellStyle name="20% - Énfasis3 2 2 6 2 2" xfId="3803"/>
    <cellStyle name="20% - Énfasis3 2 2 6 2 2 2" xfId="7903"/>
    <cellStyle name="20% - Énfasis3 2 2 6 2 3" xfId="5852"/>
    <cellStyle name="20% - Énfasis3 2 2 6 3" xfId="3802"/>
    <cellStyle name="20% - Énfasis3 2 2 6 3 2" xfId="7902"/>
    <cellStyle name="20% - Énfasis3 2 2 6 4" xfId="5851"/>
    <cellStyle name="20% - Énfasis3 2 2 7" xfId="340"/>
    <cellStyle name="20% - Énfasis3 2 2 7 2" xfId="341"/>
    <cellStyle name="20% - Énfasis3 2 2 7 2 2" xfId="3805"/>
    <cellStyle name="20% - Énfasis3 2 2 7 2 2 2" xfId="7905"/>
    <cellStyle name="20% - Énfasis3 2 2 7 2 3" xfId="5854"/>
    <cellStyle name="20% - Énfasis3 2 2 7 3" xfId="3804"/>
    <cellStyle name="20% - Énfasis3 2 2 7 3 2" xfId="7904"/>
    <cellStyle name="20% - Énfasis3 2 2 7 4" xfId="5853"/>
    <cellStyle name="20% - Énfasis3 2 2 8" xfId="342"/>
    <cellStyle name="20% - Énfasis3 2 2 8 2" xfId="343"/>
    <cellStyle name="20% - Énfasis3 2 2 8 2 2" xfId="3807"/>
    <cellStyle name="20% - Énfasis3 2 2 8 2 2 2" xfId="7907"/>
    <cellStyle name="20% - Énfasis3 2 2 8 2 3" xfId="5856"/>
    <cellStyle name="20% - Énfasis3 2 2 8 3" xfId="3806"/>
    <cellStyle name="20% - Énfasis3 2 2 8 3 2" xfId="7906"/>
    <cellStyle name="20% - Énfasis3 2 2 8 4" xfId="5855"/>
    <cellStyle name="20% - Énfasis3 2 2 9" xfId="344"/>
    <cellStyle name="20% - Énfasis3 2 2 9 2" xfId="3808"/>
    <cellStyle name="20% - Énfasis3 2 2 9 2 2" xfId="7908"/>
    <cellStyle name="20% - Énfasis3 2 2 9 3" xfId="5857"/>
    <cellStyle name="20% - Énfasis3 2 3" xfId="345"/>
    <cellStyle name="20% - Énfasis3 2 3 10" xfId="3809"/>
    <cellStyle name="20% - Énfasis3 2 3 10 2" xfId="7909"/>
    <cellStyle name="20% - Énfasis3 2 3 11" xfId="5858"/>
    <cellStyle name="20% - Énfasis3 2 3 2" xfId="346"/>
    <cellStyle name="20% - Énfasis3 2 3 2 2" xfId="347"/>
    <cellStyle name="20% - Énfasis3 2 3 2 2 2" xfId="348"/>
    <cellStyle name="20% - Énfasis3 2 3 2 2 2 2" xfId="3812"/>
    <cellStyle name="20% - Énfasis3 2 3 2 2 2 2 2" xfId="7912"/>
    <cellStyle name="20% - Énfasis3 2 3 2 2 2 3" xfId="5861"/>
    <cellStyle name="20% - Énfasis3 2 3 2 2 3" xfId="3811"/>
    <cellStyle name="20% - Énfasis3 2 3 2 2 3 2" xfId="7911"/>
    <cellStyle name="20% - Énfasis3 2 3 2 2 4" xfId="5860"/>
    <cellStyle name="20% - Énfasis3 2 3 2 3" xfId="349"/>
    <cellStyle name="20% - Énfasis3 2 3 2 3 2" xfId="350"/>
    <cellStyle name="20% - Énfasis3 2 3 2 3 2 2" xfId="3814"/>
    <cellStyle name="20% - Énfasis3 2 3 2 3 2 2 2" xfId="7914"/>
    <cellStyle name="20% - Énfasis3 2 3 2 3 2 3" xfId="5863"/>
    <cellStyle name="20% - Énfasis3 2 3 2 3 3" xfId="3813"/>
    <cellStyle name="20% - Énfasis3 2 3 2 3 3 2" xfId="7913"/>
    <cellStyle name="20% - Énfasis3 2 3 2 3 4" xfId="5862"/>
    <cellStyle name="20% - Énfasis3 2 3 2 4" xfId="351"/>
    <cellStyle name="20% - Énfasis3 2 3 2 4 2" xfId="3815"/>
    <cellStyle name="20% - Énfasis3 2 3 2 4 2 2" xfId="7915"/>
    <cellStyle name="20% - Énfasis3 2 3 2 4 3" xfId="5864"/>
    <cellStyle name="20% - Énfasis3 2 3 2 5" xfId="3810"/>
    <cellStyle name="20% - Énfasis3 2 3 2 5 2" xfId="7910"/>
    <cellStyle name="20% - Énfasis3 2 3 2 6" xfId="5859"/>
    <cellStyle name="20% - Énfasis3 2 3 3" xfId="352"/>
    <cellStyle name="20% - Énfasis3 2 3 3 2" xfId="353"/>
    <cellStyle name="20% - Énfasis3 2 3 3 2 2" xfId="3817"/>
    <cellStyle name="20% - Énfasis3 2 3 3 2 2 2" xfId="7917"/>
    <cellStyle name="20% - Énfasis3 2 3 3 2 3" xfId="5866"/>
    <cellStyle name="20% - Énfasis3 2 3 3 3" xfId="3816"/>
    <cellStyle name="20% - Énfasis3 2 3 3 3 2" xfId="7916"/>
    <cellStyle name="20% - Énfasis3 2 3 3 4" xfId="5865"/>
    <cellStyle name="20% - Énfasis3 2 3 4" xfId="354"/>
    <cellStyle name="20% - Énfasis3 2 3 4 2" xfId="355"/>
    <cellStyle name="20% - Énfasis3 2 3 4 2 2" xfId="3819"/>
    <cellStyle name="20% - Énfasis3 2 3 4 2 2 2" xfId="7919"/>
    <cellStyle name="20% - Énfasis3 2 3 4 2 3" xfId="5868"/>
    <cellStyle name="20% - Énfasis3 2 3 4 3" xfId="3818"/>
    <cellStyle name="20% - Énfasis3 2 3 4 3 2" xfId="7918"/>
    <cellStyle name="20% - Énfasis3 2 3 4 4" xfId="5867"/>
    <cellStyle name="20% - Énfasis3 2 3 5" xfId="356"/>
    <cellStyle name="20% - Énfasis3 2 3 5 2" xfId="357"/>
    <cellStyle name="20% - Énfasis3 2 3 5 2 2" xfId="3821"/>
    <cellStyle name="20% - Énfasis3 2 3 5 2 2 2" xfId="7921"/>
    <cellStyle name="20% - Énfasis3 2 3 5 2 3" xfId="5870"/>
    <cellStyle name="20% - Énfasis3 2 3 5 3" xfId="3820"/>
    <cellStyle name="20% - Énfasis3 2 3 5 3 2" xfId="7920"/>
    <cellStyle name="20% - Énfasis3 2 3 5 4" xfId="5869"/>
    <cellStyle name="20% - Énfasis3 2 3 6" xfId="358"/>
    <cellStyle name="20% - Énfasis3 2 3 6 2" xfId="359"/>
    <cellStyle name="20% - Énfasis3 2 3 6 2 2" xfId="3823"/>
    <cellStyle name="20% - Énfasis3 2 3 6 2 2 2" xfId="7923"/>
    <cellStyle name="20% - Énfasis3 2 3 6 2 3" xfId="5872"/>
    <cellStyle name="20% - Énfasis3 2 3 6 3" xfId="3822"/>
    <cellStyle name="20% - Énfasis3 2 3 6 3 2" xfId="7922"/>
    <cellStyle name="20% - Énfasis3 2 3 6 4" xfId="5871"/>
    <cellStyle name="20% - Énfasis3 2 3 7" xfId="360"/>
    <cellStyle name="20% - Énfasis3 2 3 7 2" xfId="361"/>
    <cellStyle name="20% - Énfasis3 2 3 7 2 2" xfId="3825"/>
    <cellStyle name="20% - Énfasis3 2 3 7 2 2 2" xfId="7925"/>
    <cellStyle name="20% - Énfasis3 2 3 7 2 3" xfId="5874"/>
    <cellStyle name="20% - Énfasis3 2 3 7 3" xfId="3824"/>
    <cellStyle name="20% - Énfasis3 2 3 7 3 2" xfId="7924"/>
    <cellStyle name="20% - Énfasis3 2 3 7 4" xfId="5873"/>
    <cellStyle name="20% - Énfasis3 2 3 8" xfId="362"/>
    <cellStyle name="20% - Énfasis3 2 3 8 2" xfId="363"/>
    <cellStyle name="20% - Énfasis3 2 3 8 2 2" xfId="3827"/>
    <cellStyle name="20% - Énfasis3 2 3 8 2 2 2" xfId="7927"/>
    <cellStyle name="20% - Énfasis3 2 3 8 2 3" xfId="5876"/>
    <cellStyle name="20% - Énfasis3 2 3 8 3" xfId="3826"/>
    <cellStyle name="20% - Énfasis3 2 3 8 3 2" xfId="7926"/>
    <cellStyle name="20% - Énfasis3 2 3 8 4" xfId="5875"/>
    <cellStyle name="20% - Énfasis3 2 3 9" xfId="364"/>
    <cellStyle name="20% - Énfasis3 2 3 9 2" xfId="3828"/>
    <cellStyle name="20% - Énfasis3 2 3 9 2 2" xfId="7928"/>
    <cellStyle name="20% - Énfasis3 2 3 9 3" xfId="5877"/>
    <cellStyle name="20% - Énfasis3 2 4" xfId="365"/>
    <cellStyle name="20% - Énfasis3 2 4 2" xfId="366"/>
    <cellStyle name="20% - Énfasis3 2 4 2 2" xfId="367"/>
    <cellStyle name="20% - Énfasis3 2 4 2 2 2" xfId="3831"/>
    <cellStyle name="20% - Énfasis3 2 4 2 2 2 2" xfId="7931"/>
    <cellStyle name="20% - Énfasis3 2 4 2 2 3" xfId="5880"/>
    <cellStyle name="20% - Énfasis3 2 4 2 3" xfId="3830"/>
    <cellStyle name="20% - Énfasis3 2 4 2 3 2" xfId="7930"/>
    <cellStyle name="20% - Énfasis3 2 4 2 4" xfId="5879"/>
    <cellStyle name="20% - Énfasis3 2 4 3" xfId="368"/>
    <cellStyle name="20% - Énfasis3 2 4 3 2" xfId="369"/>
    <cellStyle name="20% - Énfasis3 2 4 3 2 2" xfId="3833"/>
    <cellStyle name="20% - Énfasis3 2 4 3 2 2 2" xfId="7933"/>
    <cellStyle name="20% - Énfasis3 2 4 3 2 3" xfId="5882"/>
    <cellStyle name="20% - Énfasis3 2 4 3 3" xfId="3832"/>
    <cellStyle name="20% - Énfasis3 2 4 3 3 2" xfId="7932"/>
    <cellStyle name="20% - Énfasis3 2 4 3 4" xfId="5881"/>
    <cellStyle name="20% - Énfasis3 2 4 4" xfId="370"/>
    <cellStyle name="20% - Énfasis3 2 4 4 2" xfId="3834"/>
    <cellStyle name="20% - Énfasis3 2 4 4 2 2" xfId="7934"/>
    <cellStyle name="20% - Énfasis3 2 4 4 3" xfId="5883"/>
    <cellStyle name="20% - Énfasis3 2 4 5" xfId="3829"/>
    <cellStyle name="20% - Énfasis3 2 4 5 2" xfId="7929"/>
    <cellStyle name="20% - Énfasis3 2 4 6" xfId="5878"/>
    <cellStyle name="20% - Énfasis3 2 5" xfId="371"/>
    <cellStyle name="20% - Énfasis3 2 5 2" xfId="372"/>
    <cellStyle name="20% - Énfasis3 2 5 2 2" xfId="3836"/>
    <cellStyle name="20% - Énfasis3 2 5 2 2 2" xfId="7936"/>
    <cellStyle name="20% - Énfasis3 2 5 2 3" xfId="5885"/>
    <cellStyle name="20% - Énfasis3 2 5 3" xfId="3835"/>
    <cellStyle name="20% - Énfasis3 2 5 3 2" xfId="7935"/>
    <cellStyle name="20% - Énfasis3 2 5 4" xfId="5884"/>
    <cellStyle name="20% - Énfasis3 2 6" xfId="373"/>
    <cellStyle name="20% - Énfasis3 2 6 2" xfId="374"/>
    <cellStyle name="20% - Énfasis3 2 6 2 2" xfId="3838"/>
    <cellStyle name="20% - Énfasis3 2 6 2 2 2" xfId="7938"/>
    <cellStyle name="20% - Énfasis3 2 6 2 3" xfId="5887"/>
    <cellStyle name="20% - Énfasis3 2 6 3" xfId="3837"/>
    <cellStyle name="20% - Énfasis3 2 6 3 2" xfId="7937"/>
    <cellStyle name="20% - Énfasis3 2 6 4" xfId="5886"/>
    <cellStyle name="20% - Énfasis3 2 7" xfId="375"/>
    <cellStyle name="20% - Énfasis3 2 7 2" xfId="376"/>
    <cellStyle name="20% - Énfasis3 2 7 2 2" xfId="3840"/>
    <cellStyle name="20% - Énfasis3 2 7 2 2 2" xfId="7940"/>
    <cellStyle name="20% - Énfasis3 2 7 2 3" xfId="5889"/>
    <cellStyle name="20% - Énfasis3 2 7 3" xfId="3839"/>
    <cellStyle name="20% - Énfasis3 2 7 3 2" xfId="7939"/>
    <cellStyle name="20% - Énfasis3 2 7 4" xfId="5888"/>
    <cellStyle name="20% - Énfasis3 2 8" xfId="377"/>
    <cellStyle name="20% - Énfasis3 2 8 2" xfId="378"/>
    <cellStyle name="20% - Énfasis3 2 8 2 2" xfId="3842"/>
    <cellStyle name="20% - Énfasis3 2 8 2 2 2" xfId="7942"/>
    <cellStyle name="20% - Énfasis3 2 8 2 3" xfId="5891"/>
    <cellStyle name="20% - Énfasis3 2 8 3" xfId="3841"/>
    <cellStyle name="20% - Énfasis3 2 8 3 2" xfId="7941"/>
    <cellStyle name="20% - Énfasis3 2 8 4" xfId="5890"/>
    <cellStyle name="20% - Énfasis3 2 9" xfId="379"/>
    <cellStyle name="20% - Énfasis3 2 9 2" xfId="380"/>
    <cellStyle name="20% - Énfasis3 2 9 2 2" xfId="3844"/>
    <cellStyle name="20% - Énfasis3 2 9 2 2 2" xfId="7944"/>
    <cellStyle name="20% - Énfasis3 2 9 2 3" xfId="5893"/>
    <cellStyle name="20% - Énfasis3 2 9 3" xfId="3843"/>
    <cellStyle name="20% - Énfasis3 2 9 3 2" xfId="7943"/>
    <cellStyle name="20% - Énfasis3 2 9 4" xfId="5892"/>
    <cellStyle name="20% - Énfasis3 3" xfId="381"/>
    <cellStyle name="20% - Énfasis3 3 10" xfId="382"/>
    <cellStyle name="20% - Énfasis3 3 10 2" xfId="383"/>
    <cellStyle name="20% - Énfasis3 3 10 2 2" xfId="3847"/>
    <cellStyle name="20% - Énfasis3 3 10 2 2 2" xfId="7947"/>
    <cellStyle name="20% - Énfasis3 3 10 2 3" xfId="5896"/>
    <cellStyle name="20% - Énfasis3 3 10 3" xfId="3846"/>
    <cellStyle name="20% - Énfasis3 3 10 3 2" xfId="7946"/>
    <cellStyle name="20% - Énfasis3 3 10 4" xfId="5895"/>
    <cellStyle name="20% - Énfasis3 3 11" xfId="384"/>
    <cellStyle name="20% - Énfasis3 3 11 2" xfId="3848"/>
    <cellStyle name="20% - Énfasis3 3 11 2 2" xfId="7948"/>
    <cellStyle name="20% - Énfasis3 3 11 3" xfId="5897"/>
    <cellStyle name="20% - Énfasis3 3 12" xfId="3845"/>
    <cellStyle name="20% - Énfasis3 3 12 2" xfId="7945"/>
    <cellStyle name="20% - Énfasis3 3 13" xfId="5894"/>
    <cellStyle name="20% - Énfasis3 3 2" xfId="385"/>
    <cellStyle name="20% - Énfasis3 3 2 10" xfId="3849"/>
    <cellStyle name="20% - Énfasis3 3 2 10 2" xfId="7949"/>
    <cellStyle name="20% - Énfasis3 3 2 11" xfId="5898"/>
    <cellStyle name="20% - Énfasis3 3 2 2" xfId="386"/>
    <cellStyle name="20% - Énfasis3 3 2 2 2" xfId="387"/>
    <cellStyle name="20% - Énfasis3 3 2 2 2 2" xfId="388"/>
    <cellStyle name="20% - Énfasis3 3 2 2 2 2 2" xfId="3852"/>
    <cellStyle name="20% - Énfasis3 3 2 2 2 2 2 2" xfId="7952"/>
    <cellStyle name="20% - Énfasis3 3 2 2 2 2 3" xfId="5901"/>
    <cellStyle name="20% - Énfasis3 3 2 2 2 3" xfId="3851"/>
    <cellStyle name="20% - Énfasis3 3 2 2 2 3 2" xfId="7951"/>
    <cellStyle name="20% - Énfasis3 3 2 2 2 4" xfId="5900"/>
    <cellStyle name="20% - Énfasis3 3 2 2 3" xfId="389"/>
    <cellStyle name="20% - Énfasis3 3 2 2 3 2" xfId="390"/>
    <cellStyle name="20% - Énfasis3 3 2 2 3 2 2" xfId="3854"/>
    <cellStyle name="20% - Énfasis3 3 2 2 3 2 2 2" xfId="7954"/>
    <cellStyle name="20% - Énfasis3 3 2 2 3 2 3" xfId="5903"/>
    <cellStyle name="20% - Énfasis3 3 2 2 3 3" xfId="3853"/>
    <cellStyle name="20% - Énfasis3 3 2 2 3 3 2" xfId="7953"/>
    <cellStyle name="20% - Énfasis3 3 2 2 3 4" xfId="5902"/>
    <cellStyle name="20% - Énfasis3 3 2 2 4" xfId="391"/>
    <cellStyle name="20% - Énfasis3 3 2 2 4 2" xfId="3855"/>
    <cellStyle name="20% - Énfasis3 3 2 2 4 2 2" xfId="7955"/>
    <cellStyle name="20% - Énfasis3 3 2 2 4 3" xfId="5904"/>
    <cellStyle name="20% - Énfasis3 3 2 2 5" xfId="3850"/>
    <cellStyle name="20% - Énfasis3 3 2 2 5 2" xfId="7950"/>
    <cellStyle name="20% - Énfasis3 3 2 2 6" xfId="5899"/>
    <cellStyle name="20% - Énfasis3 3 2 3" xfId="392"/>
    <cellStyle name="20% - Énfasis3 3 2 3 2" xfId="393"/>
    <cellStyle name="20% - Énfasis3 3 2 3 2 2" xfId="3857"/>
    <cellStyle name="20% - Énfasis3 3 2 3 2 2 2" xfId="7957"/>
    <cellStyle name="20% - Énfasis3 3 2 3 2 3" xfId="5906"/>
    <cellStyle name="20% - Énfasis3 3 2 3 3" xfId="3856"/>
    <cellStyle name="20% - Énfasis3 3 2 3 3 2" xfId="7956"/>
    <cellStyle name="20% - Énfasis3 3 2 3 4" xfId="5905"/>
    <cellStyle name="20% - Énfasis3 3 2 4" xfId="394"/>
    <cellStyle name="20% - Énfasis3 3 2 4 2" xfId="395"/>
    <cellStyle name="20% - Énfasis3 3 2 4 2 2" xfId="3859"/>
    <cellStyle name="20% - Énfasis3 3 2 4 2 2 2" xfId="7959"/>
    <cellStyle name="20% - Énfasis3 3 2 4 2 3" xfId="5908"/>
    <cellStyle name="20% - Énfasis3 3 2 4 3" xfId="3858"/>
    <cellStyle name="20% - Énfasis3 3 2 4 3 2" xfId="7958"/>
    <cellStyle name="20% - Énfasis3 3 2 4 4" xfId="5907"/>
    <cellStyle name="20% - Énfasis3 3 2 5" xfId="396"/>
    <cellStyle name="20% - Énfasis3 3 2 5 2" xfId="397"/>
    <cellStyle name="20% - Énfasis3 3 2 5 2 2" xfId="3861"/>
    <cellStyle name="20% - Énfasis3 3 2 5 2 2 2" xfId="7961"/>
    <cellStyle name="20% - Énfasis3 3 2 5 2 3" xfId="5910"/>
    <cellStyle name="20% - Énfasis3 3 2 5 3" xfId="3860"/>
    <cellStyle name="20% - Énfasis3 3 2 5 3 2" xfId="7960"/>
    <cellStyle name="20% - Énfasis3 3 2 5 4" xfId="5909"/>
    <cellStyle name="20% - Énfasis3 3 2 6" xfId="398"/>
    <cellStyle name="20% - Énfasis3 3 2 6 2" xfId="399"/>
    <cellStyle name="20% - Énfasis3 3 2 6 2 2" xfId="3863"/>
    <cellStyle name="20% - Énfasis3 3 2 6 2 2 2" xfId="7963"/>
    <cellStyle name="20% - Énfasis3 3 2 6 2 3" xfId="5912"/>
    <cellStyle name="20% - Énfasis3 3 2 6 3" xfId="3862"/>
    <cellStyle name="20% - Énfasis3 3 2 6 3 2" xfId="7962"/>
    <cellStyle name="20% - Énfasis3 3 2 6 4" xfId="5911"/>
    <cellStyle name="20% - Énfasis3 3 2 7" xfId="400"/>
    <cellStyle name="20% - Énfasis3 3 2 7 2" xfId="401"/>
    <cellStyle name="20% - Énfasis3 3 2 7 2 2" xfId="3865"/>
    <cellStyle name="20% - Énfasis3 3 2 7 2 2 2" xfId="7965"/>
    <cellStyle name="20% - Énfasis3 3 2 7 2 3" xfId="5914"/>
    <cellStyle name="20% - Énfasis3 3 2 7 3" xfId="3864"/>
    <cellStyle name="20% - Énfasis3 3 2 7 3 2" xfId="7964"/>
    <cellStyle name="20% - Énfasis3 3 2 7 4" xfId="5913"/>
    <cellStyle name="20% - Énfasis3 3 2 8" xfId="402"/>
    <cellStyle name="20% - Énfasis3 3 2 8 2" xfId="403"/>
    <cellStyle name="20% - Énfasis3 3 2 8 2 2" xfId="3867"/>
    <cellStyle name="20% - Énfasis3 3 2 8 2 2 2" xfId="7967"/>
    <cellStyle name="20% - Énfasis3 3 2 8 2 3" xfId="5916"/>
    <cellStyle name="20% - Énfasis3 3 2 8 3" xfId="3866"/>
    <cellStyle name="20% - Énfasis3 3 2 8 3 2" xfId="7966"/>
    <cellStyle name="20% - Énfasis3 3 2 8 4" xfId="5915"/>
    <cellStyle name="20% - Énfasis3 3 2 9" xfId="404"/>
    <cellStyle name="20% - Énfasis3 3 2 9 2" xfId="3868"/>
    <cellStyle name="20% - Énfasis3 3 2 9 2 2" xfId="7968"/>
    <cellStyle name="20% - Énfasis3 3 2 9 3" xfId="5917"/>
    <cellStyle name="20% - Énfasis3 3 3" xfId="405"/>
    <cellStyle name="20% - Énfasis3 3 3 10" xfId="3869"/>
    <cellStyle name="20% - Énfasis3 3 3 10 2" xfId="7969"/>
    <cellStyle name="20% - Énfasis3 3 3 11" xfId="5918"/>
    <cellStyle name="20% - Énfasis3 3 3 2" xfId="406"/>
    <cellStyle name="20% - Énfasis3 3 3 2 2" xfId="407"/>
    <cellStyle name="20% - Énfasis3 3 3 2 2 2" xfId="408"/>
    <cellStyle name="20% - Énfasis3 3 3 2 2 2 2" xfId="3872"/>
    <cellStyle name="20% - Énfasis3 3 3 2 2 2 2 2" xfId="7972"/>
    <cellStyle name="20% - Énfasis3 3 3 2 2 2 3" xfId="5921"/>
    <cellStyle name="20% - Énfasis3 3 3 2 2 3" xfId="3871"/>
    <cellStyle name="20% - Énfasis3 3 3 2 2 3 2" xfId="7971"/>
    <cellStyle name="20% - Énfasis3 3 3 2 2 4" xfId="5920"/>
    <cellStyle name="20% - Énfasis3 3 3 2 3" xfId="409"/>
    <cellStyle name="20% - Énfasis3 3 3 2 3 2" xfId="410"/>
    <cellStyle name="20% - Énfasis3 3 3 2 3 2 2" xfId="3874"/>
    <cellStyle name="20% - Énfasis3 3 3 2 3 2 2 2" xfId="7974"/>
    <cellStyle name="20% - Énfasis3 3 3 2 3 2 3" xfId="5923"/>
    <cellStyle name="20% - Énfasis3 3 3 2 3 3" xfId="3873"/>
    <cellStyle name="20% - Énfasis3 3 3 2 3 3 2" xfId="7973"/>
    <cellStyle name="20% - Énfasis3 3 3 2 3 4" xfId="5922"/>
    <cellStyle name="20% - Énfasis3 3 3 2 4" xfId="411"/>
    <cellStyle name="20% - Énfasis3 3 3 2 4 2" xfId="3875"/>
    <cellStyle name="20% - Énfasis3 3 3 2 4 2 2" xfId="7975"/>
    <cellStyle name="20% - Énfasis3 3 3 2 4 3" xfId="5924"/>
    <cellStyle name="20% - Énfasis3 3 3 2 5" xfId="3870"/>
    <cellStyle name="20% - Énfasis3 3 3 2 5 2" xfId="7970"/>
    <cellStyle name="20% - Énfasis3 3 3 2 6" xfId="5919"/>
    <cellStyle name="20% - Énfasis3 3 3 3" xfId="412"/>
    <cellStyle name="20% - Énfasis3 3 3 3 2" xfId="413"/>
    <cellStyle name="20% - Énfasis3 3 3 3 2 2" xfId="3877"/>
    <cellStyle name="20% - Énfasis3 3 3 3 2 2 2" xfId="7977"/>
    <cellStyle name="20% - Énfasis3 3 3 3 2 3" xfId="5926"/>
    <cellStyle name="20% - Énfasis3 3 3 3 3" xfId="3876"/>
    <cellStyle name="20% - Énfasis3 3 3 3 3 2" xfId="7976"/>
    <cellStyle name="20% - Énfasis3 3 3 3 4" xfId="5925"/>
    <cellStyle name="20% - Énfasis3 3 3 4" xfId="414"/>
    <cellStyle name="20% - Énfasis3 3 3 4 2" xfId="415"/>
    <cellStyle name="20% - Énfasis3 3 3 4 2 2" xfId="3879"/>
    <cellStyle name="20% - Énfasis3 3 3 4 2 2 2" xfId="7979"/>
    <cellStyle name="20% - Énfasis3 3 3 4 2 3" xfId="5928"/>
    <cellStyle name="20% - Énfasis3 3 3 4 3" xfId="3878"/>
    <cellStyle name="20% - Énfasis3 3 3 4 3 2" xfId="7978"/>
    <cellStyle name="20% - Énfasis3 3 3 4 4" xfId="5927"/>
    <cellStyle name="20% - Énfasis3 3 3 5" xfId="416"/>
    <cellStyle name="20% - Énfasis3 3 3 5 2" xfId="417"/>
    <cellStyle name="20% - Énfasis3 3 3 5 2 2" xfId="3881"/>
    <cellStyle name="20% - Énfasis3 3 3 5 2 2 2" xfId="7981"/>
    <cellStyle name="20% - Énfasis3 3 3 5 2 3" xfId="5930"/>
    <cellStyle name="20% - Énfasis3 3 3 5 3" xfId="3880"/>
    <cellStyle name="20% - Énfasis3 3 3 5 3 2" xfId="7980"/>
    <cellStyle name="20% - Énfasis3 3 3 5 4" xfId="5929"/>
    <cellStyle name="20% - Énfasis3 3 3 6" xfId="418"/>
    <cellStyle name="20% - Énfasis3 3 3 6 2" xfId="419"/>
    <cellStyle name="20% - Énfasis3 3 3 6 2 2" xfId="3883"/>
    <cellStyle name="20% - Énfasis3 3 3 6 2 2 2" xfId="7983"/>
    <cellStyle name="20% - Énfasis3 3 3 6 2 3" xfId="5932"/>
    <cellStyle name="20% - Énfasis3 3 3 6 3" xfId="3882"/>
    <cellStyle name="20% - Énfasis3 3 3 6 3 2" xfId="7982"/>
    <cellStyle name="20% - Énfasis3 3 3 6 4" xfId="5931"/>
    <cellStyle name="20% - Énfasis3 3 3 7" xfId="420"/>
    <cellStyle name="20% - Énfasis3 3 3 7 2" xfId="421"/>
    <cellStyle name="20% - Énfasis3 3 3 7 2 2" xfId="3885"/>
    <cellStyle name="20% - Énfasis3 3 3 7 2 2 2" xfId="7985"/>
    <cellStyle name="20% - Énfasis3 3 3 7 2 3" xfId="5934"/>
    <cellStyle name="20% - Énfasis3 3 3 7 3" xfId="3884"/>
    <cellStyle name="20% - Énfasis3 3 3 7 3 2" xfId="7984"/>
    <cellStyle name="20% - Énfasis3 3 3 7 4" xfId="5933"/>
    <cellStyle name="20% - Énfasis3 3 3 8" xfId="422"/>
    <cellStyle name="20% - Énfasis3 3 3 8 2" xfId="423"/>
    <cellStyle name="20% - Énfasis3 3 3 8 2 2" xfId="3887"/>
    <cellStyle name="20% - Énfasis3 3 3 8 2 2 2" xfId="7987"/>
    <cellStyle name="20% - Énfasis3 3 3 8 2 3" xfId="5936"/>
    <cellStyle name="20% - Énfasis3 3 3 8 3" xfId="3886"/>
    <cellStyle name="20% - Énfasis3 3 3 8 3 2" xfId="7986"/>
    <cellStyle name="20% - Énfasis3 3 3 8 4" xfId="5935"/>
    <cellStyle name="20% - Énfasis3 3 3 9" xfId="424"/>
    <cellStyle name="20% - Énfasis3 3 3 9 2" xfId="3888"/>
    <cellStyle name="20% - Énfasis3 3 3 9 2 2" xfId="7988"/>
    <cellStyle name="20% - Énfasis3 3 3 9 3" xfId="5937"/>
    <cellStyle name="20% - Énfasis3 3 4" xfId="425"/>
    <cellStyle name="20% - Énfasis3 3 4 2" xfId="426"/>
    <cellStyle name="20% - Énfasis3 3 4 2 2" xfId="427"/>
    <cellStyle name="20% - Énfasis3 3 4 2 2 2" xfId="3891"/>
    <cellStyle name="20% - Énfasis3 3 4 2 2 2 2" xfId="7991"/>
    <cellStyle name="20% - Énfasis3 3 4 2 2 3" xfId="5940"/>
    <cellStyle name="20% - Énfasis3 3 4 2 3" xfId="3890"/>
    <cellStyle name="20% - Énfasis3 3 4 2 3 2" xfId="7990"/>
    <cellStyle name="20% - Énfasis3 3 4 2 4" xfId="5939"/>
    <cellStyle name="20% - Énfasis3 3 4 3" xfId="428"/>
    <cellStyle name="20% - Énfasis3 3 4 3 2" xfId="429"/>
    <cellStyle name="20% - Énfasis3 3 4 3 2 2" xfId="3893"/>
    <cellStyle name="20% - Énfasis3 3 4 3 2 2 2" xfId="7993"/>
    <cellStyle name="20% - Énfasis3 3 4 3 2 3" xfId="5942"/>
    <cellStyle name="20% - Énfasis3 3 4 3 3" xfId="3892"/>
    <cellStyle name="20% - Énfasis3 3 4 3 3 2" xfId="7992"/>
    <cellStyle name="20% - Énfasis3 3 4 3 4" xfId="5941"/>
    <cellStyle name="20% - Énfasis3 3 4 4" xfId="430"/>
    <cellStyle name="20% - Énfasis3 3 4 4 2" xfId="3894"/>
    <cellStyle name="20% - Énfasis3 3 4 4 2 2" xfId="7994"/>
    <cellStyle name="20% - Énfasis3 3 4 4 3" xfId="5943"/>
    <cellStyle name="20% - Énfasis3 3 4 5" xfId="3889"/>
    <cellStyle name="20% - Énfasis3 3 4 5 2" xfId="7989"/>
    <cellStyle name="20% - Énfasis3 3 4 6" xfId="5938"/>
    <cellStyle name="20% - Énfasis3 3 5" xfId="431"/>
    <cellStyle name="20% - Énfasis3 3 5 2" xfId="432"/>
    <cellStyle name="20% - Énfasis3 3 5 2 2" xfId="3896"/>
    <cellStyle name="20% - Énfasis3 3 5 2 2 2" xfId="7996"/>
    <cellStyle name="20% - Énfasis3 3 5 2 3" xfId="5945"/>
    <cellStyle name="20% - Énfasis3 3 5 3" xfId="3895"/>
    <cellStyle name="20% - Énfasis3 3 5 3 2" xfId="7995"/>
    <cellStyle name="20% - Énfasis3 3 5 4" xfId="5944"/>
    <cellStyle name="20% - Énfasis3 3 6" xfId="433"/>
    <cellStyle name="20% - Énfasis3 3 6 2" xfId="434"/>
    <cellStyle name="20% - Énfasis3 3 6 2 2" xfId="3898"/>
    <cellStyle name="20% - Énfasis3 3 6 2 2 2" xfId="7998"/>
    <cellStyle name="20% - Énfasis3 3 6 2 3" xfId="5947"/>
    <cellStyle name="20% - Énfasis3 3 6 3" xfId="3897"/>
    <cellStyle name="20% - Énfasis3 3 6 3 2" xfId="7997"/>
    <cellStyle name="20% - Énfasis3 3 6 4" xfId="5946"/>
    <cellStyle name="20% - Énfasis3 3 7" xfId="435"/>
    <cellStyle name="20% - Énfasis3 3 7 2" xfId="436"/>
    <cellStyle name="20% - Énfasis3 3 7 2 2" xfId="3900"/>
    <cellStyle name="20% - Énfasis3 3 7 2 2 2" xfId="8000"/>
    <cellStyle name="20% - Énfasis3 3 7 2 3" xfId="5949"/>
    <cellStyle name="20% - Énfasis3 3 7 3" xfId="3899"/>
    <cellStyle name="20% - Énfasis3 3 7 3 2" xfId="7999"/>
    <cellStyle name="20% - Énfasis3 3 7 4" xfId="5948"/>
    <cellStyle name="20% - Énfasis3 3 8" xfId="437"/>
    <cellStyle name="20% - Énfasis3 3 8 2" xfId="438"/>
    <cellStyle name="20% - Énfasis3 3 8 2 2" xfId="3902"/>
    <cellStyle name="20% - Énfasis3 3 8 2 2 2" xfId="8002"/>
    <cellStyle name="20% - Énfasis3 3 8 2 3" xfId="5951"/>
    <cellStyle name="20% - Énfasis3 3 8 3" xfId="3901"/>
    <cellStyle name="20% - Énfasis3 3 8 3 2" xfId="8001"/>
    <cellStyle name="20% - Énfasis3 3 8 4" xfId="5950"/>
    <cellStyle name="20% - Énfasis3 3 9" xfId="439"/>
    <cellStyle name="20% - Énfasis3 3 9 2" xfId="440"/>
    <cellStyle name="20% - Énfasis3 3 9 2 2" xfId="3904"/>
    <cellStyle name="20% - Énfasis3 3 9 2 2 2" xfId="8004"/>
    <cellStyle name="20% - Énfasis3 3 9 2 3" xfId="5953"/>
    <cellStyle name="20% - Énfasis3 3 9 3" xfId="3903"/>
    <cellStyle name="20% - Énfasis3 3 9 3 2" xfId="8003"/>
    <cellStyle name="20% - Énfasis3 3 9 4" xfId="5952"/>
    <cellStyle name="20% - Énfasis3 4" xfId="441"/>
    <cellStyle name="20% - Énfasis3 4 10" xfId="3905"/>
    <cellStyle name="20% - Énfasis3 4 10 2" xfId="8005"/>
    <cellStyle name="20% - Énfasis3 4 11" xfId="5954"/>
    <cellStyle name="20% - Énfasis3 4 2" xfId="442"/>
    <cellStyle name="20% - Énfasis3 4 2 2" xfId="443"/>
    <cellStyle name="20% - Énfasis3 4 2 2 2" xfId="444"/>
    <cellStyle name="20% - Énfasis3 4 2 2 2 2" xfId="3908"/>
    <cellStyle name="20% - Énfasis3 4 2 2 2 2 2" xfId="8008"/>
    <cellStyle name="20% - Énfasis3 4 2 2 2 3" xfId="5957"/>
    <cellStyle name="20% - Énfasis3 4 2 2 3" xfId="3907"/>
    <cellStyle name="20% - Énfasis3 4 2 2 3 2" xfId="8007"/>
    <cellStyle name="20% - Énfasis3 4 2 2 4" xfId="5956"/>
    <cellStyle name="20% - Énfasis3 4 2 3" xfId="445"/>
    <cellStyle name="20% - Énfasis3 4 2 3 2" xfId="446"/>
    <cellStyle name="20% - Énfasis3 4 2 3 2 2" xfId="3910"/>
    <cellStyle name="20% - Énfasis3 4 2 3 2 2 2" xfId="8010"/>
    <cellStyle name="20% - Énfasis3 4 2 3 2 3" xfId="5959"/>
    <cellStyle name="20% - Énfasis3 4 2 3 3" xfId="3909"/>
    <cellStyle name="20% - Énfasis3 4 2 3 3 2" xfId="8009"/>
    <cellStyle name="20% - Énfasis3 4 2 3 4" xfId="5958"/>
    <cellStyle name="20% - Énfasis3 4 2 4" xfId="447"/>
    <cellStyle name="20% - Énfasis3 4 2 4 2" xfId="3911"/>
    <cellStyle name="20% - Énfasis3 4 2 4 2 2" xfId="8011"/>
    <cellStyle name="20% - Énfasis3 4 2 4 3" xfId="5960"/>
    <cellStyle name="20% - Énfasis3 4 2 5" xfId="3906"/>
    <cellStyle name="20% - Énfasis3 4 2 5 2" xfId="8006"/>
    <cellStyle name="20% - Énfasis3 4 2 6" xfId="5955"/>
    <cellStyle name="20% - Énfasis3 4 3" xfId="448"/>
    <cellStyle name="20% - Énfasis3 4 3 2" xfId="449"/>
    <cellStyle name="20% - Énfasis3 4 3 2 2" xfId="3913"/>
    <cellStyle name="20% - Énfasis3 4 3 2 2 2" xfId="8013"/>
    <cellStyle name="20% - Énfasis3 4 3 2 3" xfId="5962"/>
    <cellStyle name="20% - Énfasis3 4 3 3" xfId="3912"/>
    <cellStyle name="20% - Énfasis3 4 3 3 2" xfId="8012"/>
    <cellStyle name="20% - Énfasis3 4 3 4" xfId="5961"/>
    <cellStyle name="20% - Énfasis3 4 4" xfId="450"/>
    <cellStyle name="20% - Énfasis3 4 4 2" xfId="451"/>
    <cellStyle name="20% - Énfasis3 4 4 2 2" xfId="3915"/>
    <cellStyle name="20% - Énfasis3 4 4 2 2 2" xfId="8015"/>
    <cellStyle name="20% - Énfasis3 4 4 2 3" xfId="5964"/>
    <cellStyle name="20% - Énfasis3 4 4 3" xfId="3914"/>
    <cellStyle name="20% - Énfasis3 4 4 3 2" xfId="8014"/>
    <cellStyle name="20% - Énfasis3 4 4 4" xfId="5963"/>
    <cellStyle name="20% - Énfasis3 4 5" xfId="452"/>
    <cellStyle name="20% - Énfasis3 4 5 2" xfId="453"/>
    <cellStyle name="20% - Énfasis3 4 5 2 2" xfId="3917"/>
    <cellStyle name="20% - Énfasis3 4 5 2 2 2" xfId="8017"/>
    <cellStyle name="20% - Énfasis3 4 5 2 3" xfId="5966"/>
    <cellStyle name="20% - Énfasis3 4 5 3" xfId="3916"/>
    <cellStyle name="20% - Énfasis3 4 5 3 2" xfId="8016"/>
    <cellStyle name="20% - Énfasis3 4 5 4" xfId="5965"/>
    <cellStyle name="20% - Énfasis3 4 6" xfId="454"/>
    <cellStyle name="20% - Énfasis3 4 6 2" xfId="455"/>
    <cellStyle name="20% - Énfasis3 4 6 2 2" xfId="3919"/>
    <cellStyle name="20% - Énfasis3 4 6 2 2 2" xfId="8019"/>
    <cellStyle name="20% - Énfasis3 4 6 2 3" xfId="5968"/>
    <cellStyle name="20% - Énfasis3 4 6 3" xfId="3918"/>
    <cellStyle name="20% - Énfasis3 4 6 3 2" xfId="8018"/>
    <cellStyle name="20% - Énfasis3 4 6 4" xfId="5967"/>
    <cellStyle name="20% - Énfasis3 4 7" xfId="456"/>
    <cellStyle name="20% - Énfasis3 4 7 2" xfId="457"/>
    <cellStyle name="20% - Énfasis3 4 7 2 2" xfId="3921"/>
    <cellStyle name="20% - Énfasis3 4 7 2 2 2" xfId="8021"/>
    <cellStyle name="20% - Énfasis3 4 7 2 3" xfId="5970"/>
    <cellStyle name="20% - Énfasis3 4 7 3" xfId="3920"/>
    <cellStyle name="20% - Énfasis3 4 7 3 2" xfId="8020"/>
    <cellStyle name="20% - Énfasis3 4 7 4" xfId="5969"/>
    <cellStyle name="20% - Énfasis3 4 8" xfId="458"/>
    <cellStyle name="20% - Énfasis3 4 8 2" xfId="459"/>
    <cellStyle name="20% - Énfasis3 4 8 2 2" xfId="3923"/>
    <cellStyle name="20% - Énfasis3 4 8 2 2 2" xfId="8023"/>
    <cellStyle name="20% - Énfasis3 4 8 2 3" xfId="5972"/>
    <cellStyle name="20% - Énfasis3 4 8 3" xfId="3922"/>
    <cellStyle name="20% - Énfasis3 4 8 3 2" xfId="8022"/>
    <cellStyle name="20% - Énfasis3 4 8 4" xfId="5971"/>
    <cellStyle name="20% - Énfasis3 4 9" xfId="460"/>
    <cellStyle name="20% - Énfasis3 4 9 2" xfId="3924"/>
    <cellStyle name="20% - Énfasis3 4 9 2 2" xfId="8024"/>
    <cellStyle name="20% - Énfasis3 4 9 3" xfId="5973"/>
    <cellStyle name="20% - Énfasis3 5" xfId="461"/>
    <cellStyle name="20% - Énfasis3 5 10" xfId="3925"/>
    <cellStyle name="20% - Énfasis3 5 10 2" xfId="8025"/>
    <cellStyle name="20% - Énfasis3 5 11" xfId="5974"/>
    <cellStyle name="20% - Énfasis3 5 2" xfId="462"/>
    <cellStyle name="20% - Énfasis3 5 2 2" xfId="463"/>
    <cellStyle name="20% - Énfasis3 5 2 2 2" xfId="464"/>
    <cellStyle name="20% - Énfasis3 5 2 2 2 2" xfId="3928"/>
    <cellStyle name="20% - Énfasis3 5 2 2 2 2 2" xfId="8028"/>
    <cellStyle name="20% - Énfasis3 5 2 2 2 3" xfId="5977"/>
    <cellStyle name="20% - Énfasis3 5 2 2 3" xfId="3927"/>
    <cellStyle name="20% - Énfasis3 5 2 2 3 2" xfId="8027"/>
    <cellStyle name="20% - Énfasis3 5 2 2 4" xfId="5976"/>
    <cellStyle name="20% - Énfasis3 5 2 3" xfId="465"/>
    <cellStyle name="20% - Énfasis3 5 2 3 2" xfId="466"/>
    <cellStyle name="20% - Énfasis3 5 2 3 2 2" xfId="3930"/>
    <cellStyle name="20% - Énfasis3 5 2 3 2 2 2" xfId="8030"/>
    <cellStyle name="20% - Énfasis3 5 2 3 2 3" xfId="5979"/>
    <cellStyle name="20% - Énfasis3 5 2 3 3" xfId="3929"/>
    <cellStyle name="20% - Énfasis3 5 2 3 3 2" xfId="8029"/>
    <cellStyle name="20% - Énfasis3 5 2 3 4" xfId="5978"/>
    <cellStyle name="20% - Énfasis3 5 2 4" xfId="467"/>
    <cellStyle name="20% - Énfasis3 5 2 4 2" xfId="3931"/>
    <cellStyle name="20% - Énfasis3 5 2 4 2 2" xfId="8031"/>
    <cellStyle name="20% - Énfasis3 5 2 4 3" xfId="5980"/>
    <cellStyle name="20% - Énfasis3 5 2 5" xfId="3926"/>
    <cellStyle name="20% - Énfasis3 5 2 5 2" xfId="8026"/>
    <cellStyle name="20% - Énfasis3 5 2 6" xfId="5975"/>
    <cellStyle name="20% - Énfasis3 5 3" xfId="468"/>
    <cellStyle name="20% - Énfasis3 5 3 2" xfId="469"/>
    <cellStyle name="20% - Énfasis3 5 3 2 2" xfId="3933"/>
    <cellStyle name="20% - Énfasis3 5 3 2 2 2" xfId="8033"/>
    <cellStyle name="20% - Énfasis3 5 3 2 3" xfId="5982"/>
    <cellStyle name="20% - Énfasis3 5 3 3" xfId="3932"/>
    <cellStyle name="20% - Énfasis3 5 3 3 2" xfId="8032"/>
    <cellStyle name="20% - Énfasis3 5 3 4" xfId="5981"/>
    <cellStyle name="20% - Énfasis3 5 4" xfId="470"/>
    <cellStyle name="20% - Énfasis3 5 4 2" xfId="471"/>
    <cellStyle name="20% - Énfasis3 5 4 2 2" xfId="3935"/>
    <cellStyle name="20% - Énfasis3 5 4 2 2 2" xfId="8035"/>
    <cellStyle name="20% - Énfasis3 5 4 2 3" xfId="5984"/>
    <cellStyle name="20% - Énfasis3 5 4 3" xfId="3934"/>
    <cellStyle name="20% - Énfasis3 5 4 3 2" xfId="8034"/>
    <cellStyle name="20% - Énfasis3 5 4 4" xfId="5983"/>
    <cellStyle name="20% - Énfasis3 5 5" xfId="472"/>
    <cellStyle name="20% - Énfasis3 5 5 2" xfId="473"/>
    <cellStyle name="20% - Énfasis3 5 5 2 2" xfId="3937"/>
    <cellStyle name="20% - Énfasis3 5 5 2 2 2" xfId="8037"/>
    <cellStyle name="20% - Énfasis3 5 5 2 3" xfId="5986"/>
    <cellStyle name="20% - Énfasis3 5 5 3" xfId="3936"/>
    <cellStyle name="20% - Énfasis3 5 5 3 2" xfId="8036"/>
    <cellStyle name="20% - Énfasis3 5 5 4" xfId="5985"/>
    <cellStyle name="20% - Énfasis3 5 6" xfId="474"/>
    <cellStyle name="20% - Énfasis3 5 6 2" xfId="475"/>
    <cellStyle name="20% - Énfasis3 5 6 2 2" xfId="3939"/>
    <cellStyle name="20% - Énfasis3 5 6 2 2 2" xfId="8039"/>
    <cellStyle name="20% - Énfasis3 5 6 2 3" xfId="5988"/>
    <cellStyle name="20% - Énfasis3 5 6 3" xfId="3938"/>
    <cellStyle name="20% - Énfasis3 5 6 3 2" xfId="8038"/>
    <cellStyle name="20% - Énfasis3 5 6 4" xfId="5987"/>
    <cellStyle name="20% - Énfasis3 5 7" xfId="476"/>
    <cellStyle name="20% - Énfasis3 5 7 2" xfId="477"/>
    <cellStyle name="20% - Énfasis3 5 7 2 2" xfId="3941"/>
    <cellStyle name="20% - Énfasis3 5 7 2 2 2" xfId="8041"/>
    <cellStyle name="20% - Énfasis3 5 7 2 3" xfId="5990"/>
    <cellStyle name="20% - Énfasis3 5 7 3" xfId="3940"/>
    <cellStyle name="20% - Énfasis3 5 7 3 2" xfId="8040"/>
    <cellStyle name="20% - Énfasis3 5 7 4" xfId="5989"/>
    <cellStyle name="20% - Énfasis3 5 8" xfId="478"/>
    <cellStyle name="20% - Énfasis3 5 8 2" xfId="479"/>
    <cellStyle name="20% - Énfasis3 5 8 2 2" xfId="3943"/>
    <cellStyle name="20% - Énfasis3 5 8 2 2 2" xfId="8043"/>
    <cellStyle name="20% - Énfasis3 5 8 2 3" xfId="5992"/>
    <cellStyle name="20% - Énfasis3 5 8 3" xfId="3942"/>
    <cellStyle name="20% - Énfasis3 5 8 3 2" xfId="8042"/>
    <cellStyle name="20% - Énfasis3 5 8 4" xfId="5991"/>
    <cellStyle name="20% - Énfasis3 5 9" xfId="480"/>
    <cellStyle name="20% - Énfasis3 5 9 2" xfId="3944"/>
    <cellStyle name="20% - Énfasis3 5 9 2 2" xfId="8044"/>
    <cellStyle name="20% - Énfasis3 5 9 3" xfId="5993"/>
    <cellStyle name="20% - Énfasis3 6" xfId="9550"/>
    <cellStyle name="20% - Énfasis4" xfId="9528" builtinId="42" customBuiltin="1"/>
    <cellStyle name="20% - Énfasis4 2" xfId="481"/>
    <cellStyle name="20% - Énfasis4 2 10" xfId="482"/>
    <cellStyle name="20% - Énfasis4 2 10 2" xfId="483"/>
    <cellStyle name="20% - Énfasis4 2 10 2 2" xfId="3947"/>
    <cellStyle name="20% - Énfasis4 2 10 2 2 2" xfId="8047"/>
    <cellStyle name="20% - Énfasis4 2 10 2 3" xfId="5996"/>
    <cellStyle name="20% - Énfasis4 2 10 3" xfId="3946"/>
    <cellStyle name="20% - Énfasis4 2 10 3 2" xfId="8046"/>
    <cellStyle name="20% - Énfasis4 2 10 4" xfId="5995"/>
    <cellStyle name="20% - Énfasis4 2 11" xfId="484"/>
    <cellStyle name="20% - Énfasis4 2 11 2" xfId="3948"/>
    <cellStyle name="20% - Énfasis4 2 11 2 2" xfId="8048"/>
    <cellStyle name="20% - Énfasis4 2 11 3" xfId="5997"/>
    <cellStyle name="20% - Énfasis4 2 12" xfId="3945"/>
    <cellStyle name="20% - Énfasis4 2 12 2" xfId="8045"/>
    <cellStyle name="20% - Énfasis4 2 13" xfId="5994"/>
    <cellStyle name="20% - Énfasis4 2 2" xfId="485"/>
    <cellStyle name="20% - Énfasis4 2 2 10" xfId="3949"/>
    <cellStyle name="20% - Énfasis4 2 2 10 2" xfId="8049"/>
    <cellStyle name="20% - Énfasis4 2 2 11" xfId="5998"/>
    <cellStyle name="20% - Énfasis4 2 2 2" xfId="486"/>
    <cellStyle name="20% - Énfasis4 2 2 2 2" xfId="487"/>
    <cellStyle name="20% - Énfasis4 2 2 2 2 2" xfId="488"/>
    <cellStyle name="20% - Énfasis4 2 2 2 2 2 2" xfId="3952"/>
    <cellStyle name="20% - Énfasis4 2 2 2 2 2 2 2" xfId="8052"/>
    <cellStyle name="20% - Énfasis4 2 2 2 2 2 3" xfId="6001"/>
    <cellStyle name="20% - Énfasis4 2 2 2 2 3" xfId="3951"/>
    <cellStyle name="20% - Énfasis4 2 2 2 2 3 2" xfId="8051"/>
    <cellStyle name="20% - Énfasis4 2 2 2 2 4" xfId="6000"/>
    <cellStyle name="20% - Énfasis4 2 2 2 3" xfId="489"/>
    <cellStyle name="20% - Énfasis4 2 2 2 3 2" xfId="490"/>
    <cellStyle name="20% - Énfasis4 2 2 2 3 2 2" xfId="3954"/>
    <cellStyle name="20% - Énfasis4 2 2 2 3 2 2 2" xfId="8054"/>
    <cellStyle name="20% - Énfasis4 2 2 2 3 2 3" xfId="6003"/>
    <cellStyle name="20% - Énfasis4 2 2 2 3 3" xfId="3953"/>
    <cellStyle name="20% - Énfasis4 2 2 2 3 3 2" xfId="8053"/>
    <cellStyle name="20% - Énfasis4 2 2 2 3 4" xfId="6002"/>
    <cellStyle name="20% - Énfasis4 2 2 2 4" xfId="491"/>
    <cellStyle name="20% - Énfasis4 2 2 2 4 2" xfId="3955"/>
    <cellStyle name="20% - Énfasis4 2 2 2 4 2 2" xfId="8055"/>
    <cellStyle name="20% - Énfasis4 2 2 2 4 3" xfId="6004"/>
    <cellStyle name="20% - Énfasis4 2 2 2 5" xfId="3950"/>
    <cellStyle name="20% - Énfasis4 2 2 2 5 2" xfId="8050"/>
    <cellStyle name="20% - Énfasis4 2 2 2 6" xfId="5999"/>
    <cellStyle name="20% - Énfasis4 2 2 3" xfId="492"/>
    <cellStyle name="20% - Énfasis4 2 2 3 2" xfId="493"/>
    <cellStyle name="20% - Énfasis4 2 2 3 2 2" xfId="3957"/>
    <cellStyle name="20% - Énfasis4 2 2 3 2 2 2" xfId="8057"/>
    <cellStyle name="20% - Énfasis4 2 2 3 2 3" xfId="6006"/>
    <cellStyle name="20% - Énfasis4 2 2 3 3" xfId="3956"/>
    <cellStyle name="20% - Énfasis4 2 2 3 3 2" xfId="8056"/>
    <cellStyle name="20% - Énfasis4 2 2 3 4" xfId="6005"/>
    <cellStyle name="20% - Énfasis4 2 2 4" xfId="494"/>
    <cellStyle name="20% - Énfasis4 2 2 4 2" xfId="495"/>
    <cellStyle name="20% - Énfasis4 2 2 4 2 2" xfId="3959"/>
    <cellStyle name="20% - Énfasis4 2 2 4 2 2 2" xfId="8059"/>
    <cellStyle name="20% - Énfasis4 2 2 4 2 3" xfId="6008"/>
    <cellStyle name="20% - Énfasis4 2 2 4 3" xfId="3958"/>
    <cellStyle name="20% - Énfasis4 2 2 4 3 2" xfId="8058"/>
    <cellStyle name="20% - Énfasis4 2 2 4 4" xfId="6007"/>
    <cellStyle name="20% - Énfasis4 2 2 5" xfId="496"/>
    <cellStyle name="20% - Énfasis4 2 2 5 2" xfId="497"/>
    <cellStyle name="20% - Énfasis4 2 2 5 2 2" xfId="3961"/>
    <cellStyle name="20% - Énfasis4 2 2 5 2 2 2" xfId="8061"/>
    <cellStyle name="20% - Énfasis4 2 2 5 2 3" xfId="6010"/>
    <cellStyle name="20% - Énfasis4 2 2 5 3" xfId="3960"/>
    <cellStyle name="20% - Énfasis4 2 2 5 3 2" xfId="8060"/>
    <cellStyle name="20% - Énfasis4 2 2 5 4" xfId="6009"/>
    <cellStyle name="20% - Énfasis4 2 2 6" xfId="498"/>
    <cellStyle name="20% - Énfasis4 2 2 6 2" xfId="499"/>
    <cellStyle name="20% - Énfasis4 2 2 6 2 2" xfId="3963"/>
    <cellStyle name="20% - Énfasis4 2 2 6 2 2 2" xfId="8063"/>
    <cellStyle name="20% - Énfasis4 2 2 6 2 3" xfId="6012"/>
    <cellStyle name="20% - Énfasis4 2 2 6 3" xfId="3962"/>
    <cellStyle name="20% - Énfasis4 2 2 6 3 2" xfId="8062"/>
    <cellStyle name="20% - Énfasis4 2 2 6 4" xfId="6011"/>
    <cellStyle name="20% - Énfasis4 2 2 7" xfId="500"/>
    <cellStyle name="20% - Énfasis4 2 2 7 2" xfId="501"/>
    <cellStyle name="20% - Énfasis4 2 2 7 2 2" xfId="3965"/>
    <cellStyle name="20% - Énfasis4 2 2 7 2 2 2" xfId="8065"/>
    <cellStyle name="20% - Énfasis4 2 2 7 2 3" xfId="6014"/>
    <cellStyle name="20% - Énfasis4 2 2 7 3" xfId="3964"/>
    <cellStyle name="20% - Énfasis4 2 2 7 3 2" xfId="8064"/>
    <cellStyle name="20% - Énfasis4 2 2 7 4" xfId="6013"/>
    <cellStyle name="20% - Énfasis4 2 2 8" xfId="502"/>
    <cellStyle name="20% - Énfasis4 2 2 8 2" xfId="503"/>
    <cellStyle name="20% - Énfasis4 2 2 8 2 2" xfId="3967"/>
    <cellStyle name="20% - Énfasis4 2 2 8 2 2 2" xfId="8067"/>
    <cellStyle name="20% - Énfasis4 2 2 8 2 3" xfId="6016"/>
    <cellStyle name="20% - Énfasis4 2 2 8 3" xfId="3966"/>
    <cellStyle name="20% - Énfasis4 2 2 8 3 2" xfId="8066"/>
    <cellStyle name="20% - Énfasis4 2 2 8 4" xfId="6015"/>
    <cellStyle name="20% - Énfasis4 2 2 9" xfId="504"/>
    <cellStyle name="20% - Énfasis4 2 2 9 2" xfId="3968"/>
    <cellStyle name="20% - Énfasis4 2 2 9 2 2" xfId="8068"/>
    <cellStyle name="20% - Énfasis4 2 2 9 3" xfId="6017"/>
    <cellStyle name="20% - Énfasis4 2 3" xfId="505"/>
    <cellStyle name="20% - Énfasis4 2 3 10" xfId="3969"/>
    <cellStyle name="20% - Énfasis4 2 3 10 2" xfId="8069"/>
    <cellStyle name="20% - Énfasis4 2 3 11" xfId="6018"/>
    <cellStyle name="20% - Énfasis4 2 3 2" xfId="506"/>
    <cellStyle name="20% - Énfasis4 2 3 2 2" xfId="507"/>
    <cellStyle name="20% - Énfasis4 2 3 2 2 2" xfId="508"/>
    <cellStyle name="20% - Énfasis4 2 3 2 2 2 2" xfId="3972"/>
    <cellStyle name="20% - Énfasis4 2 3 2 2 2 2 2" xfId="8072"/>
    <cellStyle name="20% - Énfasis4 2 3 2 2 2 3" xfId="6021"/>
    <cellStyle name="20% - Énfasis4 2 3 2 2 3" xfId="3971"/>
    <cellStyle name="20% - Énfasis4 2 3 2 2 3 2" xfId="8071"/>
    <cellStyle name="20% - Énfasis4 2 3 2 2 4" xfId="6020"/>
    <cellStyle name="20% - Énfasis4 2 3 2 3" xfId="509"/>
    <cellStyle name="20% - Énfasis4 2 3 2 3 2" xfId="510"/>
    <cellStyle name="20% - Énfasis4 2 3 2 3 2 2" xfId="3974"/>
    <cellStyle name="20% - Énfasis4 2 3 2 3 2 2 2" xfId="8074"/>
    <cellStyle name="20% - Énfasis4 2 3 2 3 2 3" xfId="6023"/>
    <cellStyle name="20% - Énfasis4 2 3 2 3 3" xfId="3973"/>
    <cellStyle name="20% - Énfasis4 2 3 2 3 3 2" xfId="8073"/>
    <cellStyle name="20% - Énfasis4 2 3 2 3 4" xfId="6022"/>
    <cellStyle name="20% - Énfasis4 2 3 2 4" xfId="511"/>
    <cellStyle name="20% - Énfasis4 2 3 2 4 2" xfId="3975"/>
    <cellStyle name="20% - Énfasis4 2 3 2 4 2 2" xfId="8075"/>
    <cellStyle name="20% - Énfasis4 2 3 2 4 3" xfId="6024"/>
    <cellStyle name="20% - Énfasis4 2 3 2 5" xfId="3970"/>
    <cellStyle name="20% - Énfasis4 2 3 2 5 2" xfId="8070"/>
    <cellStyle name="20% - Énfasis4 2 3 2 6" xfId="6019"/>
    <cellStyle name="20% - Énfasis4 2 3 3" xfId="512"/>
    <cellStyle name="20% - Énfasis4 2 3 3 2" xfId="513"/>
    <cellStyle name="20% - Énfasis4 2 3 3 2 2" xfId="3977"/>
    <cellStyle name="20% - Énfasis4 2 3 3 2 2 2" xfId="8077"/>
    <cellStyle name="20% - Énfasis4 2 3 3 2 3" xfId="6026"/>
    <cellStyle name="20% - Énfasis4 2 3 3 3" xfId="3976"/>
    <cellStyle name="20% - Énfasis4 2 3 3 3 2" xfId="8076"/>
    <cellStyle name="20% - Énfasis4 2 3 3 4" xfId="6025"/>
    <cellStyle name="20% - Énfasis4 2 3 4" xfId="514"/>
    <cellStyle name="20% - Énfasis4 2 3 4 2" xfId="515"/>
    <cellStyle name="20% - Énfasis4 2 3 4 2 2" xfId="3979"/>
    <cellStyle name="20% - Énfasis4 2 3 4 2 2 2" xfId="8079"/>
    <cellStyle name="20% - Énfasis4 2 3 4 2 3" xfId="6028"/>
    <cellStyle name="20% - Énfasis4 2 3 4 3" xfId="3978"/>
    <cellStyle name="20% - Énfasis4 2 3 4 3 2" xfId="8078"/>
    <cellStyle name="20% - Énfasis4 2 3 4 4" xfId="6027"/>
    <cellStyle name="20% - Énfasis4 2 3 5" xfId="516"/>
    <cellStyle name="20% - Énfasis4 2 3 5 2" xfId="517"/>
    <cellStyle name="20% - Énfasis4 2 3 5 2 2" xfId="3981"/>
    <cellStyle name="20% - Énfasis4 2 3 5 2 2 2" xfId="8081"/>
    <cellStyle name="20% - Énfasis4 2 3 5 2 3" xfId="6030"/>
    <cellStyle name="20% - Énfasis4 2 3 5 3" xfId="3980"/>
    <cellStyle name="20% - Énfasis4 2 3 5 3 2" xfId="8080"/>
    <cellStyle name="20% - Énfasis4 2 3 5 4" xfId="6029"/>
    <cellStyle name="20% - Énfasis4 2 3 6" xfId="518"/>
    <cellStyle name="20% - Énfasis4 2 3 6 2" xfId="519"/>
    <cellStyle name="20% - Énfasis4 2 3 6 2 2" xfId="3983"/>
    <cellStyle name="20% - Énfasis4 2 3 6 2 2 2" xfId="8083"/>
    <cellStyle name="20% - Énfasis4 2 3 6 2 3" xfId="6032"/>
    <cellStyle name="20% - Énfasis4 2 3 6 3" xfId="3982"/>
    <cellStyle name="20% - Énfasis4 2 3 6 3 2" xfId="8082"/>
    <cellStyle name="20% - Énfasis4 2 3 6 4" xfId="6031"/>
    <cellStyle name="20% - Énfasis4 2 3 7" xfId="520"/>
    <cellStyle name="20% - Énfasis4 2 3 7 2" xfId="521"/>
    <cellStyle name="20% - Énfasis4 2 3 7 2 2" xfId="3985"/>
    <cellStyle name="20% - Énfasis4 2 3 7 2 2 2" xfId="8085"/>
    <cellStyle name="20% - Énfasis4 2 3 7 2 3" xfId="6034"/>
    <cellStyle name="20% - Énfasis4 2 3 7 3" xfId="3984"/>
    <cellStyle name="20% - Énfasis4 2 3 7 3 2" xfId="8084"/>
    <cellStyle name="20% - Énfasis4 2 3 7 4" xfId="6033"/>
    <cellStyle name="20% - Énfasis4 2 3 8" xfId="522"/>
    <cellStyle name="20% - Énfasis4 2 3 8 2" xfId="523"/>
    <cellStyle name="20% - Énfasis4 2 3 8 2 2" xfId="3987"/>
    <cellStyle name="20% - Énfasis4 2 3 8 2 2 2" xfId="8087"/>
    <cellStyle name="20% - Énfasis4 2 3 8 2 3" xfId="6036"/>
    <cellStyle name="20% - Énfasis4 2 3 8 3" xfId="3986"/>
    <cellStyle name="20% - Énfasis4 2 3 8 3 2" xfId="8086"/>
    <cellStyle name="20% - Énfasis4 2 3 8 4" xfId="6035"/>
    <cellStyle name="20% - Énfasis4 2 3 9" xfId="524"/>
    <cellStyle name="20% - Énfasis4 2 3 9 2" xfId="3988"/>
    <cellStyle name="20% - Énfasis4 2 3 9 2 2" xfId="8088"/>
    <cellStyle name="20% - Énfasis4 2 3 9 3" xfId="6037"/>
    <cellStyle name="20% - Énfasis4 2 4" xfId="525"/>
    <cellStyle name="20% - Énfasis4 2 4 2" xfId="526"/>
    <cellStyle name="20% - Énfasis4 2 4 2 2" xfId="527"/>
    <cellStyle name="20% - Énfasis4 2 4 2 2 2" xfId="3991"/>
    <cellStyle name="20% - Énfasis4 2 4 2 2 2 2" xfId="8091"/>
    <cellStyle name="20% - Énfasis4 2 4 2 2 3" xfId="6040"/>
    <cellStyle name="20% - Énfasis4 2 4 2 3" xfId="3990"/>
    <cellStyle name="20% - Énfasis4 2 4 2 3 2" xfId="8090"/>
    <cellStyle name="20% - Énfasis4 2 4 2 4" xfId="6039"/>
    <cellStyle name="20% - Énfasis4 2 4 3" xfId="528"/>
    <cellStyle name="20% - Énfasis4 2 4 3 2" xfId="529"/>
    <cellStyle name="20% - Énfasis4 2 4 3 2 2" xfId="3993"/>
    <cellStyle name="20% - Énfasis4 2 4 3 2 2 2" xfId="8093"/>
    <cellStyle name="20% - Énfasis4 2 4 3 2 3" xfId="6042"/>
    <cellStyle name="20% - Énfasis4 2 4 3 3" xfId="3992"/>
    <cellStyle name="20% - Énfasis4 2 4 3 3 2" xfId="8092"/>
    <cellStyle name="20% - Énfasis4 2 4 3 4" xfId="6041"/>
    <cellStyle name="20% - Énfasis4 2 4 4" xfId="530"/>
    <cellStyle name="20% - Énfasis4 2 4 4 2" xfId="3994"/>
    <cellStyle name="20% - Énfasis4 2 4 4 2 2" xfId="8094"/>
    <cellStyle name="20% - Énfasis4 2 4 4 3" xfId="6043"/>
    <cellStyle name="20% - Énfasis4 2 4 5" xfId="3989"/>
    <cellStyle name="20% - Énfasis4 2 4 5 2" xfId="8089"/>
    <cellStyle name="20% - Énfasis4 2 4 6" xfId="6038"/>
    <cellStyle name="20% - Énfasis4 2 5" xfId="531"/>
    <cellStyle name="20% - Énfasis4 2 5 2" xfId="532"/>
    <cellStyle name="20% - Énfasis4 2 5 2 2" xfId="3996"/>
    <cellStyle name="20% - Énfasis4 2 5 2 2 2" xfId="8096"/>
    <cellStyle name="20% - Énfasis4 2 5 2 3" xfId="6045"/>
    <cellStyle name="20% - Énfasis4 2 5 3" xfId="3995"/>
    <cellStyle name="20% - Énfasis4 2 5 3 2" xfId="8095"/>
    <cellStyle name="20% - Énfasis4 2 5 4" xfId="6044"/>
    <cellStyle name="20% - Énfasis4 2 6" xfId="533"/>
    <cellStyle name="20% - Énfasis4 2 6 2" xfId="534"/>
    <cellStyle name="20% - Énfasis4 2 6 2 2" xfId="3998"/>
    <cellStyle name="20% - Énfasis4 2 6 2 2 2" xfId="8098"/>
    <cellStyle name="20% - Énfasis4 2 6 2 3" xfId="6047"/>
    <cellStyle name="20% - Énfasis4 2 6 3" xfId="3997"/>
    <cellStyle name="20% - Énfasis4 2 6 3 2" xfId="8097"/>
    <cellStyle name="20% - Énfasis4 2 6 4" xfId="6046"/>
    <cellStyle name="20% - Énfasis4 2 7" xfId="535"/>
    <cellStyle name="20% - Énfasis4 2 7 2" xfId="536"/>
    <cellStyle name="20% - Énfasis4 2 7 2 2" xfId="4000"/>
    <cellStyle name="20% - Énfasis4 2 7 2 2 2" xfId="8100"/>
    <cellStyle name="20% - Énfasis4 2 7 2 3" xfId="6049"/>
    <cellStyle name="20% - Énfasis4 2 7 3" xfId="3999"/>
    <cellStyle name="20% - Énfasis4 2 7 3 2" xfId="8099"/>
    <cellStyle name="20% - Énfasis4 2 7 4" xfId="6048"/>
    <cellStyle name="20% - Énfasis4 2 8" xfId="537"/>
    <cellStyle name="20% - Énfasis4 2 8 2" xfId="538"/>
    <cellStyle name="20% - Énfasis4 2 8 2 2" xfId="4002"/>
    <cellStyle name="20% - Énfasis4 2 8 2 2 2" xfId="8102"/>
    <cellStyle name="20% - Énfasis4 2 8 2 3" xfId="6051"/>
    <cellStyle name="20% - Énfasis4 2 8 3" xfId="4001"/>
    <cellStyle name="20% - Énfasis4 2 8 3 2" xfId="8101"/>
    <cellStyle name="20% - Énfasis4 2 8 4" xfId="6050"/>
    <cellStyle name="20% - Énfasis4 2 9" xfId="539"/>
    <cellStyle name="20% - Énfasis4 2 9 2" xfId="540"/>
    <cellStyle name="20% - Énfasis4 2 9 2 2" xfId="4004"/>
    <cellStyle name="20% - Énfasis4 2 9 2 2 2" xfId="8104"/>
    <cellStyle name="20% - Énfasis4 2 9 2 3" xfId="6053"/>
    <cellStyle name="20% - Énfasis4 2 9 3" xfId="4003"/>
    <cellStyle name="20% - Énfasis4 2 9 3 2" xfId="8103"/>
    <cellStyle name="20% - Énfasis4 2 9 4" xfId="6052"/>
    <cellStyle name="20% - Énfasis4 3" xfId="541"/>
    <cellStyle name="20% - Énfasis4 3 10" xfId="542"/>
    <cellStyle name="20% - Énfasis4 3 10 2" xfId="543"/>
    <cellStyle name="20% - Énfasis4 3 10 2 2" xfId="4007"/>
    <cellStyle name="20% - Énfasis4 3 10 2 2 2" xfId="8107"/>
    <cellStyle name="20% - Énfasis4 3 10 2 3" xfId="6056"/>
    <cellStyle name="20% - Énfasis4 3 10 3" xfId="4006"/>
    <cellStyle name="20% - Énfasis4 3 10 3 2" xfId="8106"/>
    <cellStyle name="20% - Énfasis4 3 10 4" xfId="6055"/>
    <cellStyle name="20% - Énfasis4 3 11" xfId="544"/>
    <cellStyle name="20% - Énfasis4 3 11 2" xfId="4008"/>
    <cellStyle name="20% - Énfasis4 3 11 2 2" xfId="8108"/>
    <cellStyle name="20% - Énfasis4 3 11 3" xfId="6057"/>
    <cellStyle name="20% - Énfasis4 3 12" xfId="4005"/>
    <cellStyle name="20% - Énfasis4 3 12 2" xfId="8105"/>
    <cellStyle name="20% - Énfasis4 3 13" xfId="6054"/>
    <cellStyle name="20% - Énfasis4 3 2" xfId="545"/>
    <cellStyle name="20% - Énfasis4 3 2 10" xfId="4009"/>
    <cellStyle name="20% - Énfasis4 3 2 10 2" xfId="8109"/>
    <cellStyle name="20% - Énfasis4 3 2 11" xfId="6058"/>
    <cellStyle name="20% - Énfasis4 3 2 2" xfId="546"/>
    <cellStyle name="20% - Énfasis4 3 2 2 2" xfId="547"/>
    <cellStyle name="20% - Énfasis4 3 2 2 2 2" xfId="548"/>
    <cellStyle name="20% - Énfasis4 3 2 2 2 2 2" xfId="4012"/>
    <cellStyle name="20% - Énfasis4 3 2 2 2 2 2 2" xfId="8112"/>
    <cellStyle name="20% - Énfasis4 3 2 2 2 2 3" xfId="6061"/>
    <cellStyle name="20% - Énfasis4 3 2 2 2 3" xfId="4011"/>
    <cellStyle name="20% - Énfasis4 3 2 2 2 3 2" xfId="8111"/>
    <cellStyle name="20% - Énfasis4 3 2 2 2 4" xfId="6060"/>
    <cellStyle name="20% - Énfasis4 3 2 2 3" xfId="549"/>
    <cellStyle name="20% - Énfasis4 3 2 2 3 2" xfId="550"/>
    <cellStyle name="20% - Énfasis4 3 2 2 3 2 2" xfId="4014"/>
    <cellStyle name="20% - Énfasis4 3 2 2 3 2 2 2" xfId="8114"/>
    <cellStyle name="20% - Énfasis4 3 2 2 3 2 3" xfId="6063"/>
    <cellStyle name="20% - Énfasis4 3 2 2 3 3" xfId="4013"/>
    <cellStyle name="20% - Énfasis4 3 2 2 3 3 2" xfId="8113"/>
    <cellStyle name="20% - Énfasis4 3 2 2 3 4" xfId="6062"/>
    <cellStyle name="20% - Énfasis4 3 2 2 4" xfId="551"/>
    <cellStyle name="20% - Énfasis4 3 2 2 4 2" xfId="4015"/>
    <cellStyle name="20% - Énfasis4 3 2 2 4 2 2" xfId="8115"/>
    <cellStyle name="20% - Énfasis4 3 2 2 4 3" xfId="6064"/>
    <cellStyle name="20% - Énfasis4 3 2 2 5" xfId="4010"/>
    <cellStyle name="20% - Énfasis4 3 2 2 5 2" xfId="8110"/>
    <cellStyle name="20% - Énfasis4 3 2 2 6" xfId="6059"/>
    <cellStyle name="20% - Énfasis4 3 2 3" xfId="552"/>
    <cellStyle name="20% - Énfasis4 3 2 3 2" xfId="553"/>
    <cellStyle name="20% - Énfasis4 3 2 3 2 2" xfId="4017"/>
    <cellStyle name="20% - Énfasis4 3 2 3 2 2 2" xfId="8117"/>
    <cellStyle name="20% - Énfasis4 3 2 3 2 3" xfId="6066"/>
    <cellStyle name="20% - Énfasis4 3 2 3 3" xfId="4016"/>
    <cellStyle name="20% - Énfasis4 3 2 3 3 2" xfId="8116"/>
    <cellStyle name="20% - Énfasis4 3 2 3 4" xfId="6065"/>
    <cellStyle name="20% - Énfasis4 3 2 4" xfId="554"/>
    <cellStyle name="20% - Énfasis4 3 2 4 2" xfId="555"/>
    <cellStyle name="20% - Énfasis4 3 2 4 2 2" xfId="4019"/>
    <cellStyle name="20% - Énfasis4 3 2 4 2 2 2" xfId="8119"/>
    <cellStyle name="20% - Énfasis4 3 2 4 2 3" xfId="6068"/>
    <cellStyle name="20% - Énfasis4 3 2 4 3" xfId="4018"/>
    <cellStyle name="20% - Énfasis4 3 2 4 3 2" xfId="8118"/>
    <cellStyle name="20% - Énfasis4 3 2 4 4" xfId="6067"/>
    <cellStyle name="20% - Énfasis4 3 2 5" xfId="556"/>
    <cellStyle name="20% - Énfasis4 3 2 5 2" xfId="557"/>
    <cellStyle name="20% - Énfasis4 3 2 5 2 2" xfId="4021"/>
    <cellStyle name="20% - Énfasis4 3 2 5 2 2 2" xfId="8121"/>
    <cellStyle name="20% - Énfasis4 3 2 5 2 3" xfId="6070"/>
    <cellStyle name="20% - Énfasis4 3 2 5 3" xfId="4020"/>
    <cellStyle name="20% - Énfasis4 3 2 5 3 2" xfId="8120"/>
    <cellStyle name="20% - Énfasis4 3 2 5 4" xfId="6069"/>
    <cellStyle name="20% - Énfasis4 3 2 6" xfId="558"/>
    <cellStyle name="20% - Énfasis4 3 2 6 2" xfId="559"/>
    <cellStyle name="20% - Énfasis4 3 2 6 2 2" xfId="4023"/>
    <cellStyle name="20% - Énfasis4 3 2 6 2 2 2" xfId="8123"/>
    <cellStyle name="20% - Énfasis4 3 2 6 2 3" xfId="6072"/>
    <cellStyle name="20% - Énfasis4 3 2 6 3" xfId="4022"/>
    <cellStyle name="20% - Énfasis4 3 2 6 3 2" xfId="8122"/>
    <cellStyle name="20% - Énfasis4 3 2 6 4" xfId="6071"/>
    <cellStyle name="20% - Énfasis4 3 2 7" xfId="560"/>
    <cellStyle name="20% - Énfasis4 3 2 7 2" xfId="561"/>
    <cellStyle name="20% - Énfasis4 3 2 7 2 2" xfId="4025"/>
    <cellStyle name="20% - Énfasis4 3 2 7 2 2 2" xfId="8125"/>
    <cellStyle name="20% - Énfasis4 3 2 7 2 3" xfId="6074"/>
    <cellStyle name="20% - Énfasis4 3 2 7 3" xfId="4024"/>
    <cellStyle name="20% - Énfasis4 3 2 7 3 2" xfId="8124"/>
    <cellStyle name="20% - Énfasis4 3 2 7 4" xfId="6073"/>
    <cellStyle name="20% - Énfasis4 3 2 8" xfId="562"/>
    <cellStyle name="20% - Énfasis4 3 2 8 2" xfId="563"/>
    <cellStyle name="20% - Énfasis4 3 2 8 2 2" xfId="4027"/>
    <cellStyle name="20% - Énfasis4 3 2 8 2 2 2" xfId="8127"/>
    <cellStyle name="20% - Énfasis4 3 2 8 2 3" xfId="6076"/>
    <cellStyle name="20% - Énfasis4 3 2 8 3" xfId="4026"/>
    <cellStyle name="20% - Énfasis4 3 2 8 3 2" xfId="8126"/>
    <cellStyle name="20% - Énfasis4 3 2 8 4" xfId="6075"/>
    <cellStyle name="20% - Énfasis4 3 2 9" xfId="564"/>
    <cellStyle name="20% - Énfasis4 3 2 9 2" xfId="4028"/>
    <cellStyle name="20% - Énfasis4 3 2 9 2 2" xfId="8128"/>
    <cellStyle name="20% - Énfasis4 3 2 9 3" xfId="6077"/>
    <cellStyle name="20% - Énfasis4 3 3" xfId="565"/>
    <cellStyle name="20% - Énfasis4 3 3 10" xfId="4029"/>
    <cellStyle name="20% - Énfasis4 3 3 10 2" xfId="8129"/>
    <cellStyle name="20% - Énfasis4 3 3 11" xfId="6078"/>
    <cellStyle name="20% - Énfasis4 3 3 2" xfId="566"/>
    <cellStyle name="20% - Énfasis4 3 3 2 2" xfId="567"/>
    <cellStyle name="20% - Énfasis4 3 3 2 2 2" xfId="568"/>
    <cellStyle name="20% - Énfasis4 3 3 2 2 2 2" xfId="4032"/>
    <cellStyle name="20% - Énfasis4 3 3 2 2 2 2 2" xfId="8132"/>
    <cellStyle name="20% - Énfasis4 3 3 2 2 2 3" xfId="6081"/>
    <cellStyle name="20% - Énfasis4 3 3 2 2 3" xfId="4031"/>
    <cellStyle name="20% - Énfasis4 3 3 2 2 3 2" xfId="8131"/>
    <cellStyle name="20% - Énfasis4 3 3 2 2 4" xfId="6080"/>
    <cellStyle name="20% - Énfasis4 3 3 2 3" xfId="569"/>
    <cellStyle name="20% - Énfasis4 3 3 2 3 2" xfId="570"/>
    <cellStyle name="20% - Énfasis4 3 3 2 3 2 2" xfId="4034"/>
    <cellStyle name="20% - Énfasis4 3 3 2 3 2 2 2" xfId="8134"/>
    <cellStyle name="20% - Énfasis4 3 3 2 3 2 3" xfId="6083"/>
    <cellStyle name="20% - Énfasis4 3 3 2 3 3" xfId="4033"/>
    <cellStyle name="20% - Énfasis4 3 3 2 3 3 2" xfId="8133"/>
    <cellStyle name="20% - Énfasis4 3 3 2 3 4" xfId="6082"/>
    <cellStyle name="20% - Énfasis4 3 3 2 4" xfId="571"/>
    <cellStyle name="20% - Énfasis4 3 3 2 4 2" xfId="4035"/>
    <cellStyle name="20% - Énfasis4 3 3 2 4 2 2" xfId="8135"/>
    <cellStyle name="20% - Énfasis4 3 3 2 4 3" xfId="6084"/>
    <cellStyle name="20% - Énfasis4 3 3 2 5" xfId="4030"/>
    <cellStyle name="20% - Énfasis4 3 3 2 5 2" xfId="8130"/>
    <cellStyle name="20% - Énfasis4 3 3 2 6" xfId="6079"/>
    <cellStyle name="20% - Énfasis4 3 3 3" xfId="572"/>
    <cellStyle name="20% - Énfasis4 3 3 3 2" xfId="573"/>
    <cellStyle name="20% - Énfasis4 3 3 3 2 2" xfId="4037"/>
    <cellStyle name="20% - Énfasis4 3 3 3 2 2 2" xfId="8137"/>
    <cellStyle name="20% - Énfasis4 3 3 3 2 3" xfId="6086"/>
    <cellStyle name="20% - Énfasis4 3 3 3 3" xfId="4036"/>
    <cellStyle name="20% - Énfasis4 3 3 3 3 2" xfId="8136"/>
    <cellStyle name="20% - Énfasis4 3 3 3 4" xfId="6085"/>
    <cellStyle name="20% - Énfasis4 3 3 4" xfId="574"/>
    <cellStyle name="20% - Énfasis4 3 3 4 2" xfId="575"/>
    <cellStyle name="20% - Énfasis4 3 3 4 2 2" xfId="4039"/>
    <cellStyle name="20% - Énfasis4 3 3 4 2 2 2" xfId="8139"/>
    <cellStyle name="20% - Énfasis4 3 3 4 2 3" xfId="6088"/>
    <cellStyle name="20% - Énfasis4 3 3 4 3" xfId="4038"/>
    <cellStyle name="20% - Énfasis4 3 3 4 3 2" xfId="8138"/>
    <cellStyle name="20% - Énfasis4 3 3 4 4" xfId="6087"/>
    <cellStyle name="20% - Énfasis4 3 3 5" xfId="576"/>
    <cellStyle name="20% - Énfasis4 3 3 5 2" xfId="577"/>
    <cellStyle name="20% - Énfasis4 3 3 5 2 2" xfId="4041"/>
    <cellStyle name="20% - Énfasis4 3 3 5 2 2 2" xfId="8141"/>
    <cellStyle name="20% - Énfasis4 3 3 5 2 3" xfId="6090"/>
    <cellStyle name="20% - Énfasis4 3 3 5 3" xfId="4040"/>
    <cellStyle name="20% - Énfasis4 3 3 5 3 2" xfId="8140"/>
    <cellStyle name="20% - Énfasis4 3 3 5 4" xfId="6089"/>
    <cellStyle name="20% - Énfasis4 3 3 6" xfId="578"/>
    <cellStyle name="20% - Énfasis4 3 3 6 2" xfId="579"/>
    <cellStyle name="20% - Énfasis4 3 3 6 2 2" xfId="4043"/>
    <cellStyle name="20% - Énfasis4 3 3 6 2 2 2" xfId="8143"/>
    <cellStyle name="20% - Énfasis4 3 3 6 2 3" xfId="6092"/>
    <cellStyle name="20% - Énfasis4 3 3 6 3" xfId="4042"/>
    <cellStyle name="20% - Énfasis4 3 3 6 3 2" xfId="8142"/>
    <cellStyle name="20% - Énfasis4 3 3 6 4" xfId="6091"/>
    <cellStyle name="20% - Énfasis4 3 3 7" xfId="580"/>
    <cellStyle name="20% - Énfasis4 3 3 7 2" xfId="581"/>
    <cellStyle name="20% - Énfasis4 3 3 7 2 2" xfId="4045"/>
    <cellStyle name="20% - Énfasis4 3 3 7 2 2 2" xfId="8145"/>
    <cellStyle name="20% - Énfasis4 3 3 7 2 3" xfId="6094"/>
    <cellStyle name="20% - Énfasis4 3 3 7 3" xfId="4044"/>
    <cellStyle name="20% - Énfasis4 3 3 7 3 2" xfId="8144"/>
    <cellStyle name="20% - Énfasis4 3 3 7 4" xfId="6093"/>
    <cellStyle name="20% - Énfasis4 3 3 8" xfId="582"/>
    <cellStyle name="20% - Énfasis4 3 3 8 2" xfId="583"/>
    <cellStyle name="20% - Énfasis4 3 3 8 2 2" xfId="4047"/>
    <cellStyle name="20% - Énfasis4 3 3 8 2 2 2" xfId="8147"/>
    <cellStyle name="20% - Énfasis4 3 3 8 2 3" xfId="6096"/>
    <cellStyle name="20% - Énfasis4 3 3 8 3" xfId="4046"/>
    <cellStyle name="20% - Énfasis4 3 3 8 3 2" xfId="8146"/>
    <cellStyle name="20% - Énfasis4 3 3 8 4" xfId="6095"/>
    <cellStyle name="20% - Énfasis4 3 3 9" xfId="584"/>
    <cellStyle name="20% - Énfasis4 3 3 9 2" xfId="4048"/>
    <cellStyle name="20% - Énfasis4 3 3 9 2 2" xfId="8148"/>
    <cellStyle name="20% - Énfasis4 3 3 9 3" xfId="6097"/>
    <cellStyle name="20% - Énfasis4 3 4" xfId="585"/>
    <cellStyle name="20% - Énfasis4 3 4 2" xfId="586"/>
    <cellStyle name="20% - Énfasis4 3 4 2 2" xfId="587"/>
    <cellStyle name="20% - Énfasis4 3 4 2 2 2" xfId="4051"/>
    <cellStyle name="20% - Énfasis4 3 4 2 2 2 2" xfId="8151"/>
    <cellStyle name="20% - Énfasis4 3 4 2 2 3" xfId="6100"/>
    <cellStyle name="20% - Énfasis4 3 4 2 3" xfId="4050"/>
    <cellStyle name="20% - Énfasis4 3 4 2 3 2" xfId="8150"/>
    <cellStyle name="20% - Énfasis4 3 4 2 4" xfId="6099"/>
    <cellStyle name="20% - Énfasis4 3 4 3" xfId="588"/>
    <cellStyle name="20% - Énfasis4 3 4 3 2" xfId="589"/>
    <cellStyle name="20% - Énfasis4 3 4 3 2 2" xfId="4053"/>
    <cellStyle name="20% - Énfasis4 3 4 3 2 2 2" xfId="8153"/>
    <cellStyle name="20% - Énfasis4 3 4 3 2 3" xfId="6102"/>
    <cellStyle name="20% - Énfasis4 3 4 3 3" xfId="4052"/>
    <cellStyle name="20% - Énfasis4 3 4 3 3 2" xfId="8152"/>
    <cellStyle name="20% - Énfasis4 3 4 3 4" xfId="6101"/>
    <cellStyle name="20% - Énfasis4 3 4 4" xfId="590"/>
    <cellStyle name="20% - Énfasis4 3 4 4 2" xfId="4054"/>
    <cellStyle name="20% - Énfasis4 3 4 4 2 2" xfId="8154"/>
    <cellStyle name="20% - Énfasis4 3 4 4 3" xfId="6103"/>
    <cellStyle name="20% - Énfasis4 3 4 5" xfId="4049"/>
    <cellStyle name="20% - Énfasis4 3 4 5 2" xfId="8149"/>
    <cellStyle name="20% - Énfasis4 3 4 6" xfId="6098"/>
    <cellStyle name="20% - Énfasis4 3 5" xfId="591"/>
    <cellStyle name="20% - Énfasis4 3 5 2" xfId="592"/>
    <cellStyle name="20% - Énfasis4 3 5 2 2" xfId="4056"/>
    <cellStyle name="20% - Énfasis4 3 5 2 2 2" xfId="8156"/>
    <cellStyle name="20% - Énfasis4 3 5 2 3" xfId="6105"/>
    <cellStyle name="20% - Énfasis4 3 5 3" xfId="4055"/>
    <cellStyle name="20% - Énfasis4 3 5 3 2" xfId="8155"/>
    <cellStyle name="20% - Énfasis4 3 5 4" xfId="6104"/>
    <cellStyle name="20% - Énfasis4 3 6" xfId="593"/>
    <cellStyle name="20% - Énfasis4 3 6 2" xfId="594"/>
    <cellStyle name="20% - Énfasis4 3 6 2 2" xfId="4058"/>
    <cellStyle name="20% - Énfasis4 3 6 2 2 2" xfId="8158"/>
    <cellStyle name="20% - Énfasis4 3 6 2 3" xfId="6107"/>
    <cellStyle name="20% - Énfasis4 3 6 3" xfId="4057"/>
    <cellStyle name="20% - Énfasis4 3 6 3 2" xfId="8157"/>
    <cellStyle name="20% - Énfasis4 3 6 4" xfId="6106"/>
    <cellStyle name="20% - Énfasis4 3 7" xfId="595"/>
    <cellStyle name="20% - Énfasis4 3 7 2" xfId="596"/>
    <cellStyle name="20% - Énfasis4 3 7 2 2" xfId="4060"/>
    <cellStyle name="20% - Énfasis4 3 7 2 2 2" xfId="8160"/>
    <cellStyle name="20% - Énfasis4 3 7 2 3" xfId="6109"/>
    <cellStyle name="20% - Énfasis4 3 7 3" xfId="4059"/>
    <cellStyle name="20% - Énfasis4 3 7 3 2" xfId="8159"/>
    <cellStyle name="20% - Énfasis4 3 7 4" xfId="6108"/>
    <cellStyle name="20% - Énfasis4 3 8" xfId="597"/>
    <cellStyle name="20% - Énfasis4 3 8 2" xfId="598"/>
    <cellStyle name="20% - Énfasis4 3 8 2 2" xfId="4062"/>
    <cellStyle name="20% - Énfasis4 3 8 2 2 2" xfId="8162"/>
    <cellStyle name="20% - Énfasis4 3 8 2 3" xfId="6111"/>
    <cellStyle name="20% - Énfasis4 3 8 3" xfId="4061"/>
    <cellStyle name="20% - Énfasis4 3 8 3 2" xfId="8161"/>
    <cellStyle name="20% - Énfasis4 3 8 4" xfId="6110"/>
    <cellStyle name="20% - Énfasis4 3 9" xfId="599"/>
    <cellStyle name="20% - Énfasis4 3 9 2" xfId="600"/>
    <cellStyle name="20% - Énfasis4 3 9 2 2" xfId="4064"/>
    <cellStyle name="20% - Énfasis4 3 9 2 2 2" xfId="8164"/>
    <cellStyle name="20% - Énfasis4 3 9 2 3" xfId="6113"/>
    <cellStyle name="20% - Énfasis4 3 9 3" xfId="4063"/>
    <cellStyle name="20% - Énfasis4 3 9 3 2" xfId="8163"/>
    <cellStyle name="20% - Énfasis4 3 9 4" xfId="6112"/>
    <cellStyle name="20% - Énfasis4 4" xfId="601"/>
    <cellStyle name="20% - Énfasis4 4 10" xfId="4065"/>
    <cellStyle name="20% - Énfasis4 4 10 2" xfId="8165"/>
    <cellStyle name="20% - Énfasis4 4 11" xfId="6114"/>
    <cellStyle name="20% - Énfasis4 4 2" xfId="602"/>
    <cellStyle name="20% - Énfasis4 4 2 2" xfId="603"/>
    <cellStyle name="20% - Énfasis4 4 2 2 2" xfId="604"/>
    <cellStyle name="20% - Énfasis4 4 2 2 2 2" xfId="4068"/>
    <cellStyle name="20% - Énfasis4 4 2 2 2 2 2" xfId="8168"/>
    <cellStyle name="20% - Énfasis4 4 2 2 2 3" xfId="6117"/>
    <cellStyle name="20% - Énfasis4 4 2 2 3" xfId="4067"/>
    <cellStyle name="20% - Énfasis4 4 2 2 3 2" xfId="8167"/>
    <cellStyle name="20% - Énfasis4 4 2 2 4" xfId="6116"/>
    <cellStyle name="20% - Énfasis4 4 2 3" xfId="605"/>
    <cellStyle name="20% - Énfasis4 4 2 3 2" xfId="606"/>
    <cellStyle name="20% - Énfasis4 4 2 3 2 2" xfId="4070"/>
    <cellStyle name="20% - Énfasis4 4 2 3 2 2 2" xfId="8170"/>
    <cellStyle name="20% - Énfasis4 4 2 3 2 3" xfId="6119"/>
    <cellStyle name="20% - Énfasis4 4 2 3 3" xfId="4069"/>
    <cellStyle name="20% - Énfasis4 4 2 3 3 2" xfId="8169"/>
    <cellStyle name="20% - Énfasis4 4 2 3 4" xfId="6118"/>
    <cellStyle name="20% - Énfasis4 4 2 4" xfId="607"/>
    <cellStyle name="20% - Énfasis4 4 2 4 2" xfId="4071"/>
    <cellStyle name="20% - Énfasis4 4 2 4 2 2" xfId="8171"/>
    <cellStyle name="20% - Énfasis4 4 2 4 3" xfId="6120"/>
    <cellStyle name="20% - Énfasis4 4 2 5" xfId="4066"/>
    <cellStyle name="20% - Énfasis4 4 2 5 2" xfId="8166"/>
    <cellStyle name="20% - Énfasis4 4 2 6" xfId="6115"/>
    <cellStyle name="20% - Énfasis4 4 3" xfId="608"/>
    <cellStyle name="20% - Énfasis4 4 3 2" xfId="609"/>
    <cellStyle name="20% - Énfasis4 4 3 2 2" xfId="4073"/>
    <cellStyle name="20% - Énfasis4 4 3 2 2 2" xfId="8173"/>
    <cellStyle name="20% - Énfasis4 4 3 2 3" xfId="6122"/>
    <cellStyle name="20% - Énfasis4 4 3 3" xfId="4072"/>
    <cellStyle name="20% - Énfasis4 4 3 3 2" xfId="8172"/>
    <cellStyle name="20% - Énfasis4 4 3 4" xfId="6121"/>
    <cellStyle name="20% - Énfasis4 4 4" xfId="610"/>
    <cellStyle name="20% - Énfasis4 4 4 2" xfId="611"/>
    <cellStyle name="20% - Énfasis4 4 4 2 2" xfId="4075"/>
    <cellStyle name="20% - Énfasis4 4 4 2 2 2" xfId="8175"/>
    <cellStyle name="20% - Énfasis4 4 4 2 3" xfId="6124"/>
    <cellStyle name="20% - Énfasis4 4 4 3" xfId="4074"/>
    <cellStyle name="20% - Énfasis4 4 4 3 2" xfId="8174"/>
    <cellStyle name="20% - Énfasis4 4 4 4" xfId="6123"/>
    <cellStyle name="20% - Énfasis4 4 5" xfId="612"/>
    <cellStyle name="20% - Énfasis4 4 5 2" xfId="613"/>
    <cellStyle name="20% - Énfasis4 4 5 2 2" xfId="4077"/>
    <cellStyle name="20% - Énfasis4 4 5 2 2 2" xfId="8177"/>
    <cellStyle name="20% - Énfasis4 4 5 2 3" xfId="6126"/>
    <cellStyle name="20% - Énfasis4 4 5 3" xfId="4076"/>
    <cellStyle name="20% - Énfasis4 4 5 3 2" xfId="8176"/>
    <cellStyle name="20% - Énfasis4 4 5 4" xfId="6125"/>
    <cellStyle name="20% - Énfasis4 4 6" xfId="614"/>
    <cellStyle name="20% - Énfasis4 4 6 2" xfId="615"/>
    <cellStyle name="20% - Énfasis4 4 6 2 2" xfId="4079"/>
    <cellStyle name="20% - Énfasis4 4 6 2 2 2" xfId="8179"/>
    <cellStyle name="20% - Énfasis4 4 6 2 3" xfId="6128"/>
    <cellStyle name="20% - Énfasis4 4 6 3" xfId="4078"/>
    <cellStyle name="20% - Énfasis4 4 6 3 2" xfId="8178"/>
    <cellStyle name="20% - Énfasis4 4 6 4" xfId="6127"/>
    <cellStyle name="20% - Énfasis4 4 7" xfId="616"/>
    <cellStyle name="20% - Énfasis4 4 7 2" xfId="617"/>
    <cellStyle name="20% - Énfasis4 4 7 2 2" xfId="4081"/>
    <cellStyle name="20% - Énfasis4 4 7 2 2 2" xfId="8181"/>
    <cellStyle name="20% - Énfasis4 4 7 2 3" xfId="6130"/>
    <cellStyle name="20% - Énfasis4 4 7 3" xfId="4080"/>
    <cellStyle name="20% - Énfasis4 4 7 3 2" xfId="8180"/>
    <cellStyle name="20% - Énfasis4 4 7 4" xfId="6129"/>
    <cellStyle name="20% - Énfasis4 4 8" xfId="618"/>
    <cellStyle name="20% - Énfasis4 4 8 2" xfId="619"/>
    <cellStyle name="20% - Énfasis4 4 8 2 2" xfId="4083"/>
    <cellStyle name="20% - Énfasis4 4 8 2 2 2" xfId="8183"/>
    <cellStyle name="20% - Énfasis4 4 8 2 3" xfId="6132"/>
    <cellStyle name="20% - Énfasis4 4 8 3" xfId="4082"/>
    <cellStyle name="20% - Énfasis4 4 8 3 2" xfId="8182"/>
    <cellStyle name="20% - Énfasis4 4 8 4" xfId="6131"/>
    <cellStyle name="20% - Énfasis4 4 9" xfId="620"/>
    <cellStyle name="20% - Énfasis4 4 9 2" xfId="4084"/>
    <cellStyle name="20% - Énfasis4 4 9 2 2" xfId="8184"/>
    <cellStyle name="20% - Énfasis4 4 9 3" xfId="6133"/>
    <cellStyle name="20% - Énfasis4 5" xfId="621"/>
    <cellStyle name="20% - Énfasis4 5 10" xfId="4085"/>
    <cellStyle name="20% - Énfasis4 5 10 2" xfId="8185"/>
    <cellStyle name="20% - Énfasis4 5 11" xfId="6134"/>
    <cellStyle name="20% - Énfasis4 5 2" xfId="622"/>
    <cellStyle name="20% - Énfasis4 5 2 2" xfId="623"/>
    <cellStyle name="20% - Énfasis4 5 2 2 2" xfId="624"/>
    <cellStyle name="20% - Énfasis4 5 2 2 2 2" xfId="4088"/>
    <cellStyle name="20% - Énfasis4 5 2 2 2 2 2" xfId="8188"/>
    <cellStyle name="20% - Énfasis4 5 2 2 2 3" xfId="6137"/>
    <cellStyle name="20% - Énfasis4 5 2 2 3" xfId="4087"/>
    <cellStyle name="20% - Énfasis4 5 2 2 3 2" xfId="8187"/>
    <cellStyle name="20% - Énfasis4 5 2 2 4" xfId="6136"/>
    <cellStyle name="20% - Énfasis4 5 2 3" xfId="625"/>
    <cellStyle name="20% - Énfasis4 5 2 3 2" xfId="626"/>
    <cellStyle name="20% - Énfasis4 5 2 3 2 2" xfId="4090"/>
    <cellStyle name="20% - Énfasis4 5 2 3 2 2 2" xfId="8190"/>
    <cellStyle name="20% - Énfasis4 5 2 3 2 3" xfId="6139"/>
    <cellStyle name="20% - Énfasis4 5 2 3 3" xfId="4089"/>
    <cellStyle name="20% - Énfasis4 5 2 3 3 2" xfId="8189"/>
    <cellStyle name="20% - Énfasis4 5 2 3 4" xfId="6138"/>
    <cellStyle name="20% - Énfasis4 5 2 4" xfId="627"/>
    <cellStyle name="20% - Énfasis4 5 2 4 2" xfId="4091"/>
    <cellStyle name="20% - Énfasis4 5 2 4 2 2" xfId="8191"/>
    <cellStyle name="20% - Énfasis4 5 2 4 3" xfId="6140"/>
    <cellStyle name="20% - Énfasis4 5 2 5" xfId="4086"/>
    <cellStyle name="20% - Énfasis4 5 2 5 2" xfId="8186"/>
    <cellStyle name="20% - Énfasis4 5 2 6" xfId="6135"/>
    <cellStyle name="20% - Énfasis4 5 3" xfId="628"/>
    <cellStyle name="20% - Énfasis4 5 3 2" xfId="629"/>
    <cellStyle name="20% - Énfasis4 5 3 2 2" xfId="4093"/>
    <cellStyle name="20% - Énfasis4 5 3 2 2 2" xfId="8193"/>
    <cellStyle name="20% - Énfasis4 5 3 2 3" xfId="6142"/>
    <cellStyle name="20% - Énfasis4 5 3 3" xfId="4092"/>
    <cellStyle name="20% - Énfasis4 5 3 3 2" xfId="8192"/>
    <cellStyle name="20% - Énfasis4 5 3 4" xfId="6141"/>
    <cellStyle name="20% - Énfasis4 5 4" xfId="630"/>
    <cellStyle name="20% - Énfasis4 5 4 2" xfId="631"/>
    <cellStyle name="20% - Énfasis4 5 4 2 2" xfId="4095"/>
    <cellStyle name="20% - Énfasis4 5 4 2 2 2" xfId="8195"/>
    <cellStyle name="20% - Énfasis4 5 4 2 3" xfId="6144"/>
    <cellStyle name="20% - Énfasis4 5 4 3" xfId="4094"/>
    <cellStyle name="20% - Énfasis4 5 4 3 2" xfId="8194"/>
    <cellStyle name="20% - Énfasis4 5 4 4" xfId="6143"/>
    <cellStyle name="20% - Énfasis4 5 5" xfId="632"/>
    <cellStyle name="20% - Énfasis4 5 5 2" xfId="633"/>
    <cellStyle name="20% - Énfasis4 5 5 2 2" xfId="4097"/>
    <cellStyle name="20% - Énfasis4 5 5 2 2 2" xfId="8197"/>
    <cellStyle name="20% - Énfasis4 5 5 2 3" xfId="6146"/>
    <cellStyle name="20% - Énfasis4 5 5 3" xfId="4096"/>
    <cellStyle name="20% - Énfasis4 5 5 3 2" xfId="8196"/>
    <cellStyle name="20% - Énfasis4 5 5 4" xfId="6145"/>
    <cellStyle name="20% - Énfasis4 5 6" xfId="634"/>
    <cellStyle name="20% - Énfasis4 5 6 2" xfId="635"/>
    <cellStyle name="20% - Énfasis4 5 6 2 2" xfId="4099"/>
    <cellStyle name="20% - Énfasis4 5 6 2 2 2" xfId="8199"/>
    <cellStyle name="20% - Énfasis4 5 6 2 3" xfId="6148"/>
    <cellStyle name="20% - Énfasis4 5 6 3" xfId="4098"/>
    <cellStyle name="20% - Énfasis4 5 6 3 2" xfId="8198"/>
    <cellStyle name="20% - Énfasis4 5 6 4" xfId="6147"/>
    <cellStyle name="20% - Énfasis4 5 7" xfId="636"/>
    <cellStyle name="20% - Énfasis4 5 7 2" xfId="637"/>
    <cellStyle name="20% - Énfasis4 5 7 2 2" xfId="4101"/>
    <cellStyle name="20% - Énfasis4 5 7 2 2 2" xfId="8201"/>
    <cellStyle name="20% - Énfasis4 5 7 2 3" xfId="6150"/>
    <cellStyle name="20% - Énfasis4 5 7 3" xfId="4100"/>
    <cellStyle name="20% - Énfasis4 5 7 3 2" xfId="8200"/>
    <cellStyle name="20% - Énfasis4 5 7 4" xfId="6149"/>
    <cellStyle name="20% - Énfasis4 5 8" xfId="638"/>
    <cellStyle name="20% - Énfasis4 5 8 2" xfId="639"/>
    <cellStyle name="20% - Énfasis4 5 8 2 2" xfId="4103"/>
    <cellStyle name="20% - Énfasis4 5 8 2 2 2" xfId="8203"/>
    <cellStyle name="20% - Énfasis4 5 8 2 3" xfId="6152"/>
    <cellStyle name="20% - Énfasis4 5 8 3" xfId="4102"/>
    <cellStyle name="20% - Énfasis4 5 8 3 2" xfId="8202"/>
    <cellStyle name="20% - Énfasis4 5 8 4" xfId="6151"/>
    <cellStyle name="20% - Énfasis4 5 9" xfId="640"/>
    <cellStyle name="20% - Énfasis4 5 9 2" xfId="4104"/>
    <cellStyle name="20% - Énfasis4 5 9 2 2" xfId="8204"/>
    <cellStyle name="20% - Énfasis4 5 9 3" xfId="6153"/>
    <cellStyle name="20% - Énfasis4 6" xfId="9552"/>
    <cellStyle name="20% - Énfasis5" xfId="9532" builtinId="46" customBuiltin="1"/>
    <cellStyle name="20% - Énfasis5 2" xfId="641"/>
    <cellStyle name="20% - Énfasis5 2 10" xfId="642"/>
    <cellStyle name="20% - Énfasis5 2 10 2" xfId="643"/>
    <cellStyle name="20% - Énfasis5 2 10 2 2" xfId="4107"/>
    <cellStyle name="20% - Énfasis5 2 10 2 2 2" xfId="8207"/>
    <cellStyle name="20% - Énfasis5 2 10 2 3" xfId="6156"/>
    <cellStyle name="20% - Énfasis5 2 10 3" xfId="4106"/>
    <cellStyle name="20% - Énfasis5 2 10 3 2" xfId="8206"/>
    <cellStyle name="20% - Énfasis5 2 10 4" xfId="6155"/>
    <cellStyle name="20% - Énfasis5 2 11" xfId="644"/>
    <cellStyle name="20% - Énfasis5 2 11 2" xfId="4108"/>
    <cellStyle name="20% - Énfasis5 2 11 2 2" xfId="8208"/>
    <cellStyle name="20% - Énfasis5 2 11 3" xfId="6157"/>
    <cellStyle name="20% - Énfasis5 2 12" xfId="4105"/>
    <cellStyle name="20% - Énfasis5 2 12 2" xfId="8205"/>
    <cellStyle name="20% - Énfasis5 2 13" xfId="6154"/>
    <cellStyle name="20% - Énfasis5 2 2" xfId="645"/>
    <cellStyle name="20% - Énfasis5 2 2 10" xfId="4109"/>
    <cellStyle name="20% - Énfasis5 2 2 10 2" xfId="8209"/>
    <cellStyle name="20% - Énfasis5 2 2 11" xfId="6158"/>
    <cellStyle name="20% - Énfasis5 2 2 2" xfId="646"/>
    <cellStyle name="20% - Énfasis5 2 2 2 2" xfId="647"/>
    <cellStyle name="20% - Énfasis5 2 2 2 2 2" xfId="648"/>
    <cellStyle name="20% - Énfasis5 2 2 2 2 2 2" xfId="4112"/>
    <cellStyle name="20% - Énfasis5 2 2 2 2 2 2 2" xfId="8212"/>
    <cellStyle name="20% - Énfasis5 2 2 2 2 2 3" xfId="6161"/>
    <cellStyle name="20% - Énfasis5 2 2 2 2 3" xfId="4111"/>
    <cellStyle name="20% - Énfasis5 2 2 2 2 3 2" xfId="8211"/>
    <cellStyle name="20% - Énfasis5 2 2 2 2 4" xfId="6160"/>
    <cellStyle name="20% - Énfasis5 2 2 2 3" xfId="649"/>
    <cellStyle name="20% - Énfasis5 2 2 2 3 2" xfId="650"/>
    <cellStyle name="20% - Énfasis5 2 2 2 3 2 2" xfId="4114"/>
    <cellStyle name="20% - Énfasis5 2 2 2 3 2 2 2" xfId="8214"/>
    <cellStyle name="20% - Énfasis5 2 2 2 3 2 3" xfId="6163"/>
    <cellStyle name="20% - Énfasis5 2 2 2 3 3" xfId="4113"/>
    <cellStyle name="20% - Énfasis5 2 2 2 3 3 2" xfId="8213"/>
    <cellStyle name="20% - Énfasis5 2 2 2 3 4" xfId="6162"/>
    <cellStyle name="20% - Énfasis5 2 2 2 4" xfId="651"/>
    <cellStyle name="20% - Énfasis5 2 2 2 4 2" xfId="4115"/>
    <cellStyle name="20% - Énfasis5 2 2 2 4 2 2" xfId="8215"/>
    <cellStyle name="20% - Énfasis5 2 2 2 4 3" xfId="6164"/>
    <cellStyle name="20% - Énfasis5 2 2 2 5" xfId="4110"/>
    <cellStyle name="20% - Énfasis5 2 2 2 5 2" xfId="8210"/>
    <cellStyle name="20% - Énfasis5 2 2 2 6" xfId="6159"/>
    <cellStyle name="20% - Énfasis5 2 2 3" xfId="652"/>
    <cellStyle name="20% - Énfasis5 2 2 3 2" xfId="653"/>
    <cellStyle name="20% - Énfasis5 2 2 3 2 2" xfId="4117"/>
    <cellStyle name="20% - Énfasis5 2 2 3 2 2 2" xfId="8217"/>
    <cellStyle name="20% - Énfasis5 2 2 3 2 3" xfId="6166"/>
    <cellStyle name="20% - Énfasis5 2 2 3 3" xfId="4116"/>
    <cellStyle name="20% - Énfasis5 2 2 3 3 2" xfId="8216"/>
    <cellStyle name="20% - Énfasis5 2 2 3 4" xfId="6165"/>
    <cellStyle name="20% - Énfasis5 2 2 4" xfId="654"/>
    <cellStyle name="20% - Énfasis5 2 2 4 2" xfId="655"/>
    <cellStyle name="20% - Énfasis5 2 2 4 2 2" xfId="4119"/>
    <cellStyle name="20% - Énfasis5 2 2 4 2 2 2" xfId="8219"/>
    <cellStyle name="20% - Énfasis5 2 2 4 2 3" xfId="6168"/>
    <cellStyle name="20% - Énfasis5 2 2 4 3" xfId="4118"/>
    <cellStyle name="20% - Énfasis5 2 2 4 3 2" xfId="8218"/>
    <cellStyle name="20% - Énfasis5 2 2 4 4" xfId="6167"/>
    <cellStyle name="20% - Énfasis5 2 2 5" xfId="656"/>
    <cellStyle name="20% - Énfasis5 2 2 5 2" xfId="657"/>
    <cellStyle name="20% - Énfasis5 2 2 5 2 2" xfId="4121"/>
    <cellStyle name="20% - Énfasis5 2 2 5 2 2 2" xfId="8221"/>
    <cellStyle name="20% - Énfasis5 2 2 5 2 3" xfId="6170"/>
    <cellStyle name="20% - Énfasis5 2 2 5 3" xfId="4120"/>
    <cellStyle name="20% - Énfasis5 2 2 5 3 2" xfId="8220"/>
    <cellStyle name="20% - Énfasis5 2 2 5 4" xfId="6169"/>
    <cellStyle name="20% - Énfasis5 2 2 6" xfId="658"/>
    <cellStyle name="20% - Énfasis5 2 2 6 2" xfId="659"/>
    <cellStyle name="20% - Énfasis5 2 2 6 2 2" xfId="4123"/>
    <cellStyle name="20% - Énfasis5 2 2 6 2 2 2" xfId="8223"/>
    <cellStyle name="20% - Énfasis5 2 2 6 2 3" xfId="6172"/>
    <cellStyle name="20% - Énfasis5 2 2 6 3" xfId="4122"/>
    <cellStyle name="20% - Énfasis5 2 2 6 3 2" xfId="8222"/>
    <cellStyle name="20% - Énfasis5 2 2 6 4" xfId="6171"/>
    <cellStyle name="20% - Énfasis5 2 2 7" xfId="660"/>
    <cellStyle name="20% - Énfasis5 2 2 7 2" xfId="661"/>
    <cellStyle name="20% - Énfasis5 2 2 7 2 2" xfId="4125"/>
    <cellStyle name="20% - Énfasis5 2 2 7 2 2 2" xfId="8225"/>
    <cellStyle name="20% - Énfasis5 2 2 7 2 3" xfId="6174"/>
    <cellStyle name="20% - Énfasis5 2 2 7 3" xfId="4124"/>
    <cellStyle name="20% - Énfasis5 2 2 7 3 2" xfId="8224"/>
    <cellStyle name="20% - Énfasis5 2 2 7 4" xfId="6173"/>
    <cellStyle name="20% - Énfasis5 2 2 8" xfId="662"/>
    <cellStyle name="20% - Énfasis5 2 2 8 2" xfId="663"/>
    <cellStyle name="20% - Énfasis5 2 2 8 2 2" xfId="4127"/>
    <cellStyle name="20% - Énfasis5 2 2 8 2 2 2" xfId="8227"/>
    <cellStyle name="20% - Énfasis5 2 2 8 2 3" xfId="6176"/>
    <cellStyle name="20% - Énfasis5 2 2 8 3" xfId="4126"/>
    <cellStyle name="20% - Énfasis5 2 2 8 3 2" xfId="8226"/>
    <cellStyle name="20% - Énfasis5 2 2 8 4" xfId="6175"/>
    <cellStyle name="20% - Énfasis5 2 2 9" xfId="664"/>
    <cellStyle name="20% - Énfasis5 2 2 9 2" xfId="4128"/>
    <cellStyle name="20% - Énfasis5 2 2 9 2 2" xfId="8228"/>
    <cellStyle name="20% - Énfasis5 2 2 9 3" xfId="6177"/>
    <cellStyle name="20% - Énfasis5 2 3" xfId="665"/>
    <cellStyle name="20% - Énfasis5 2 3 10" xfId="4129"/>
    <cellStyle name="20% - Énfasis5 2 3 10 2" xfId="8229"/>
    <cellStyle name="20% - Énfasis5 2 3 11" xfId="6178"/>
    <cellStyle name="20% - Énfasis5 2 3 2" xfId="666"/>
    <cellStyle name="20% - Énfasis5 2 3 2 2" xfId="667"/>
    <cellStyle name="20% - Énfasis5 2 3 2 2 2" xfId="668"/>
    <cellStyle name="20% - Énfasis5 2 3 2 2 2 2" xfId="4132"/>
    <cellStyle name="20% - Énfasis5 2 3 2 2 2 2 2" xfId="8232"/>
    <cellStyle name="20% - Énfasis5 2 3 2 2 2 3" xfId="6181"/>
    <cellStyle name="20% - Énfasis5 2 3 2 2 3" xfId="4131"/>
    <cellStyle name="20% - Énfasis5 2 3 2 2 3 2" xfId="8231"/>
    <cellStyle name="20% - Énfasis5 2 3 2 2 4" xfId="6180"/>
    <cellStyle name="20% - Énfasis5 2 3 2 3" xfId="669"/>
    <cellStyle name="20% - Énfasis5 2 3 2 3 2" xfId="670"/>
    <cellStyle name="20% - Énfasis5 2 3 2 3 2 2" xfId="4134"/>
    <cellStyle name="20% - Énfasis5 2 3 2 3 2 2 2" xfId="8234"/>
    <cellStyle name="20% - Énfasis5 2 3 2 3 2 3" xfId="6183"/>
    <cellStyle name="20% - Énfasis5 2 3 2 3 3" xfId="4133"/>
    <cellStyle name="20% - Énfasis5 2 3 2 3 3 2" xfId="8233"/>
    <cellStyle name="20% - Énfasis5 2 3 2 3 4" xfId="6182"/>
    <cellStyle name="20% - Énfasis5 2 3 2 4" xfId="671"/>
    <cellStyle name="20% - Énfasis5 2 3 2 4 2" xfId="4135"/>
    <cellStyle name="20% - Énfasis5 2 3 2 4 2 2" xfId="8235"/>
    <cellStyle name="20% - Énfasis5 2 3 2 4 3" xfId="6184"/>
    <cellStyle name="20% - Énfasis5 2 3 2 5" xfId="4130"/>
    <cellStyle name="20% - Énfasis5 2 3 2 5 2" xfId="8230"/>
    <cellStyle name="20% - Énfasis5 2 3 2 6" xfId="6179"/>
    <cellStyle name="20% - Énfasis5 2 3 3" xfId="672"/>
    <cellStyle name="20% - Énfasis5 2 3 3 2" xfId="673"/>
    <cellStyle name="20% - Énfasis5 2 3 3 2 2" xfId="4137"/>
    <cellStyle name="20% - Énfasis5 2 3 3 2 2 2" xfId="8237"/>
    <cellStyle name="20% - Énfasis5 2 3 3 2 3" xfId="6186"/>
    <cellStyle name="20% - Énfasis5 2 3 3 3" xfId="4136"/>
    <cellStyle name="20% - Énfasis5 2 3 3 3 2" xfId="8236"/>
    <cellStyle name="20% - Énfasis5 2 3 3 4" xfId="6185"/>
    <cellStyle name="20% - Énfasis5 2 3 4" xfId="674"/>
    <cellStyle name="20% - Énfasis5 2 3 4 2" xfId="675"/>
    <cellStyle name="20% - Énfasis5 2 3 4 2 2" xfId="4139"/>
    <cellStyle name="20% - Énfasis5 2 3 4 2 2 2" xfId="8239"/>
    <cellStyle name="20% - Énfasis5 2 3 4 2 3" xfId="6188"/>
    <cellStyle name="20% - Énfasis5 2 3 4 3" xfId="4138"/>
    <cellStyle name="20% - Énfasis5 2 3 4 3 2" xfId="8238"/>
    <cellStyle name="20% - Énfasis5 2 3 4 4" xfId="6187"/>
    <cellStyle name="20% - Énfasis5 2 3 5" xfId="676"/>
    <cellStyle name="20% - Énfasis5 2 3 5 2" xfId="677"/>
    <cellStyle name="20% - Énfasis5 2 3 5 2 2" xfId="4141"/>
    <cellStyle name="20% - Énfasis5 2 3 5 2 2 2" xfId="8241"/>
    <cellStyle name="20% - Énfasis5 2 3 5 2 3" xfId="6190"/>
    <cellStyle name="20% - Énfasis5 2 3 5 3" xfId="4140"/>
    <cellStyle name="20% - Énfasis5 2 3 5 3 2" xfId="8240"/>
    <cellStyle name="20% - Énfasis5 2 3 5 4" xfId="6189"/>
    <cellStyle name="20% - Énfasis5 2 3 6" xfId="678"/>
    <cellStyle name="20% - Énfasis5 2 3 6 2" xfId="679"/>
    <cellStyle name="20% - Énfasis5 2 3 6 2 2" xfId="4143"/>
    <cellStyle name="20% - Énfasis5 2 3 6 2 2 2" xfId="8243"/>
    <cellStyle name="20% - Énfasis5 2 3 6 2 3" xfId="6192"/>
    <cellStyle name="20% - Énfasis5 2 3 6 3" xfId="4142"/>
    <cellStyle name="20% - Énfasis5 2 3 6 3 2" xfId="8242"/>
    <cellStyle name="20% - Énfasis5 2 3 6 4" xfId="6191"/>
    <cellStyle name="20% - Énfasis5 2 3 7" xfId="680"/>
    <cellStyle name="20% - Énfasis5 2 3 7 2" xfId="681"/>
    <cellStyle name="20% - Énfasis5 2 3 7 2 2" xfId="4145"/>
    <cellStyle name="20% - Énfasis5 2 3 7 2 2 2" xfId="8245"/>
    <cellStyle name="20% - Énfasis5 2 3 7 2 3" xfId="6194"/>
    <cellStyle name="20% - Énfasis5 2 3 7 3" xfId="4144"/>
    <cellStyle name="20% - Énfasis5 2 3 7 3 2" xfId="8244"/>
    <cellStyle name="20% - Énfasis5 2 3 7 4" xfId="6193"/>
    <cellStyle name="20% - Énfasis5 2 3 8" xfId="682"/>
    <cellStyle name="20% - Énfasis5 2 3 8 2" xfId="683"/>
    <cellStyle name="20% - Énfasis5 2 3 8 2 2" xfId="4147"/>
    <cellStyle name="20% - Énfasis5 2 3 8 2 2 2" xfId="8247"/>
    <cellStyle name="20% - Énfasis5 2 3 8 2 3" xfId="6196"/>
    <cellStyle name="20% - Énfasis5 2 3 8 3" xfId="4146"/>
    <cellStyle name="20% - Énfasis5 2 3 8 3 2" xfId="8246"/>
    <cellStyle name="20% - Énfasis5 2 3 8 4" xfId="6195"/>
    <cellStyle name="20% - Énfasis5 2 3 9" xfId="684"/>
    <cellStyle name="20% - Énfasis5 2 3 9 2" xfId="4148"/>
    <cellStyle name="20% - Énfasis5 2 3 9 2 2" xfId="8248"/>
    <cellStyle name="20% - Énfasis5 2 3 9 3" xfId="6197"/>
    <cellStyle name="20% - Énfasis5 2 4" xfId="685"/>
    <cellStyle name="20% - Énfasis5 2 4 2" xfId="686"/>
    <cellStyle name="20% - Énfasis5 2 4 2 2" xfId="687"/>
    <cellStyle name="20% - Énfasis5 2 4 2 2 2" xfId="4151"/>
    <cellStyle name="20% - Énfasis5 2 4 2 2 2 2" xfId="8251"/>
    <cellStyle name="20% - Énfasis5 2 4 2 2 3" xfId="6200"/>
    <cellStyle name="20% - Énfasis5 2 4 2 3" xfId="4150"/>
    <cellStyle name="20% - Énfasis5 2 4 2 3 2" xfId="8250"/>
    <cellStyle name="20% - Énfasis5 2 4 2 4" xfId="6199"/>
    <cellStyle name="20% - Énfasis5 2 4 3" xfId="688"/>
    <cellStyle name="20% - Énfasis5 2 4 3 2" xfId="689"/>
    <cellStyle name="20% - Énfasis5 2 4 3 2 2" xfId="4153"/>
    <cellStyle name="20% - Énfasis5 2 4 3 2 2 2" xfId="8253"/>
    <cellStyle name="20% - Énfasis5 2 4 3 2 3" xfId="6202"/>
    <cellStyle name="20% - Énfasis5 2 4 3 3" xfId="4152"/>
    <cellStyle name="20% - Énfasis5 2 4 3 3 2" xfId="8252"/>
    <cellStyle name="20% - Énfasis5 2 4 3 4" xfId="6201"/>
    <cellStyle name="20% - Énfasis5 2 4 4" xfId="690"/>
    <cellStyle name="20% - Énfasis5 2 4 4 2" xfId="4154"/>
    <cellStyle name="20% - Énfasis5 2 4 4 2 2" xfId="8254"/>
    <cellStyle name="20% - Énfasis5 2 4 4 3" xfId="6203"/>
    <cellStyle name="20% - Énfasis5 2 4 5" xfId="4149"/>
    <cellStyle name="20% - Énfasis5 2 4 5 2" xfId="8249"/>
    <cellStyle name="20% - Énfasis5 2 4 6" xfId="6198"/>
    <cellStyle name="20% - Énfasis5 2 5" xfId="691"/>
    <cellStyle name="20% - Énfasis5 2 5 2" xfId="692"/>
    <cellStyle name="20% - Énfasis5 2 5 2 2" xfId="4156"/>
    <cellStyle name="20% - Énfasis5 2 5 2 2 2" xfId="8256"/>
    <cellStyle name="20% - Énfasis5 2 5 2 3" xfId="6205"/>
    <cellStyle name="20% - Énfasis5 2 5 3" xfId="4155"/>
    <cellStyle name="20% - Énfasis5 2 5 3 2" xfId="8255"/>
    <cellStyle name="20% - Énfasis5 2 5 4" xfId="6204"/>
    <cellStyle name="20% - Énfasis5 2 6" xfId="693"/>
    <cellStyle name="20% - Énfasis5 2 6 2" xfId="694"/>
    <cellStyle name="20% - Énfasis5 2 6 2 2" xfId="4158"/>
    <cellStyle name="20% - Énfasis5 2 6 2 2 2" xfId="8258"/>
    <cellStyle name="20% - Énfasis5 2 6 2 3" xfId="6207"/>
    <cellStyle name="20% - Énfasis5 2 6 3" xfId="4157"/>
    <cellStyle name="20% - Énfasis5 2 6 3 2" xfId="8257"/>
    <cellStyle name="20% - Énfasis5 2 6 4" xfId="6206"/>
    <cellStyle name="20% - Énfasis5 2 7" xfId="695"/>
    <cellStyle name="20% - Énfasis5 2 7 2" xfId="696"/>
    <cellStyle name="20% - Énfasis5 2 7 2 2" xfId="4160"/>
    <cellStyle name="20% - Énfasis5 2 7 2 2 2" xfId="8260"/>
    <cellStyle name="20% - Énfasis5 2 7 2 3" xfId="6209"/>
    <cellStyle name="20% - Énfasis5 2 7 3" xfId="4159"/>
    <cellStyle name="20% - Énfasis5 2 7 3 2" xfId="8259"/>
    <cellStyle name="20% - Énfasis5 2 7 4" xfId="6208"/>
    <cellStyle name="20% - Énfasis5 2 8" xfId="697"/>
    <cellStyle name="20% - Énfasis5 2 8 2" xfId="698"/>
    <cellStyle name="20% - Énfasis5 2 8 2 2" xfId="4162"/>
    <cellStyle name="20% - Énfasis5 2 8 2 2 2" xfId="8262"/>
    <cellStyle name="20% - Énfasis5 2 8 2 3" xfId="6211"/>
    <cellStyle name="20% - Énfasis5 2 8 3" xfId="4161"/>
    <cellStyle name="20% - Énfasis5 2 8 3 2" xfId="8261"/>
    <cellStyle name="20% - Énfasis5 2 8 4" xfId="6210"/>
    <cellStyle name="20% - Énfasis5 2 9" xfId="699"/>
    <cellStyle name="20% - Énfasis5 2 9 2" xfId="700"/>
    <cellStyle name="20% - Énfasis5 2 9 2 2" xfId="4164"/>
    <cellStyle name="20% - Énfasis5 2 9 2 2 2" xfId="8264"/>
    <cellStyle name="20% - Énfasis5 2 9 2 3" xfId="6213"/>
    <cellStyle name="20% - Énfasis5 2 9 3" xfId="4163"/>
    <cellStyle name="20% - Énfasis5 2 9 3 2" xfId="8263"/>
    <cellStyle name="20% - Énfasis5 2 9 4" xfId="6212"/>
    <cellStyle name="20% - Énfasis5 3" xfId="701"/>
    <cellStyle name="20% - Énfasis5 3 10" xfId="702"/>
    <cellStyle name="20% - Énfasis5 3 10 2" xfId="703"/>
    <cellStyle name="20% - Énfasis5 3 10 2 2" xfId="4167"/>
    <cellStyle name="20% - Énfasis5 3 10 2 2 2" xfId="8267"/>
    <cellStyle name="20% - Énfasis5 3 10 2 3" xfId="6216"/>
    <cellStyle name="20% - Énfasis5 3 10 3" xfId="4166"/>
    <cellStyle name="20% - Énfasis5 3 10 3 2" xfId="8266"/>
    <cellStyle name="20% - Énfasis5 3 10 4" xfId="6215"/>
    <cellStyle name="20% - Énfasis5 3 11" xfId="704"/>
    <cellStyle name="20% - Énfasis5 3 11 2" xfId="4168"/>
    <cellStyle name="20% - Énfasis5 3 11 2 2" xfId="8268"/>
    <cellStyle name="20% - Énfasis5 3 11 3" xfId="6217"/>
    <cellStyle name="20% - Énfasis5 3 12" xfId="4165"/>
    <cellStyle name="20% - Énfasis5 3 12 2" xfId="8265"/>
    <cellStyle name="20% - Énfasis5 3 13" xfId="6214"/>
    <cellStyle name="20% - Énfasis5 3 2" xfId="705"/>
    <cellStyle name="20% - Énfasis5 3 2 10" xfId="4169"/>
    <cellStyle name="20% - Énfasis5 3 2 10 2" xfId="8269"/>
    <cellStyle name="20% - Énfasis5 3 2 11" xfId="6218"/>
    <cellStyle name="20% - Énfasis5 3 2 2" xfId="706"/>
    <cellStyle name="20% - Énfasis5 3 2 2 2" xfId="707"/>
    <cellStyle name="20% - Énfasis5 3 2 2 2 2" xfId="708"/>
    <cellStyle name="20% - Énfasis5 3 2 2 2 2 2" xfId="4172"/>
    <cellStyle name="20% - Énfasis5 3 2 2 2 2 2 2" xfId="8272"/>
    <cellStyle name="20% - Énfasis5 3 2 2 2 2 3" xfId="6221"/>
    <cellStyle name="20% - Énfasis5 3 2 2 2 3" xfId="4171"/>
    <cellStyle name="20% - Énfasis5 3 2 2 2 3 2" xfId="8271"/>
    <cellStyle name="20% - Énfasis5 3 2 2 2 4" xfId="6220"/>
    <cellStyle name="20% - Énfasis5 3 2 2 3" xfId="709"/>
    <cellStyle name="20% - Énfasis5 3 2 2 3 2" xfId="710"/>
    <cellStyle name="20% - Énfasis5 3 2 2 3 2 2" xfId="4174"/>
    <cellStyle name="20% - Énfasis5 3 2 2 3 2 2 2" xfId="8274"/>
    <cellStyle name="20% - Énfasis5 3 2 2 3 2 3" xfId="6223"/>
    <cellStyle name="20% - Énfasis5 3 2 2 3 3" xfId="4173"/>
    <cellStyle name="20% - Énfasis5 3 2 2 3 3 2" xfId="8273"/>
    <cellStyle name="20% - Énfasis5 3 2 2 3 4" xfId="6222"/>
    <cellStyle name="20% - Énfasis5 3 2 2 4" xfId="711"/>
    <cellStyle name="20% - Énfasis5 3 2 2 4 2" xfId="4175"/>
    <cellStyle name="20% - Énfasis5 3 2 2 4 2 2" xfId="8275"/>
    <cellStyle name="20% - Énfasis5 3 2 2 4 3" xfId="6224"/>
    <cellStyle name="20% - Énfasis5 3 2 2 5" xfId="4170"/>
    <cellStyle name="20% - Énfasis5 3 2 2 5 2" xfId="8270"/>
    <cellStyle name="20% - Énfasis5 3 2 2 6" xfId="6219"/>
    <cellStyle name="20% - Énfasis5 3 2 3" xfId="712"/>
    <cellStyle name="20% - Énfasis5 3 2 3 2" xfId="713"/>
    <cellStyle name="20% - Énfasis5 3 2 3 2 2" xfId="4177"/>
    <cellStyle name="20% - Énfasis5 3 2 3 2 2 2" xfId="8277"/>
    <cellStyle name="20% - Énfasis5 3 2 3 2 3" xfId="6226"/>
    <cellStyle name="20% - Énfasis5 3 2 3 3" xfId="4176"/>
    <cellStyle name="20% - Énfasis5 3 2 3 3 2" xfId="8276"/>
    <cellStyle name="20% - Énfasis5 3 2 3 4" xfId="6225"/>
    <cellStyle name="20% - Énfasis5 3 2 4" xfId="714"/>
    <cellStyle name="20% - Énfasis5 3 2 4 2" xfId="715"/>
    <cellStyle name="20% - Énfasis5 3 2 4 2 2" xfId="4179"/>
    <cellStyle name="20% - Énfasis5 3 2 4 2 2 2" xfId="8279"/>
    <cellStyle name="20% - Énfasis5 3 2 4 2 3" xfId="6228"/>
    <cellStyle name="20% - Énfasis5 3 2 4 3" xfId="4178"/>
    <cellStyle name="20% - Énfasis5 3 2 4 3 2" xfId="8278"/>
    <cellStyle name="20% - Énfasis5 3 2 4 4" xfId="6227"/>
    <cellStyle name="20% - Énfasis5 3 2 5" xfId="716"/>
    <cellStyle name="20% - Énfasis5 3 2 5 2" xfId="717"/>
    <cellStyle name="20% - Énfasis5 3 2 5 2 2" xfId="4181"/>
    <cellStyle name="20% - Énfasis5 3 2 5 2 2 2" xfId="8281"/>
    <cellStyle name="20% - Énfasis5 3 2 5 2 3" xfId="6230"/>
    <cellStyle name="20% - Énfasis5 3 2 5 3" xfId="4180"/>
    <cellStyle name="20% - Énfasis5 3 2 5 3 2" xfId="8280"/>
    <cellStyle name="20% - Énfasis5 3 2 5 4" xfId="6229"/>
    <cellStyle name="20% - Énfasis5 3 2 6" xfId="718"/>
    <cellStyle name="20% - Énfasis5 3 2 6 2" xfId="719"/>
    <cellStyle name="20% - Énfasis5 3 2 6 2 2" xfId="4183"/>
    <cellStyle name="20% - Énfasis5 3 2 6 2 2 2" xfId="8283"/>
    <cellStyle name="20% - Énfasis5 3 2 6 2 3" xfId="6232"/>
    <cellStyle name="20% - Énfasis5 3 2 6 3" xfId="4182"/>
    <cellStyle name="20% - Énfasis5 3 2 6 3 2" xfId="8282"/>
    <cellStyle name="20% - Énfasis5 3 2 6 4" xfId="6231"/>
    <cellStyle name="20% - Énfasis5 3 2 7" xfId="720"/>
    <cellStyle name="20% - Énfasis5 3 2 7 2" xfId="721"/>
    <cellStyle name="20% - Énfasis5 3 2 7 2 2" xfId="4185"/>
    <cellStyle name="20% - Énfasis5 3 2 7 2 2 2" xfId="8285"/>
    <cellStyle name="20% - Énfasis5 3 2 7 2 3" xfId="6234"/>
    <cellStyle name="20% - Énfasis5 3 2 7 3" xfId="4184"/>
    <cellStyle name="20% - Énfasis5 3 2 7 3 2" xfId="8284"/>
    <cellStyle name="20% - Énfasis5 3 2 7 4" xfId="6233"/>
    <cellStyle name="20% - Énfasis5 3 2 8" xfId="722"/>
    <cellStyle name="20% - Énfasis5 3 2 8 2" xfId="723"/>
    <cellStyle name="20% - Énfasis5 3 2 8 2 2" xfId="4187"/>
    <cellStyle name="20% - Énfasis5 3 2 8 2 2 2" xfId="8287"/>
    <cellStyle name="20% - Énfasis5 3 2 8 2 3" xfId="6236"/>
    <cellStyle name="20% - Énfasis5 3 2 8 3" xfId="4186"/>
    <cellStyle name="20% - Énfasis5 3 2 8 3 2" xfId="8286"/>
    <cellStyle name="20% - Énfasis5 3 2 8 4" xfId="6235"/>
    <cellStyle name="20% - Énfasis5 3 2 9" xfId="724"/>
    <cellStyle name="20% - Énfasis5 3 2 9 2" xfId="4188"/>
    <cellStyle name="20% - Énfasis5 3 2 9 2 2" xfId="8288"/>
    <cellStyle name="20% - Énfasis5 3 2 9 3" xfId="6237"/>
    <cellStyle name="20% - Énfasis5 3 3" xfId="725"/>
    <cellStyle name="20% - Énfasis5 3 3 10" xfId="4189"/>
    <cellStyle name="20% - Énfasis5 3 3 10 2" xfId="8289"/>
    <cellStyle name="20% - Énfasis5 3 3 11" xfId="6238"/>
    <cellStyle name="20% - Énfasis5 3 3 2" xfId="726"/>
    <cellStyle name="20% - Énfasis5 3 3 2 2" xfId="727"/>
    <cellStyle name="20% - Énfasis5 3 3 2 2 2" xfId="728"/>
    <cellStyle name="20% - Énfasis5 3 3 2 2 2 2" xfId="4192"/>
    <cellStyle name="20% - Énfasis5 3 3 2 2 2 2 2" xfId="8292"/>
    <cellStyle name="20% - Énfasis5 3 3 2 2 2 3" xfId="6241"/>
    <cellStyle name="20% - Énfasis5 3 3 2 2 3" xfId="4191"/>
    <cellStyle name="20% - Énfasis5 3 3 2 2 3 2" xfId="8291"/>
    <cellStyle name="20% - Énfasis5 3 3 2 2 4" xfId="6240"/>
    <cellStyle name="20% - Énfasis5 3 3 2 3" xfId="729"/>
    <cellStyle name="20% - Énfasis5 3 3 2 3 2" xfId="730"/>
    <cellStyle name="20% - Énfasis5 3 3 2 3 2 2" xfId="4194"/>
    <cellStyle name="20% - Énfasis5 3 3 2 3 2 2 2" xfId="8294"/>
    <cellStyle name="20% - Énfasis5 3 3 2 3 2 3" xfId="6243"/>
    <cellStyle name="20% - Énfasis5 3 3 2 3 3" xfId="4193"/>
    <cellStyle name="20% - Énfasis5 3 3 2 3 3 2" xfId="8293"/>
    <cellStyle name="20% - Énfasis5 3 3 2 3 4" xfId="6242"/>
    <cellStyle name="20% - Énfasis5 3 3 2 4" xfId="731"/>
    <cellStyle name="20% - Énfasis5 3 3 2 4 2" xfId="4195"/>
    <cellStyle name="20% - Énfasis5 3 3 2 4 2 2" xfId="8295"/>
    <cellStyle name="20% - Énfasis5 3 3 2 4 3" xfId="6244"/>
    <cellStyle name="20% - Énfasis5 3 3 2 5" xfId="4190"/>
    <cellStyle name="20% - Énfasis5 3 3 2 5 2" xfId="8290"/>
    <cellStyle name="20% - Énfasis5 3 3 2 6" xfId="6239"/>
    <cellStyle name="20% - Énfasis5 3 3 3" xfId="732"/>
    <cellStyle name="20% - Énfasis5 3 3 3 2" xfId="733"/>
    <cellStyle name="20% - Énfasis5 3 3 3 2 2" xfId="4197"/>
    <cellStyle name="20% - Énfasis5 3 3 3 2 2 2" xfId="8297"/>
    <cellStyle name="20% - Énfasis5 3 3 3 2 3" xfId="6246"/>
    <cellStyle name="20% - Énfasis5 3 3 3 3" xfId="4196"/>
    <cellStyle name="20% - Énfasis5 3 3 3 3 2" xfId="8296"/>
    <cellStyle name="20% - Énfasis5 3 3 3 4" xfId="6245"/>
    <cellStyle name="20% - Énfasis5 3 3 4" xfId="734"/>
    <cellStyle name="20% - Énfasis5 3 3 4 2" xfId="735"/>
    <cellStyle name="20% - Énfasis5 3 3 4 2 2" xfId="4199"/>
    <cellStyle name="20% - Énfasis5 3 3 4 2 2 2" xfId="8299"/>
    <cellStyle name="20% - Énfasis5 3 3 4 2 3" xfId="6248"/>
    <cellStyle name="20% - Énfasis5 3 3 4 3" xfId="4198"/>
    <cellStyle name="20% - Énfasis5 3 3 4 3 2" xfId="8298"/>
    <cellStyle name="20% - Énfasis5 3 3 4 4" xfId="6247"/>
    <cellStyle name="20% - Énfasis5 3 3 5" xfId="736"/>
    <cellStyle name="20% - Énfasis5 3 3 5 2" xfId="737"/>
    <cellStyle name="20% - Énfasis5 3 3 5 2 2" xfId="4201"/>
    <cellStyle name="20% - Énfasis5 3 3 5 2 2 2" xfId="8301"/>
    <cellStyle name="20% - Énfasis5 3 3 5 2 3" xfId="6250"/>
    <cellStyle name="20% - Énfasis5 3 3 5 3" xfId="4200"/>
    <cellStyle name="20% - Énfasis5 3 3 5 3 2" xfId="8300"/>
    <cellStyle name="20% - Énfasis5 3 3 5 4" xfId="6249"/>
    <cellStyle name="20% - Énfasis5 3 3 6" xfId="738"/>
    <cellStyle name="20% - Énfasis5 3 3 6 2" xfId="739"/>
    <cellStyle name="20% - Énfasis5 3 3 6 2 2" xfId="4203"/>
    <cellStyle name="20% - Énfasis5 3 3 6 2 2 2" xfId="8303"/>
    <cellStyle name="20% - Énfasis5 3 3 6 2 3" xfId="6252"/>
    <cellStyle name="20% - Énfasis5 3 3 6 3" xfId="4202"/>
    <cellStyle name="20% - Énfasis5 3 3 6 3 2" xfId="8302"/>
    <cellStyle name="20% - Énfasis5 3 3 6 4" xfId="6251"/>
    <cellStyle name="20% - Énfasis5 3 3 7" xfId="740"/>
    <cellStyle name="20% - Énfasis5 3 3 7 2" xfId="741"/>
    <cellStyle name="20% - Énfasis5 3 3 7 2 2" xfId="4205"/>
    <cellStyle name="20% - Énfasis5 3 3 7 2 2 2" xfId="8305"/>
    <cellStyle name="20% - Énfasis5 3 3 7 2 3" xfId="6254"/>
    <cellStyle name="20% - Énfasis5 3 3 7 3" xfId="4204"/>
    <cellStyle name="20% - Énfasis5 3 3 7 3 2" xfId="8304"/>
    <cellStyle name="20% - Énfasis5 3 3 7 4" xfId="6253"/>
    <cellStyle name="20% - Énfasis5 3 3 8" xfId="742"/>
    <cellStyle name="20% - Énfasis5 3 3 8 2" xfId="743"/>
    <cellStyle name="20% - Énfasis5 3 3 8 2 2" xfId="4207"/>
    <cellStyle name="20% - Énfasis5 3 3 8 2 2 2" xfId="8307"/>
    <cellStyle name="20% - Énfasis5 3 3 8 2 3" xfId="6256"/>
    <cellStyle name="20% - Énfasis5 3 3 8 3" xfId="4206"/>
    <cellStyle name="20% - Énfasis5 3 3 8 3 2" xfId="8306"/>
    <cellStyle name="20% - Énfasis5 3 3 8 4" xfId="6255"/>
    <cellStyle name="20% - Énfasis5 3 3 9" xfId="744"/>
    <cellStyle name="20% - Énfasis5 3 3 9 2" xfId="4208"/>
    <cellStyle name="20% - Énfasis5 3 3 9 2 2" xfId="8308"/>
    <cellStyle name="20% - Énfasis5 3 3 9 3" xfId="6257"/>
    <cellStyle name="20% - Énfasis5 3 4" xfId="745"/>
    <cellStyle name="20% - Énfasis5 3 4 2" xfId="746"/>
    <cellStyle name="20% - Énfasis5 3 4 2 2" xfId="747"/>
    <cellStyle name="20% - Énfasis5 3 4 2 2 2" xfId="4211"/>
    <cellStyle name="20% - Énfasis5 3 4 2 2 2 2" xfId="8311"/>
    <cellStyle name="20% - Énfasis5 3 4 2 2 3" xfId="6260"/>
    <cellStyle name="20% - Énfasis5 3 4 2 3" xfId="4210"/>
    <cellStyle name="20% - Énfasis5 3 4 2 3 2" xfId="8310"/>
    <cellStyle name="20% - Énfasis5 3 4 2 4" xfId="6259"/>
    <cellStyle name="20% - Énfasis5 3 4 3" xfId="748"/>
    <cellStyle name="20% - Énfasis5 3 4 3 2" xfId="749"/>
    <cellStyle name="20% - Énfasis5 3 4 3 2 2" xfId="4213"/>
    <cellStyle name="20% - Énfasis5 3 4 3 2 2 2" xfId="8313"/>
    <cellStyle name="20% - Énfasis5 3 4 3 2 3" xfId="6262"/>
    <cellStyle name="20% - Énfasis5 3 4 3 3" xfId="4212"/>
    <cellStyle name="20% - Énfasis5 3 4 3 3 2" xfId="8312"/>
    <cellStyle name="20% - Énfasis5 3 4 3 4" xfId="6261"/>
    <cellStyle name="20% - Énfasis5 3 4 4" xfId="750"/>
    <cellStyle name="20% - Énfasis5 3 4 4 2" xfId="4214"/>
    <cellStyle name="20% - Énfasis5 3 4 4 2 2" xfId="8314"/>
    <cellStyle name="20% - Énfasis5 3 4 4 3" xfId="6263"/>
    <cellStyle name="20% - Énfasis5 3 4 5" xfId="4209"/>
    <cellStyle name="20% - Énfasis5 3 4 5 2" xfId="8309"/>
    <cellStyle name="20% - Énfasis5 3 4 6" xfId="6258"/>
    <cellStyle name="20% - Énfasis5 3 5" xfId="751"/>
    <cellStyle name="20% - Énfasis5 3 5 2" xfId="752"/>
    <cellStyle name="20% - Énfasis5 3 5 2 2" xfId="4216"/>
    <cellStyle name="20% - Énfasis5 3 5 2 2 2" xfId="8316"/>
    <cellStyle name="20% - Énfasis5 3 5 2 3" xfId="6265"/>
    <cellStyle name="20% - Énfasis5 3 5 3" xfId="4215"/>
    <cellStyle name="20% - Énfasis5 3 5 3 2" xfId="8315"/>
    <cellStyle name="20% - Énfasis5 3 5 4" xfId="6264"/>
    <cellStyle name="20% - Énfasis5 3 6" xfId="753"/>
    <cellStyle name="20% - Énfasis5 3 6 2" xfId="754"/>
    <cellStyle name="20% - Énfasis5 3 6 2 2" xfId="4218"/>
    <cellStyle name="20% - Énfasis5 3 6 2 2 2" xfId="8318"/>
    <cellStyle name="20% - Énfasis5 3 6 2 3" xfId="6267"/>
    <cellStyle name="20% - Énfasis5 3 6 3" xfId="4217"/>
    <cellStyle name="20% - Énfasis5 3 6 3 2" xfId="8317"/>
    <cellStyle name="20% - Énfasis5 3 6 4" xfId="6266"/>
    <cellStyle name="20% - Énfasis5 3 7" xfId="755"/>
    <cellStyle name="20% - Énfasis5 3 7 2" xfId="756"/>
    <cellStyle name="20% - Énfasis5 3 7 2 2" xfId="4220"/>
    <cellStyle name="20% - Énfasis5 3 7 2 2 2" xfId="8320"/>
    <cellStyle name="20% - Énfasis5 3 7 2 3" xfId="6269"/>
    <cellStyle name="20% - Énfasis5 3 7 3" xfId="4219"/>
    <cellStyle name="20% - Énfasis5 3 7 3 2" xfId="8319"/>
    <cellStyle name="20% - Énfasis5 3 7 4" xfId="6268"/>
    <cellStyle name="20% - Énfasis5 3 8" xfId="757"/>
    <cellStyle name="20% - Énfasis5 3 8 2" xfId="758"/>
    <cellStyle name="20% - Énfasis5 3 8 2 2" xfId="4222"/>
    <cellStyle name="20% - Énfasis5 3 8 2 2 2" xfId="8322"/>
    <cellStyle name="20% - Énfasis5 3 8 2 3" xfId="6271"/>
    <cellStyle name="20% - Énfasis5 3 8 3" xfId="4221"/>
    <cellStyle name="20% - Énfasis5 3 8 3 2" xfId="8321"/>
    <cellStyle name="20% - Énfasis5 3 8 4" xfId="6270"/>
    <cellStyle name="20% - Énfasis5 3 9" xfId="759"/>
    <cellStyle name="20% - Énfasis5 3 9 2" xfId="760"/>
    <cellStyle name="20% - Énfasis5 3 9 2 2" xfId="4224"/>
    <cellStyle name="20% - Énfasis5 3 9 2 2 2" xfId="8324"/>
    <cellStyle name="20% - Énfasis5 3 9 2 3" xfId="6273"/>
    <cellStyle name="20% - Énfasis5 3 9 3" xfId="4223"/>
    <cellStyle name="20% - Énfasis5 3 9 3 2" xfId="8323"/>
    <cellStyle name="20% - Énfasis5 3 9 4" xfId="6272"/>
    <cellStyle name="20% - Énfasis5 4" xfId="761"/>
    <cellStyle name="20% - Énfasis5 4 10" xfId="4225"/>
    <cellStyle name="20% - Énfasis5 4 10 2" xfId="8325"/>
    <cellStyle name="20% - Énfasis5 4 11" xfId="6274"/>
    <cellStyle name="20% - Énfasis5 4 2" xfId="762"/>
    <cellStyle name="20% - Énfasis5 4 2 2" xfId="763"/>
    <cellStyle name="20% - Énfasis5 4 2 2 2" xfId="764"/>
    <cellStyle name="20% - Énfasis5 4 2 2 2 2" xfId="4228"/>
    <cellStyle name="20% - Énfasis5 4 2 2 2 2 2" xfId="8328"/>
    <cellStyle name="20% - Énfasis5 4 2 2 2 3" xfId="6277"/>
    <cellStyle name="20% - Énfasis5 4 2 2 3" xfId="4227"/>
    <cellStyle name="20% - Énfasis5 4 2 2 3 2" xfId="8327"/>
    <cellStyle name="20% - Énfasis5 4 2 2 4" xfId="6276"/>
    <cellStyle name="20% - Énfasis5 4 2 3" xfId="765"/>
    <cellStyle name="20% - Énfasis5 4 2 3 2" xfId="766"/>
    <cellStyle name="20% - Énfasis5 4 2 3 2 2" xfId="4230"/>
    <cellStyle name="20% - Énfasis5 4 2 3 2 2 2" xfId="8330"/>
    <cellStyle name="20% - Énfasis5 4 2 3 2 3" xfId="6279"/>
    <cellStyle name="20% - Énfasis5 4 2 3 3" xfId="4229"/>
    <cellStyle name="20% - Énfasis5 4 2 3 3 2" xfId="8329"/>
    <cellStyle name="20% - Énfasis5 4 2 3 4" xfId="6278"/>
    <cellStyle name="20% - Énfasis5 4 2 4" xfId="767"/>
    <cellStyle name="20% - Énfasis5 4 2 4 2" xfId="4231"/>
    <cellStyle name="20% - Énfasis5 4 2 4 2 2" xfId="8331"/>
    <cellStyle name="20% - Énfasis5 4 2 4 3" xfId="6280"/>
    <cellStyle name="20% - Énfasis5 4 2 5" xfId="4226"/>
    <cellStyle name="20% - Énfasis5 4 2 5 2" xfId="8326"/>
    <cellStyle name="20% - Énfasis5 4 2 6" xfId="6275"/>
    <cellStyle name="20% - Énfasis5 4 3" xfId="768"/>
    <cellStyle name="20% - Énfasis5 4 3 2" xfId="769"/>
    <cellStyle name="20% - Énfasis5 4 3 2 2" xfId="4233"/>
    <cellStyle name="20% - Énfasis5 4 3 2 2 2" xfId="8333"/>
    <cellStyle name="20% - Énfasis5 4 3 2 3" xfId="6282"/>
    <cellStyle name="20% - Énfasis5 4 3 3" xfId="4232"/>
    <cellStyle name="20% - Énfasis5 4 3 3 2" xfId="8332"/>
    <cellStyle name="20% - Énfasis5 4 3 4" xfId="6281"/>
    <cellStyle name="20% - Énfasis5 4 4" xfId="770"/>
    <cellStyle name="20% - Énfasis5 4 4 2" xfId="771"/>
    <cellStyle name="20% - Énfasis5 4 4 2 2" xfId="4235"/>
    <cellStyle name="20% - Énfasis5 4 4 2 2 2" xfId="8335"/>
    <cellStyle name="20% - Énfasis5 4 4 2 3" xfId="6284"/>
    <cellStyle name="20% - Énfasis5 4 4 3" xfId="4234"/>
    <cellStyle name="20% - Énfasis5 4 4 3 2" xfId="8334"/>
    <cellStyle name="20% - Énfasis5 4 4 4" xfId="6283"/>
    <cellStyle name="20% - Énfasis5 4 5" xfId="772"/>
    <cellStyle name="20% - Énfasis5 4 5 2" xfId="773"/>
    <cellStyle name="20% - Énfasis5 4 5 2 2" xfId="4237"/>
    <cellStyle name="20% - Énfasis5 4 5 2 2 2" xfId="8337"/>
    <cellStyle name="20% - Énfasis5 4 5 2 3" xfId="6286"/>
    <cellStyle name="20% - Énfasis5 4 5 3" xfId="4236"/>
    <cellStyle name="20% - Énfasis5 4 5 3 2" xfId="8336"/>
    <cellStyle name="20% - Énfasis5 4 5 4" xfId="6285"/>
    <cellStyle name="20% - Énfasis5 4 6" xfId="774"/>
    <cellStyle name="20% - Énfasis5 4 6 2" xfId="775"/>
    <cellStyle name="20% - Énfasis5 4 6 2 2" xfId="4239"/>
    <cellStyle name="20% - Énfasis5 4 6 2 2 2" xfId="8339"/>
    <cellStyle name="20% - Énfasis5 4 6 2 3" xfId="6288"/>
    <cellStyle name="20% - Énfasis5 4 6 3" xfId="4238"/>
    <cellStyle name="20% - Énfasis5 4 6 3 2" xfId="8338"/>
    <cellStyle name="20% - Énfasis5 4 6 4" xfId="6287"/>
    <cellStyle name="20% - Énfasis5 4 7" xfId="776"/>
    <cellStyle name="20% - Énfasis5 4 7 2" xfId="777"/>
    <cellStyle name="20% - Énfasis5 4 7 2 2" xfId="4241"/>
    <cellStyle name="20% - Énfasis5 4 7 2 2 2" xfId="8341"/>
    <cellStyle name="20% - Énfasis5 4 7 2 3" xfId="6290"/>
    <cellStyle name="20% - Énfasis5 4 7 3" xfId="4240"/>
    <cellStyle name="20% - Énfasis5 4 7 3 2" xfId="8340"/>
    <cellStyle name="20% - Énfasis5 4 7 4" xfId="6289"/>
    <cellStyle name="20% - Énfasis5 4 8" xfId="778"/>
    <cellStyle name="20% - Énfasis5 4 8 2" xfId="779"/>
    <cellStyle name="20% - Énfasis5 4 8 2 2" xfId="4243"/>
    <cellStyle name="20% - Énfasis5 4 8 2 2 2" xfId="8343"/>
    <cellStyle name="20% - Énfasis5 4 8 2 3" xfId="6292"/>
    <cellStyle name="20% - Énfasis5 4 8 3" xfId="4242"/>
    <cellStyle name="20% - Énfasis5 4 8 3 2" xfId="8342"/>
    <cellStyle name="20% - Énfasis5 4 8 4" xfId="6291"/>
    <cellStyle name="20% - Énfasis5 4 9" xfId="780"/>
    <cellStyle name="20% - Énfasis5 4 9 2" xfId="4244"/>
    <cellStyle name="20% - Énfasis5 4 9 2 2" xfId="8344"/>
    <cellStyle name="20% - Énfasis5 4 9 3" xfId="6293"/>
    <cellStyle name="20% - Énfasis5 5" xfId="781"/>
    <cellStyle name="20% - Énfasis5 5 10" xfId="4245"/>
    <cellStyle name="20% - Énfasis5 5 10 2" xfId="8345"/>
    <cellStyle name="20% - Énfasis5 5 11" xfId="6294"/>
    <cellStyle name="20% - Énfasis5 5 2" xfId="782"/>
    <cellStyle name="20% - Énfasis5 5 2 2" xfId="783"/>
    <cellStyle name="20% - Énfasis5 5 2 2 2" xfId="784"/>
    <cellStyle name="20% - Énfasis5 5 2 2 2 2" xfId="4248"/>
    <cellStyle name="20% - Énfasis5 5 2 2 2 2 2" xfId="8348"/>
    <cellStyle name="20% - Énfasis5 5 2 2 2 3" xfId="6297"/>
    <cellStyle name="20% - Énfasis5 5 2 2 3" xfId="4247"/>
    <cellStyle name="20% - Énfasis5 5 2 2 3 2" xfId="8347"/>
    <cellStyle name="20% - Énfasis5 5 2 2 4" xfId="6296"/>
    <cellStyle name="20% - Énfasis5 5 2 3" xfId="785"/>
    <cellStyle name="20% - Énfasis5 5 2 3 2" xfId="786"/>
    <cellStyle name="20% - Énfasis5 5 2 3 2 2" xfId="4250"/>
    <cellStyle name="20% - Énfasis5 5 2 3 2 2 2" xfId="8350"/>
    <cellStyle name="20% - Énfasis5 5 2 3 2 3" xfId="6299"/>
    <cellStyle name="20% - Énfasis5 5 2 3 3" xfId="4249"/>
    <cellStyle name="20% - Énfasis5 5 2 3 3 2" xfId="8349"/>
    <cellStyle name="20% - Énfasis5 5 2 3 4" xfId="6298"/>
    <cellStyle name="20% - Énfasis5 5 2 4" xfId="787"/>
    <cellStyle name="20% - Énfasis5 5 2 4 2" xfId="4251"/>
    <cellStyle name="20% - Énfasis5 5 2 4 2 2" xfId="8351"/>
    <cellStyle name="20% - Énfasis5 5 2 4 3" xfId="6300"/>
    <cellStyle name="20% - Énfasis5 5 2 5" xfId="4246"/>
    <cellStyle name="20% - Énfasis5 5 2 5 2" xfId="8346"/>
    <cellStyle name="20% - Énfasis5 5 2 6" xfId="6295"/>
    <cellStyle name="20% - Énfasis5 5 3" xfId="788"/>
    <cellStyle name="20% - Énfasis5 5 3 2" xfId="789"/>
    <cellStyle name="20% - Énfasis5 5 3 2 2" xfId="4253"/>
    <cellStyle name="20% - Énfasis5 5 3 2 2 2" xfId="8353"/>
    <cellStyle name="20% - Énfasis5 5 3 2 3" xfId="6302"/>
    <cellStyle name="20% - Énfasis5 5 3 3" xfId="4252"/>
    <cellStyle name="20% - Énfasis5 5 3 3 2" xfId="8352"/>
    <cellStyle name="20% - Énfasis5 5 3 4" xfId="6301"/>
    <cellStyle name="20% - Énfasis5 5 4" xfId="790"/>
    <cellStyle name="20% - Énfasis5 5 4 2" xfId="791"/>
    <cellStyle name="20% - Énfasis5 5 4 2 2" xfId="4255"/>
    <cellStyle name="20% - Énfasis5 5 4 2 2 2" xfId="8355"/>
    <cellStyle name="20% - Énfasis5 5 4 2 3" xfId="6304"/>
    <cellStyle name="20% - Énfasis5 5 4 3" xfId="4254"/>
    <cellStyle name="20% - Énfasis5 5 4 3 2" xfId="8354"/>
    <cellStyle name="20% - Énfasis5 5 4 4" xfId="6303"/>
    <cellStyle name="20% - Énfasis5 5 5" xfId="792"/>
    <cellStyle name="20% - Énfasis5 5 5 2" xfId="793"/>
    <cellStyle name="20% - Énfasis5 5 5 2 2" xfId="4257"/>
    <cellStyle name="20% - Énfasis5 5 5 2 2 2" xfId="8357"/>
    <cellStyle name="20% - Énfasis5 5 5 2 3" xfId="6306"/>
    <cellStyle name="20% - Énfasis5 5 5 3" xfId="4256"/>
    <cellStyle name="20% - Énfasis5 5 5 3 2" xfId="8356"/>
    <cellStyle name="20% - Énfasis5 5 5 4" xfId="6305"/>
    <cellStyle name="20% - Énfasis5 5 6" xfId="794"/>
    <cellStyle name="20% - Énfasis5 5 6 2" xfId="795"/>
    <cellStyle name="20% - Énfasis5 5 6 2 2" xfId="4259"/>
    <cellStyle name="20% - Énfasis5 5 6 2 2 2" xfId="8359"/>
    <cellStyle name="20% - Énfasis5 5 6 2 3" xfId="6308"/>
    <cellStyle name="20% - Énfasis5 5 6 3" xfId="4258"/>
    <cellStyle name="20% - Énfasis5 5 6 3 2" xfId="8358"/>
    <cellStyle name="20% - Énfasis5 5 6 4" xfId="6307"/>
    <cellStyle name="20% - Énfasis5 5 7" xfId="796"/>
    <cellStyle name="20% - Énfasis5 5 7 2" xfId="797"/>
    <cellStyle name="20% - Énfasis5 5 7 2 2" xfId="4261"/>
    <cellStyle name="20% - Énfasis5 5 7 2 2 2" xfId="8361"/>
    <cellStyle name="20% - Énfasis5 5 7 2 3" xfId="6310"/>
    <cellStyle name="20% - Énfasis5 5 7 3" xfId="4260"/>
    <cellStyle name="20% - Énfasis5 5 7 3 2" xfId="8360"/>
    <cellStyle name="20% - Énfasis5 5 7 4" xfId="6309"/>
    <cellStyle name="20% - Énfasis5 5 8" xfId="798"/>
    <cellStyle name="20% - Énfasis5 5 8 2" xfId="799"/>
    <cellStyle name="20% - Énfasis5 5 8 2 2" xfId="4263"/>
    <cellStyle name="20% - Énfasis5 5 8 2 2 2" xfId="8363"/>
    <cellStyle name="20% - Énfasis5 5 8 2 3" xfId="6312"/>
    <cellStyle name="20% - Énfasis5 5 8 3" xfId="4262"/>
    <cellStyle name="20% - Énfasis5 5 8 3 2" xfId="8362"/>
    <cellStyle name="20% - Énfasis5 5 8 4" xfId="6311"/>
    <cellStyle name="20% - Énfasis5 5 9" xfId="800"/>
    <cellStyle name="20% - Énfasis5 5 9 2" xfId="4264"/>
    <cellStyle name="20% - Énfasis5 5 9 2 2" xfId="8364"/>
    <cellStyle name="20% - Énfasis5 5 9 3" xfId="6313"/>
    <cellStyle name="20% - Énfasis5 6" xfId="9554"/>
    <cellStyle name="20% - Énfasis6" xfId="9536" builtinId="50" customBuiltin="1"/>
    <cellStyle name="20% - Énfasis6 2" xfId="801"/>
    <cellStyle name="20% - Énfasis6 2 10" xfId="802"/>
    <cellStyle name="20% - Énfasis6 2 10 2" xfId="4266"/>
    <cellStyle name="20% - Énfasis6 2 10 2 2" xfId="8366"/>
    <cellStyle name="20% - Énfasis6 2 10 3" xfId="6315"/>
    <cellStyle name="20% - Énfasis6 2 11" xfId="4265"/>
    <cellStyle name="20% - Énfasis6 2 11 2" xfId="8365"/>
    <cellStyle name="20% - Énfasis6 2 12" xfId="6314"/>
    <cellStyle name="20% - Énfasis6 2 2" xfId="803"/>
    <cellStyle name="20% - Énfasis6 2 2 10" xfId="6316"/>
    <cellStyle name="20% - Énfasis6 2 2 2" xfId="804"/>
    <cellStyle name="20% - Énfasis6 2 2 2 2" xfId="805"/>
    <cellStyle name="20% - Énfasis6 2 2 2 2 2" xfId="4269"/>
    <cellStyle name="20% - Énfasis6 2 2 2 2 2 2" xfId="8369"/>
    <cellStyle name="20% - Énfasis6 2 2 2 2 3" xfId="6318"/>
    <cellStyle name="20% - Énfasis6 2 2 2 3" xfId="806"/>
    <cellStyle name="20% - Énfasis6 2 2 2 3 2" xfId="4270"/>
    <cellStyle name="20% - Énfasis6 2 2 2 3 2 2" xfId="8370"/>
    <cellStyle name="20% - Énfasis6 2 2 2 3 3" xfId="6319"/>
    <cellStyle name="20% - Énfasis6 2 2 2 4" xfId="4268"/>
    <cellStyle name="20% - Énfasis6 2 2 2 4 2" xfId="8368"/>
    <cellStyle name="20% - Énfasis6 2 2 2 5" xfId="6317"/>
    <cellStyle name="20% - Énfasis6 2 2 3" xfId="807"/>
    <cellStyle name="20% - Énfasis6 2 2 3 2" xfId="4271"/>
    <cellStyle name="20% - Énfasis6 2 2 3 2 2" xfId="8371"/>
    <cellStyle name="20% - Énfasis6 2 2 3 3" xfId="6320"/>
    <cellStyle name="20% - Énfasis6 2 2 4" xfId="808"/>
    <cellStyle name="20% - Énfasis6 2 2 4 2" xfId="4272"/>
    <cellStyle name="20% - Énfasis6 2 2 4 2 2" xfId="8372"/>
    <cellStyle name="20% - Énfasis6 2 2 4 3" xfId="6321"/>
    <cellStyle name="20% - Énfasis6 2 2 5" xfId="809"/>
    <cellStyle name="20% - Énfasis6 2 2 5 2" xfId="4273"/>
    <cellStyle name="20% - Énfasis6 2 2 5 2 2" xfId="8373"/>
    <cellStyle name="20% - Énfasis6 2 2 5 3" xfId="6322"/>
    <cellStyle name="20% - Énfasis6 2 2 6" xfId="810"/>
    <cellStyle name="20% - Énfasis6 2 2 6 2" xfId="4274"/>
    <cellStyle name="20% - Énfasis6 2 2 6 2 2" xfId="8374"/>
    <cellStyle name="20% - Énfasis6 2 2 6 3" xfId="6323"/>
    <cellStyle name="20% - Énfasis6 2 2 7" xfId="811"/>
    <cellStyle name="20% - Énfasis6 2 2 7 2" xfId="4275"/>
    <cellStyle name="20% - Énfasis6 2 2 7 2 2" xfId="8375"/>
    <cellStyle name="20% - Énfasis6 2 2 7 3" xfId="6324"/>
    <cellStyle name="20% - Énfasis6 2 2 8" xfId="812"/>
    <cellStyle name="20% - Énfasis6 2 2 8 2" xfId="4276"/>
    <cellStyle name="20% - Énfasis6 2 2 8 2 2" xfId="8376"/>
    <cellStyle name="20% - Énfasis6 2 2 8 3" xfId="6325"/>
    <cellStyle name="20% - Énfasis6 2 2 9" xfId="4267"/>
    <cellStyle name="20% - Énfasis6 2 2 9 2" xfId="8367"/>
    <cellStyle name="20% - Énfasis6 2 3" xfId="813"/>
    <cellStyle name="20% - Énfasis6 2 3 10" xfId="6326"/>
    <cellStyle name="20% - Énfasis6 2 3 2" xfId="814"/>
    <cellStyle name="20% - Énfasis6 2 3 2 2" xfId="815"/>
    <cellStyle name="20% - Énfasis6 2 3 2 2 2" xfId="4279"/>
    <cellStyle name="20% - Énfasis6 2 3 2 2 2 2" xfId="8379"/>
    <cellStyle name="20% - Énfasis6 2 3 2 2 3" xfId="6328"/>
    <cellStyle name="20% - Énfasis6 2 3 2 3" xfId="816"/>
    <cellStyle name="20% - Énfasis6 2 3 2 3 2" xfId="4280"/>
    <cellStyle name="20% - Énfasis6 2 3 2 3 2 2" xfId="8380"/>
    <cellStyle name="20% - Énfasis6 2 3 2 3 3" xfId="6329"/>
    <cellStyle name="20% - Énfasis6 2 3 2 4" xfId="4278"/>
    <cellStyle name="20% - Énfasis6 2 3 2 4 2" xfId="8378"/>
    <cellStyle name="20% - Énfasis6 2 3 2 5" xfId="6327"/>
    <cellStyle name="20% - Énfasis6 2 3 3" xfId="817"/>
    <cellStyle name="20% - Énfasis6 2 3 3 2" xfId="4281"/>
    <cellStyle name="20% - Énfasis6 2 3 3 2 2" xfId="8381"/>
    <cellStyle name="20% - Énfasis6 2 3 3 3" xfId="6330"/>
    <cellStyle name="20% - Énfasis6 2 3 4" xfId="818"/>
    <cellStyle name="20% - Énfasis6 2 3 4 2" xfId="4282"/>
    <cellStyle name="20% - Énfasis6 2 3 4 2 2" xfId="8382"/>
    <cellStyle name="20% - Énfasis6 2 3 4 3" xfId="6331"/>
    <cellStyle name="20% - Énfasis6 2 3 5" xfId="819"/>
    <cellStyle name="20% - Énfasis6 2 3 5 2" xfId="4283"/>
    <cellStyle name="20% - Énfasis6 2 3 5 2 2" xfId="8383"/>
    <cellStyle name="20% - Énfasis6 2 3 5 3" xfId="6332"/>
    <cellStyle name="20% - Énfasis6 2 3 6" xfId="820"/>
    <cellStyle name="20% - Énfasis6 2 3 6 2" xfId="4284"/>
    <cellStyle name="20% - Énfasis6 2 3 6 2 2" xfId="8384"/>
    <cellStyle name="20% - Énfasis6 2 3 6 3" xfId="6333"/>
    <cellStyle name="20% - Énfasis6 2 3 7" xfId="821"/>
    <cellStyle name="20% - Énfasis6 2 3 7 2" xfId="4285"/>
    <cellStyle name="20% - Énfasis6 2 3 7 2 2" xfId="8385"/>
    <cellStyle name="20% - Énfasis6 2 3 7 3" xfId="6334"/>
    <cellStyle name="20% - Énfasis6 2 3 8" xfId="822"/>
    <cellStyle name="20% - Énfasis6 2 3 8 2" xfId="4286"/>
    <cellStyle name="20% - Énfasis6 2 3 8 2 2" xfId="8386"/>
    <cellStyle name="20% - Énfasis6 2 3 8 3" xfId="6335"/>
    <cellStyle name="20% - Énfasis6 2 3 9" xfId="4277"/>
    <cellStyle name="20% - Énfasis6 2 3 9 2" xfId="8377"/>
    <cellStyle name="20% - Énfasis6 2 4" xfId="823"/>
    <cellStyle name="20% - Énfasis6 2 4 2" xfId="824"/>
    <cellStyle name="20% - Énfasis6 2 4 2 2" xfId="4288"/>
    <cellStyle name="20% - Énfasis6 2 4 2 2 2" xfId="8388"/>
    <cellStyle name="20% - Énfasis6 2 4 2 3" xfId="6337"/>
    <cellStyle name="20% - Énfasis6 2 4 3" xfId="825"/>
    <cellStyle name="20% - Énfasis6 2 4 3 2" xfId="4289"/>
    <cellStyle name="20% - Énfasis6 2 4 3 2 2" xfId="8389"/>
    <cellStyle name="20% - Énfasis6 2 4 3 3" xfId="6338"/>
    <cellStyle name="20% - Énfasis6 2 4 4" xfId="4287"/>
    <cellStyle name="20% - Énfasis6 2 4 4 2" xfId="8387"/>
    <cellStyle name="20% - Énfasis6 2 4 5" xfId="6336"/>
    <cellStyle name="20% - Énfasis6 2 5" xfId="826"/>
    <cellStyle name="20% - Énfasis6 2 5 2" xfId="4290"/>
    <cellStyle name="20% - Énfasis6 2 5 2 2" xfId="8390"/>
    <cellStyle name="20% - Énfasis6 2 5 3" xfId="6339"/>
    <cellStyle name="20% - Énfasis6 2 6" xfId="827"/>
    <cellStyle name="20% - Énfasis6 2 6 2" xfId="4291"/>
    <cellStyle name="20% - Énfasis6 2 6 2 2" xfId="8391"/>
    <cellStyle name="20% - Énfasis6 2 6 3" xfId="6340"/>
    <cellStyle name="20% - Énfasis6 2 7" xfId="828"/>
    <cellStyle name="20% - Énfasis6 2 7 2" xfId="4292"/>
    <cellStyle name="20% - Énfasis6 2 7 2 2" xfId="8392"/>
    <cellStyle name="20% - Énfasis6 2 7 3" xfId="6341"/>
    <cellStyle name="20% - Énfasis6 2 8" xfId="829"/>
    <cellStyle name="20% - Énfasis6 2 8 2" xfId="4293"/>
    <cellStyle name="20% - Énfasis6 2 8 2 2" xfId="8393"/>
    <cellStyle name="20% - Énfasis6 2 8 3" xfId="6342"/>
    <cellStyle name="20% - Énfasis6 2 9" xfId="830"/>
    <cellStyle name="20% - Énfasis6 2 9 2" xfId="4294"/>
    <cellStyle name="20% - Énfasis6 2 9 2 2" xfId="8394"/>
    <cellStyle name="20% - Énfasis6 2 9 3" xfId="6343"/>
    <cellStyle name="20% - Énfasis6 3" xfId="831"/>
    <cellStyle name="20% - Énfasis6 3 10" xfId="832"/>
    <cellStyle name="20% - Énfasis6 3 10 2" xfId="4296"/>
    <cellStyle name="20% - Énfasis6 3 10 2 2" xfId="8396"/>
    <cellStyle name="20% - Énfasis6 3 10 3" xfId="6345"/>
    <cellStyle name="20% - Énfasis6 3 11" xfId="4295"/>
    <cellStyle name="20% - Énfasis6 3 11 2" xfId="8395"/>
    <cellStyle name="20% - Énfasis6 3 12" xfId="6344"/>
    <cellStyle name="20% - Énfasis6 3 2" xfId="833"/>
    <cellStyle name="20% - Énfasis6 3 2 10" xfId="6346"/>
    <cellStyle name="20% - Énfasis6 3 2 2" xfId="834"/>
    <cellStyle name="20% - Énfasis6 3 2 2 2" xfId="835"/>
    <cellStyle name="20% - Énfasis6 3 2 2 2 2" xfId="4299"/>
    <cellStyle name="20% - Énfasis6 3 2 2 2 2 2" xfId="8399"/>
    <cellStyle name="20% - Énfasis6 3 2 2 2 3" xfId="6348"/>
    <cellStyle name="20% - Énfasis6 3 2 2 3" xfId="836"/>
    <cellStyle name="20% - Énfasis6 3 2 2 3 2" xfId="4300"/>
    <cellStyle name="20% - Énfasis6 3 2 2 3 2 2" xfId="8400"/>
    <cellStyle name="20% - Énfasis6 3 2 2 3 3" xfId="6349"/>
    <cellStyle name="20% - Énfasis6 3 2 2 4" xfId="4298"/>
    <cellStyle name="20% - Énfasis6 3 2 2 4 2" xfId="8398"/>
    <cellStyle name="20% - Énfasis6 3 2 2 5" xfId="6347"/>
    <cellStyle name="20% - Énfasis6 3 2 3" xfId="837"/>
    <cellStyle name="20% - Énfasis6 3 2 3 2" xfId="4301"/>
    <cellStyle name="20% - Énfasis6 3 2 3 2 2" xfId="8401"/>
    <cellStyle name="20% - Énfasis6 3 2 3 3" xfId="6350"/>
    <cellStyle name="20% - Énfasis6 3 2 4" xfId="838"/>
    <cellStyle name="20% - Énfasis6 3 2 4 2" xfId="4302"/>
    <cellStyle name="20% - Énfasis6 3 2 4 2 2" xfId="8402"/>
    <cellStyle name="20% - Énfasis6 3 2 4 3" xfId="6351"/>
    <cellStyle name="20% - Énfasis6 3 2 5" xfId="839"/>
    <cellStyle name="20% - Énfasis6 3 2 5 2" xfId="4303"/>
    <cellStyle name="20% - Énfasis6 3 2 5 2 2" xfId="8403"/>
    <cellStyle name="20% - Énfasis6 3 2 5 3" xfId="6352"/>
    <cellStyle name="20% - Énfasis6 3 2 6" xfId="840"/>
    <cellStyle name="20% - Énfasis6 3 2 6 2" xfId="4304"/>
    <cellStyle name="20% - Énfasis6 3 2 6 2 2" xfId="8404"/>
    <cellStyle name="20% - Énfasis6 3 2 6 3" xfId="6353"/>
    <cellStyle name="20% - Énfasis6 3 2 7" xfId="841"/>
    <cellStyle name="20% - Énfasis6 3 2 7 2" xfId="4305"/>
    <cellStyle name="20% - Énfasis6 3 2 7 2 2" xfId="8405"/>
    <cellStyle name="20% - Énfasis6 3 2 7 3" xfId="6354"/>
    <cellStyle name="20% - Énfasis6 3 2 8" xfId="842"/>
    <cellStyle name="20% - Énfasis6 3 2 8 2" xfId="4306"/>
    <cellStyle name="20% - Énfasis6 3 2 8 2 2" xfId="8406"/>
    <cellStyle name="20% - Énfasis6 3 2 8 3" xfId="6355"/>
    <cellStyle name="20% - Énfasis6 3 2 9" xfId="4297"/>
    <cellStyle name="20% - Énfasis6 3 2 9 2" xfId="8397"/>
    <cellStyle name="20% - Énfasis6 3 3" xfId="843"/>
    <cellStyle name="20% - Énfasis6 3 3 10" xfId="6356"/>
    <cellStyle name="20% - Énfasis6 3 3 2" xfId="844"/>
    <cellStyle name="20% - Énfasis6 3 3 2 2" xfId="845"/>
    <cellStyle name="20% - Énfasis6 3 3 2 2 2" xfId="4309"/>
    <cellStyle name="20% - Énfasis6 3 3 2 2 2 2" xfId="8409"/>
    <cellStyle name="20% - Énfasis6 3 3 2 2 3" xfId="6358"/>
    <cellStyle name="20% - Énfasis6 3 3 2 3" xfId="846"/>
    <cellStyle name="20% - Énfasis6 3 3 2 3 2" xfId="4310"/>
    <cellStyle name="20% - Énfasis6 3 3 2 3 2 2" xfId="8410"/>
    <cellStyle name="20% - Énfasis6 3 3 2 3 3" xfId="6359"/>
    <cellStyle name="20% - Énfasis6 3 3 2 4" xfId="4308"/>
    <cellStyle name="20% - Énfasis6 3 3 2 4 2" xfId="8408"/>
    <cellStyle name="20% - Énfasis6 3 3 2 5" xfId="6357"/>
    <cellStyle name="20% - Énfasis6 3 3 3" xfId="847"/>
    <cellStyle name="20% - Énfasis6 3 3 3 2" xfId="4311"/>
    <cellStyle name="20% - Énfasis6 3 3 3 2 2" xfId="8411"/>
    <cellStyle name="20% - Énfasis6 3 3 3 3" xfId="6360"/>
    <cellStyle name="20% - Énfasis6 3 3 4" xfId="848"/>
    <cellStyle name="20% - Énfasis6 3 3 4 2" xfId="4312"/>
    <cellStyle name="20% - Énfasis6 3 3 4 2 2" xfId="8412"/>
    <cellStyle name="20% - Énfasis6 3 3 4 3" xfId="6361"/>
    <cellStyle name="20% - Énfasis6 3 3 5" xfId="849"/>
    <cellStyle name="20% - Énfasis6 3 3 5 2" xfId="4313"/>
    <cellStyle name="20% - Énfasis6 3 3 5 2 2" xfId="8413"/>
    <cellStyle name="20% - Énfasis6 3 3 5 3" xfId="6362"/>
    <cellStyle name="20% - Énfasis6 3 3 6" xfId="850"/>
    <cellStyle name="20% - Énfasis6 3 3 6 2" xfId="4314"/>
    <cellStyle name="20% - Énfasis6 3 3 6 2 2" xfId="8414"/>
    <cellStyle name="20% - Énfasis6 3 3 6 3" xfId="6363"/>
    <cellStyle name="20% - Énfasis6 3 3 7" xfId="851"/>
    <cellStyle name="20% - Énfasis6 3 3 7 2" xfId="4315"/>
    <cellStyle name="20% - Énfasis6 3 3 7 2 2" xfId="8415"/>
    <cellStyle name="20% - Énfasis6 3 3 7 3" xfId="6364"/>
    <cellStyle name="20% - Énfasis6 3 3 8" xfId="852"/>
    <cellStyle name="20% - Énfasis6 3 3 8 2" xfId="4316"/>
    <cellStyle name="20% - Énfasis6 3 3 8 2 2" xfId="8416"/>
    <cellStyle name="20% - Énfasis6 3 3 8 3" xfId="6365"/>
    <cellStyle name="20% - Énfasis6 3 3 9" xfId="4307"/>
    <cellStyle name="20% - Énfasis6 3 3 9 2" xfId="8407"/>
    <cellStyle name="20% - Énfasis6 3 4" xfId="853"/>
    <cellStyle name="20% - Énfasis6 3 4 2" xfId="854"/>
    <cellStyle name="20% - Énfasis6 3 4 2 2" xfId="4318"/>
    <cellStyle name="20% - Énfasis6 3 4 2 2 2" xfId="8418"/>
    <cellStyle name="20% - Énfasis6 3 4 2 3" xfId="6367"/>
    <cellStyle name="20% - Énfasis6 3 4 3" xfId="855"/>
    <cellStyle name="20% - Énfasis6 3 4 3 2" xfId="4319"/>
    <cellStyle name="20% - Énfasis6 3 4 3 2 2" xfId="8419"/>
    <cellStyle name="20% - Énfasis6 3 4 3 3" xfId="6368"/>
    <cellStyle name="20% - Énfasis6 3 4 4" xfId="4317"/>
    <cellStyle name="20% - Énfasis6 3 4 4 2" xfId="8417"/>
    <cellStyle name="20% - Énfasis6 3 4 5" xfId="6366"/>
    <cellStyle name="20% - Énfasis6 3 5" xfId="856"/>
    <cellStyle name="20% - Énfasis6 3 5 2" xfId="4320"/>
    <cellStyle name="20% - Énfasis6 3 5 2 2" xfId="8420"/>
    <cellStyle name="20% - Énfasis6 3 5 3" xfId="6369"/>
    <cellStyle name="20% - Énfasis6 3 6" xfId="857"/>
    <cellStyle name="20% - Énfasis6 3 6 2" xfId="4321"/>
    <cellStyle name="20% - Énfasis6 3 6 2 2" xfId="8421"/>
    <cellStyle name="20% - Énfasis6 3 6 3" xfId="6370"/>
    <cellStyle name="20% - Énfasis6 3 7" xfId="858"/>
    <cellStyle name="20% - Énfasis6 3 7 2" xfId="4322"/>
    <cellStyle name="20% - Énfasis6 3 7 2 2" xfId="8422"/>
    <cellStyle name="20% - Énfasis6 3 7 3" xfId="6371"/>
    <cellStyle name="20% - Énfasis6 3 8" xfId="859"/>
    <cellStyle name="20% - Énfasis6 3 8 2" xfId="4323"/>
    <cellStyle name="20% - Énfasis6 3 8 2 2" xfId="8423"/>
    <cellStyle name="20% - Énfasis6 3 8 3" xfId="6372"/>
    <cellStyle name="20% - Énfasis6 3 9" xfId="860"/>
    <cellStyle name="20% - Énfasis6 3 9 2" xfId="4324"/>
    <cellStyle name="20% - Énfasis6 3 9 2 2" xfId="8424"/>
    <cellStyle name="20% - Énfasis6 3 9 3" xfId="6373"/>
    <cellStyle name="20% - Énfasis6 4" xfId="861"/>
    <cellStyle name="20% - Énfasis6 4 10" xfId="6374"/>
    <cellStyle name="20% - Énfasis6 4 2" xfId="862"/>
    <cellStyle name="20% - Énfasis6 4 2 2" xfId="863"/>
    <cellStyle name="20% - Énfasis6 4 2 2 2" xfId="4327"/>
    <cellStyle name="20% - Énfasis6 4 2 2 2 2" xfId="8427"/>
    <cellStyle name="20% - Énfasis6 4 2 2 3" xfId="6376"/>
    <cellStyle name="20% - Énfasis6 4 2 3" xfId="864"/>
    <cellStyle name="20% - Énfasis6 4 2 3 2" xfId="4328"/>
    <cellStyle name="20% - Énfasis6 4 2 3 2 2" xfId="8428"/>
    <cellStyle name="20% - Énfasis6 4 2 3 3" xfId="6377"/>
    <cellStyle name="20% - Énfasis6 4 2 4" xfId="4326"/>
    <cellStyle name="20% - Énfasis6 4 2 4 2" xfId="8426"/>
    <cellStyle name="20% - Énfasis6 4 2 5" xfId="6375"/>
    <cellStyle name="20% - Énfasis6 4 3" xfId="865"/>
    <cellStyle name="20% - Énfasis6 4 3 2" xfId="4329"/>
    <cellStyle name="20% - Énfasis6 4 3 2 2" xfId="8429"/>
    <cellStyle name="20% - Énfasis6 4 3 3" xfId="6378"/>
    <cellStyle name="20% - Énfasis6 4 4" xfId="866"/>
    <cellStyle name="20% - Énfasis6 4 4 2" xfId="4330"/>
    <cellStyle name="20% - Énfasis6 4 4 2 2" xfId="8430"/>
    <cellStyle name="20% - Énfasis6 4 4 3" xfId="6379"/>
    <cellStyle name="20% - Énfasis6 4 5" xfId="867"/>
    <cellStyle name="20% - Énfasis6 4 5 2" xfId="4331"/>
    <cellStyle name="20% - Énfasis6 4 5 2 2" xfId="8431"/>
    <cellStyle name="20% - Énfasis6 4 5 3" xfId="6380"/>
    <cellStyle name="20% - Énfasis6 4 6" xfId="868"/>
    <cellStyle name="20% - Énfasis6 4 6 2" xfId="4332"/>
    <cellStyle name="20% - Énfasis6 4 6 2 2" xfId="8432"/>
    <cellStyle name="20% - Énfasis6 4 6 3" xfId="6381"/>
    <cellStyle name="20% - Énfasis6 4 7" xfId="869"/>
    <cellStyle name="20% - Énfasis6 4 7 2" xfId="4333"/>
    <cellStyle name="20% - Énfasis6 4 7 2 2" xfId="8433"/>
    <cellStyle name="20% - Énfasis6 4 7 3" xfId="6382"/>
    <cellStyle name="20% - Énfasis6 4 8" xfId="870"/>
    <cellStyle name="20% - Énfasis6 4 8 2" xfId="4334"/>
    <cellStyle name="20% - Énfasis6 4 8 2 2" xfId="8434"/>
    <cellStyle name="20% - Énfasis6 4 8 3" xfId="6383"/>
    <cellStyle name="20% - Énfasis6 4 9" xfId="4325"/>
    <cellStyle name="20% - Énfasis6 4 9 2" xfId="8425"/>
    <cellStyle name="20% - Énfasis6 5" xfId="871"/>
    <cellStyle name="20% - Énfasis6 5 10" xfId="6384"/>
    <cellStyle name="20% - Énfasis6 5 2" xfId="872"/>
    <cellStyle name="20% - Énfasis6 5 2 2" xfId="873"/>
    <cellStyle name="20% - Énfasis6 5 2 2 2" xfId="4337"/>
    <cellStyle name="20% - Énfasis6 5 2 2 2 2" xfId="8437"/>
    <cellStyle name="20% - Énfasis6 5 2 2 3" xfId="6386"/>
    <cellStyle name="20% - Énfasis6 5 2 3" xfId="874"/>
    <cellStyle name="20% - Énfasis6 5 2 3 2" xfId="4338"/>
    <cellStyle name="20% - Énfasis6 5 2 3 2 2" xfId="8438"/>
    <cellStyle name="20% - Énfasis6 5 2 3 3" xfId="6387"/>
    <cellStyle name="20% - Énfasis6 5 2 4" xfId="4336"/>
    <cellStyle name="20% - Énfasis6 5 2 4 2" xfId="8436"/>
    <cellStyle name="20% - Énfasis6 5 2 5" xfId="6385"/>
    <cellStyle name="20% - Énfasis6 5 3" xfId="875"/>
    <cellStyle name="20% - Énfasis6 5 3 2" xfId="4339"/>
    <cellStyle name="20% - Énfasis6 5 3 2 2" xfId="8439"/>
    <cellStyle name="20% - Énfasis6 5 3 3" xfId="6388"/>
    <cellStyle name="20% - Énfasis6 5 4" xfId="876"/>
    <cellStyle name="20% - Énfasis6 5 4 2" xfId="4340"/>
    <cellStyle name="20% - Énfasis6 5 4 2 2" xfId="8440"/>
    <cellStyle name="20% - Énfasis6 5 4 3" xfId="6389"/>
    <cellStyle name="20% - Énfasis6 5 5" xfId="877"/>
    <cellStyle name="20% - Énfasis6 5 5 2" xfId="4341"/>
    <cellStyle name="20% - Énfasis6 5 5 2 2" xfId="8441"/>
    <cellStyle name="20% - Énfasis6 5 5 3" xfId="6390"/>
    <cellStyle name="20% - Énfasis6 5 6" xfId="878"/>
    <cellStyle name="20% - Énfasis6 5 6 2" xfId="4342"/>
    <cellStyle name="20% - Énfasis6 5 6 2 2" xfId="8442"/>
    <cellStyle name="20% - Énfasis6 5 6 3" xfId="6391"/>
    <cellStyle name="20% - Énfasis6 5 7" xfId="879"/>
    <cellStyle name="20% - Énfasis6 5 7 2" xfId="4343"/>
    <cellStyle name="20% - Énfasis6 5 7 2 2" xfId="8443"/>
    <cellStyle name="20% - Énfasis6 5 7 3" xfId="6392"/>
    <cellStyle name="20% - Énfasis6 5 8" xfId="880"/>
    <cellStyle name="20% - Énfasis6 5 8 2" xfId="4344"/>
    <cellStyle name="20% - Énfasis6 5 8 2 2" xfId="8444"/>
    <cellStyle name="20% - Énfasis6 5 8 3" xfId="6393"/>
    <cellStyle name="20% - Énfasis6 5 9" xfId="4335"/>
    <cellStyle name="20% - Énfasis6 5 9 2" xfId="8435"/>
    <cellStyle name="20% - Énfasis6 6" xfId="9556"/>
    <cellStyle name="40% - Énfasis1" xfId="9517" builtinId="31" customBuiltin="1"/>
    <cellStyle name="40% - Énfasis1 2" xfId="881"/>
    <cellStyle name="40% - Énfasis1 2 10" xfId="882"/>
    <cellStyle name="40% - Énfasis1 2 10 2" xfId="4346"/>
    <cellStyle name="40% - Énfasis1 2 10 2 2" xfId="8446"/>
    <cellStyle name="40% - Énfasis1 2 10 3" xfId="6395"/>
    <cellStyle name="40% - Énfasis1 2 11" xfId="4345"/>
    <cellStyle name="40% - Énfasis1 2 11 2" xfId="8445"/>
    <cellStyle name="40% - Énfasis1 2 12" xfId="6394"/>
    <cellStyle name="40% - Énfasis1 2 2" xfId="883"/>
    <cellStyle name="40% - Énfasis1 2 2 10" xfId="6396"/>
    <cellStyle name="40% - Énfasis1 2 2 2" xfId="884"/>
    <cellStyle name="40% - Énfasis1 2 2 2 2" xfId="885"/>
    <cellStyle name="40% - Énfasis1 2 2 2 2 2" xfId="4349"/>
    <cellStyle name="40% - Énfasis1 2 2 2 2 2 2" xfId="8449"/>
    <cellStyle name="40% - Énfasis1 2 2 2 2 3" xfId="6398"/>
    <cellStyle name="40% - Énfasis1 2 2 2 3" xfId="886"/>
    <cellStyle name="40% - Énfasis1 2 2 2 3 2" xfId="4350"/>
    <cellStyle name="40% - Énfasis1 2 2 2 3 2 2" xfId="8450"/>
    <cellStyle name="40% - Énfasis1 2 2 2 3 3" xfId="6399"/>
    <cellStyle name="40% - Énfasis1 2 2 2 4" xfId="4348"/>
    <cellStyle name="40% - Énfasis1 2 2 2 4 2" xfId="8448"/>
    <cellStyle name="40% - Énfasis1 2 2 2 5" xfId="6397"/>
    <cellStyle name="40% - Énfasis1 2 2 3" xfId="887"/>
    <cellStyle name="40% - Énfasis1 2 2 3 2" xfId="4351"/>
    <cellStyle name="40% - Énfasis1 2 2 3 2 2" xfId="8451"/>
    <cellStyle name="40% - Énfasis1 2 2 3 3" xfId="6400"/>
    <cellStyle name="40% - Énfasis1 2 2 4" xfId="888"/>
    <cellStyle name="40% - Énfasis1 2 2 4 2" xfId="4352"/>
    <cellStyle name="40% - Énfasis1 2 2 4 2 2" xfId="8452"/>
    <cellStyle name="40% - Énfasis1 2 2 4 3" xfId="6401"/>
    <cellStyle name="40% - Énfasis1 2 2 5" xfId="889"/>
    <cellStyle name="40% - Énfasis1 2 2 5 2" xfId="4353"/>
    <cellStyle name="40% - Énfasis1 2 2 5 2 2" xfId="8453"/>
    <cellStyle name="40% - Énfasis1 2 2 5 3" xfId="6402"/>
    <cellStyle name="40% - Énfasis1 2 2 6" xfId="890"/>
    <cellStyle name="40% - Énfasis1 2 2 6 2" xfId="4354"/>
    <cellStyle name="40% - Énfasis1 2 2 6 2 2" xfId="8454"/>
    <cellStyle name="40% - Énfasis1 2 2 6 3" xfId="6403"/>
    <cellStyle name="40% - Énfasis1 2 2 7" xfId="891"/>
    <cellStyle name="40% - Énfasis1 2 2 7 2" xfId="4355"/>
    <cellStyle name="40% - Énfasis1 2 2 7 2 2" xfId="8455"/>
    <cellStyle name="40% - Énfasis1 2 2 7 3" xfId="6404"/>
    <cellStyle name="40% - Énfasis1 2 2 8" xfId="892"/>
    <cellStyle name="40% - Énfasis1 2 2 8 2" xfId="4356"/>
    <cellStyle name="40% - Énfasis1 2 2 8 2 2" xfId="8456"/>
    <cellStyle name="40% - Énfasis1 2 2 8 3" xfId="6405"/>
    <cellStyle name="40% - Énfasis1 2 2 9" xfId="4347"/>
    <cellStyle name="40% - Énfasis1 2 2 9 2" xfId="8447"/>
    <cellStyle name="40% - Énfasis1 2 3" xfId="893"/>
    <cellStyle name="40% - Énfasis1 2 3 10" xfId="6406"/>
    <cellStyle name="40% - Énfasis1 2 3 2" xfId="894"/>
    <cellStyle name="40% - Énfasis1 2 3 2 2" xfId="895"/>
    <cellStyle name="40% - Énfasis1 2 3 2 2 2" xfId="4359"/>
    <cellStyle name="40% - Énfasis1 2 3 2 2 2 2" xfId="8459"/>
    <cellStyle name="40% - Énfasis1 2 3 2 2 3" xfId="6408"/>
    <cellStyle name="40% - Énfasis1 2 3 2 3" xfId="896"/>
    <cellStyle name="40% - Énfasis1 2 3 2 3 2" xfId="4360"/>
    <cellStyle name="40% - Énfasis1 2 3 2 3 2 2" xfId="8460"/>
    <cellStyle name="40% - Énfasis1 2 3 2 3 3" xfId="6409"/>
    <cellStyle name="40% - Énfasis1 2 3 2 4" xfId="4358"/>
    <cellStyle name="40% - Énfasis1 2 3 2 4 2" xfId="8458"/>
    <cellStyle name="40% - Énfasis1 2 3 2 5" xfId="6407"/>
    <cellStyle name="40% - Énfasis1 2 3 3" xfId="897"/>
    <cellStyle name="40% - Énfasis1 2 3 3 2" xfId="4361"/>
    <cellStyle name="40% - Énfasis1 2 3 3 2 2" xfId="8461"/>
    <cellStyle name="40% - Énfasis1 2 3 3 3" xfId="6410"/>
    <cellStyle name="40% - Énfasis1 2 3 4" xfId="898"/>
    <cellStyle name="40% - Énfasis1 2 3 4 2" xfId="4362"/>
    <cellStyle name="40% - Énfasis1 2 3 4 2 2" xfId="8462"/>
    <cellStyle name="40% - Énfasis1 2 3 4 3" xfId="6411"/>
    <cellStyle name="40% - Énfasis1 2 3 5" xfId="899"/>
    <cellStyle name="40% - Énfasis1 2 3 5 2" xfId="4363"/>
    <cellStyle name="40% - Énfasis1 2 3 5 2 2" xfId="8463"/>
    <cellStyle name="40% - Énfasis1 2 3 5 3" xfId="6412"/>
    <cellStyle name="40% - Énfasis1 2 3 6" xfId="900"/>
    <cellStyle name="40% - Énfasis1 2 3 6 2" xfId="4364"/>
    <cellStyle name="40% - Énfasis1 2 3 6 2 2" xfId="8464"/>
    <cellStyle name="40% - Énfasis1 2 3 6 3" xfId="6413"/>
    <cellStyle name="40% - Énfasis1 2 3 7" xfId="901"/>
    <cellStyle name="40% - Énfasis1 2 3 7 2" xfId="4365"/>
    <cellStyle name="40% - Énfasis1 2 3 7 2 2" xfId="8465"/>
    <cellStyle name="40% - Énfasis1 2 3 7 3" xfId="6414"/>
    <cellStyle name="40% - Énfasis1 2 3 8" xfId="902"/>
    <cellStyle name="40% - Énfasis1 2 3 8 2" xfId="4366"/>
    <cellStyle name="40% - Énfasis1 2 3 8 2 2" xfId="8466"/>
    <cellStyle name="40% - Énfasis1 2 3 8 3" xfId="6415"/>
    <cellStyle name="40% - Énfasis1 2 3 9" xfId="4357"/>
    <cellStyle name="40% - Énfasis1 2 3 9 2" xfId="8457"/>
    <cellStyle name="40% - Énfasis1 2 4" xfId="903"/>
    <cellStyle name="40% - Énfasis1 2 4 2" xfId="904"/>
    <cellStyle name="40% - Énfasis1 2 4 2 2" xfId="4368"/>
    <cellStyle name="40% - Énfasis1 2 4 2 2 2" xfId="8468"/>
    <cellStyle name="40% - Énfasis1 2 4 2 3" xfId="6417"/>
    <cellStyle name="40% - Énfasis1 2 4 3" xfId="905"/>
    <cellStyle name="40% - Énfasis1 2 4 3 2" xfId="4369"/>
    <cellStyle name="40% - Énfasis1 2 4 3 2 2" xfId="8469"/>
    <cellStyle name="40% - Énfasis1 2 4 3 3" xfId="6418"/>
    <cellStyle name="40% - Énfasis1 2 4 4" xfId="4367"/>
    <cellStyle name="40% - Énfasis1 2 4 4 2" xfId="8467"/>
    <cellStyle name="40% - Énfasis1 2 4 5" xfId="6416"/>
    <cellStyle name="40% - Énfasis1 2 5" xfId="906"/>
    <cellStyle name="40% - Énfasis1 2 5 2" xfId="4370"/>
    <cellStyle name="40% - Énfasis1 2 5 2 2" xfId="8470"/>
    <cellStyle name="40% - Énfasis1 2 5 3" xfId="6419"/>
    <cellStyle name="40% - Énfasis1 2 6" xfId="907"/>
    <cellStyle name="40% - Énfasis1 2 6 2" xfId="4371"/>
    <cellStyle name="40% - Énfasis1 2 6 2 2" xfId="8471"/>
    <cellStyle name="40% - Énfasis1 2 6 3" xfId="6420"/>
    <cellStyle name="40% - Énfasis1 2 7" xfId="908"/>
    <cellStyle name="40% - Énfasis1 2 7 2" xfId="4372"/>
    <cellStyle name="40% - Énfasis1 2 7 2 2" xfId="8472"/>
    <cellStyle name="40% - Énfasis1 2 7 3" xfId="6421"/>
    <cellStyle name="40% - Énfasis1 2 8" xfId="909"/>
    <cellStyle name="40% - Énfasis1 2 8 2" xfId="4373"/>
    <cellStyle name="40% - Énfasis1 2 8 2 2" xfId="8473"/>
    <cellStyle name="40% - Énfasis1 2 8 3" xfId="6422"/>
    <cellStyle name="40% - Énfasis1 2 9" xfId="910"/>
    <cellStyle name="40% - Énfasis1 2 9 2" xfId="4374"/>
    <cellStyle name="40% - Énfasis1 2 9 2 2" xfId="8474"/>
    <cellStyle name="40% - Énfasis1 2 9 3" xfId="6423"/>
    <cellStyle name="40% - Énfasis1 3" xfId="911"/>
    <cellStyle name="40% - Énfasis1 3 10" xfId="912"/>
    <cellStyle name="40% - Énfasis1 3 10 2" xfId="4376"/>
    <cellStyle name="40% - Énfasis1 3 10 2 2" xfId="8476"/>
    <cellStyle name="40% - Énfasis1 3 10 3" xfId="6425"/>
    <cellStyle name="40% - Énfasis1 3 11" xfId="4375"/>
    <cellStyle name="40% - Énfasis1 3 11 2" xfId="8475"/>
    <cellStyle name="40% - Énfasis1 3 12" xfId="6424"/>
    <cellStyle name="40% - Énfasis1 3 2" xfId="913"/>
    <cellStyle name="40% - Énfasis1 3 2 10" xfId="6426"/>
    <cellStyle name="40% - Énfasis1 3 2 2" xfId="914"/>
    <cellStyle name="40% - Énfasis1 3 2 2 2" xfId="915"/>
    <cellStyle name="40% - Énfasis1 3 2 2 2 2" xfId="4379"/>
    <cellStyle name="40% - Énfasis1 3 2 2 2 2 2" xfId="8479"/>
    <cellStyle name="40% - Énfasis1 3 2 2 2 3" xfId="6428"/>
    <cellStyle name="40% - Énfasis1 3 2 2 3" xfId="916"/>
    <cellStyle name="40% - Énfasis1 3 2 2 3 2" xfId="4380"/>
    <cellStyle name="40% - Énfasis1 3 2 2 3 2 2" xfId="8480"/>
    <cellStyle name="40% - Énfasis1 3 2 2 3 3" xfId="6429"/>
    <cellStyle name="40% - Énfasis1 3 2 2 4" xfId="4378"/>
    <cellStyle name="40% - Énfasis1 3 2 2 4 2" xfId="8478"/>
    <cellStyle name="40% - Énfasis1 3 2 2 5" xfId="6427"/>
    <cellStyle name="40% - Énfasis1 3 2 3" xfId="917"/>
    <cellStyle name="40% - Énfasis1 3 2 3 2" xfId="4381"/>
    <cellStyle name="40% - Énfasis1 3 2 3 2 2" xfId="8481"/>
    <cellStyle name="40% - Énfasis1 3 2 3 3" xfId="6430"/>
    <cellStyle name="40% - Énfasis1 3 2 4" xfId="918"/>
    <cellStyle name="40% - Énfasis1 3 2 4 2" xfId="4382"/>
    <cellStyle name="40% - Énfasis1 3 2 4 2 2" xfId="8482"/>
    <cellStyle name="40% - Énfasis1 3 2 4 3" xfId="6431"/>
    <cellStyle name="40% - Énfasis1 3 2 5" xfId="919"/>
    <cellStyle name="40% - Énfasis1 3 2 5 2" xfId="4383"/>
    <cellStyle name="40% - Énfasis1 3 2 5 2 2" xfId="8483"/>
    <cellStyle name="40% - Énfasis1 3 2 5 3" xfId="6432"/>
    <cellStyle name="40% - Énfasis1 3 2 6" xfId="920"/>
    <cellStyle name="40% - Énfasis1 3 2 6 2" xfId="4384"/>
    <cellStyle name="40% - Énfasis1 3 2 6 2 2" xfId="8484"/>
    <cellStyle name="40% - Énfasis1 3 2 6 3" xfId="6433"/>
    <cellStyle name="40% - Énfasis1 3 2 7" xfId="921"/>
    <cellStyle name="40% - Énfasis1 3 2 7 2" xfId="4385"/>
    <cellStyle name="40% - Énfasis1 3 2 7 2 2" xfId="8485"/>
    <cellStyle name="40% - Énfasis1 3 2 7 3" xfId="6434"/>
    <cellStyle name="40% - Énfasis1 3 2 8" xfId="922"/>
    <cellStyle name="40% - Énfasis1 3 2 8 2" xfId="4386"/>
    <cellStyle name="40% - Énfasis1 3 2 8 2 2" xfId="8486"/>
    <cellStyle name="40% - Énfasis1 3 2 8 3" xfId="6435"/>
    <cellStyle name="40% - Énfasis1 3 2 9" xfId="4377"/>
    <cellStyle name="40% - Énfasis1 3 2 9 2" xfId="8477"/>
    <cellStyle name="40% - Énfasis1 3 3" xfId="923"/>
    <cellStyle name="40% - Énfasis1 3 3 10" xfId="6436"/>
    <cellStyle name="40% - Énfasis1 3 3 2" xfId="924"/>
    <cellStyle name="40% - Énfasis1 3 3 2 2" xfId="925"/>
    <cellStyle name="40% - Énfasis1 3 3 2 2 2" xfId="4389"/>
    <cellStyle name="40% - Énfasis1 3 3 2 2 2 2" xfId="8489"/>
    <cellStyle name="40% - Énfasis1 3 3 2 2 3" xfId="6438"/>
    <cellStyle name="40% - Énfasis1 3 3 2 3" xfId="926"/>
    <cellStyle name="40% - Énfasis1 3 3 2 3 2" xfId="4390"/>
    <cellStyle name="40% - Énfasis1 3 3 2 3 2 2" xfId="8490"/>
    <cellStyle name="40% - Énfasis1 3 3 2 3 3" xfId="6439"/>
    <cellStyle name="40% - Énfasis1 3 3 2 4" xfId="4388"/>
    <cellStyle name="40% - Énfasis1 3 3 2 4 2" xfId="8488"/>
    <cellStyle name="40% - Énfasis1 3 3 2 5" xfId="6437"/>
    <cellStyle name="40% - Énfasis1 3 3 3" xfId="927"/>
    <cellStyle name="40% - Énfasis1 3 3 3 2" xfId="4391"/>
    <cellStyle name="40% - Énfasis1 3 3 3 2 2" xfId="8491"/>
    <cellStyle name="40% - Énfasis1 3 3 3 3" xfId="6440"/>
    <cellStyle name="40% - Énfasis1 3 3 4" xfId="928"/>
    <cellStyle name="40% - Énfasis1 3 3 4 2" xfId="4392"/>
    <cellStyle name="40% - Énfasis1 3 3 4 2 2" xfId="8492"/>
    <cellStyle name="40% - Énfasis1 3 3 4 3" xfId="6441"/>
    <cellStyle name="40% - Énfasis1 3 3 5" xfId="929"/>
    <cellStyle name="40% - Énfasis1 3 3 5 2" xfId="4393"/>
    <cellStyle name="40% - Énfasis1 3 3 5 2 2" xfId="8493"/>
    <cellStyle name="40% - Énfasis1 3 3 5 3" xfId="6442"/>
    <cellStyle name="40% - Énfasis1 3 3 6" xfId="930"/>
    <cellStyle name="40% - Énfasis1 3 3 6 2" xfId="4394"/>
    <cellStyle name="40% - Énfasis1 3 3 6 2 2" xfId="8494"/>
    <cellStyle name="40% - Énfasis1 3 3 6 3" xfId="6443"/>
    <cellStyle name="40% - Énfasis1 3 3 7" xfId="931"/>
    <cellStyle name="40% - Énfasis1 3 3 7 2" xfId="4395"/>
    <cellStyle name="40% - Énfasis1 3 3 7 2 2" xfId="8495"/>
    <cellStyle name="40% - Énfasis1 3 3 7 3" xfId="6444"/>
    <cellStyle name="40% - Énfasis1 3 3 8" xfId="932"/>
    <cellStyle name="40% - Énfasis1 3 3 8 2" xfId="4396"/>
    <cellStyle name="40% - Énfasis1 3 3 8 2 2" xfId="8496"/>
    <cellStyle name="40% - Énfasis1 3 3 8 3" xfId="6445"/>
    <cellStyle name="40% - Énfasis1 3 3 9" xfId="4387"/>
    <cellStyle name="40% - Énfasis1 3 3 9 2" xfId="8487"/>
    <cellStyle name="40% - Énfasis1 3 4" xfId="933"/>
    <cellStyle name="40% - Énfasis1 3 4 2" xfId="934"/>
    <cellStyle name="40% - Énfasis1 3 4 2 2" xfId="4398"/>
    <cellStyle name="40% - Énfasis1 3 4 2 2 2" xfId="8498"/>
    <cellStyle name="40% - Énfasis1 3 4 2 3" xfId="6447"/>
    <cellStyle name="40% - Énfasis1 3 4 3" xfId="935"/>
    <cellStyle name="40% - Énfasis1 3 4 3 2" xfId="4399"/>
    <cellStyle name="40% - Énfasis1 3 4 3 2 2" xfId="8499"/>
    <cellStyle name="40% - Énfasis1 3 4 3 3" xfId="6448"/>
    <cellStyle name="40% - Énfasis1 3 4 4" xfId="4397"/>
    <cellStyle name="40% - Énfasis1 3 4 4 2" xfId="8497"/>
    <cellStyle name="40% - Énfasis1 3 4 5" xfId="6446"/>
    <cellStyle name="40% - Énfasis1 3 5" xfId="936"/>
    <cellStyle name="40% - Énfasis1 3 5 2" xfId="4400"/>
    <cellStyle name="40% - Énfasis1 3 5 2 2" xfId="8500"/>
    <cellStyle name="40% - Énfasis1 3 5 3" xfId="6449"/>
    <cellStyle name="40% - Énfasis1 3 6" xfId="937"/>
    <cellStyle name="40% - Énfasis1 3 6 2" xfId="4401"/>
    <cellStyle name="40% - Énfasis1 3 6 2 2" xfId="8501"/>
    <cellStyle name="40% - Énfasis1 3 6 3" xfId="6450"/>
    <cellStyle name="40% - Énfasis1 3 7" xfId="938"/>
    <cellStyle name="40% - Énfasis1 3 7 2" xfId="4402"/>
    <cellStyle name="40% - Énfasis1 3 7 2 2" xfId="8502"/>
    <cellStyle name="40% - Énfasis1 3 7 3" xfId="6451"/>
    <cellStyle name="40% - Énfasis1 3 8" xfId="939"/>
    <cellStyle name="40% - Énfasis1 3 8 2" xfId="4403"/>
    <cellStyle name="40% - Énfasis1 3 8 2 2" xfId="8503"/>
    <cellStyle name="40% - Énfasis1 3 8 3" xfId="6452"/>
    <cellStyle name="40% - Énfasis1 3 9" xfId="940"/>
    <cellStyle name="40% - Énfasis1 3 9 2" xfId="4404"/>
    <cellStyle name="40% - Énfasis1 3 9 2 2" xfId="8504"/>
    <cellStyle name="40% - Énfasis1 3 9 3" xfId="6453"/>
    <cellStyle name="40% - Énfasis1 4" xfId="941"/>
    <cellStyle name="40% - Énfasis1 4 10" xfId="6454"/>
    <cellStyle name="40% - Énfasis1 4 2" xfId="942"/>
    <cellStyle name="40% - Énfasis1 4 2 2" xfId="943"/>
    <cellStyle name="40% - Énfasis1 4 2 2 2" xfId="4407"/>
    <cellStyle name="40% - Énfasis1 4 2 2 2 2" xfId="8507"/>
    <cellStyle name="40% - Énfasis1 4 2 2 3" xfId="6456"/>
    <cellStyle name="40% - Énfasis1 4 2 3" xfId="944"/>
    <cellStyle name="40% - Énfasis1 4 2 3 2" xfId="4408"/>
    <cellStyle name="40% - Énfasis1 4 2 3 2 2" xfId="8508"/>
    <cellStyle name="40% - Énfasis1 4 2 3 3" xfId="6457"/>
    <cellStyle name="40% - Énfasis1 4 2 4" xfId="4406"/>
    <cellStyle name="40% - Énfasis1 4 2 4 2" xfId="8506"/>
    <cellStyle name="40% - Énfasis1 4 2 5" xfId="6455"/>
    <cellStyle name="40% - Énfasis1 4 3" xfId="945"/>
    <cellStyle name="40% - Énfasis1 4 3 2" xfId="4409"/>
    <cellStyle name="40% - Énfasis1 4 3 2 2" xfId="8509"/>
    <cellStyle name="40% - Énfasis1 4 3 3" xfId="6458"/>
    <cellStyle name="40% - Énfasis1 4 4" xfId="946"/>
    <cellStyle name="40% - Énfasis1 4 4 2" xfId="4410"/>
    <cellStyle name="40% - Énfasis1 4 4 2 2" xfId="8510"/>
    <cellStyle name="40% - Énfasis1 4 4 3" xfId="6459"/>
    <cellStyle name="40% - Énfasis1 4 5" xfId="947"/>
    <cellStyle name="40% - Énfasis1 4 5 2" xfId="4411"/>
    <cellStyle name="40% - Énfasis1 4 5 2 2" xfId="8511"/>
    <cellStyle name="40% - Énfasis1 4 5 3" xfId="6460"/>
    <cellStyle name="40% - Énfasis1 4 6" xfId="948"/>
    <cellStyle name="40% - Énfasis1 4 6 2" xfId="4412"/>
    <cellStyle name="40% - Énfasis1 4 6 2 2" xfId="8512"/>
    <cellStyle name="40% - Énfasis1 4 6 3" xfId="6461"/>
    <cellStyle name="40% - Énfasis1 4 7" xfId="949"/>
    <cellStyle name="40% - Énfasis1 4 7 2" xfId="4413"/>
    <cellStyle name="40% - Énfasis1 4 7 2 2" xfId="8513"/>
    <cellStyle name="40% - Énfasis1 4 7 3" xfId="6462"/>
    <cellStyle name="40% - Énfasis1 4 8" xfId="950"/>
    <cellStyle name="40% - Énfasis1 4 8 2" xfId="4414"/>
    <cellStyle name="40% - Énfasis1 4 8 2 2" xfId="8514"/>
    <cellStyle name="40% - Énfasis1 4 8 3" xfId="6463"/>
    <cellStyle name="40% - Énfasis1 4 9" xfId="4405"/>
    <cellStyle name="40% - Énfasis1 4 9 2" xfId="8505"/>
    <cellStyle name="40% - Énfasis1 5" xfId="951"/>
    <cellStyle name="40% - Énfasis1 5 10" xfId="6464"/>
    <cellStyle name="40% - Énfasis1 5 2" xfId="952"/>
    <cellStyle name="40% - Énfasis1 5 2 2" xfId="953"/>
    <cellStyle name="40% - Énfasis1 5 2 2 2" xfId="4417"/>
    <cellStyle name="40% - Énfasis1 5 2 2 2 2" xfId="8517"/>
    <cellStyle name="40% - Énfasis1 5 2 2 3" xfId="6466"/>
    <cellStyle name="40% - Énfasis1 5 2 3" xfId="954"/>
    <cellStyle name="40% - Énfasis1 5 2 3 2" xfId="4418"/>
    <cellStyle name="40% - Énfasis1 5 2 3 2 2" xfId="8518"/>
    <cellStyle name="40% - Énfasis1 5 2 3 3" xfId="6467"/>
    <cellStyle name="40% - Énfasis1 5 2 4" xfId="4416"/>
    <cellStyle name="40% - Énfasis1 5 2 4 2" xfId="8516"/>
    <cellStyle name="40% - Énfasis1 5 2 5" xfId="6465"/>
    <cellStyle name="40% - Énfasis1 5 3" xfId="955"/>
    <cellStyle name="40% - Énfasis1 5 3 2" xfId="4419"/>
    <cellStyle name="40% - Énfasis1 5 3 2 2" xfId="8519"/>
    <cellStyle name="40% - Énfasis1 5 3 3" xfId="6468"/>
    <cellStyle name="40% - Énfasis1 5 4" xfId="956"/>
    <cellStyle name="40% - Énfasis1 5 4 2" xfId="4420"/>
    <cellStyle name="40% - Énfasis1 5 4 2 2" xfId="8520"/>
    <cellStyle name="40% - Énfasis1 5 4 3" xfId="6469"/>
    <cellStyle name="40% - Énfasis1 5 5" xfId="957"/>
    <cellStyle name="40% - Énfasis1 5 5 2" xfId="4421"/>
    <cellStyle name="40% - Énfasis1 5 5 2 2" xfId="8521"/>
    <cellStyle name="40% - Énfasis1 5 5 3" xfId="6470"/>
    <cellStyle name="40% - Énfasis1 5 6" xfId="958"/>
    <cellStyle name="40% - Énfasis1 5 6 2" xfId="4422"/>
    <cellStyle name="40% - Énfasis1 5 6 2 2" xfId="8522"/>
    <cellStyle name="40% - Énfasis1 5 6 3" xfId="6471"/>
    <cellStyle name="40% - Énfasis1 5 7" xfId="959"/>
    <cellStyle name="40% - Énfasis1 5 7 2" xfId="4423"/>
    <cellStyle name="40% - Énfasis1 5 7 2 2" xfId="8523"/>
    <cellStyle name="40% - Énfasis1 5 7 3" xfId="6472"/>
    <cellStyle name="40% - Énfasis1 5 8" xfId="960"/>
    <cellStyle name="40% - Énfasis1 5 8 2" xfId="4424"/>
    <cellStyle name="40% - Énfasis1 5 8 2 2" xfId="8524"/>
    <cellStyle name="40% - Énfasis1 5 8 3" xfId="6473"/>
    <cellStyle name="40% - Énfasis1 5 9" xfId="4415"/>
    <cellStyle name="40% - Énfasis1 5 9 2" xfId="8515"/>
    <cellStyle name="40% - Énfasis1 6" xfId="9547"/>
    <cellStyle name="40% - Énfasis2" xfId="9521" builtinId="35" customBuiltin="1"/>
    <cellStyle name="40% - Énfasis2 2" xfId="961"/>
    <cellStyle name="40% - Énfasis2 2 10" xfId="962"/>
    <cellStyle name="40% - Énfasis2 2 10 2" xfId="963"/>
    <cellStyle name="40% - Énfasis2 2 10 2 2" xfId="4427"/>
    <cellStyle name="40% - Énfasis2 2 10 2 2 2" xfId="8527"/>
    <cellStyle name="40% - Énfasis2 2 10 2 3" xfId="6476"/>
    <cellStyle name="40% - Énfasis2 2 10 3" xfId="4426"/>
    <cellStyle name="40% - Énfasis2 2 10 3 2" xfId="8526"/>
    <cellStyle name="40% - Énfasis2 2 10 4" xfId="6475"/>
    <cellStyle name="40% - Énfasis2 2 11" xfId="964"/>
    <cellStyle name="40% - Énfasis2 2 11 2" xfId="4428"/>
    <cellStyle name="40% - Énfasis2 2 11 2 2" xfId="8528"/>
    <cellStyle name="40% - Énfasis2 2 11 3" xfId="6477"/>
    <cellStyle name="40% - Énfasis2 2 12" xfId="4425"/>
    <cellStyle name="40% - Énfasis2 2 12 2" xfId="8525"/>
    <cellStyle name="40% - Énfasis2 2 13" xfId="6474"/>
    <cellStyle name="40% - Énfasis2 2 2" xfId="965"/>
    <cellStyle name="40% - Énfasis2 2 2 10" xfId="4429"/>
    <cellStyle name="40% - Énfasis2 2 2 10 2" xfId="8529"/>
    <cellStyle name="40% - Énfasis2 2 2 11" xfId="6478"/>
    <cellStyle name="40% - Énfasis2 2 2 2" xfId="966"/>
    <cellStyle name="40% - Énfasis2 2 2 2 2" xfId="967"/>
    <cellStyle name="40% - Énfasis2 2 2 2 2 2" xfId="968"/>
    <cellStyle name="40% - Énfasis2 2 2 2 2 2 2" xfId="4432"/>
    <cellStyle name="40% - Énfasis2 2 2 2 2 2 2 2" xfId="8532"/>
    <cellStyle name="40% - Énfasis2 2 2 2 2 2 3" xfId="6481"/>
    <cellStyle name="40% - Énfasis2 2 2 2 2 3" xfId="4431"/>
    <cellStyle name="40% - Énfasis2 2 2 2 2 3 2" xfId="8531"/>
    <cellStyle name="40% - Énfasis2 2 2 2 2 4" xfId="6480"/>
    <cellStyle name="40% - Énfasis2 2 2 2 3" xfId="969"/>
    <cellStyle name="40% - Énfasis2 2 2 2 3 2" xfId="970"/>
    <cellStyle name="40% - Énfasis2 2 2 2 3 2 2" xfId="4434"/>
    <cellStyle name="40% - Énfasis2 2 2 2 3 2 2 2" xfId="8534"/>
    <cellStyle name="40% - Énfasis2 2 2 2 3 2 3" xfId="6483"/>
    <cellStyle name="40% - Énfasis2 2 2 2 3 3" xfId="4433"/>
    <cellStyle name="40% - Énfasis2 2 2 2 3 3 2" xfId="8533"/>
    <cellStyle name="40% - Énfasis2 2 2 2 3 4" xfId="6482"/>
    <cellStyle name="40% - Énfasis2 2 2 2 4" xfId="971"/>
    <cellStyle name="40% - Énfasis2 2 2 2 4 2" xfId="4435"/>
    <cellStyle name="40% - Énfasis2 2 2 2 4 2 2" xfId="8535"/>
    <cellStyle name="40% - Énfasis2 2 2 2 4 3" xfId="6484"/>
    <cellStyle name="40% - Énfasis2 2 2 2 5" xfId="4430"/>
    <cellStyle name="40% - Énfasis2 2 2 2 5 2" xfId="8530"/>
    <cellStyle name="40% - Énfasis2 2 2 2 6" xfId="6479"/>
    <cellStyle name="40% - Énfasis2 2 2 3" xfId="972"/>
    <cellStyle name="40% - Énfasis2 2 2 3 2" xfId="973"/>
    <cellStyle name="40% - Énfasis2 2 2 3 2 2" xfId="4437"/>
    <cellStyle name="40% - Énfasis2 2 2 3 2 2 2" xfId="8537"/>
    <cellStyle name="40% - Énfasis2 2 2 3 2 3" xfId="6486"/>
    <cellStyle name="40% - Énfasis2 2 2 3 3" xfId="4436"/>
    <cellStyle name="40% - Énfasis2 2 2 3 3 2" xfId="8536"/>
    <cellStyle name="40% - Énfasis2 2 2 3 4" xfId="6485"/>
    <cellStyle name="40% - Énfasis2 2 2 4" xfId="974"/>
    <cellStyle name="40% - Énfasis2 2 2 4 2" xfId="975"/>
    <cellStyle name="40% - Énfasis2 2 2 4 2 2" xfId="4439"/>
    <cellStyle name="40% - Énfasis2 2 2 4 2 2 2" xfId="8539"/>
    <cellStyle name="40% - Énfasis2 2 2 4 2 3" xfId="6488"/>
    <cellStyle name="40% - Énfasis2 2 2 4 3" xfId="4438"/>
    <cellStyle name="40% - Énfasis2 2 2 4 3 2" xfId="8538"/>
    <cellStyle name="40% - Énfasis2 2 2 4 4" xfId="6487"/>
    <cellStyle name="40% - Énfasis2 2 2 5" xfId="976"/>
    <cellStyle name="40% - Énfasis2 2 2 5 2" xfId="977"/>
    <cellStyle name="40% - Énfasis2 2 2 5 2 2" xfId="4441"/>
    <cellStyle name="40% - Énfasis2 2 2 5 2 2 2" xfId="8541"/>
    <cellStyle name="40% - Énfasis2 2 2 5 2 3" xfId="6490"/>
    <cellStyle name="40% - Énfasis2 2 2 5 3" xfId="4440"/>
    <cellStyle name="40% - Énfasis2 2 2 5 3 2" xfId="8540"/>
    <cellStyle name="40% - Énfasis2 2 2 5 4" xfId="6489"/>
    <cellStyle name="40% - Énfasis2 2 2 6" xfId="978"/>
    <cellStyle name="40% - Énfasis2 2 2 6 2" xfId="979"/>
    <cellStyle name="40% - Énfasis2 2 2 6 2 2" xfId="4443"/>
    <cellStyle name="40% - Énfasis2 2 2 6 2 2 2" xfId="8543"/>
    <cellStyle name="40% - Énfasis2 2 2 6 2 3" xfId="6492"/>
    <cellStyle name="40% - Énfasis2 2 2 6 3" xfId="4442"/>
    <cellStyle name="40% - Énfasis2 2 2 6 3 2" xfId="8542"/>
    <cellStyle name="40% - Énfasis2 2 2 6 4" xfId="6491"/>
    <cellStyle name="40% - Énfasis2 2 2 7" xfId="980"/>
    <cellStyle name="40% - Énfasis2 2 2 7 2" xfId="981"/>
    <cellStyle name="40% - Énfasis2 2 2 7 2 2" xfId="4445"/>
    <cellStyle name="40% - Énfasis2 2 2 7 2 2 2" xfId="8545"/>
    <cellStyle name="40% - Énfasis2 2 2 7 2 3" xfId="6494"/>
    <cellStyle name="40% - Énfasis2 2 2 7 3" xfId="4444"/>
    <cellStyle name="40% - Énfasis2 2 2 7 3 2" xfId="8544"/>
    <cellStyle name="40% - Énfasis2 2 2 7 4" xfId="6493"/>
    <cellStyle name="40% - Énfasis2 2 2 8" xfId="982"/>
    <cellStyle name="40% - Énfasis2 2 2 8 2" xfId="983"/>
    <cellStyle name="40% - Énfasis2 2 2 8 2 2" xfId="4447"/>
    <cellStyle name="40% - Énfasis2 2 2 8 2 2 2" xfId="8547"/>
    <cellStyle name="40% - Énfasis2 2 2 8 2 3" xfId="6496"/>
    <cellStyle name="40% - Énfasis2 2 2 8 3" xfId="4446"/>
    <cellStyle name="40% - Énfasis2 2 2 8 3 2" xfId="8546"/>
    <cellStyle name="40% - Énfasis2 2 2 8 4" xfId="6495"/>
    <cellStyle name="40% - Énfasis2 2 2 9" xfId="984"/>
    <cellStyle name="40% - Énfasis2 2 2 9 2" xfId="4448"/>
    <cellStyle name="40% - Énfasis2 2 2 9 2 2" xfId="8548"/>
    <cellStyle name="40% - Énfasis2 2 2 9 3" xfId="6497"/>
    <cellStyle name="40% - Énfasis2 2 3" xfId="985"/>
    <cellStyle name="40% - Énfasis2 2 3 10" xfId="4449"/>
    <cellStyle name="40% - Énfasis2 2 3 10 2" xfId="8549"/>
    <cellStyle name="40% - Énfasis2 2 3 11" xfId="6498"/>
    <cellStyle name="40% - Énfasis2 2 3 2" xfId="986"/>
    <cellStyle name="40% - Énfasis2 2 3 2 2" xfId="987"/>
    <cellStyle name="40% - Énfasis2 2 3 2 2 2" xfId="988"/>
    <cellStyle name="40% - Énfasis2 2 3 2 2 2 2" xfId="4452"/>
    <cellStyle name="40% - Énfasis2 2 3 2 2 2 2 2" xfId="8552"/>
    <cellStyle name="40% - Énfasis2 2 3 2 2 2 3" xfId="6501"/>
    <cellStyle name="40% - Énfasis2 2 3 2 2 3" xfId="4451"/>
    <cellStyle name="40% - Énfasis2 2 3 2 2 3 2" xfId="8551"/>
    <cellStyle name="40% - Énfasis2 2 3 2 2 4" xfId="6500"/>
    <cellStyle name="40% - Énfasis2 2 3 2 3" xfId="989"/>
    <cellStyle name="40% - Énfasis2 2 3 2 3 2" xfId="990"/>
    <cellStyle name="40% - Énfasis2 2 3 2 3 2 2" xfId="4454"/>
    <cellStyle name="40% - Énfasis2 2 3 2 3 2 2 2" xfId="8554"/>
    <cellStyle name="40% - Énfasis2 2 3 2 3 2 3" xfId="6503"/>
    <cellStyle name="40% - Énfasis2 2 3 2 3 3" xfId="4453"/>
    <cellStyle name="40% - Énfasis2 2 3 2 3 3 2" xfId="8553"/>
    <cellStyle name="40% - Énfasis2 2 3 2 3 4" xfId="6502"/>
    <cellStyle name="40% - Énfasis2 2 3 2 4" xfId="991"/>
    <cellStyle name="40% - Énfasis2 2 3 2 4 2" xfId="4455"/>
    <cellStyle name="40% - Énfasis2 2 3 2 4 2 2" xfId="8555"/>
    <cellStyle name="40% - Énfasis2 2 3 2 4 3" xfId="6504"/>
    <cellStyle name="40% - Énfasis2 2 3 2 5" xfId="4450"/>
    <cellStyle name="40% - Énfasis2 2 3 2 5 2" xfId="8550"/>
    <cellStyle name="40% - Énfasis2 2 3 2 6" xfId="6499"/>
    <cellStyle name="40% - Énfasis2 2 3 3" xfId="992"/>
    <cellStyle name="40% - Énfasis2 2 3 3 2" xfId="993"/>
    <cellStyle name="40% - Énfasis2 2 3 3 2 2" xfId="4457"/>
    <cellStyle name="40% - Énfasis2 2 3 3 2 2 2" xfId="8557"/>
    <cellStyle name="40% - Énfasis2 2 3 3 2 3" xfId="6506"/>
    <cellStyle name="40% - Énfasis2 2 3 3 3" xfId="4456"/>
    <cellStyle name="40% - Énfasis2 2 3 3 3 2" xfId="8556"/>
    <cellStyle name="40% - Énfasis2 2 3 3 4" xfId="6505"/>
    <cellStyle name="40% - Énfasis2 2 3 4" xfId="994"/>
    <cellStyle name="40% - Énfasis2 2 3 4 2" xfId="995"/>
    <cellStyle name="40% - Énfasis2 2 3 4 2 2" xfId="4459"/>
    <cellStyle name="40% - Énfasis2 2 3 4 2 2 2" xfId="8559"/>
    <cellStyle name="40% - Énfasis2 2 3 4 2 3" xfId="6508"/>
    <cellStyle name="40% - Énfasis2 2 3 4 3" xfId="4458"/>
    <cellStyle name="40% - Énfasis2 2 3 4 3 2" xfId="8558"/>
    <cellStyle name="40% - Énfasis2 2 3 4 4" xfId="6507"/>
    <cellStyle name="40% - Énfasis2 2 3 5" xfId="996"/>
    <cellStyle name="40% - Énfasis2 2 3 5 2" xfId="997"/>
    <cellStyle name="40% - Énfasis2 2 3 5 2 2" xfId="4461"/>
    <cellStyle name="40% - Énfasis2 2 3 5 2 2 2" xfId="8561"/>
    <cellStyle name="40% - Énfasis2 2 3 5 2 3" xfId="6510"/>
    <cellStyle name="40% - Énfasis2 2 3 5 3" xfId="4460"/>
    <cellStyle name="40% - Énfasis2 2 3 5 3 2" xfId="8560"/>
    <cellStyle name="40% - Énfasis2 2 3 5 4" xfId="6509"/>
    <cellStyle name="40% - Énfasis2 2 3 6" xfId="998"/>
    <cellStyle name="40% - Énfasis2 2 3 6 2" xfId="999"/>
    <cellStyle name="40% - Énfasis2 2 3 6 2 2" xfId="4463"/>
    <cellStyle name="40% - Énfasis2 2 3 6 2 2 2" xfId="8563"/>
    <cellStyle name="40% - Énfasis2 2 3 6 2 3" xfId="6512"/>
    <cellStyle name="40% - Énfasis2 2 3 6 3" xfId="4462"/>
    <cellStyle name="40% - Énfasis2 2 3 6 3 2" xfId="8562"/>
    <cellStyle name="40% - Énfasis2 2 3 6 4" xfId="6511"/>
    <cellStyle name="40% - Énfasis2 2 3 7" xfId="1000"/>
    <cellStyle name="40% - Énfasis2 2 3 7 2" xfId="1001"/>
    <cellStyle name="40% - Énfasis2 2 3 7 2 2" xfId="4465"/>
    <cellStyle name="40% - Énfasis2 2 3 7 2 2 2" xfId="8565"/>
    <cellStyle name="40% - Énfasis2 2 3 7 2 3" xfId="6514"/>
    <cellStyle name="40% - Énfasis2 2 3 7 3" xfId="4464"/>
    <cellStyle name="40% - Énfasis2 2 3 7 3 2" xfId="8564"/>
    <cellStyle name="40% - Énfasis2 2 3 7 4" xfId="6513"/>
    <cellStyle name="40% - Énfasis2 2 3 8" xfId="1002"/>
    <cellStyle name="40% - Énfasis2 2 3 8 2" xfId="1003"/>
    <cellStyle name="40% - Énfasis2 2 3 8 2 2" xfId="4467"/>
    <cellStyle name="40% - Énfasis2 2 3 8 2 2 2" xfId="8567"/>
    <cellStyle name="40% - Énfasis2 2 3 8 2 3" xfId="6516"/>
    <cellStyle name="40% - Énfasis2 2 3 8 3" xfId="4466"/>
    <cellStyle name="40% - Énfasis2 2 3 8 3 2" xfId="8566"/>
    <cellStyle name="40% - Énfasis2 2 3 8 4" xfId="6515"/>
    <cellStyle name="40% - Énfasis2 2 3 9" xfId="1004"/>
    <cellStyle name="40% - Énfasis2 2 3 9 2" xfId="4468"/>
    <cellStyle name="40% - Énfasis2 2 3 9 2 2" xfId="8568"/>
    <cellStyle name="40% - Énfasis2 2 3 9 3" xfId="6517"/>
    <cellStyle name="40% - Énfasis2 2 4" xfId="1005"/>
    <cellStyle name="40% - Énfasis2 2 4 2" xfId="1006"/>
    <cellStyle name="40% - Énfasis2 2 4 2 2" xfId="1007"/>
    <cellStyle name="40% - Énfasis2 2 4 2 2 2" xfId="4471"/>
    <cellStyle name="40% - Énfasis2 2 4 2 2 2 2" xfId="8571"/>
    <cellStyle name="40% - Énfasis2 2 4 2 2 3" xfId="6520"/>
    <cellStyle name="40% - Énfasis2 2 4 2 3" xfId="4470"/>
    <cellStyle name="40% - Énfasis2 2 4 2 3 2" xfId="8570"/>
    <cellStyle name="40% - Énfasis2 2 4 2 4" xfId="6519"/>
    <cellStyle name="40% - Énfasis2 2 4 3" xfId="1008"/>
    <cellStyle name="40% - Énfasis2 2 4 3 2" xfId="1009"/>
    <cellStyle name="40% - Énfasis2 2 4 3 2 2" xfId="4473"/>
    <cellStyle name="40% - Énfasis2 2 4 3 2 2 2" xfId="8573"/>
    <cellStyle name="40% - Énfasis2 2 4 3 2 3" xfId="6522"/>
    <cellStyle name="40% - Énfasis2 2 4 3 3" xfId="4472"/>
    <cellStyle name="40% - Énfasis2 2 4 3 3 2" xfId="8572"/>
    <cellStyle name="40% - Énfasis2 2 4 3 4" xfId="6521"/>
    <cellStyle name="40% - Énfasis2 2 4 4" xfId="1010"/>
    <cellStyle name="40% - Énfasis2 2 4 4 2" xfId="4474"/>
    <cellStyle name="40% - Énfasis2 2 4 4 2 2" xfId="8574"/>
    <cellStyle name="40% - Énfasis2 2 4 4 3" xfId="6523"/>
    <cellStyle name="40% - Énfasis2 2 4 5" xfId="4469"/>
    <cellStyle name="40% - Énfasis2 2 4 5 2" xfId="8569"/>
    <cellStyle name="40% - Énfasis2 2 4 6" xfId="6518"/>
    <cellStyle name="40% - Énfasis2 2 5" xfId="1011"/>
    <cellStyle name="40% - Énfasis2 2 5 2" xfId="1012"/>
    <cellStyle name="40% - Énfasis2 2 5 2 2" xfId="4476"/>
    <cellStyle name="40% - Énfasis2 2 5 2 2 2" xfId="8576"/>
    <cellStyle name="40% - Énfasis2 2 5 2 3" xfId="6525"/>
    <cellStyle name="40% - Énfasis2 2 5 3" xfId="4475"/>
    <cellStyle name="40% - Énfasis2 2 5 3 2" xfId="8575"/>
    <cellStyle name="40% - Énfasis2 2 5 4" xfId="6524"/>
    <cellStyle name="40% - Énfasis2 2 6" xfId="1013"/>
    <cellStyle name="40% - Énfasis2 2 6 2" xfId="1014"/>
    <cellStyle name="40% - Énfasis2 2 6 2 2" xfId="4478"/>
    <cellStyle name="40% - Énfasis2 2 6 2 2 2" xfId="8578"/>
    <cellStyle name="40% - Énfasis2 2 6 2 3" xfId="6527"/>
    <cellStyle name="40% - Énfasis2 2 6 3" xfId="4477"/>
    <cellStyle name="40% - Énfasis2 2 6 3 2" xfId="8577"/>
    <cellStyle name="40% - Énfasis2 2 6 4" xfId="6526"/>
    <cellStyle name="40% - Énfasis2 2 7" xfId="1015"/>
    <cellStyle name="40% - Énfasis2 2 7 2" xfId="1016"/>
    <cellStyle name="40% - Énfasis2 2 7 2 2" xfId="4480"/>
    <cellStyle name="40% - Énfasis2 2 7 2 2 2" xfId="8580"/>
    <cellStyle name="40% - Énfasis2 2 7 2 3" xfId="6529"/>
    <cellStyle name="40% - Énfasis2 2 7 3" xfId="4479"/>
    <cellStyle name="40% - Énfasis2 2 7 3 2" xfId="8579"/>
    <cellStyle name="40% - Énfasis2 2 7 4" xfId="6528"/>
    <cellStyle name="40% - Énfasis2 2 8" xfId="1017"/>
    <cellStyle name="40% - Énfasis2 2 8 2" xfId="1018"/>
    <cellStyle name="40% - Énfasis2 2 8 2 2" xfId="4482"/>
    <cellStyle name="40% - Énfasis2 2 8 2 2 2" xfId="8582"/>
    <cellStyle name="40% - Énfasis2 2 8 2 3" xfId="6531"/>
    <cellStyle name="40% - Énfasis2 2 8 3" xfId="4481"/>
    <cellStyle name="40% - Énfasis2 2 8 3 2" xfId="8581"/>
    <cellStyle name="40% - Énfasis2 2 8 4" xfId="6530"/>
    <cellStyle name="40% - Énfasis2 2 9" xfId="1019"/>
    <cellStyle name="40% - Énfasis2 2 9 2" xfId="1020"/>
    <cellStyle name="40% - Énfasis2 2 9 2 2" xfId="4484"/>
    <cellStyle name="40% - Énfasis2 2 9 2 2 2" xfId="8584"/>
    <cellStyle name="40% - Énfasis2 2 9 2 3" xfId="6533"/>
    <cellStyle name="40% - Énfasis2 2 9 3" xfId="4483"/>
    <cellStyle name="40% - Énfasis2 2 9 3 2" xfId="8583"/>
    <cellStyle name="40% - Énfasis2 2 9 4" xfId="6532"/>
    <cellStyle name="40% - Énfasis2 3" xfId="1021"/>
    <cellStyle name="40% - Énfasis2 3 10" xfId="1022"/>
    <cellStyle name="40% - Énfasis2 3 10 2" xfId="1023"/>
    <cellStyle name="40% - Énfasis2 3 10 2 2" xfId="4487"/>
    <cellStyle name="40% - Énfasis2 3 10 2 2 2" xfId="8587"/>
    <cellStyle name="40% - Énfasis2 3 10 2 3" xfId="6536"/>
    <cellStyle name="40% - Énfasis2 3 10 3" xfId="4486"/>
    <cellStyle name="40% - Énfasis2 3 10 3 2" xfId="8586"/>
    <cellStyle name="40% - Énfasis2 3 10 4" xfId="6535"/>
    <cellStyle name="40% - Énfasis2 3 11" xfId="1024"/>
    <cellStyle name="40% - Énfasis2 3 11 2" xfId="4488"/>
    <cellStyle name="40% - Énfasis2 3 11 2 2" xfId="8588"/>
    <cellStyle name="40% - Énfasis2 3 11 3" xfId="6537"/>
    <cellStyle name="40% - Énfasis2 3 12" xfId="4485"/>
    <cellStyle name="40% - Énfasis2 3 12 2" xfId="8585"/>
    <cellStyle name="40% - Énfasis2 3 13" xfId="6534"/>
    <cellStyle name="40% - Énfasis2 3 2" xfId="1025"/>
    <cellStyle name="40% - Énfasis2 3 2 10" xfId="4489"/>
    <cellStyle name="40% - Énfasis2 3 2 10 2" xfId="8589"/>
    <cellStyle name="40% - Énfasis2 3 2 11" xfId="6538"/>
    <cellStyle name="40% - Énfasis2 3 2 2" xfId="1026"/>
    <cellStyle name="40% - Énfasis2 3 2 2 2" xfId="1027"/>
    <cellStyle name="40% - Énfasis2 3 2 2 2 2" xfId="1028"/>
    <cellStyle name="40% - Énfasis2 3 2 2 2 2 2" xfId="4492"/>
    <cellStyle name="40% - Énfasis2 3 2 2 2 2 2 2" xfId="8592"/>
    <cellStyle name="40% - Énfasis2 3 2 2 2 2 3" xfId="6541"/>
    <cellStyle name="40% - Énfasis2 3 2 2 2 3" xfId="4491"/>
    <cellStyle name="40% - Énfasis2 3 2 2 2 3 2" xfId="8591"/>
    <cellStyle name="40% - Énfasis2 3 2 2 2 4" xfId="6540"/>
    <cellStyle name="40% - Énfasis2 3 2 2 3" xfId="1029"/>
    <cellStyle name="40% - Énfasis2 3 2 2 3 2" xfId="1030"/>
    <cellStyle name="40% - Énfasis2 3 2 2 3 2 2" xfId="4494"/>
    <cellStyle name="40% - Énfasis2 3 2 2 3 2 2 2" xfId="8594"/>
    <cellStyle name="40% - Énfasis2 3 2 2 3 2 3" xfId="6543"/>
    <cellStyle name="40% - Énfasis2 3 2 2 3 3" xfId="4493"/>
    <cellStyle name="40% - Énfasis2 3 2 2 3 3 2" xfId="8593"/>
    <cellStyle name="40% - Énfasis2 3 2 2 3 4" xfId="6542"/>
    <cellStyle name="40% - Énfasis2 3 2 2 4" xfId="1031"/>
    <cellStyle name="40% - Énfasis2 3 2 2 4 2" xfId="4495"/>
    <cellStyle name="40% - Énfasis2 3 2 2 4 2 2" xfId="8595"/>
    <cellStyle name="40% - Énfasis2 3 2 2 4 3" xfId="6544"/>
    <cellStyle name="40% - Énfasis2 3 2 2 5" xfId="4490"/>
    <cellStyle name="40% - Énfasis2 3 2 2 5 2" xfId="8590"/>
    <cellStyle name="40% - Énfasis2 3 2 2 6" xfId="6539"/>
    <cellStyle name="40% - Énfasis2 3 2 3" xfId="1032"/>
    <cellStyle name="40% - Énfasis2 3 2 3 2" xfId="1033"/>
    <cellStyle name="40% - Énfasis2 3 2 3 2 2" xfId="4497"/>
    <cellStyle name="40% - Énfasis2 3 2 3 2 2 2" xfId="8597"/>
    <cellStyle name="40% - Énfasis2 3 2 3 2 3" xfId="6546"/>
    <cellStyle name="40% - Énfasis2 3 2 3 3" xfId="4496"/>
    <cellStyle name="40% - Énfasis2 3 2 3 3 2" xfId="8596"/>
    <cellStyle name="40% - Énfasis2 3 2 3 4" xfId="6545"/>
    <cellStyle name="40% - Énfasis2 3 2 4" xfId="1034"/>
    <cellStyle name="40% - Énfasis2 3 2 4 2" xfId="1035"/>
    <cellStyle name="40% - Énfasis2 3 2 4 2 2" xfId="4499"/>
    <cellStyle name="40% - Énfasis2 3 2 4 2 2 2" xfId="8599"/>
    <cellStyle name="40% - Énfasis2 3 2 4 2 3" xfId="6548"/>
    <cellStyle name="40% - Énfasis2 3 2 4 3" xfId="4498"/>
    <cellStyle name="40% - Énfasis2 3 2 4 3 2" xfId="8598"/>
    <cellStyle name="40% - Énfasis2 3 2 4 4" xfId="6547"/>
    <cellStyle name="40% - Énfasis2 3 2 5" xfId="1036"/>
    <cellStyle name="40% - Énfasis2 3 2 5 2" xfId="1037"/>
    <cellStyle name="40% - Énfasis2 3 2 5 2 2" xfId="4501"/>
    <cellStyle name="40% - Énfasis2 3 2 5 2 2 2" xfId="8601"/>
    <cellStyle name="40% - Énfasis2 3 2 5 2 3" xfId="6550"/>
    <cellStyle name="40% - Énfasis2 3 2 5 3" xfId="4500"/>
    <cellStyle name="40% - Énfasis2 3 2 5 3 2" xfId="8600"/>
    <cellStyle name="40% - Énfasis2 3 2 5 4" xfId="6549"/>
    <cellStyle name="40% - Énfasis2 3 2 6" xfId="1038"/>
    <cellStyle name="40% - Énfasis2 3 2 6 2" xfId="1039"/>
    <cellStyle name="40% - Énfasis2 3 2 6 2 2" xfId="4503"/>
    <cellStyle name="40% - Énfasis2 3 2 6 2 2 2" xfId="8603"/>
    <cellStyle name="40% - Énfasis2 3 2 6 2 3" xfId="6552"/>
    <cellStyle name="40% - Énfasis2 3 2 6 3" xfId="4502"/>
    <cellStyle name="40% - Énfasis2 3 2 6 3 2" xfId="8602"/>
    <cellStyle name="40% - Énfasis2 3 2 6 4" xfId="6551"/>
    <cellStyle name="40% - Énfasis2 3 2 7" xfId="1040"/>
    <cellStyle name="40% - Énfasis2 3 2 7 2" xfId="1041"/>
    <cellStyle name="40% - Énfasis2 3 2 7 2 2" xfId="4505"/>
    <cellStyle name="40% - Énfasis2 3 2 7 2 2 2" xfId="8605"/>
    <cellStyle name="40% - Énfasis2 3 2 7 2 3" xfId="6554"/>
    <cellStyle name="40% - Énfasis2 3 2 7 3" xfId="4504"/>
    <cellStyle name="40% - Énfasis2 3 2 7 3 2" xfId="8604"/>
    <cellStyle name="40% - Énfasis2 3 2 7 4" xfId="6553"/>
    <cellStyle name="40% - Énfasis2 3 2 8" xfId="1042"/>
    <cellStyle name="40% - Énfasis2 3 2 8 2" xfId="1043"/>
    <cellStyle name="40% - Énfasis2 3 2 8 2 2" xfId="4507"/>
    <cellStyle name="40% - Énfasis2 3 2 8 2 2 2" xfId="8607"/>
    <cellStyle name="40% - Énfasis2 3 2 8 2 3" xfId="6556"/>
    <cellStyle name="40% - Énfasis2 3 2 8 3" xfId="4506"/>
    <cellStyle name="40% - Énfasis2 3 2 8 3 2" xfId="8606"/>
    <cellStyle name="40% - Énfasis2 3 2 8 4" xfId="6555"/>
    <cellStyle name="40% - Énfasis2 3 2 9" xfId="1044"/>
    <cellStyle name="40% - Énfasis2 3 2 9 2" xfId="4508"/>
    <cellStyle name="40% - Énfasis2 3 2 9 2 2" xfId="8608"/>
    <cellStyle name="40% - Énfasis2 3 2 9 3" xfId="6557"/>
    <cellStyle name="40% - Énfasis2 3 3" xfId="1045"/>
    <cellStyle name="40% - Énfasis2 3 3 10" xfId="4509"/>
    <cellStyle name="40% - Énfasis2 3 3 10 2" xfId="8609"/>
    <cellStyle name="40% - Énfasis2 3 3 11" xfId="6558"/>
    <cellStyle name="40% - Énfasis2 3 3 2" xfId="1046"/>
    <cellStyle name="40% - Énfasis2 3 3 2 2" xfId="1047"/>
    <cellStyle name="40% - Énfasis2 3 3 2 2 2" xfId="1048"/>
    <cellStyle name="40% - Énfasis2 3 3 2 2 2 2" xfId="4512"/>
    <cellStyle name="40% - Énfasis2 3 3 2 2 2 2 2" xfId="8612"/>
    <cellStyle name="40% - Énfasis2 3 3 2 2 2 3" xfId="6561"/>
    <cellStyle name="40% - Énfasis2 3 3 2 2 3" xfId="4511"/>
    <cellStyle name="40% - Énfasis2 3 3 2 2 3 2" xfId="8611"/>
    <cellStyle name="40% - Énfasis2 3 3 2 2 4" xfId="6560"/>
    <cellStyle name="40% - Énfasis2 3 3 2 3" xfId="1049"/>
    <cellStyle name="40% - Énfasis2 3 3 2 3 2" xfId="1050"/>
    <cellStyle name="40% - Énfasis2 3 3 2 3 2 2" xfId="4514"/>
    <cellStyle name="40% - Énfasis2 3 3 2 3 2 2 2" xfId="8614"/>
    <cellStyle name="40% - Énfasis2 3 3 2 3 2 3" xfId="6563"/>
    <cellStyle name="40% - Énfasis2 3 3 2 3 3" xfId="4513"/>
    <cellStyle name="40% - Énfasis2 3 3 2 3 3 2" xfId="8613"/>
    <cellStyle name="40% - Énfasis2 3 3 2 3 4" xfId="6562"/>
    <cellStyle name="40% - Énfasis2 3 3 2 4" xfId="1051"/>
    <cellStyle name="40% - Énfasis2 3 3 2 4 2" xfId="4515"/>
    <cellStyle name="40% - Énfasis2 3 3 2 4 2 2" xfId="8615"/>
    <cellStyle name="40% - Énfasis2 3 3 2 4 3" xfId="6564"/>
    <cellStyle name="40% - Énfasis2 3 3 2 5" xfId="4510"/>
    <cellStyle name="40% - Énfasis2 3 3 2 5 2" xfId="8610"/>
    <cellStyle name="40% - Énfasis2 3 3 2 6" xfId="6559"/>
    <cellStyle name="40% - Énfasis2 3 3 3" xfId="1052"/>
    <cellStyle name="40% - Énfasis2 3 3 3 2" xfId="1053"/>
    <cellStyle name="40% - Énfasis2 3 3 3 2 2" xfId="4517"/>
    <cellStyle name="40% - Énfasis2 3 3 3 2 2 2" xfId="8617"/>
    <cellStyle name="40% - Énfasis2 3 3 3 2 3" xfId="6566"/>
    <cellStyle name="40% - Énfasis2 3 3 3 3" xfId="4516"/>
    <cellStyle name="40% - Énfasis2 3 3 3 3 2" xfId="8616"/>
    <cellStyle name="40% - Énfasis2 3 3 3 4" xfId="6565"/>
    <cellStyle name="40% - Énfasis2 3 3 4" xfId="1054"/>
    <cellStyle name="40% - Énfasis2 3 3 4 2" xfId="1055"/>
    <cellStyle name="40% - Énfasis2 3 3 4 2 2" xfId="4519"/>
    <cellStyle name="40% - Énfasis2 3 3 4 2 2 2" xfId="8619"/>
    <cellStyle name="40% - Énfasis2 3 3 4 2 3" xfId="6568"/>
    <cellStyle name="40% - Énfasis2 3 3 4 3" xfId="4518"/>
    <cellStyle name="40% - Énfasis2 3 3 4 3 2" xfId="8618"/>
    <cellStyle name="40% - Énfasis2 3 3 4 4" xfId="6567"/>
    <cellStyle name="40% - Énfasis2 3 3 5" xfId="1056"/>
    <cellStyle name="40% - Énfasis2 3 3 5 2" xfId="1057"/>
    <cellStyle name="40% - Énfasis2 3 3 5 2 2" xfId="4521"/>
    <cellStyle name="40% - Énfasis2 3 3 5 2 2 2" xfId="8621"/>
    <cellStyle name="40% - Énfasis2 3 3 5 2 3" xfId="6570"/>
    <cellStyle name="40% - Énfasis2 3 3 5 3" xfId="4520"/>
    <cellStyle name="40% - Énfasis2 3 3 5 3 2" xfId="8620"/>
    <cellStyle name="40% - Énfasis2 3 3 5 4" xfId="6569"/>
    <cellStyle name="40% - Énfasis2 3 3 6" xfId="1058"/>
    <cellStyle name="40% - Énfasis2 3 3 6 2" xfId="1059"/>
    <cellStyle name="40% - Énfasis2 3 3 6 2 2" xfId="4523"/>
    <cellStyle name="40% - Énfasis2 3 3 6 2 2 2" xfId="8623"/>
    <cellStyle name="40% - Énfasis2 3 3 6 2 3" xfId="6572"/>
    <cellStyle name="40% - Énfasis2 3 3 6 3" xfId="4522"/>
    <cellStyle name="40% - Énfasis2 3 3 6 3 2" xfId="8622"/>
    <cellStyle name="40% - Énfasis2 3 3 6 4" xfId="6571"/>
    <cellStyle name="40% - Énfasis2 3 3 7" xfId="1060"/>
    <cellStyle name="40% - Énfasis2 3 3 7 2" xfId="1061"/>
    <cellStyle name="40% - Énfasis2 3 3 7 2 2" xfId="4525"/>
    <cellStyle name="40% - Énfasis2 3 3 7 2 2 2" xfId="8625"/>
    <cellStyle name="40% - Énfasis2 3 3 7 2 3" xfId="6574"/>
    <cellStyle name="40% - Énfasis2 3 3 7 3" xfId="4524"/>
    <cellStyle name="40% - Énfasis2 3 3 7 3 2" xfId="8624"/>
    <cellStyle name="40% - Énfasis2 3 3 7 4" xfId="6573"/>
    <cellStyle name="40% - Énfasis2 3 3 8" xfId="1062"/>
    <cellStyle name="40% - Énfasis2 3 3 8 2" xfId="1063"/>
    <cellStyle name="40% - Énfasis2 3 3 8 2 2" xfId="4527"/>
    <cellStyle name="40% - Énfasis2 3 3 8 2 2 2" xfId="8627"/>
    <cellStyle name="40% - Énfasis2 3 3 8 2 3" xfId="6576"/>
    <cellStyle name="40% - Énfasis2 3 3 8 3" xfId="4526"/>
    <cellStyle name="40% - Énfasis2 3 3 8 3 2" xfId="8626"/>
    <cellStyle name="40% - Énfasis2 3 3 8 4" xfId="6575"/>
    <cellStyle name="40% - Énfasis2 3 3 9" xfId="1064"/>
    <cellStyle name="40% - Énfasis2 3 3 9 2" xfId="4528"/>
    <cellStyle name="40% - Énfasis2 3 3 9 2 2" xfId="8628"/>
    <cellStyle name="40% - Énfasis2 3 3 9 3" xfId="6577"/>
    <cellStyle name="40% - Énfasis2 3 4" xfId="1065"/>
    <cellStyle name="40% - Énfasis2 3 4 2" xfId="1066"/>
    <cellStyle name="40% - Énfasis2 3 4 2 2" xfId="1067"/>
    <cellStyle name="40% - Énfasis2 3 4 2 2 2" xfId="4531"/>
    <cellStyle name="40% - Énfasis2 3 4 2 2 2 2" xfId="8631"/>
    <cellStyle name="40% - Énfasis2 3 4 2 2 3" xfId="6580"/>
    <cellStyle name="40% - Énfasis2 3 4 2 3" xfId="4530"/>
    <cellStyle name="40% - Énfasis2 3 4 2 3 2" xfId="8630"/>
    <cellStyle name="40% - Énfasis2 3 4 2 4" xfId="6579"/>
    <cellStyle name="40% - Énfasis2 3 4 3" xfId="1068"/>
    <cellStyle name="40% - Énfasis2 3 4 3 2" xfId="1069"/>
    <cellStyle name="40% - Énfasis2 3 4 3 2 2" xfId="4533"/>
    <cellStyle name="40% - Énfasis2 3 4 3 2 2 2" xfId="8633"/>
    <cellStyle name="40% - Énfasis2 3 4 3 2 3" xfId="6582"/>
    <cellStyle name="40% - Énfasis2 3 4 3 3" xfId="4532"/>
    <cellStyle name="40% - Énfasis2 3 4 3 3 2" xfId="8632"/>
    <cellStyle name="40% - Énfasis2 3 4 3 4" xfId="6581"/>
    <cellStyle name="40% - Énfasis2 3 4 4" xfId="1070"/>
    <cellStyle name="40% - Énfasis2 3 4 4 2" xfId="4534"/>
    <cellStyle name="40% - Énfasis2 3 4 4 2 2" xfId="8634"/>
    <cellStyle name="40% - Énfasis2 3 4 4 3" xfId="6583"/>
    <cellStyle name="40% - Énfasis2 3 4 5" xfId="4529"/>
    <cellStyle name="40% - Énfasis2 3 4 5 2" xfId="8629"/>
    <cellStyle name="40% - Énfasis2 3 4 6" xfId="6578"/>
    <cellStyle name="40% - Énfasis2 3 5" xfId="1071"/>
    <cellStyle name="40% - Énfasis2 3 5 2" xfId="1072"/>
    <cellStyle name="40% - Énfasis2 3 5 2 2" xfId="4536"/>
    <cellStyle name="40% - Énfasis2 3 5 2 2 2" xfId="8636"/>
    <cellStyle name="40% - Énfasis2 3 5 2 3" xfId="6585"/>
    <cellStyle name="40% - Énfasis2 3 5 3" xfId="4535"/>
    <cellStyle name="40% - Énfasis2 3 5 3 2" xfId="8635"/>
    <cellStyle name="40% - Énfasis2 3 5 4" xfId="6584"/>
    <cellStyle name="40% - Énfasis2 3 6" xfId="1073"/>
    <cellStyle name="40% - Énfasis2 3 6 2" xfId="1074"/>
    <cellStyle name="40% - Énfasis2 3 6 2 2" xfId="4538"/>
    <cellStyle name="40% - Énfasis2 3 6 2 2 2" xfId="8638"/>
    <cellStyle name="40% - Énfasis2 3 6 2 3" xfId="6587"/>
    <cellStyle name="40% - Énfasis2 3 6 3" xfId="4537"/>
    <cellStyle name="40% - Énfasis2 3 6 3 2" xfId="8637"/>
    <cellStyle name="40% - Énfasis2 3 6 4" xfId="6586"/>
    <cellStyle name="40% - Énfasis2 3 7" xfId="1075"/>
    <cellStyle name="40% - Énfasis2 3 7 2" xfId="1076"/>
    <cellStyle name="40% - Énfasis2 3 7 2 2" xfId="4540"/>
    <cellStyle name="40% - Énfasis2 3 7 2 2 2" xfId="8640"/>
    <cellStyle name="40% - Énfasis2 3 7 2 3" xfId="6589"/>
    <cellStyle name="40% - Énfasis2 3 7 3" xfId="4539"/>
    <cellStyle name="40% - Énfasis2 3 7 3 2" xfId="8639"/>
    <cellStyle name="40% - Énfasis2 3 7 4" xfId="6588"/>
    <cellStyle name="40% - Énfasis2 3 8" xfId="1077"/>
    <cellStyle name="40% - Énfasis2 3 8 2" xfId="1078"/>
    <cellStyle name="40% - Énfasis2 3 8 2 2" xfId="4542"/>
    <cellStyle name="40% - Énfasis2 3 8 2 2 2" xfId="8642"/>
    <cellStyle name="40% - Énfasis2 3 8 2 3" xfId="6591"/>
    <cellStyle name="40% - Énfasis2 3 8 3" xfId="4541"/>
    <cellStyle name="40% - Énfasis2 3 8 3 2" xfId="8641"/>
    <cellStyle name="40% - Énfasis2 3 8 4" xfId="6590"/>
    <cellStyle name="40% - Énfasis2 3 9" xfId="1079"/>
    <cellStyle name="40% - Énfasis2 3 9 2" xfId="1080"/>
    <cellStyle name="40% - Énfasis2 3 9 2 2" xfId="4544"/>
    <cellStyle name="40% - Énfasis2 3 9 2 2 2" xfId="8644"/>
    <cellStyle name="40% - Énfasis2 3 9 2 3" xfId="6593"/>
    <cellStyle name="40% - Énfasis2 3 9 3" xfId="4543"/>
    <cellStyle name="40% - Énfasis2 3 9 3 2" xfId="8643"/>
    <cellStyle name="40% - Énfasis2 3 9 4" xfId="6592"/>
    <cellStyle name="40% - Énfasis2 4" xfId="1081"/>
    <cellStyle name="40% - Énfasis2 4 10" xfId="4545"/>
    <cellStyle name="40% - Énfasis2 4 10 2" xfId="8645"/>
    <cellStyle name="40% - Énfasis2 4 11" xfId="6594"/>
    <cellStyle name="40% - Énfasis2 4 2" xfId="1082"/>
    <cellStyle name="40% - Énfasis2 4 2 2" xfId="1083"/>
    <cellStyle name="40% - Énfasis2 4 2 2 2" xfId="1084"/>
    <cellStyle name="40% - Énfasis2 4 2 2 2 2" xfId="4548"/>
    <cellStyle name="40% - Énfasis2 4 2 2 2 2 2" xfId="8648"/>
    <cellStyle name="40% - Énfasis2 4 2 2 2 3" xfId="6597"/>
    <cellStyle name="40% - Énfasis2 4 2 2 3" xfId="4547"/>
    <cellStyle name="40% - Énfasis2 4 2 2 3 2" xfId="8647"/>
    <cellStyle name="40% - Énfasis2 4 2 2 4" xfId="6596"/>
    <cellStyle name="40% - Énfasis2 4 2 3" xfId="1085"/>
    <cellStyle name="40% - Énfasis2 4 2 3 2" xfId="1086"/>
    <cellStyle name="40% - Énfasis2 4 2 3 2 2" xfId="4550"/>
    <cellStyle name="40% - Énfasis2 4 2 3 2 2 2" xfId="8650"/>
    <cellStyle name="40% - Énfasis2 4 2 3 2 3" xfId="6599"/>
    <cellStyle name="40% - Énfasis2 4 2 3 3" xfId="4549"/>
    <cellStyle name="40% - Énfasis2 4 2 3 3 2" xfId="8649"/>
    <cellStyle name="40% - Énfasis2 4 2 3 4" xfId="6598"/>
    <cellStyle name="40% - Énfasis2 4 2 4" xfId="1087"/>
    <cellStyle name="40% - Énfasis2 4 2 4 2" xfId="4551"/>
    <cellStyle name="40% - Énfasis2 4 2 4 2 2" xfId="8651"/>
    <cellStyle name="40% - Énfasis2 4 2 4 3" xfId="6600"/>
    <cellStyle name="40% - Énfasis2 4 2 5" xfId="4546"/>
    <cellStyle name="40% - Énfasis2 4 2 5 2" xfId="8646"/>
    <cellStyle name="40% - Énfasis2 4 2 6" xfId="6595"/>
    <cellStyle name="40% - Énfasis2 4 3" xfId="1088"/>
    <cellStyle name="40% - Énfasis2 4 3 2" xfId="1089"/>
    <cellStyle name="40% - Énfasis2 4 3 2 2" xfId="4553"/>
    <cellStyle name="40% - Énfasis2 4 3 2 2 2" xfId="8653"/>
    <cellStyle name="40% - Énfasis2 4 3 2 3" xfId="6602"/>
    <cellStyle name="40% - Énfasis2 4 3 3" xfId="4552"/>
    <cellStyle name="40% - Énfasis2 4 3 3 2" xfId="8652"/>
    <cellStyle name="40% - Énfasis2 4 3 4" xfId="6601"/>
    <cellStyle name="40% - Énfasis2 4 4" xfId="1090"/>
    <cellStyle name="40% - Énfasis2 4 4 2" xfId="1091"/>
    <cellStyle name="40% - Énfasis2 4 4 2 2" xfId="4555"/>
    <cellStyle name="40% - Énfasis2 4 4 2 2 2" xfId="8655"/>
    <cellStyle name="40% - Énfasis2 4 4 2 3" xfId="6604"/>
    <cellStyle name="40% - Énfasis2 4 4 3" xfId="4554"/>
    <cellStyle name="40% - Énfasis2 4 4 3 2" xfId="8654"/>
    <cellStyle name="40% - Énfasis2 4 4 4" xfId="6603"/>
    <cellStyle name="40% - Énfasis2 4 5" xfId="1092"/>
    <cellStyle name="40% - Énfasis2 4 5 2" xfId="1093"/>
    <cellStyle name="40% - Énfasis2 4 5 2 2" xfId="4557"/>
    <cellStyle name="40% - Énfasis2 4 5 2 2 2" xfId="8657"/>
    <cellStyle name="40% - Énfasis2 4 5 2 3" xfId="6606"/>
    <cellStyle name="40% - Énfasis2 4 5 3" xfId="4556"/>
    <cellStyle name="40% - Énfasis2 4 5 3 2" xfId="8656"/>
    <cellStyle name="40% - Énfasis2 4 5 4" xfId="6605"/>
    <cellStyle name="40% - Énfasis2 4 6" xfId="1094"/>
    <cellStyle name="40% - Énfasis2 4 6 2" xfId="1095"/>
    <cellStyle name="40% - Énfasis2 4 6 2 2" xfId="4559"/>
    <cellStyle name="40% - Énfasis2 4 6 2 2 2" xfId="8659"/>
    <cellStyle name="40% - Énfasis2 4 6 2 3" xfId="6608"/>
    <cellStyle name="40% - Énfasis2 4 6 3" xfId="4558"/>
    <cellStyle name="40% - Énfasis2 4 6 3 2" xfId="8658"/>
    <cellStyle name="40% - Énfasis2 4 6 4" xfId="6607"/>
    <cellStyle name="40% - Énfasis2 4 7" xfId="1096"/>
    <cellStyle name="40% - Énfasis2 4 7 2" xfId="1097"/>
    <cellStyle name="40% - Énfasis2 4 7 2 2" xfId="4561"/>
    <cellStyle name="40% - Énfasis2 4 7 2 2 2" xfId="8661"/>
    <cellStyle name="40% - Énfasis2 4 7 2 3" xfId="6610"/>
    <cellStyle name="40% - Énfasis2 4 7 3" xfId="4560"/>
    <cellStyle name="40% - Énfasis2 4 7 3 2" xfId="8660"/>
    <cellStyle name="40% - Énfasis2 4 7 4" xfId="6609"/>
    <cellStyle name="40% - Énfasis2 4 8" xfId="1098"/>
    <cellStyle name="40% - Énfasis2 4 8 2" xfId="1099"/>
    <cellStyle name="40% - Énfasis2 4 8 2 2" xfId="4563"/>
    <cellStyle name="40% - Énfasis2 4 8 2 2 2" xfId="8663"/>
    <cellStyle name="40% - Énfasis2 4 8 2 3" xfId="6612"/>
    <cellStyle name="40% - Énfasis2 4 8 3" xfId="4562"/>
    <cellStyle name="40% - Énfasis2 4 8 3 2" xfId="8662"/>
    <cellStyle name="40% - Énfasis2 4 8 4" xfId="6611"/>
    <cellStyle name="40% - Énfasis2 4 9" xfId="1100"/>
    <cellStyle name="40% - Énfasis2 4 9 2" xfId="4564"/>
    <cellStyle name="40% - Énfasis2 4 9 2 2" xfId="8664"/>
    <cellStyle name="40% - Énfasis2 4 9 3" xfId="6613"/>
    <cellStyle name="40% - Énfasis2 5" xfId="1101"/>
    <cellStyle name="40% - Énfasis2 5 10" xfId="4565"/>
    <cellStyle name="40% - Énfasis2 5 10 2" xfId="8665"/>
    <cellStyle name="40% - Énfasis2 5 11" xfId="6614"/>
    <cellStyle name="40% - Énfasis2 5 2" xfId="1102"/>
    <cellStyle name="40% - Énfasis2 5 2 2" xfId="1103"/>
    <cellStyle name="40% - Énfasis2 5 2 2 2" xfId="1104"/>
    <cellStyle name="40% - Énfasis2 5 2 2 2 2" xfId="4568"/>
    <cellStyle name="40% - Énfasis2 5 2 2 2 2 2" xfId="8668"/>
    <cellStyle name="40% - Énfasis2 5 2 2 2 3" xfId="6617"/>
    <cellStyle name="40% - Énfasis2 5 2 2 3" xfId="4567"/>
    <cellStyle name="40% - Énfasis2 5 2 2 3 2" xfId="8667"/>
    <cellStyle name="40% - Énfasis2 5 2 2 4" xfId="6616"/>
    <cellStyle name="40% - Énfasis2 5 2 3" xfId="1105"/>
    <cellStyle name="40% - Énfasis2 5 2 3 2" xfId="1106"/>
    <cellStyle name="40% - Énfasis2 5 2 3 2 2" xfId="4570"/>
    <cellStyle name="40% - Énfasis2 5 2 3 2 2 2" xfId="8670"/>
    <cellStyle name="40% - Énfasis2 5 2 3 2 3" xfId="6619"/>
    <cellStyle name="40% - Énfasis2 5 2 3 3" xfId="4569"/>
    <cellStyle name="40% - Énfasis2 5 2 3 3 2" xfId="8669"/>
    <cellStyle name="40% - Énfasis2 5 2 3 4" xfId="6618"/>
    <cellStyle name="40% - Énfasis2 5 2 4" xfId="1107"/>
    <cellStyle name="40% - Énfasis2 5 2 4 2" xfId="4571"/>
    <cellStyle name="40% - Énfasis2 5 2 4 2 2" xfId="8671"/>
    <cellStyle name="40% - Énfasis2 5 2 4 3" xfId="6620"/>
    <cellStyle name="40% - Énfasis2 5 2 5" xfId="4566"/>
    <cellStyle name="40% - Énfasis2 5 2 5 2" xfId="8666"/>
    <cellStyle name="40% - Énfasis2 5 2 6" xfId="6615"/>
    <cellStyle name="40% - Énfasis2 5 3" xfId="1108"/>
    <cellStyle name="40% - Énfasis2 5 3 2" xfId="1109"/>
    <cellStyle name="40% - Énfasis2 5 3 2 2" xfId="4573"/>
    <cellStyle name="40% - Énfasis2 5 3 2 2 2" xfId="8673"/>
    <cellStyle name="40% - Énfasis2 5 3 2 3" xfId="6622"/>
    <cellStyle name="40% - Énfasis2 5 3 3" xfId="4572"/>
    <cellStyle name="40% - Énfasis2 5 3 3 2" xfId="8672"/>
    <cellStyle name="40% - Énfasis2 5 3 4" xfId="6621"/>
    <cellStyle name="40% - Énfasis2 5 4" xfId="1110"/>
    <cellStyle name="40% - Énfasis2 5 4 2" xfId="1111"/>
    <cellStyle name="40% - Énfasis2 5 4 2 2" xfId="4575"/>
    <cellStyle name="40% - Énfasis2 5 4 2 2 2" xfId="8675"/>
    <cellStyle name="40% - Énfasis2 5 4 2 3" xfId="6624"/>
    <cellStyle name="40% - Énfasis2 5 4 3" xfId="4574"/>
    <cellStyle name="40% - Énfasis2 5 4 3 2" xfId="8674"/>
    <cellStyle name="40% - Énfasis2 5 4 4" xfId="6623"/>
    <cellStyle name="40% - Énfasis2 5 5" xfId="1112"/>
    <cellStyle name="40% - Énfasis2 5 5 2" xfId="1113"/>
    <cellStyle name="40% - Énfasis2 5 5 2 2" xfId="4577"/>
    <cellStyle name="40% - Énfasis2 5 5 2 2 2" xfId="8677"/>
    <cellStyle name="40% - Énfasis2 5 5 2 3" xfId="6626"/>
    <cellStyle name="40% - Énfasis2 5 5 3" xfId="4576"/>
    <cellStyle name="40% - Énfasis2 5 5 3 2" xfId="8676"/>
    <cellStyle name="40% - Énfasis2 5 5 4" xfId="6625"/>
    <cellStyle name="40% - Énfasis2 5 6" xfId="1114"/>
    <cellStyle name="40% - Énfasis2 5 6 2" xfId="1115"/>
    <cellStyle name="40% - Énfasis2 5 6 2 2" xfId="4579"/>
    <cellStyle name="40% - Énfasis2 5 6 2 2 2" xfId="8679"/>
    <cellStyle name="40% - Énfasis2 5 6 2 3" xfId="6628"/>
    <cellStyle name="40% - Énfasis2 5 6 3" xfId="4578"/>
    <cellStyle name="40% - Énfasis2 5 6 3 2" xfId="8678"/>
    <cellStyle name="40% - Énfasis2 5 6 4" xfId="6627"/>
    <cellStyle name="40% - Énfasis2 5 7" xfId="1116"/>
    <cellStyle name="40% - Énfasis2 5 7 2" xfId="1117"/>
    <cellStyle name="40% - Énfasis2 5 7 2 2" xfId="4581"/>
    <cellStyle name="40% - Énfasis2 5 7 2 2 2" xfId="8681"/>
    <cellStyle name="40% - Énfasis2 5 7 2 3" xfId="6630"/>
    <cellStyle name="40% - Énfasis2 5 7 3" xfId="4580"/>
    <cellStyle name="40% - Énfasis2 5 7 3 2" xfId="8680"/>
    <cellStyle name="40% - Énfasis2 5 7 4" xfId="6629"/>
    <cellStyle name="40% - Énfasis2 5 8" xfId="1118"/>
    <cellStyle name="40% - Énfasis2 5 8 2" xfId="1119"/>
    <cellStyle name="40% - Énfasis2 5 8 2 2" xfId="4583"/>
    <cellStyle name="40% - Énfasis2 5 8 2 2 2" xfId="8683"/>
    <cellStyle name="40% - Énfasis2 5 8 2 3" xfId="6632"/>
    <cellStyle name="40% - Énfasis2 5 8 3" xfId="4582"/>
    <cellStyle name="40% - Énfasis2 5 8 3 2" xfId="8682"/>
    <cellStyle name="40% - Énfasis2 5 8 4" xfId="6631"/>
    <cellStyle name="40% - Énfasis2 5 9" xfId="1120"/>
    <cellStyle name="40% - Énfasis2 5 9 2" xfId="4584"/>
    <cellStyle name="40% - Énfasis2 5 9 2 2" xfId="8684"/>
    <cellStyle name="40% - Énfasis2 5 9 3" xfId="6633"/>
    <cellStyle name="40% - Énfasis2 6" xfId="9549"/>
    <cellStyle name="40% - Énfasis3" xfId="9525" builtinId="39" customBuiltin="1"/>
    <cellStyle name="40% - Énfasis3 2" xfId="1121"/>
    <cellStyle name="40% - Énfasis3 2 10" xfId="1122"/>
    <cellStyle name="40% - Énfasis3 2 10 2" xfId="1123"/>
    <cellStyle name="40% - Énfasis3 2 10 2 2" xfId="4587"/>
    <cellStyle name="40% - Énfasis3 2 10 2 2 2" xfId="8687"/>
    <cellStyle name="40% - Énfasis3 2 10 2 3" xfId="6636"/>
    <cellStyle name="40% - Énfasis3 2 10 3" xfId="4586"/>
    <cellStyle name="40% - Énfasis3 2 10 3 2" xfId="8686"/>
    <cellStyle name="40% - Énfasis3 2 10 4" xfId="6635"/>
    <cellStyle name="40% - Énfasis3 2 11" xfId="1124"/>
    <cellStyle name="40% - Énfasis3 2 11 2" xfId="4588"/>
    <cellStyle name="40% - Énfasis3 2 11 2 2" xfId="8688"/>
    <cellStyle name="40% - Énfasis3 2 11 3" xfId="6637"/>
    <cellStyle name="40% - Énfasis3 2 12" xfId="4585"/>
    <cellStyle name="40% - Énfasis3 2 12 2" xfId="8685"/>
    <cellStyle name="40% - Énfasis3 2 13" xfId="6634"/>
    <cellStyle name="40% - Énfasis3 2 2" xfId="1125"/>
    <cellStyle name="40% - Énfasis3 2 2 10" xfId="4589"/>
    <cellStyle name="40% - Énfasis3 2 2 10 2" xfId="8689"/>
    <cellStyle name="40% - Énfasis3 2 2 11" xfId="6638"/>
    <cellStyle name="40% - Énfasis3 2 2 2" xfId="1126"/>
    <cellStyle name="40% - Énfasis3 2 2 2 2" xfId="1127"/>
    <cellStyle name="40% - Énfasis3 2 2 2 2 2" xfId="1128"/>
    <cellStyle name="40% - Énfasis3 2 2 2 2 2 2" xfId="4592"/>
    <cellStyle name="40% - Énfasis3 2 2 2 2 2 2 2" xfId="8692"/>
    <cellStyle name="40% - Énfasis3 2 2 2 2 2 3" xfId="6641"/>
    <cellStyle name="40% - Énfasis3 2 2 2 2 3" xfId="4591"/>
    <cellStyle name="40% - Énfasis3 2 2 2 2 3 2" xfId="8691"/>
    <cellStyle name="40% - Énfasis3 2 2 2 2 4" xfId="6640"/>
    <cellStyle name="40% - Énfasis3 2 2 2 3" xfId="1129"/>
    <cellStyle name="40% - Énfasis3 2 2 2 3 2" xfId="1130"/>
    <cellStyle name="40% - Énfasis3 2 2 2 3 2 2" xfId="4594"/>
    <cellStyle name="40% - Énfasis3 2 2 2 3 2 2 2" xfId="8694"/>
    <cellStyle name="40% - Énfasis3 2 2 2 3 2 3" xfId="6643"/>
    <cellStyle name="40% - Énfasis3 2 2 2 3 3" xfId="4593"/>
    <cellStyle name="40% - Énfasis3 2 2 2 3 3 2" xfId="8693"/>
    <cellStyle name="40% - Énfasis3 2 2 2 3 4" xfId="6642"/>
    <cellStyle name="40% - Énfasis3 2 2 2 4" xfId="1131"/>
    <cellStyle name="40% - Énfasis3 2 2 2 4 2" xfId="4595"/>
    <cellStyle name="40% - Énfasis3 2 2 2 4 2 2" xfId="8695"/>
    <cellStyle name="40% - Énfasis3 2 2 2 4 3" xfId="6644"/>
    <cellStyle name="40% - Énfasis3 2 2 2 5" xfId="4590"/>
    <cellStyle name="40% - Énfasis3 2 2 2 5 2" xfId="8690"/>
    <cellStyle name="40% - Énfasis3 2 2 2 6" xfId="6639"/>
    <cellStyle name="40% - Énfasis3 2 2 3" xfId="1132"/>
    <cellStyle name="40% - Énfasis3 2 2 3 2" xfId="1133"/>
    <cellStyle name="40% - Énfasis3 2 2 3 2 2" xfId="4597"/>
    <cellStyle name="40% - Énfasis3 2 2 3 2 2 2" xfId="8697"/>
    <cellStyle name="40% - Énfasis3 2 2 3 2 3" xfId="6646"/>
    <cellStyle name="40% - Énfasis3 2 2 3 3" xfId="4596"/>
    <cellStyle name="40% - Énfasis3 2 2 3 3 2" xfId="8696"/>
    <cellStyle name="40% - Énfasis3 2 2 3 4" xfId="6645"/>
    <cellStyle name="40% - Énfasis3 2 2 4" xfId="1134"/>
    <cellStyle name="40% - Énfasis3 2 2 4 2" xfId="1135"/>
    <cellStyle name="40% - Énfasis3 2 2 4 2 2" xfId="4599"/>
    <cellStyle name="40% - Énfasis3 2 2 4 2 2 2" xfId="8699"/>
    <cellStyle name="40% - Énfasis3 2 2 4 2 3" xfId="6648"/>
    <cellStyle name="40% - Énfasis3 2 2 4 3" xfId="4598"/>
    <cellStyle name="40% - Énfasis3 2 2 4 3 2" xfId="8698"/>
    <cellStyle name="40% - Énfasis3 2 2 4 4" xfId="6647"/>
    <cellStyle name="40% - Énfasis3 2 2 5" xfId="1136"/>
    <cellStyle name="40% - Énfasis3 2 2 5 2" xfId="1137"/>
    <cellStyle name="40% - Énfasis3 2 2 5 2 2" xfId="4601"/>
    <cellStyle name="40% - Énfasis3 2 2 5 2 2 2" xfId="8701"/>
    <cellStyle name="40% - Énfasis3 2 2 5 2 3" xfId="6650"/>
    <cellStyle name="40% - Énfasis3 2 2 5 3" xfId="4600"/>
    <cellStyle name="40% - Énfasis3 2 2 5 3 2" xfId="8700"/>
    <cellStyle name="40% - Énfasis3 2 2 5 4" xfId="6649"/>
    <cellStyle name="40% - Énfasis3 2 2 6" xfId="1138"/>
    <cellStyle name="40% - Énfasis3 2 2 6 2" xfId="1139"/>
    <cellStyle name="40% - Énfasis3 2 2 6 2 2" xfId="4603"/>
    <cellStyle name="40% - Énfasis3 2 2 6 2 2 2" xfId="8703"/>
    <cellStyle name="40% - Énfasis3 2 2 6 2 3" xfId="6652"/>
    <cellStyle name="40% - Énfasis3 2 2 6 3" xfId="4602"/>
    <cellStyle name="40% - Énfasis3 2 2 6 3 2" xfId="8702"/>
    <cellStyle name="40% - Énfasis3 2 2 6 4" xfId="6651"/>
    <cellStyle name="40% - Énfasis3 2 2 7" xfId="1140"/>
    <cellStyle name="40% - Énfasis3 2 2 7 2" xfId="1141"/>
    <cellStyle name="40% - Énfasis3 2 2 7 2 2" xfId="4605"/>
    <cellStyle name="40% - Énfasis3 2 2 7 2 2 2" xfId="8705"/>
    <cellStyle name="40% - Énfasis3 2 2 7 2 3" xfId="6654"/>
    <cellStyle name="40% - Énfasis3 2 2 7 3" xfId="4604"/>
    <cellStyle name="40% - Énfasis3 2 2 7 3 2" xfId="8704"/>
    <cellStyle name="40% - Énfasis3 2 2 7 4" xfId="6653"/>
    <cellStyle name="40% - Énfasis3 2 2 8" xfId="1142"/>
    <cellStyle name="40% - Énfasis3 2 2 8 2" xfId="1143"/>
    <cellStyle name="40% - Énfasis3 2 2 8 2 2" xfId="4607"/>
    <cellStyle name="40% - Énfasis3 2 2 8 2 2 2" xfId="8707"/>
    <cellStyle name="40% - Énfasis3 2 2 8 2 3" xfId="6656"/>
    <cellStyle name="40% - Énfasis3 2 2 8 3" xfId="4606"/>
    <cellStyle name="40% - Énfasis3 2 2 8 3 2" xfId="8706"/>
    <cellStyle name="40% - Énfasis3 2 2 8 4" xfId="6655"/>
    <cellStyle name="40% - Énfasis3 2 2 9" xfId="1144"/>
    <cellStyle name="40% - Énfasis3 2 2 9 2" xfId="4608"/>
    <cellStyle name="40% - Énfasis3 2 2 9 2 2" xfId="8708"/>
    <cellStyle name="40% - Énfasis3 2 2 9 3" xfId="6657"/>
    <cellStyle name="40% - Énfasis3 2 3" xfId="1145"/>
    <cellStyle name="40% - Énfasis3 2 3 10" xfId="4609"/>
    <cellStyle name="40% - Énfasis3 2 3 10 2" xfId="8709"/>
    <cellStyle name="40% - Énfasis3 2 3 11" xfId="6658"/>
    <cellStyle name="40% - Énfasis3 2 3 2" xfId="1146"/>
    <cellStyle name="40% - Énfasis3 2 3 2 2" xfId="1147"/>
    <cellStyle name="40% - Énfasis3 2 3 2 2 2" xfId="1148"/>
    <cellStyle name="40% - Énfasis3 2 3 2 2 2 2" xfId="4612"/>
    <cellStyle name="40% - Énfasis3 2 3 2 2 2 2 2" xfId="8712"/>
    <cellStyle name="40% - Énfasis3 2 3 2 2 2 3" xfId="6661"/>
    <cellStyle name="40% - Énfasis3 2 3 2 2 3" xfId="4611"/>
    <cellStyle name="40% - Énfasis3 2 3 2 2 3 2" xfId="8711"/>
    <cellStyle name="40% - Énfasis3 2 3 2 2 4" xfId="6660"/>
    <cellStyle name="40% - Énfasis3 2 3 2 3" xfId="1149"/>
    <cellStyle name="40% - Énfasis3 2 3 2 3 2" xfId="1150"/>
    <cellStyle name="40% - Énfasis3 2 3 2 3 2 2" xfId="4614"/>
    <cellStyle name="40% - Énfasis3 2 3 2 3 2 2 2" xfId="8714"/>
    <cellStyle name="40% - Énfasis3 2 3 2 3 2 3" xfId="6663"/>
    <cellStyle name="40% - Énfasis3 2 3 2 3 3" xfId="4613"/>
    <cellStyle name="40% - Énfasis3 2 3 2 3 3 2" xfId="8713"/>
    <cellStyle name="40% - Énfasis3 2 3 2 3 4" xfId="6662"/>
    <cellStyle name="40% - Énfasis3 2 3 2 4" xfId="1151"/>
    <cellStyle name="40% - Énfasis3 2 3 2 4 2" xfId="4615"/>
    <cellStyle name="40% - Énfasis3 2 3 2 4 2 2" xfId="8715"/>
    <cellStyle name="40% - Énfasis3 2 3 2 4 3" xfId="6664"/>
    <cellStyle name="40% - Énfasis3 2 3 2 5" xfId="4610"/>
    <cellStyle name="40% - Énfasis3 2 3 2 5 2" xfId="8710"/>
    <cellStyle name="40% - Énfasis3 2 3 2 6" xfId="6659"/>
    <cellStyle name="40% - Énfasis3 2 3 3" xfId="1152"/>
    <cellStyle name="40% - Énfasis3 2 3 3 2" xfId="1153"/>
    <cellStyle name="40% - Énfasis3 2 3 3 2 2" xfId="4617"/>
    <cellStyle name="40% - Énfasis3 2 3 3 2 2 2" xfId="8717"/>
    <cellStyle name="40% - Énfasis3 2 3 3 2 3" xfId="6666"/>
    <cellStyle name="40% - Énfasis3 2 3 3 3" xfId="4616"/>
    <cellStyle name="40% - Énfasis3 2 3 3 3 2" xfId="8716"/>
    <cellStyle name="40% - Énfasis3 2 3 3 4" xfId="6665"/>
    <cellStyle name="40% - Énfasis3 2 3 4" xfId="1154"/>
    <cellStyle name="40% - Énfasis3 2 3 4 2" xfId="1155"/>
    <cellStyle name="40% - Énfasis3 2 3 4 2 2" xfId="4619"/>
    <cellStyle name="40% - Énfasis3 2 3 4 2 2 2" xfId="8719"/>
    <cellStyle name="40% - Énfasis3 2 3 4 2 3" xfId="6668"/>
    <cellStyle name="40% - Énfasis3 2 3 4 3" xfId="4618"/>
    <cellStyle name="40% - Énfasis3 2 3 4 3 2" xfId="8718"/>
    <cellStyle name="40% - Énfasis3 2 3 4 4" xfId="6667"/>
    <cellStyle name="40% - Énfasis3 2 3 5" xfId="1156"/>
    <cellStyle name="40% - Énfasis3 2 3 5 2" xfId="1157"/>
    <cellStyle name="40% - Énfasis3 2 3 5 2 2" xfId="4621"/>
    <cellStyle name="40% - Énfasis3 2 3 5 2 2 2" xfId="8721"/>
    <cellStyle name="40% - Énfasis3 2 3 5 2 3" xfId="6670"/>
    <cellStyle name="40% - Énfasis3 2 3 5 3" xfId="4620"/>
    <cellStyle name="40% - Énfasis3 2 3 5 3 2" xfId="8720"/>
    <cellStyle name="40% - Énfasis3 2 3 5 4" xfId="6669"/>
    <cellStyle name="40% - Énfasis3 2 3 6" xfId="1158"/>
    <cellStyle name="40% - Énfasis3 2 3 6 2" xfId="1159"/>
    <cellStyle name="40% - Énfasis3 2 3 6 2 2" xfId="4623"/>
    <cellStyle name="40% - Énfasis3 2 3 6 2 2 2" xfId="8723"/>
    <cellStyle name="40% - Énfasis3 2 3 6 2 3" xfId="6672"/>
    <cellStyle name="40% - Énfasis3 2 3 6 3" xfId="4622"/>
    <cellStyle name="40% - Énfasis3 2 3 6 3 2" xfId="8722"/>
    <cellStyle name="40% - Énfasis3 2 3 6 4" xfId="6671"/>
    <cellStyle name="40% - Énfasis3 2 3 7" xfId="1160"/>
    <cellStyle name="40% - Énfasis3 2 3 7 2" xfId="1161"/>
    <cellStyle name="40% - Énfasis3 2 3 7 2 2" xfId="4625"/>
    <cellStyle name="40% - Énfasis3 2 3 7 2 2 2" xfId="8725"/>
    <cellStyle name="40% - Énfasis3 2 3 7 2 3" xfId="6674"/>
    <cellStyle name="40% - Énfasis3 2 3 7 3" xfId="4624"/>
    <cellStyle name="40% - Énfasis3 2 3 7 3 2" xfId="8724"/>
    <cellStyle name="40% - Énfasis3 2 3 7 4" xfId="6673"/>
    <cellStyle name="40% - Énfasis3 2 3 8" xfId="1162"/>
    <cellStyle name="40% - Énfasis3 2 3 8 2" xfId="1163"/>
    <cellStyle name="40% - Énfasis3 2 3 8 2 2" xfId="4627"/>
    <cellStyle name="40% - Énfasis3 2 3 8 2 2 2" xfId="8727"/>
    <cellStyle name="40% - Énfasis3 2 3 8 2 3" xfId="6676"/>
    <cellStyle name="40% - Énfasis3 2 3 8 3" xfId="4626"/>
    <cellStyle name="40% - Énfasis3 2 3 8 3 2" xfId="8726"/>
    <cellStyle name="40% - Énfasis3 2 3 8 4" xfId="6675"/>
    <cellStyle name="40% - Énfasis3 2 3 9" xfId="1164"/>
    <cellStyle name="40% - Énfasis3 2 3 9 2" xfId="4628"/>
    <cellStyle name="40% - Énfasis3 2 3 9 2 2" xfId="8728"/>
    <cellStyle name="40% - Énfasis3 2 3 9 3" xfId="6677"/>
    <cellStyle name="40% - Énfasis3 2 4" xfId="1165"/>
    <cellStyle name="40% - Énfasis3 2 4 2" xfId="1166"/>
    <cellStyle name="40% - Énfasis3 2 4 2 2" xfId="1167"/>
    <cellStyle name="40% - Énfasis3 2 4 2 2 2" xfId="4631"/>
    <cellStyle name="40% - Énfasis3 2 4 2 2 2 2" xfId="8731"/>
    <cellStyle name="40% - Énfasis3 2 4 2 2 3" xfId="6680"/>
    <cellStyle name="40% - Énfasis3 2 4 2 3" xfId="4630"/>
    <cellStyle name="40% - Énfasis3 2 4 2 3 2" xfId="8730"/>
    <cellStyle name="40% - Énfasis3 2 4 2 4" xfId="6679"/>
    <cellStyle name="40% - Énfasis3 2 4 3" xfId="1168"/>
    <cellStyle name="40% - Énfasis3 2 4 3 2" xfId="1169"/>
    <cellStyle name="40% - Énfasis3 2 4 3 2 2" xfId="4633"/>
    <cellStyle name="40% - Énfasis3 2 4 3 2 2 2" xfId="8733"/>
    <cellStyle name="40% - Énfasis3 2 4 3 2 3" xfId="6682"/>
    <cellStyle name="40% - Énfasis3 2 4 3 3" xfId="4632"/>
    <cellStyle name="40% - Énfasis3 2 4 3 3 2" xfId="8732"/>
    <cellStyle name="40% - Énfasis3 2 4 3 4" xfId="6681"/>
    <cellStyle name="40% - Énfasis3 2 4 4" xfId="1170"/>
    <cellStyle name="40% - Énfasis3 2 4 4 2" xfId="4634"/>
    <cellStyle name="40% - Énfasis3 2 4 4 2 2" xfId="8734"/>
    <cellStyle name="40% - Énfasis3 2 4 4 3" xfId="6683"/>
    <cellStyle name="40% - Énfasis3 2 4 5" xfId="4629"/>
    <cellStyle name="40% - Énfasis3 2 4 5 2" xfId="8729"/>
    <cellStyle name="40% - Énfasis3 2 4 6" xfId="6678"/>
    <cellStyle name="40% - Énfasis3 2 5" xfId="1171"/>
    <cellStyle name="40% - Énfasis3 2 5 2" xfId="1172"/>
    <cellStyle name="40% - Énfasis3 2 5 2 2" xfId="4636"/>
    <cellStyle name="40% - Énfasis3 2 5 2 2 2" xfId="8736"/>
    <cellStyle name="40% - Énfasis3 2 5 2 3" xfId="6685"/>
    <cellStyle name="40% - Énfasis3 2 5 3" xfId="4635"/>
    <cellStyle name="40% - Énfasis3 2 5 3 2" xfId="8735"/>
    <cellStyle name="40% - Énfasis3 2 5 4" xfId="6684"/>
    <cellStyle name="40% - Énfasis3 2 6" xfId="1173"/>
    <cellStyle name="40% - Énfasis3 2 6 2" xfId="1174"/>
    <cellStyle name="40% - Énfasis3 2 6 2 2" xfId="4638"/>
    <cellStyle name="40% - Énfasis3 2 6 2 2 2" xfId="8738"/>
    <cellStyle name="40% - Énfasis3 2 6 2 3" xfId="6687"/>
    <cellStyle name="40% - Énfasis3 2 6 3" xfId="4637"/>
    <cellStyle name="40% - Énfasis3 2 6 3 2" xfId="8737"/>
    <cellStyle name="40% - Énfasis3 2 6 4" xfId="6686"/>
    <cellStyle name="40% - Énfasis3 2 7" xfId="1175"/>
    <cellStyle name="40% - Énfasis3 2 7 2" xfId="1176"/>
    <cellStyle name="40% - Énfasis3 2 7 2 2" xfId="4640"/>
    <cellStyle name="40% - Énfasis3 2 7 2 2 2" xfId="8740"/>
    <cellStyle name="40% - Énfasis3 2 7 2 3" xfId="6689"/>
    <cellStyle name="40% - Énfasis3 2 7 3" xfId="4639"/>
    <cellStyle name="40% - Énfasis3 2 7 3 2" xfId="8739"/>
    <cellStyle name="40% - Énfasis3 2 7 4" xfId="6688"/>
    <cellStyle name="40% - Énfasis3 2 8" xfId="1177"/>
    <cellStyle name="40% - Énfasis3 2 8 2" xfId="1178"/>
    <cellStyle name="40% - Énfasis3 2 8 2 2" xfId="4642"/>
    <cellStyle name="40% - Énfasis3 2 8 2 2 2" xfId="8742"/>
    <cellStyle name="40% - Énfasis3 2 8 2 3" xfId="6691"/>
    <cellStyle name="40% - Énfasis3 2 8 3" xfId="4641"/>
    <cellStyle name="40% - Énfasis3 2 8 3 2" xfId="8741"/>
    <cellStyle name="40% - Énfasis3 2 8 4" xfId="6690"/>
    <cellStyle name="40% - Énfasis3 2 9" xfId="1179"/>
    <cellStyle name="40% - Énfasis3 2 9 2" xfId="1180"/>
    <cellStyle name="40% - Énfasis3 2 9 2 2" xfId="4644"/>
    <cellStyle name="40% - Énfasis3 2 9 2 2 2" xfId="8744"/>
    <cellStyle name="40% - Énfasis3 2 9 2 3" xfId="6693"/>
    <cellStyle name="40% - Énfasis3 2 9 3" xfId="4643"/>
    <cellStyle name="40% - Énfasis3 2 9 3 2" xfId="8743"/>
    <cellStyle name="40% - Énfasis3 2 9 4" xfId="6692"/>
    <cellStyle name="40% - Énfasis3 3" xfId="1181"/>
    <cellStyle name="40% - Énfasis3 3 10" xfId="1182"/>
    <cellStyle name="40% - Énfasis3 3 10 2" xfId="1183"/>
    <cellStyle name="40% - Énfasis3 3 10 2 2" xfId="4647"/>
    <cellStyle name="40% - Énfasis3 3 10 2 2 2" xfId="8747"/>
    <cellStyle name="40% - Énfasis3 3 10 2 3" xfId="6696"/>
    <cellStyle name="40% - Énfasis3 3 10 3" xfId="4646"/>
    <cellStyle name="40% - Énfasis3 3 10 3 2" xfId="8746"/>
    <cellStyle name="40% - Énfasis3 3 10 4" xfId="6695"/>
    <cellStyle name="40% - Énfasis3 3 11" xfId="1184"/>
    <cellStyle name="40% - Énfasis3 3 11 2" xfId="4648"/>
    <cellStyle name="40% - Énfasis3 3 11 2 2" xfId="8748"/>
    <cellStyle name="40% - Énfasis3 3 11 3" xfId="6697"/>
    <cellStyle name="40% - Énfasis3 3 12" xfId="4645"/>
    <cellStyle name="40% - Énfasis3 3 12 2" xfId="8745"/>
    <cellStyle name="40% - Énfasis3 3 13" xfId="6694"/>
    <cellStyle name="40% - Énfasis3 3 2" xfId="1185"/>
    <cellStyle name="40% - Énfasis3 3 2 10" xfId="4649"/>
    <cellStyle name="40% - Énfasis3 3 2 10 2" xfId="8749"/>
    <cellStyle name="40% - Énfasis3 3 2 11" xfId="6698"/>
    <cellStyle name="40% - Énfasis3 3 2 2" xfId="1186"/>
    <cellStyle name="40% - Énfasis3 3 2 2 2" xfId="1187"/>
    <cellStyle name="40% - Énfasis3 3 2 2 2 2" xfId="1188"/>
    <cellStyle name="40% - Énfasis3 3 2 2 2 2 2" xfId="4652"/>
    <cellStyle name="40% - Énfasis3 3 2 2 2 2 2 2" xfId="8752"/>
    <cellStyle name="40% - Énfasis3 3 2 2 2 2 3" xfId="6701"/>
    <cellStyle name="40% - Énfasis3 3 2 2 2 3" xfId="4651"/>
    <cellStyle name="40% - Énfasis3 3 2 2 2 3 2" xfId="8751"/>
    <cellStyle name="40% - Énfasis3 3 2 2 2 4" xfId="6700"/>
    <cellStyle name="40% - Énfasis3 3 2 2 3" xfId="1189"/>
    <cellStyle name="40% - Énfasis3 3 2 2 3 2" xfId="1190"/>
    <cellStyle name="40% - Énfasis3 3 2 2 3 2 2" xfId="4654"/>
    <cellStyle name="40% - Énfasis3 3 2 2 3 2 2 2" xfId="8754"/>
    <cellStyle name="40% - Énfasis3 3 2 2 3 2 3" xfId="6703"/>
    <cellStyle name="40% - Énfasis3 3 2 2 3 3" xfId="4653"/>
    <cellStyle name="40% - Énfasis3 3 2 2 3 3 2" xfId="8753"/>
    <cellStyle name="40% - Énfasis3 3 2 2 3 4" xfId="6702"/>
    <cellStyle name="40% - Énfasis3 3 2 2 4" xfId="1191"/>
    <cellStyle name="40% - Énfasis3 3 2 2 4 2" xfId="4655"/>
    <cellStyle name="40% - Énfasis3 3 2 2 4 2 2" xfId="8755"/>
    <cellStyle name="40% - Énfasis3 3 2 2 4 3" xfId="6704"/>
    <cellStyle name="40% - Énfasis3 3 2 2 5" xfId="4650"/>
    <cellStyle name="40% - Énfasis3 3 2 2 5 2" xfId="8750"/>
    <cellStyle name="40% - Énfasis3 3 2 2 6" xfId="6699"/>
    <cellStyle name="40% - Énfasis3 3 2 3" xfId="1192"/>
    <cellStyle name="40% - Énfasis3 3 2 3 2" xfId="1193"/>
    <cellStyle name="40% - Énfasis3 3 2 3 2 2" xfId="4657"/>
    <cellStyle name="40% - Énfasis3 3 2 3 2 2 2" xfId="8757"/>
    <cellStyle name="40% - Énfasis3 3 2 3 2 3" xfId="6706"/>
    <cellStyle name="40% - Énfasis3 3 2 3 3" xfId="4656"/>
    <cellStyle name="40% - Énfasis3 3 2 3 3 2" xfId="8756"/>
    <cellStyle name="40% - Énfasis3 3 2 3 4" xfId="6705"/>
    <cellStyle name="40% - Énfasis3 3 2 4" xfId="1194"/>
    <cellStyle name="40% - Énfasis3 3 2 4 2" xfId="1195"/>
    <cellStyle name="40% - Énfasis3 3 2 4 2 2" xfId="4659"/>
    <cellStyle name="40% - Énfasis3 3 2 4 2 2 2" xfId="8759"/>
    <cellStyle name="40% - Énfasis3 3 2 4 2 3" xfId="6708"/>
    <cellStyle name="40% - Énfasis3 3 2 4 3" xfId="4658"/>
    <cellStyle name="40% - Énfasis3 3 2 4 3 2" xfId="8758"/>
    <cellStyle name="40% - Énfasis3 3 2 4 4" xfId="6707"/>
    <cellStyle name="40% - Énfasis3 3 2 5" xfId="1196"/>
    <cellStyle name="40% - Énfasis3 3 2 5 2" xfId="1197"/>
    <cellStyle name="40% - Énfasis3 3 2 5 2 2" xfId="4661"/>
    <cellStyle name="40% - Énfasis3 3 2 5 2 2 2" xfId="8761"/>
    <cellStyle name="40% - Énfasis3 3 2 5 2 3" xfId="6710"/>
    <cellStyle name="40% - Énfasis3 3 2 5 3" xfId="4660"/>
    <cellStyle name="40% - Énfasis3 3 2 5 3 2" xfId="8760"/>
    <cellStyle name="40% - Énfasis3 3 2 5 4" xfId="6709"/>
    <cellStyle name="40% - Énfasis3 3 2 6" xfId="1198"/>
    <cellStyle name="40% - Énfasis3 3 2 6 2" xfId="1199"/>
    <cellStyle name="40% - Énfasis3 3 2 6 2 2" xfId="4663"/>
    <cellStyle name="40% - Énfasis3 3 2 6 2 2 2" xfId="8763"/>
    <cellStyle name="40% - Énfasis3 3 2 6 2 3" xfId="6712"/>
    <cellStyle name="40% - Énfasis3 3 2 6 3" xfId="4662"/>
    <cellStyle name="40% - Énfasis3 3 2 6 3 2" xfId="8762"/>
    <cellStyle name="40% - Énfasis3 3 2 6 4" xfId="6711"/>
    <cellStyle name="40% - Énfasis3 3 2 7" xfId="1200"/>
    <cellStyle name="40% - Énfasis3 3 2 7 2" xfId="1201"/>
    <cellStyle name="40% - Énfasis3 3 2 7 2 2" xfId="4665"/>
    <cellStyle name="40% - Énfasis3 3 2 7 2 2 2" xfId="8765"/>
    <cellStyle name="40% - Énfasis3 3 2 7 2 3" xfId="6714"/>
    <cellStyle name="40% - Énfasis3 3 2 7 3" xfId="4664"/>
    <cellStyle name="40% - Énfasis3 3 2 7 3 2" xfId="8764"/>
    <cellStyle name="40% - Énfasis3 3 2 7 4" xfId="6713"/>
    <cellStyle name="40% - Énfasis3 3 2 8" xfId="1202"/>
    <cellStyle name="40% - Énfasis3 3 2 8 2" xfId="1203"/>
    <cellStyle name="40% - Énfasis3 3 2 8 2 2" xfId="4667"/>
    <cellStyle name="40% - Énfasis3 3 2 8 2 2 2" xfId="8767"/>
    <cellStyle name="40% - Énfasis3 3 2 8 2 3" xfId="6716"/>
    <cellStyle name="40% - Énfasis3 3 2 8 3" xfId="4666"/>
    <cellStyle name="40% - Énfasis3 3 2 8 3 2" xfId="8766"/>
    <cellStyle name="40% - Énfasis3 3 2 8 4" xfId="6715"/>
    <cellStyle name="40% - Énfasis3 3 2 9" xfId="1204"/>
    <cellStyle name="40% - Énfasis3 3 2 9 2" xfId="4668"/>
    <cellStyle name="40% - Énfasis3 3 2 9 2 2" xfId="8768"/>
    <cellStyle name="40% - Énfasis3 3 2 9 3" xfId="6717"/>
    <cellStyle name="40% - Énfasis3 3 3" xfId="1205"/>
    <cellStyle name="40% - Énfasis3 3 3 10" xfId="4669"/>
    <cellStyle name="40% - Énfasis3 3 3 10 2" xfId="8769"/>
    <cellStyle name="40% - Énfasis3 3 3 11" xfId="6718"/>
    <cellStyle name="40% - Énfasis3 3 3 2" xfId="1206"/>
    <cellStyle name="40% - Énfasis3 3 3 2 2" xfId="1207"/>
    <cellStyle name="40% - Énfasis3 3 3 2 2 2" xfId="1208"/>
    <cellStyle name="40% - Énfasis3 3 3 2 2 2 2" xfId="4672"/>
    <cellStyle name="40% - Énfasis3 3 3 2 2 2 2 2" xfId="8772"/>
    <cellStyle name="40% - Énfasis3 3 3 2 2 2 3" xfId="6721"/>
    <cellStyle name="40% - Énfasis3 3 3 2 2 3" xfId="4671"/>
    <cellStyle name="40% - Énfasis3 3 3 2 2 3 2" xfId="8771"/>
    <cellStyle name="40% - Énfasis3 3 3 2 2 4" xfId="6720"/>
    <cellStyle name="40% - Énfasis3 3 3 2 3" xfId="1209"/>
    <cellStyle name="40% - Énfasis3 3 3 2 3 2" xfId="1210"/>
    <cellStyle name="40% - Énfasis3 3 3 2 3 2 2" xfId="4674"/>
    <cellStyle name="40% - Énfasis3 3 3 2 3 2 2 2" xfId="8774"/>
    <cellStyle name="40% - Énfasis3 3 3 2 3 2 3" xfId="6723"/>
    <cellStyle name="40% - Énfasis3 3 3 2 3 3" xfId="4673"/>
    <cellStyle name="40% - Énfasis3 3 3 2 3 3 2" xfId="8773"/>
    <cellStyle name="40% - Énfasis3 3 3 2 3 4" xfId="6722"/>
    <cellStyle name="40% - Énfasis3 3 3 2 4" xfId="1211"/>
    <cellStyle name="40% - Énfasis3 3 3 2 4 2" xfId="4675"/>
    <cellStyle name="40% - Énfasis3 3 3 2 4 2 2" xfId="8775"/>
    <cellStyle name="40% - Énfasis3 3 3 2 4 3" xfId="6724"/>
    <cellStyle name="40% - Énfasis3 3 3 2 5" xfId="4670"/>
    <cellStyle name="40% - Énfasis3 3 3 2 5 2" xfId="8770"/>
    <cellStyle name="40% - Énfasis3 3 3 2 6" xfId="6719"/>
    <cellStyle name="40% - Énfasis3 3 3 3" xfId="1212"/>
    <cellStyle name="40% - Énfasis3 3 3 3 2" xfId="1213"/>
    <cellStyle name="40% - Énfasis3 3 3 3 2 2" xfId="4677"/>
    <cellStyle name="40% - Énfasis3 3 3 3 2 2 2" xfId="8777"/>
    <cellStyle name="40% - Énfasis3 3 3 3 2 3" xfId="6726"/>
    <cellStyle name="40% - Énfasis3 3 3 3 3" xfId="4676"/>
    <cellStyle name="40% - Énfasis3 3 3 3 3 2" xfId="8776"/>
    <cellStyle name="40% - Énfasis3 3 3 3 4" xfId="6725"/>
    <cellStyle name="40% - Énfasis3 3 3 4" xfId="1214"/>
    <cellStyle name="40% - Énfasis3 3 3 4 2" xfId="1215"/>
    <cellStyle name="40% - Énfasis3 3 3 4 2 2" xfId="4679"/>
    <cellStyle name="40% - Énfasis3 3 3 4 2 2 2" xfId="8779"/>
    <cellStyle name="40% - Énfasis3 3 3 4 2 3" xfId="6728"/>
    <cellStyle name="40% - Énfasis3 3 3 4 3" xfId="4678"/>
    <cellStyle name="40% - Énfasis3 3 3 4 3 2" xfId="8778"/>
    <cellStyle name="40% - Énfasis3 3 3 4 4" xfId="6727"/>
    <cellStyle name="40% - Énfasis3 3 3 5" xfId="1216"/>
    <cellStyle name="40% - Énfasis3 3 3 5 2" xfId="1217"/>
    <cellStyle name="40% - Énfasis3 3 3 5 2 2" xfId="4681"/>
    <cellStyle name="40% - Énfasis3 3 3 5 2 2 2" xfId="8781"/>
    <cellStyle name="40% - Énfasis3 3 3 5 2 3" xfId="6730"/>
    <cellStyle name="40% - Énfasis3 3 3 5 3" xfId="4680"/>
    <cellStyle name="40% - Énfasis3 3 3 5 3 2" xfId="8780"/>
    <cellStyle name="40% - Énfasis3 3 3 5 4" xfId="6729"/>
    <cellStyle name="40% - Énfasis3 3 3 6" xfId="1218"/>
    <cellStyle name="40% - Énfasis3 3 3 6 2" xfId="1219"/>
    <cellStyle name="40% - Énfasis3 3 3 6 2 2" xfId="4683"/>
    <cellStyle name="40% - Énfasis3 3 3 6 2 2 2" xfId="8783"/>
    <cellStyle name="40% - Énfasis3 3 3 6 2 3" xfId="6732"/>
    <cellStyle name="40% - Énfasis3 3 3 6 3" xfId="4682"/>
    <cellStyle name="40% - Énfasis3 3 3 6 3 2" xfId="8782"/>
    <cellStyle name="40% - Énfasis3 3 3 6 4" xfId="6731"/>
    <cellStyle name="40% - Énfasis3 3 3 7" xfId="1220"/>
    <cellStyle name="40% - Énfasis3 3 3 7 2" xfId="1221"/>
    <cellStyle name="40% - Énfasis3 3 3 7 2 2" xfId="4685"/>
    <cellStyle name="40% - Énfasis3 3 3 7 2 2 2" xfId="8785"/>
    <cellStyle name="40% - Énfasis3 3 3 7 2 3" xfId="6734"/>
    <cellStyle name="40% - Énfasis3 3 3 7 3" xfId="4684"/>
    <cellStyle name="40% - Énfasis3 3 3 7 3 2" xfId="8784"/>
    <cellStyle name="40% - Énfasis3 3 3 7 4" xfId="6733"/>
    <cellStyle name="40% - Énfasis3 3 3 8" xfId="1222"/>
    <cellStyle name="40% - Énfasis3 3 3 8 2" xfId="1223"/>
    <cellStyle name="40% - Énfasis3 3 3 8 2 2" xfId="4687"/>
    <cellStyle name="40% - Énfasis3 3 3 8 2 2 2" xfId="8787"/>
    <cellStyle name="40% - Énfasis3 3 3 8 2 3" xfId="6736"/>
    <cellStyle name="40% - Énfasis3 3 3 8 3" xfId="4686"/>
    <cellStyle name="40% - Énfasis3 3 3 8 3 2" xfId="8786"/>
    <cellStyle name="40% - Énfasis3 3 3 8 4" xfId="6735"/>
    <cellStyle name="40% - Énfasis3 3 3 9" xfId="1224"/>
    <cellStyle name="40% - Énfasis3 3 3 9 2" xfId="4688"/>
    <cellStyle name="40% - Énfasis3 3 3 9 2 2" xfId="8788"/>
    <cellStyle name="40% - Énfasis3 3 3 9 3" xfId="6737"/>
    <cellStyle name="40% - Énfasis3 3 4" xfId="1225"/>
    <cellStyle name="40% - Énfasis3 3 4 2" xfId="1226"/>
    <cellStyle name="40% - Énfasis3 3 4 2 2" xfId="1227"/>
    <cellStyle name="40% - Énfasis3 3 4 2 2 2" xfId="4691"/>
    <cellStyle name="40% - Énfasis3 3 4 2 2 2 2" xfId="8791"/>
    <cellStyle name="40% - Énfasis3 3 4 2 2 3" xfId="6740"/>
    <cellStyle name="40% - Énfasis3 3 4 2 3" xfId="4690"/>
    <cellStyle name="40% - Énfasis3 3 4 2 3 2" xfId="8790"/>
    <cellStyle name="40% - Énfasis3 3 4 2 4" xfId="6739"/>
    <cellStyle name="40% - Énfasis3 3 4 3" xfId="1228"/>
    <cellStyle name="40% - Énfasis3 3 4 3 2" xfId="1229"/>
    <cellStyle name="40% - Énfasis3 3 4 3 2 2" xfId="4693"/>
    <cellStyle name="40% - Énfasis3 3 4 3 2 2 2" xfId="8793"/>
    <cellStyle name="40% - Énfasis3 3 4 3 2 3" xfId="6742"/>
    <cellStyle name="40% - Énfasis3 3 4 3 3" xfId="4692"/>
    <cellStyle name="40% - Énfasis3 3 4 3 3 2" xfId="8792"/>
    <cellStyle name="40% - Énfasis3 3 4 3 4" xfId="6741"/>
    <cellStyle name="40% - Énfasis3 3 4 4" xfId="1230"/>
    <cellStyle name="40% - Énfasis3 3 4 4 2" xfId="4694"/>
    <cellStyle name="40% - Énfasis3 3 4 4 2 2" xfId="8794"/>
    <cellStyle name="40% - Énfasis3 3 4 4 3" xfId="6743"/>
    <cellStyle name="40% - Énfasis3 3 4 5" xfId="4689"/>
    <cellStyle name="40% - Énfasis3 3 4 5 2" xfId="8789"/>
    <cellStyle name="40% - Énfasis3 3 4 6" xfId="6738"/>
    <cellStyle name="40% - Énfasis3 3 5" xfId="1231"/>
    <cellStyle name="40% - Énfasis3 3 5 2" xfId="1232"/>
    <cellStyle name="40% - Énfasis3 3 5 2 2" xfId="4696"/>
    <cellStyle name="40% - Énfasis3 3 5 2 2 2" xfId="8796"/>
    <cellStyle name="40% - Énfasis3 3 5 2 3" xfId="6745"/>
    <cellStyle name="40% - Énfasis3 3 5 3" xfId="4695"/>
    <cellStyle name="40% - Énfasis3 3 5 3 2" xfId="8795"/>
    <cellStyle name="40% - Énfasis3 3 5 4" xfId="6744"/>
    <cellStyle name="40% - Énfasis3 3 6" xfId="1233"/>
    <cellStyle name="40% - Énfasis3 3 6 2" xfId="1234"/>
    <cellStyle name="40% - Énfasis3 3 6 2 2" xfId="4698"/>
    <cellStyle name="40% - Énfasis3 3 6 2 2 2" xfId="8798"/>
    <cellStyle name="40% - Énfasis3 3 6 2 3" xfId="6747"/>
    <cellStyle name="40% - Énfasis3 3 6 3" xfId="4697"/>
    <cellStyle name="40% - Énfasis3 3 6 3 2" xfId="8797"/>
    <cellStyle name="40% - Énfasis3 3 6 4" xfId="6746"/>
    <cellStyle name="40% - Énfasis3 3 7" xfId="1235"/>
    <cellStyle name="40% - Énfasis3 3 7 2" xfId="1236"/>
    <cellStyle name="40% - Énfasis3 3 7 2 2" xfId="4700"/>
    <cellStyle name="40% - Énfasis3 3 7 2 2 2" xfId="8800"/>
    <cellStyle name="40% - Énfasis3 3 7 2 3" xfId="6749"/>
    <cellStyle name="40% - Énfasis3 3 7 3" xfId="4699"/>
    <cellStyle name="40% - Énfasis3 3 7 3 2" xfId="8799"/>
    <cellStyle name="40% - Énfasis3 3 7 4" xfId="6748"/>
    <cellStyle name="40% - Énfasis3 3 8" xfId="1237"/>
    <cellStyle name="40% - Énfasis3 3 8 2" xfId="1238"/>
    <cellStyle name="40% - Énfasis3 3 8 2 2" xfId="4702"/>
    <cellStyle name="40% - Énfasis3 3 8 2 2 2" xfId="8802"/>
    <cellStyle name="40% - Énfasis3 3 8 2 3" xfId="6751"/>
    <cellStyle name="40% - Énfasis3 3 8 3" xfId="4701"/>
    <cellStyle name="40% - Énfasis3 3 8 3 2" xfId="8801"/>
    <cellStyle name="40% - Énfasis3 3 8 4" xfId="6750"/>
    <cellStyle name="40% - Énfasis3 3 9" xfId="1239"/>
    <cellStyle name="40% - Énfasis3 3 9 2" xfId="1240"/>
    <cellStyle name="40% - Énfasis3 3 9 2 2" xfId="4704"/>
    <cellStyle name="40% - Énfasis3 3 9 2 2 2" xfId="8804"/>
    <cellStyle name="40% - Énfasis3 3 9 2 3" xfId="6753"/>
    <cellStyle name="40% - Énfasis3 3 9 3" xfId="4703"/>
    <cellStyle name="40% - Énfasis3 3 9 3 2" xfId="8803"/>
    <cellStyle name="40% - Énfasis3 3 9 4" xfId="6752"/>
    <cellStyle name="40% - Énfasis3 4" xfId="1241"/>
    <cellStyle name="40% - Énfasis3 4 10" xfId="4705"/>
    <cellStyle name="40% - Énfasis3 4 10 2" xfId="8805"/>
    <cellStyle name="40% - Énfasis3 4 11" xfId="6754"/>
    <cellStyle name="40% - Énfasis3 4 2" xfId="1242"/>
    <cellStyle name="40% - Énfasis3 4 2 2" xfId="1243"/>
    <cellStyle name="40% - Énfasis3 4 2 2 2" xfId="1244"/>
    <cellStyle name="40% - Énfasis3 4 2 2 2 2" xfId="4708"/>
    <cellStyle name="40% - Énfasis3 4 2 2 2 2 2" xfId="8808"/>
    <cellStyle name="40% - Énfasis3 4 2 2 2 3" xfId="6757"/>
    <cellStyle name="40% - Énfasis3 4 2 2 3" xfId="4707"/>
    <cellStyle name="40% - Énfasis3 4 2 2 3 2" xfId="8807"/>
    <cellStyle name="40% - Énfasis3 4 2 2 4" xfId="6756"/>
    <cellStyle name="40% - Énfasis3 4 2 3" xfId="1245"/>
    <cellStyle name="40% - Énfasis3 4 2 3 2" xfId="1246"/>
    <cellStyle name="40% - Énfasis3 4 2 3 2 2" xfId="4710"/>
    <cellStyle name="40% - Énfasis3 4 2 3 2 2 2" xfId="8810"/>
    <cellStyle name="40% - Énfasis3 4 2 3 2 3" xfId="6759"/>
    <cellStyle name="40% - Énfasis3 4 2 3 3" xfId="4709"/>
    <cellStyle name="40% - Énfasis3 4 2 3 3 2" xfId="8809"/>
    <cellStyle name="40% - Énfasis3 4 2 3 4" xfId="6758"/>
    <cellStyle name="40% - Énfasis3 4 2 4" xfId="1247"/>
    <cellStyle name="40% - Énfasis3 4 2 4 2" xfId="4711"/>
    <cellStyle name="40% - Énfasis3 4 2 4 2 2" xfId="8811"/>
    <cellStyle name="40% - Énfasis3 4 2 4 3" xfId="6760"/>
    <cellStyle name="40% - Énfasis3 4 2 5" xfId="4706"/>
    <cellStyle name="40% - Énfasis3 4 2 5 2" xfId="8806"/>
    <cellStyle name="40% - Énfasis3 4 2 6" xfId="6755"/>
    <cellStyle name="40% - Énfasis3 4 3" xfId="1248"/>
    <cellStyle name="40% - Énfasis3 4 3 2" xfId="1249"/>
    <cellStyle name="40% - Énfasis3 4 3 2 2" xfId="4713"/>
    <cellStyle name="40% - Énfasis3 4 3 2 2 2" xfId="8813"/>
    <cellStyle name="40% - Énfasis3 4 3 2 3" xfId="6762"/>
    <cellStyle name="40% - Énfasis3 4 3 3" xfId="4712"/>
    <cellStyle name="40% - Énfasis3 4 3 3 2" xfId="8812"/>
    <cellStyle name="40% - Énfasis3 4 3 4" xfId="6761"/>
    <cellStyle name="40% - Énfasis3 4 4" xfId="1250"/>
    <cellStyle name="40% - Énfasis3 4 4 2" xfId="1251"/>
    <cellStyle name="40% - Énfasis3 4 4 2 2" xfId="4715"/>
    <cellStyle name="40% - Énfasis3 4 4 2 2 2" xfId="8815"/>
    <cellStyle name="40% - Énfasis3 4 4 2 3" xfId="6764"/>
    <cellStyle name="40% - Énfasis3 4 4 3" xfId="4714"/>
    <cellStyle name="40% - Énfasis3 4 4 3 2" xfId="8814"/>
    <cellStyle name="40% - Énfasis3 4 4 4" xfId="6763"/>
    <cellStyle name="40% - Énfasis3 4 5" xfId="1252"/>
    <cellStyle name="40% - Énfasis3 4 5 2" xfId="1253"/>
    <cellStyle name="40% - Énfasis3 4 5 2 2" xfId="4717"/>
    <cellStyle name="40% - Énfasis3 4 5 2 2 2" xfId="8817"/>
    <cellStyle name="40% - Énfasis3 4 5 2 3" xfId="6766"/>
    <cellStyle name="40% - Énfasis3 4 5 3" xfId="4716"/>
    <cellStyle name="40% - Énfasis3 4 5 3 2" xfId="8816"/>
    <cellStyle name="40% - Énfasis3 4 5 4" xfId="6765"/>
    <cellStyle name="40% - Énfasis3 4 6" xfId="1254"/>
    <cellStyle name="40% - Énfasis3 4 6 2" xfId="1255"/>
    <cellStyle name="40% - Énfasis3 4 6 2 2" xfId="4719"/>
    <cellStyle name="40% - Énfasis3 4 6 2 2 2" xfId="8819"/>
    <cellStyle name="40% - Énfasis3 4 6 2 3" xfId="6768"/>
    <cellStyle name="40% - Énfasis3 4 6 3" xfId="4718"/>
    <cellStyle name="40% - Énfasis3 4 6 3 2" xfId="8818"/>
    <cellStyle name="40% - Énfasis3 4 6 4" xfId="6767"/>
    <cellStyle name="40% - Énfasis3 4 7" xfId="1256"/>
    <cellStyle name="40% - Énfasis3 4 7 2" xfId="1257"/>
    <cellStyle name="40% - Énfasis3 4 7 2 2" xfId="4721"/>
    <cellStyle name="40% - Énfasis3 4 7 2 2 2" xfId="8821"/>
    <cellStyle name="40% - Énfasis3 4 7 2 3" xfId="6770"/>
    <cellStyle name="40% - Énfasis3 4 7 3" xfId="4720"/>
    <cellStyle name="40% - Énfasis3 4 7 3 2" xfId="8820"/>
    <cellStyle name="40% - Énfasis3 4 7 4" xfId="6769"/>
    <cellStyle name="40% - Énfasis3 4 8" xfId="1258"/>
    <cellStyle name="40% - Énfasis3 4 8 2" xfId="1259"/>
    <cellStyle name="40% - Énfasis3 4 8 2 2" xfId="4723"/>
    <cellStyle name="40% - Énfasis3 4 8 2 2 2" xfId="8823"/>
    <cellStyle name="40% - Énfasis3 4 8 2 3" xfId="6772"/>
    <cellStyle name="40% - Énfasis3 4 8 3" xfId="4722"/>
    <cellStyle name="40% - Énfasis3 4 8 3 2" xfId="8822"/>
    <cellStyle name="40% - Énfasis3 4 8 4" xfId="6771"/>
    <cellStyle name="40% - Énfasis3 4 9" xfId="1260"/>
    <cellStyle name="40% - Énfasis3 4 9 2" xfId="4724"/>
    <cellStyle name="40% - Énfasis3 4 9 2 2" xfId="8824"/>
    <cellStyle name="40% - Énfasis3 4 9 3" xfId="6773"/>
    <cellStyle name="40% - Énfasis3 5" xfId="1261"/>
    <cellStyle name="40% - Énfasis3 5 10" xfId="4725"/>
    <cellStyle name="40% - Énfasis3 5 10 2" xfId="8825"/>
    <cellStyle name="40% - Énfasis3 5 11" xfId="6774"/>
    <cellStyle name="40% - Énfasis3 5 2" xfId="1262"/>
    <cellStyle name="40% - Énfasis3 5 2 2" xfId="1263"/>
    <cellStyle name="40% - Énfasis3 5 2 2 2" xfId="1264"/>
    <cellStyle name="40% - Énfasis3 5 2 2 2 2" xfId="4728"/>
    <cellStyle name="40% - Énfasis3 5 2 2 2 2 2" xfId="8828"/>
    <cellStyle name="40% - Énfasis3 5 2 2 2 3" xfId="6777"/>
    <cellStyle name="40% - Énfasis3 5 2 2 3" xfId="4727"/>
    <cellStyle name="40% - Énfasis3 5 2 2 3 2" xfId="8827"/>
    <cellStyle name="40% - Énfasis3 5 2 2 4" xfId="6776"/>
    <cellStyle name="40% - Énfasis3 5 2 3" xfId="1265"/>
    <cellStyle name="40% - Énfasis3 5 2 3 2" xfId="1266"/>
    <cellStyle name="40% - Énfasis3 5 2 3 2 2" xfId="4730"/>
    <cellStyle name="40% - Énfasis3 5 2 3 2 2 2" xfId="8830"/>
    <cellStyle name="40% - Énfasis3 5 2 3 2 3" xfId="6779"/>
    <cellStyle name="40% - Énfasis3 5 2 3 3" xfId="4729"/>
    <cellStyle name="40% - Énfasis3 5 2 3 3 2" xfId="8829"/>
    <cellStyle name="40% - Énfasis3 5 2 3 4" xfId="6778"/>
    <cellStyle name="40% - Énfasis3 5 2 4" xfId="1267"/>
    <cellStyle name="40% - Énfasis3 5 2 4 2" xfId="4731"/>
    <cellStyle name="40% - Énfasis3 5 2 4 2 2" xfId="8831"/>
    <cellStyle name="40% - Énfasis3 5 2 4 3" xfId="6780"/>
    <cellStyle name="40% - Énfasis3 5 2 5" xfId="4726"/>
    <cellStyle name="40% - Énfasis3 5 2 5 2" xfId="8826"/>
    <cellStyle name="40% - Énfasis3 5 2 6" xfId="6775"/>
    <cellStyle name="40% - Énfasis3 5 3" xfId="1268"/>
    <cellStyle name="40% - Énfasis3 5 3 2" xfId="1269"/>
    <cellStyle name="40% - Énfasis3 5 3 2 2" xfId="4733"/>
    <cellStyle name="40% - Énfasis3 5 3 2 2 2" xfId="8833"/>
    <cellStyle name="40% - Énfasis3 5 3 2 3" xfId="6782"/>
    <cellStyle name="40% - Énfasis3 5 3 3" xfId="4732"/>
    <cellStyle name="40% - Énfasis3 5 3 3 2" xfId="8832"/>
    <cellStyle name="40% - Énfasis3 5 3 4" xfId="6781"/>
    <cellStyle name="40% - Énfasis3 5 4" xfId="1270"/>
    <cellStyle name="40% - Énfasis3 5 4 2" xfId="1271"/>
    <cellStyle name="40% - Énfasis3 5 4 2 2" xfId="4735"/>
    <cellStyle name="40% - Énfasis3 5 4 2 2 2" xfId="8835"/>
    <cellStyle name="40% - Énfasis3 5 4 2 3" xfId="6784"/>
    <cellStyle name="40% - Énfasis3 5 4 3" xfId="4734"/>
    <cellStyle name="40% - Énfasis3 5 4 3 2" xfId="8834"/>
    <cellStyle name="40% - Énfasis3 5 4 4" xfId="6783"/>
    <cellStyle name="40% - Énfasis3 5 5" xfId="1272"/>
    <cellStyle name="40% - Énfasis3 5 5 2" xfId="1273"/>
    <cellStyle name="40% - Énfasis3 5 5 2 2" xfId="4737"/>
    <cellStyle name="40% - Énfasis3 5 5 2 2 2" xfId="8837"/>
    <cellStyle name="40% - Énfasis3 5 5 2 3" xfId="6786"/>
    <cellStyle name="40% - Énfasis3 5 5 3" xfId="4736"/>
    <cellStyle name="40% - Énfasis3 5 5 3 2" xfId="8836"/>
    <cellStyle name="40% - Énfasis3 5 5 4" xfId="6785"/>
    <cellStyle name="40% - Énfasis3 5 6" xfId="1274"/>
    <cellStyle name="40% - Énfasis3 5 6 2" xfId="1275"/>
    <cellStyle name="40% - Énfasis3 5 6 2 2" xfId="4739"/>
    <cellStyle name="40% - Énfasis3 5 6 2 2 2" xfId="8839"/>
    <cellStyle name="40% - Énfasis3 5 6 2 3" xfId="6788"/>
    <cellStyle name="40% - Énfasis3 5 6 3" xfId="4738"/>
    <cellStyle name="40% - Énfasis3 5 6 3 2" xfId="8838"/>
    <cellStyle name="40% - Énfasis3 5 6 4" xfId="6787"/>
    <cellStyle name="40% - Énfasis3 5 7" xfId="1276"/>
    <cellStyle name="40% - Énfasis3 5 7 2" xfId="1277"/>
    <cellStyle name="40% - Énfasis3 5 7 2 2" xfId="4741"/>
    <cellStyle name="40% - Énfasis3 5 7 2 2 2" xfId="8841"/>
    <cellStyle name="40% - Énfasis3 5 7 2 3" xfId="6790"/>
    <cellStyle name="40% - Énfasis3 5 7 3" xfId="4740"/>
    <cellStyle name="40% - Énfasis3 5 7 3 2" xfId="8840"/>
    <cellStyle name="40% - Énfasis3 5 7 4" xfId="6789"/>
    <cellStyle name="40% - Énfasis3 5 8" xfId="1278"/>
    <cellStyle name="40% - Énfasis3 5 8 2" xfId="1279"/>
    <cellStyle name="40% - Énfasis3 5 8 2 2" xfId="4743"/>
    <cellStyle name="40% - Énfasis3 5 8 2 2 2" xfId="8843"/>
    <cellStyle name="40% - Énfasis3 5 8 2 3" xfId="6792"/>
    <cellStyle name="40% - Énfasis3 5 8 3" xfId="4742"/>
    <cellStyle name="40% - Énfasis3 5 8 3 2" xfId="8842"/>
    <cellStyle name="40% - Énfasis3 5 8 4" xfId="6791"/>
    <cellStyle name="40% - Énfasis3 5 9" xfId="1280"/>
    <cellStyle name="40% - Énfasis3 5 9 2" xfId="4744"/>
    <cellStyle name="40% - Énfasis3 5 9 2 2" xfId="8844"/>
    <cellStyle name="40% - Énfasis3 5 9 3" xfId="6793"/>
    <cellStyle name="40% - Énfasis3 6" xfId="9551"/>
    <cellStyle name="40% - Énfasis4" xfId="9529" builtinId="43" customBuiltin="1"/>
    <cellStyle name="40% - Énfasis4 2" xfId="1281"/>
    <cellStyle name="40% - Énfasis4 2 10" xfId="1282"/>
    <cellStyle name="40% - Énfasis4 2 10 2" xfId="4746"/>
    <cellStyle name="40% - Énfasis4 2 10 2 2" xfId="8846"/>
    <cellStyle name="40% - Énfasis4 2 10 3" xfId="6795"/>
    <cellStyle name="40% - Énfasis4 2 11" xfId="4745"/>
    <cellStyle name="40% - Énfasis4 2 11 2" xfId="8845"/>
    <cellStyle name="40% - Énfasis4 2 12" xfId="6794"/>
    <cellStyle name="40% - Énfasis4 2 2" xfId="1283"/>
    <cellStyle name="40% - Énfasis4 2 2 10" xfId="6796"/>
    <cellStyle name="40% - Énfasis4 2 2 2" xfId="1284"/>
    <cellStyle name="40% - Énfasis4 2 2 2 2" xfId="1285"/>
    <cellStyle name="40% - Énfasis4 2 2 2 2 2" xfId="4749"/>
    <cellStyle name="40% - Énfasis4 2 2 2 2 2 2" xfId="8849"/>
    <cellStyle name="40% - Énfasis4 2 2 2 2 3" xfId="6798"/>
    <cellStyle name="40% - Énfasis4 2 2 2 3" xfId="1286"/>
    <cellStyle name="40% - Énfasis4 2 2 2 3 2" xfId="4750"/>
    <cellStyle name="40% - Énfasis4 2 2 2 3 2 2" xfId="8850"/>
    <cellStyle name="40% - Énfasis4 2 2 2 3 3" xfId="6799"/>
    <cellStyle name="40% - Énfasis4 2 2 2 4" xfId="4748"/>
    <cellStyle name="40% - Énfasis4 2 2 2 4 2" xfId="8848"/>
    <cellStyle name="40% - Énfasis4 2 2 2 5" xfId="6797"/>
    <cellStyle name="40% - Énfasis4 2 2 3" xfId="1287"/>
    <cellStyle name="40% - Énfasis4 2 2 3 2" xfId="4751"/>
    <cellStyle name="40% - Énfasis4 2 2 3 2 2" xfId="8851"/>
    <cellStyle name="40% - Énfasis4 2 2 3 3" xfId="6800"/>
    <cellStyle name="40% - Énfasis4 2 2 4" xfId="1288"/>
    <cellStyle name="40% - Énfasis4 2 2 4 2" xfId="4752"/>
    <cellStyle name="40% - Énfasis4 2 2 4 2 2" xfId="8852"/>
    <cellStyle name="40% - Énfasis4 2 2 4 3" xfId="6801"/>
    <cellStyle name="40% - Énfasis4 2 2 5" xfId="1289"/>
    <cellStyle name="40% - Énfasis4 2 2 5 2" xfId="4753"/>
    <cellStyle name="40% - Énfasis4 2 2 5 2 2" xfId="8853"/>
    <cellStyle name="40% - Énfasis4 2 2 5 3" xfId="6802"/>
    <cellStyle name="40% - Énfasis4 2 2 6" xfId="1290"/>
    <cellStyle name="40% - Énfasis4 2 2 6 2" xfId="4754"/>
    <cellStyle name="40% - Énfasis4 2 2 6 2 2" xfId="8854"/>
    <cellStyle name="40% - Énfasis4 2 2 6 3" xfId="6803"/>
    <cellStyle name="40% - Énfasis4 2 2 7" xfId="1291"/>
    <cellStyle name="40% - Énfasis4 2 2 7 2" xfId="4755"/>
    <cellStyle name="40% - Énfasis4 2 2 7 2 2" xfId="8855"/>
    <cellStyle name="40% - Énfasis4 2 2 7 3" xfId="6804"/>
    <cellStyle name="40% - Énfasis4 2 2 8" xfId="1292"/>
    <cellStyle name="40% - Énfasis4 2 2 8 2" xfId="4756"/>
    <cellStyle name="40% - Énfasis4 2 2 8 2 2" xfId="8856"/>
    <cellStyle name="40% - Énfasis4 2 2 8 3" xfId="6805"/>
    <cellStyle name="40% - Énfasis4 2 2 9" xfId="4747"/>
    <cellStyle name="40% - Énfasis4 2 2 9 2" xfId="8847"/>
    <cellStyle name="40% - Énfasis4 2 3" xfId="1293"/>
    <cellStyle name="40% - Énfasis4 2 3 10" xfId="6806"/>
    <cellStyle name="40% - Énfasis4 2 3 2" xfId="1294"/>
    <cellStyle name="40% - Énfasis4 2 3 2 2" xfId="1295"/>
    <cellStyle name="40% - Énfasis4 2 3 2 2 2" xfId="4759"/>
    <cellStyle name="40% - Énfasis4 2 3 2 2 2 2" xfId="8859"/>
    <cellStyle name="40% - Énfasis4 2 3 2 2 3" xfId="6808"/>
    <cellStyle name="40% - Énfasis4 2 3 2 3" xfId="1296"/>
    <cellStyle name="40% - Énfasis4 2 3 2 3 2" xfId="4760"/>
    <cellStyle name="40% - Énfasis4 2 3 2 3 2 2" xfId="8860"/>
    <cellStyle name="40% - Énfasis4 2 3 2 3 3" xfId="6809"/>
    <cellStyle name="40% - Énfasis4 2 3 2 4" xfId="4758"/>
    <cellStyle name="40% - Énfasis4 2 3 2 4 2" xfId="8858"/>
    <cellStyle name="40% - Énfasis4 2 3 2 5" xfId="6807"/>
    <cellStyle name="40% - Énfasis4 2 3 3" xfId="1297"/>
    <cellStyle name="40% - Énfasis4 2 3 3 2" xfId="4761"/>
    <cellStyle name="40% - Énfasis4 2 3 3 2 2" xfId="8861"/>
    <cellStyle name="40% - Énfasis4 2 3 3 3" xfId="6810"/>
    <cellStyle name="40% - Énfasis4 2 3 4" xfId="1298"/>
    <cellStyle name="40% - Énfasis4 2 3 4 2" xfId="4762"/>
    <cellStyle name="40% - Énfasis4 2 3 4 2 2" xfId="8862"/>
    <cellStyle name="40% - Énfasis4 2 3 4 3" xfId="6811"/>
    <cellStyle name="40% - Énfasis4 2 3 5" xfId="1299"/>
    <cellStyle name="40% - Énfasis4 2 3 5 2" xfId="4763"/>
    <cellStyle name="40% - Énfasis4 2 3 5 2 2" xfId="8863"/>
    <cellStyle name="40% - Énfasis4 2 3 5 3" xfId="6812"/>
    <cellStyle name="40% - Énfasis4 2 3 6" xfId="1300"/>
    <cellStyle name="40% - Énfasis4 2 3 6 2" xfId="4764"/>
    <cellStyle name="40% - Énfasis4 2 3 6 2 2" xfId="8864"/>
    <cellStyle name="40% - Énfasis4 2 3 6 3" xfId="6813"/>
    <cellStyle name="40% - Énfasis4 2 3 7" xfId="1301"/>
    <cellStyle name="40% - Énfasis4 2 3 7 2" xfId="4765"/>
    <cellStyle name="40% - Énfasis4 2 3 7 2 2" xfId="8865"/>
    <cellStyle name="40% - Énfasis4 2 3 7 3" xfId="6814"/>
    <cellStyle name="40% - Énfasis4 2 3 8" xfId="1302"/>
    <cellStyle name="40% - Énfasis4 2 3 8 2" xfId="4766"/>
    <cellStyle name="40% - Énfasis4 2 3 8 2 2" xfId="8866"/>
    <cellStyle name="40% - Énfasis4 2 3 8 3" xfId="6815"/>
    <cellStyle name="40% - Énfasis4 2 3 9" xfId="4757"/>
    <cellStyle name="40% - Énfasis4 2 3 9 2" xfId="8857"/>
    <cellStyle name="40% - Énfasis4 2 4" xfId="1303"/>
    <cellStyle name="40% - Énfasis4 2 4 2" xfId="1304"/>
    <cellStyle name="40% - Énfasis4 2 4 2 2" xfId="4768"/>
    <cellStyle name="40% - Énfasis4 2 4 2 2 2" xfId="8868"/>
    <cellStyle name="40% - Énfasis4 2 4 2 3" xfId="6817"/>
    <cellStyle name="40% - Énfasis4 2 4 3" xfId="1305"/>
    <cellStyle name="40% - Énfasis4 2 4 3 2" xfId="4769"/>
    <cellStyle name="40% - Énfasis4 2 4 3 2 2" xfId="8869"/>
    <cellStyle name="40% - Énfasis4 2 4 3 3" xfId="6818"/>
    <cellStyle name="40% - Énfasis4 2 4 4" xfId="4767"/>
    <cellStyle name="40% - Énfasis4 2 4 4 2" xfId="8867"/>
    <cellStyle name="40% - Énfasis4 2 4 5" xfId="6816"/>
    <cellStyle name="40% - Énfasis4 2 5" xfId="1306"/>
    <cellStyle name="40% - Énfasis4 2 5 2" xfId="4770"/>
    <cellStyle name="40% - Énfasis4 2 5 2 2" xfId="8870"/>
    <cellStyle name="40% - Énfasis4 2 5 3" xfId="6819"/>
    <cellStyle name="40% - Énfasis4 2 6" xfId="1307"/>
    <cellStyle name="40% - Énfasis4 2 6 2" xfId="4771"/>
    <cellStyle name="40% - Énfasis4 2 6 2 2" xfId="8871"/>
    <cellStyle name="40% - Énfasis4 2 6 3" xfId="6820"/>
    <cellStyle name="40% - Énfasis4 2 7" xfId="1308"/>
    <cellStyle name="40% - Énfasis4 2 7 2" xfId="4772"/>
    <cellStyle name="40% - Énfasis4 2 7 2 2" xfId="8872"/>
    <cellStyle name="40% - Énfasis4 2 7 3" xfId="6821"/>
    <cellStyle name="40% - Énfasis4 2 8" xfId="1309"/>
    <cellStyle name="40% - Énfasis4 2 8 2" xfId="4773"/>
    <cellStyle name="40% - Énfasis4 2 8 2 2" xfId="8873"/>
    <cellStyle name="40% - Énfasis4 2 8 3" xfId="6822"/>
    <cellStyle name="40% - Énfasis4 2 9" xfId="1310"/>
    <cellStyle name="40% - Énfasis4 2 9 2" xfId="4774"/>
    <cellStyle name="40% - Énfasis4 2 9 2 2" xfId="8874"/>
    <cellStyle name="40% - Énfasis4 2 9 3" xfId="6823"/>
    <cellStyle name="40% - Énfasis4 3" xfId="1311"/>
    <cellStyle name="40% - Énfasis4 3 10" xfId="1312"/>
    <cellStyle name="40% - Énfasis4 3 10 2" xfId="4776"/>
    <cellStyle name="40% - Énfasis4 3 10 2 2" xfId="8876"/>
    <cellStyle name="40% - Énfasis4 3 10 3" xfId="6825"/>
    <cellStyle name="40% - Énfasis4 3 11" xfId="4775"/>
    <cellStyle name="40% - Énfasis4 3 11 2" xfId="8875"/>
    <cellStyle name="40% - Énfasis4 3 12" xfId="6824"/>
    <cellStyle name="40% - Énfasis4 3 2" xfId="1313"/>
    <cellStyle name="40% - Énfasis4 3 2 10" xfId="6826"/>
    <cellStyle name="40% - Énfasis4 3 2 2" xfId="1314"/>
    <cellStyle name="40% - Énfasis4 3 2 2 2" xfId="1315"/>
    <cellStyle name="40% - Énfasis4 3 2 2 2 2" xfId="4779"/>
    <cellStyle name="40% - Énfasis4 3 2 2 2 2 2" xfId="8879"/>
    <cellStyle name="40% - Énfasis4 3 2 2 2 3" xfId="6828"/>
    <cellStyle name="40% - Énfasis4 3 2 2 3" xfId="1316"/>
    <cellStyle name="40% - Énfasis4 3 2 2 3 2" xfId="4780"/>
    <cellStyle name="40% - Énfasis4 3 2 2 3 2 2" xfId="8880"/>
    <cellStyle name="40% - Énfasis4 3 2 2 3 3" xfId="6829"/>
    <cellStyle name="40% - Énfasis4 3 2 2 4" xfId="4778"/>
    <cellStyle name="40% - Énfasis4 3 2 2 4 2" xfId="8878"/>
    <cellStyle name="40% - Énfasis4 3 2 2 5" xfId="6827"/>
    <cellStyle name="40% - Énfasis4 3 2 3" xfId="1317"/>
    <cellStyle name="40% - Énfasis4 3 2 3 2" xfId="4781"/>
    <cellStyle name="40% - Énfasis4 3 2 3 2 2" xfId="8881"/>
    <cellStyle name="40% - Énfasis4 3 2 3 3" xfId="6830"/>
    <cellStyle name="40% - Énfasis4 3 2 4" xfId="1318"/>
    <cellStyle name="40% - Énfasis4 3 2 4 2" xfId="4782"/>
    <cellStyle name="40% - Énfasis4 3 2 4 2 2" xfId="8882"/>
    <cellStyle name="40% - Énfasis4 3 2 4 3" xfId="6831"/>
    <cellStyle name="40% - Énfasis4 3 2 5" xfId="1319"/>
    <cellStyle name="40% - Énfasis4 3 2 5 2" xfId="4783"/>
    <cellStyle name="40% - Énfasis4 3 2 5 2 2" xfId="8883"/>
    <cellStyle name="40% - Énfasis4 3 2 5 3" xfId="6832"/>
    <cellStyle name="40% - Énfasis4 3 2 6" xfId="1320"/>
    <cellStyle name="40% - Énfasis4 3 2 6 2" xfId="4784"/>
    <cellStyle name="40% - Énfasis4 3 2 6 2 2" xfId="8884"/>
    <cellStyle name="40% - Énfasis4 3 2 6 3" xfId="6833"/>
    <cellStyle name="40% - Énfasis4 3 2 7" xfId="1321"/>
    <cellStyle name="40% - Énfasis4 3 2 7 2" xfId="4785"/>
    <cellStyle name="40% - Énfasis4 3 2 7 2 2" xfId="8885"/>
    <cellStyle name="40% - Énfasis4 3 2 7 3" xfId="6834"/>
    <cellStyle name="40% - Énfasis4 3 2 8" xfId="1322"/>
    <cellStyle name="40% - Énfasis4 3 2 8 2" xfId="4786"/>
    <cellStyle name="40% - Énfasis4 3 2 8 2 2" xfId="8886"/>
    <cellStyle name="40% - Énfasis4 3 2 8 3" xfId="6835"/>
    <cellStyle name="40% - Énfasis4 3 2 9" xfId="4777"/>
    <cellStyle name="40% - Énfasis4 3 2 9 2" xfId="8877"/>
    <cellStyle name="40% - Énfasis4 3 3" xfId="1323"/>
    <cellStyle name="40% - Énfasis4 3 3 10" xfId="6836"/>
    <cellStyle name="40% - Énfasis4 3 3 2" xfId="1324"/>
    <cellStyle name="40% - Énfasis4 3 3 2 2" xfId="1325"/>
    <cellStyle name="40% - Énfasis4 3 3 2 2 2" xfId="4789"/>
    <cellStyle name="40% - Énfasis4 3 3 2 2 2 2" xfId="8889"/>
    <cellStyle name="40% - Énfasis4 3 3 2 2 3" xfId="6838"/>
    <cellStyle name="40% - Énfasis4 3 3 2 3" xfId="1326"/>
    <cellStyle name="40% - Énfasis4 3 3 2 3 2" xfId="4790"/>
    <cellStyle name="40% - Énfasis4 3 3 2 3 2 2" xfId="8890"/>
    <cellStyle name="40% - Énfasis4 3 3 2 3 3" xfId="6839"/>
    <cellStyle name="40% - Énfasis4 3 3 2 4" xfId="4788"/>
    <cellStyle name="40% - Énfasis4 3 3 2 4 2" xfId="8888"/>
    <cellStyle name="40% - Énfasis4 3 3 2 5" xfId="6837"/>
    <cellStyle name="40% - Énfasis4 3 3 3" xfId="1327"/>
    <cellStyle name="40% - Énfasis4 3 3 3 2" xfId="4791"/>
    <cellStyle name="40% - Énfasis4 3 3 3 2 2" xfId="8891"/>
    <cellStyle name="40% - Énfasis4 3 3 3 3" xfId="6840"/>
    <cellStyle name="40% - Énfasis4 3 3 4" xfId="1328"/>
    <cellStyle name="40% - Énfasis4 3 3 4 2" xfId="4792"/>
    <cellStyle name="40% - Énfasis4 3 3 4 2 2" xfId="8892"/>
    <cellStyle name="40% - Énfasis4 3 3 4 3" xfId="6841"/>
    <cellStyle name="40% - Énfasis4 3 3 5" xfId="1329"/>
    <cellStyle name="40% - Énfasis4 3 3 5 2" xfId="4793"/>
    <cellStyle name="40% - Énfasis4 3 3 5 2 2" xfId="8893"/>
    <cellStyle name="40% - Énfasis4 3 3 5 3" xfId="6842"/>
    <cellStyle name="40% - Énfasis4 3 3 6" xfId="1330"/>
    <cellStyle name="40% - Énfasis4 3 3 6 2" xfId="4794"/>
    <cellStyle name="40% - Énfasis4 3 3 6 2 2" xfId="8894"/>
    <cellStyle name="40% - Énfasis4 3 3 6 3" xfId="6843"/>
    <cellStyle name="40% - Énfasis4 3 3 7" xfId="1331"/>
    <cellStyle name="40% - Énfasis4 3 3 7 2" xfId="4795"/>
    <cellStyle name="40% - Énfasis4 3 3 7 2 2" xfId="8895"/>
    <cellStyle name="40% - Énfasis4 3 3 7 3" xfId="6844"/>
    <cellStyle name="40% - Énfasis4 3 3 8" xfId="1332"/>
    <cellStyle name="40% - Énfasis4 3 3 8 2" xfId="4796"/>
    <cellStyle name="40% - Énfasis4 3 3 8 2 2" xfId="8896"/>
    <cellStyle name="40% - Énfasis4 3 3 8 3" xfId="6845"/>
    <cellStyle name="40% - Énfasis4 3 3 9" xfId="4787"/>
    <cellStyle name="40% - Énfasis4 3 3 9 2" xfId="8887"/>
    <cellStyle name="40% - Énfasis4 3 4" xfId="1333"/>
    <cellStyle name="40% - Énfasis4 3 4 2" xfId="1334"/>
    <cellStyle name="40% - Énfasis4 3 4 2 2" xfId="4798"/>
    <cellStyle name="40% - Énfasis4 3 4 2 2 2" xfId="8898"/>
    <cellStyle name="40% - Énfasis4 3 4 2 3" xfId="6847"/>
    <cellStyle name="40% - Énfasis4 3 4 3" xfId="1335"/>
    <cellStyle name="40% - Énfasis4 3 4 3 2" xfId="4799"/>
    <cellStyle name="40% - Énfasis4 3 4 3 2 2" xfId="8899"/>
    <cellStyle name="40% - Énfasis4 3 4 3 3" xfId="6848"/>
    <cellStyle name="40% - Énfasis4 3 4 4" xfId="4797"/>
    <cellStyle name="40% - Énfasis4 3 4 4 2" xfId="8897"/>
    <cellStyle name="40% - Énfasis4 3 4 5" xfId="6846"/>
    <cellStyle name="40% - Énfasis4 3 5" xfId="1336"/>
    <cellStyle name="40% - Énfasis4 3 5 2" xfId="4800"/>
    <cellStyle name="40% - Énfasis4 3 5 2 2" xfId="8900"/>
    <cellStyle name="40% - Énfasis4 3 5 3" xfId="6849"/>
    <cellStyle name="40% - Énfasis4 3 6" xfId="1337"/>
    <cellStyle name="40% - Énfasis4 3 6 2" xfId="4801"/>
    <cellStyle name="40% - Énfasis4 3 6 2 2" xfId="8901"/>
    <cellStyle name="40% - Énfasis4 3 6 3" xfId="6850"/>
    <cellStyle name="40% - Énfasis4 3 7" xfId="1338"/>
    <cellStyle name="40% - Énfasis4 3 7 2" xfId="4802"/>
    <cellStyle name="40% - Énfasis4 3 7 2 2" xfId="8902"/>
    <cellStyle name="40% - Énfasis4 3 7 3" xfId="6851"/>
    <cellStyle name="40% - Énfasis4 3 8" xfId="1339"/>
    <cellStyle name="40% - Énfasis4 3 8 2" xfId="4803"/>
    <cellStyle name="40% - Énfasis4 3 8 2 2" xfId="8903"/>
    <cellStyle name="40% - Énfasis4 3 8 3" xfId="6852"/>
    <cellStyle name="40% - Énfasis4 3 9" xfId="1340"/>
    <cellStyle name="40% - Énfasis4 3 9 2" xfId="4804"/>
    <cellStyle name="40% - Énfasis4 3 9 2 2" xfId="8904"/>
    <cellStyle name="40% - Énfasis4 3 9 3" xfId="6853"/>
    <cellStyle name="40% - Énfasis4 4" xfId="1341"/>
    <cellStyle name="40% - Énfasis4 4 10" xfId="6854"/>
    <cellStyle name="40% - Énfasis4 4 2" xfId="1342"/>
    <cellStyle name="40% - Énfasis4 4 2 2" xfId="1343"/>
    <cellStyle name="40% - Énfasis4 4 2 2 2" xfId="4807"/>
    <cellStyle name="40% - Énfasis4 4 2 2 2 2" xfId="8907"/>
    <cellStyle name="40% - Énfasis4 4 2 2 3" xfId="6856"/>
    <cellStyle name="40% - Énfasis4 4 2 3" xfId="1344"/>
    <cellStyle name="40% - Énfasis4 4 2 3 2" xfId="4808"/>
    <cellStyle name="40% - Énfasis4 4 2 3 2 2" xfId="8908"/>
    <cellStyle name="40% - Énfasis4 4 2 3 3" xfId="6857"/>
    <cellStyle name="40% - Énfasis4 4 2 4" xfId="4806"/>
    <cellStyle name="40% - Énfasis4 4 2 4 2" xfId="8906"/>
    <cellStyle name="40% - Énfasis4 4 2 5" xfId="6855"/>
    <cellStyle name="40% - Énfasis4 4 3" xfId="1345"/>
    <cellStyle name="40% - Énfasis4 4 3 2" xfId="4809"/>
    <cellStyle name="40% - Énfasis4 4 3 2 2" xfId="8909"/>
    <cellStyle name="40% - Énfasis4 4 3 3" xfId="6858"/>
    <cellStyle name="40% - Énfasis4 4 4" xfId="1346"/>
    <cellStyle name="40% - Énfasis4 4 4 2" xfId="4810"/>
    <cellStyle name="40% - Énfasis4 4 4 2 2" xfId="8910"/>
    <cellStyle name="40% - Énfasis4 4 4 3" xfId="6859"/>
    <cellStyle name="40% - Énfasis4 4 5" xfId="1347"/>
    <cellStyle name="40% - Énfasis4 4 5 2" xfId="4811"/>
    <cellStyle name="40% - Énfasis4 4 5 2 2" xfId="8911"/>
    <cellStyle name="40% - Énfasis4 4 5 3" xfId="6860"/>
    <cellStyle name="40% - Énfasis4 4 6" xfId="1348"/>
    <cellStyle name="40% - Énfasis4 4 6 2" xfId="4812"/>
    <cellStyle name="40% - Énfasis4 4 6 2 2" xfId="8912"/>
    <cellStyle name="40% - Énfasis4 4 6 3" xfId="6861"/>
    <cellStyle name="40% - Énfasis4 4 7" xfId="1349"/>
    <cellStyle name="40% - Énfasis4 4 7 2" xfId="4813"/>
    <cellStyle name="40% - Énfasis4 4 7 2 2" xfId="8913"/>
    <cellStyle name="40% - Énfasis4 4 7 3" xfId="6862"/>
    <cellStyle name="40% - Énfasis4 4 8" xfId="1350"/>
    <cellStyle name="40% - Énfasis4 4 8 2" xfId="4814"/>
    <cellStyle name="40% - Énfasis4 4 8 2 2" xfId="8914"/>
    <cellStyle name="40% - Énfasis4 4 8 3" xfId="6863"/>
    <cellStyle name="40% - Énfasis4 4 9" xfId="4805"/>
    <cellStyle name="40% - Énfasis4 4 9 2" xfId="8905"/>
    <cellStyle name="40% - Énfasis4 5" xfId="1351"/>
    <cellStyle name="40% - Énfasis4 5 10" xfId="6864"/>
    <cellStyle name="40% - Énfasis4 5 2" xfId="1352"/>
    <cellStyle name="40% - Énfasis4 5 2 2" xfId="1353"/>
    <cellStyle name="40% - Énfasis4 5 2 2 2" xfId="4817"/>
    <cellStyle name="40% - Énfasis4 5 2 2 2 2" xfId="8917"/>
    <cellStyle name="40% - Énfasis4 5 2 2 3" xfId="6866"/>
    <cellStyle name="40% - Énfasis4 5 2 3" xfId="1354"/>
    <cellStyle name="40% - Énfasis4 5 2 3 2" xfId="4818"/>
    <cellStyle name="40% - Énfasis4 5 2 3 2 2" xfId="8918"/>
    <cellStyle name="40% - Énfasis4 5 2 3 3" xfId="6867"/>
    <cellStyle name="40% - Énfasis4 5 2 4" xfId="4816"/>
    <cellStyle name="40% - Énfasis4 5 2 4 2" xfId="8916"/>
    <cellStyle name="40% - Énfasis4 5 2 5" xfId="6865"/>
    <cellStyle name="40% - Énfasis4 5 3" xfId="1355"/>
    <cellStyle name="40% - Énfasis4 5 3 2" xfId="4819"/>
    <cellStyle name="40% - Énfasis4 5 3 2 2" xfId="8919"/>
    <cellStyle name="40% - Énfasis4 5 3 3" xfId="6868"/>
    <cellStyle name="40% - Énfasis4 5 4" xfId="1356"/>
    <cellStyle name="40% - Énfasis4 5 4 2" xfId="4820"/>
    <cellStyle name="40% - Énfasis4 5 4 2 2" xfId="8920"/>
    <cellStyle name="40% - Énfasis4 5 4 3" xfId="6869"/>
    <cellStyle name="40% - Énfasis4 5 5" xfId="1357"/>
    <cellStyle name="40% - Énfasis4 5 5 2" xfId="4821"/>
    <cellStyle name="40% - Énfasis4 5 5 2 2" xfId="8921"/>
    <cellStyle name="40% - Énfasis4 5 5 3" xfId="6870"/>
    <cellStyle name="40% - Énfasis4 5 6" xfId="1358"/>
    <cellStyle name="40% - Énfasis4 5 6 2" xfId="4822"/>
    <cellStyle name="40% - Énfasis4 5 6 2 2" xfId="8922"/>
    <cellStyle name="40% - Énfasis4 5 6 3" xfId="6871"/>
    <cellStyle name="40% - Énfasis4 5 7" xfId="1359"/>
    <cellStyle name="40% - Énfasis4 5 7 2" xfId="4823"/>
    <cellStyle name="40% - Énfasis4 5 7 2 2" xfId="8923"/>
    <cellStyle name="40% - Énfasis4 5 7 3" xfId="6872"/>
    <cellStyle name="40% - Énfasis4 5 8" xfId="1360"/>
    <cellStyle name="40% - Énfasis4 5 8 2" xfId="4824"/>
    <cellStyle name="40% - Énfasis4 5 8 2 2" xfId="8924"/>
    <cellStyle name="40% - Énfasis4 5 8 3" xfId="6873"/>
    <cellStyle name="40% - Énfasis4 5 9" xfId="4815"/>
    <cellStyle name="40% - Énfasis4 5 9 2" xfId="8915"/>
    <cellStyle name="40% - Énfasis4 6" xfId="9553"/>
    <cellStyle name="40% - Énfasis5" xfId="9533" builtinId="47" customBuiltin="1"/>
    <cellStyle name="40% - Énfasis5 2" xfId="1361"/>
    <cellStyle name="40% - Énfasis5 2 10" xfId="1362"/>
    <cellStyle name="40% - Énfasis5 2 10 2" xfId="4826"/>
    <cellStyle name="40% - Énfasis5 2 10 2 2" xfId="8926"/>
    <cellStyle name="40% - Énfasis5 2 10 3" xfId="6875"/>
    <cellStyle name="40% - Énfasis5 2 11" xfId="4825"/>
    <cellStyle name="40% - Énfasis5 2 11 2" xfId="8925"/>
    <cellStyle name="40% - Énfasis5 2 12" xfId="6874"/>
    <cellStyle name="40% - Énfasis5 2 2" xfId="1363"/>
    <cellStyle name="40% - Énfasis5 2 2 10" xfId="6876"/>
    <cellStyle name="40% - Énfasis5 2 2 2" xfId="1364"/>
    <cellStyle name="40% - Énfasis5 2 2 2 2" xfId="1365"/>
    <cellStyle name="40% - Énfasis5 2 2 2 2 2" xfId="4829"/>
    <cellStyle name="40% - Énfasis5 2 2 2 2 2 2" xfId="8929"/>
    <cellStyle name="40% - Énfasis5 2 2 2 2 3" xfId="6878"/>
    <cellStyle name="40% - Énfasis5 2 2 2 3" xfId="1366"/>
    <cellStyle name="40% - Énfasis5 2 2 2 3 2" xfId="4830"/>
    <cellStyle name="40% - Énfasis5 2 2 2 3 2 2" xfId="8930"/>
    <cellStyle name="40% - Énfasis5 2 2 2 3 3" xfId="6879"/>
    <cellStyle name="40% - Énfasis5 2 2 2 4" xfId="4828"/>
    <cellStyle name="40% - Énfasis5 2 2 2 4 2" xfId="8928"/>
    <cellStyle name="40% - Énfasis5 2 2 2 5" xfId="6877"/>
    <cellStyle name="40% - Énfasis5 2 2 3" xfId="1367"/>
    <cellStyle name="40% - Énfasis5 2 2 3 2" xfId="4831"/>
    <cellStyle name="40% - Énfasis5 2 2 3 2 2" xfId="8931"/>
    <cellStyle name="40% - Énfasis5 2 2 3 3" xfId="6880"/>
    <cellStyle name="40% - Énfasis5 2 2 4" xfId="1368"/>
    <cellStyle name="40% - Énfasis5 2 2 4 2" xfId="4832"/>
    <cellStyle name="40% - Énfasis5 2 2 4 2 2" xfId="8932"/>
    <cellStyle name="40% - Énfasis5 2 2 4 3" xfId="6881"/>
    <cellStyle name="40% - Énfasis5 2 2 5" xfId="1369"/>
    <cellStyle name="40% - Énfasis5 2 2 5 2" xfId="4833"/>
    <cellStyle name="40% - Énfasis5 2 2 5 2 2" xfId="8933"/>
    <cellStyle name="40% - Énfasis5 2 2 5 3" xfId="6882"/>
    <cellStyle name="40% - Énfasis5 2 2 6" xfId="1370"/>
    <cellStyle name="40% - Énfasis5 2 2 6 2" xfId="4834"/>
    <cellStyle name="40% - Énfasis5 2 2 6 2 2" xfId="8934"/>
    <cellStyle name="40% - Énfasis5 2 2 6 3" xfId="6883"/>
    <cellStyle name="40% - Énfasis5 2 2 7" xfId="1371"/>
    <cellStyle name="40% - Énfasis5 2 2 7 2" xfId="4835"/>
    <cellStyle name="40% - Énfasis5 2 2 7 2 2" xfId="8935"/>
    <cellStyle name="40% - Énfasis5 2 2 7 3" xfId="6884"/>
    <cellStyle name="40% - Énfasis5 2 2 8" xfId="1372"/>
    <cellStyle name="40% - Énfasis5 2 2 8 2" xfId="4836"/>
    <cellStyle name="40% - Énfasis5 2 2 8 2 2" xfId="8936"/>
    <cellStyle name="40% - Énfasis5 2 2 8 3" xfId="6885"/>
    <cellStyle name="40% - Énfasis5 2 2 9" xfId="4827"/>
    <cellStyle name="40% - Énfasis5 2 2 9 2" xfId="8927"/>
    <cellStyle name="40% - Énfasis5 2 3" xfId="1373"/>
    <cellStyle name="40% - Énfasis5 2 3 10" xfId="6886"/>
    <cellStyle name="40% - Énfasis5 2 3 2" xfId="1374"/>
    <cellStyle name="40% - Énfasis5 2 3 2 2" xfId="1375"/>
    <cellStyle name="40% - Énfasis5 2 3 2 2 2" xfId="4839"/>
    <cellStyle name="40% - Énfasis5 2 3 2 2 2 2" xfId="8939"/>
    <cellStyle name="40% - Énfasis5 2 3 2 2 3" xfId="6888"/>
    <cellStyle name="40% - Énfasis5 2 3 2 3" xfId="1376"/>
    <cellStyle name="40% - Énfasis5 2 3 2 3 2" xfId="4840"/>
    <cellStyle name="40% - Énfasis5 2 3 2 3 2 2" xfId="8940"/>
    <cellStyle name="40% - Énfasis5 2 3 2 3 3" xfId="6889"/>
    <cellStyle name="40% - Énfasis5 2 3 2 4" xfId="4838"/>
    <cellStyle name="40% - Énfasis5 2 3 2 4 2" xfId="8938"/>
    <cellStyle name="40% - Énfasis5 2 3 2 5" xfId="6887"/>
    <cellStyle name="40% - Énfasis5 2 3 3" xfId="1377"/>
    <cellStyle name="40% - Énfasis5 2 3 3 2" xfId="4841"/>
    <cellStyle name="40% - Énfasis5 2 3 3 2 2" xfId="8941"/>
    <cellStyle name="40% - Énfasis5 2 3 3 3" xfId="6890"/>
    <cellStyle name="40% - Énfasis5 2 3 4" xfId="1378"/>
    <cellStyle name="40% - Énfasis5 2 3 4 2" xfId="4842"/>
    <cellStyle name="40% - Énfasis5 2 3 4 2 2" xfId="8942"/>
    <cellStyle name="40% - Énfasis5 2 3 4 3" xfId="6891"/>
    <cellStyle name="40% - Énfasis5 2 3 5" xfId="1379"/>
    <cellStyle name="40% - Énfasis5 2 3 5 2" xfId="4843"/>
    <cellStyle name="40% - Énfasis5 2 3 5 2 2" xfId="8943"/>
    <cellStyle name="40% - Énfasis5 2 3 5 3" xfId="6892"/>
    <cellStyle name="40% - Énfasis5 2 3 6" xfId="1380"/>
    <cellStyle name="40% - Énfasis5 2 3 6 2" xfId="4844"/>
    <cellStyle name="40% - Énfasis5 2 3 6 2 2" xfId="8944"/>
    <cellStyle name="40% - Énfasis5 2 3 6 3" xfId="6893"/>
    <cellStyle name="40% - Énfasis5 2 3 7" xfId="1381"/>
    <cellStyle name="40% - Énfasis5 2 3 7 2" xfId="4845"/>
    <cellStyle name="40% - Énfasis5 2 3 7 2 2" xfId="8945"/>
    <cellStyle name="40% - Énfasis5 2 3 7 3" xfId="6894"/>
    <cellStyle name="40% - Énfasis5 2 3 8" xfId="1382"/>
    <cellStyle name="40% - Énfasis5 2 3 8 2" xfId="4846"/>
    <cellStyle name="40% - Énfasis5 2 3 8 2 2" xfId="8946"/>
    <cellStyle name="40% - Énfasis5 2 3 8 3" xfId="6895"/>
    <cellStyle name="40% - Énfasis5 2 3 9" xfId="4837"/>
    <cellStyle name="40% - Énfasis5 2 3 9 2" xfId="8937"/>
    <cellStyle name="40% - Énfasis5 2 4" xfId="1383"/>
    <cellStyle name="40% - Énfasis5 2 4 2" xfId="1384"/>
    <cellStyle name="40% - Énfasis5 2 4 2 2" xfId="4848"/>
    <cellStyle name="40% - Énfasis5 2 4 2 2 2" xfId="8948"/>
    <cellStyle name="40% - Énfasis5 2 4 2 3" xfId="6897"/>
    <cellStyle name="40% - Énfasis5 2 4 3" xfId="1385"/>
    <cellStyle name="40% - Énfasis5 2 4 3 2" xfId="4849"/>
    <cellStyle name="40% - Énfasis5 2 4 3 2 2" xfId="8949"/>
    <cellStyle name="40% - Énfasis5 2 4 3 3" xfId="6898"/>
    <cellStyle name="40% - Énfasis5 2 4 4" xfId="4847"/>
    <cellStyle name="40% - Énfasis5 2 4 4 2" xfId="8947"/>
    <cellStyle name="40% - Énfasis5 2 4 5" xfId="6896"/>
    <cellStyle name="40% - Énfasis5 2 5" xfId="1386"/>
    <cellStyle name="40% - Énfasis5 2 5 2" xfId="4850"/>
    <cellStyle name="40% - Énfasis5 2 5 2 2" xfId="8950"/>
    <cellStyle name="40% - Énfasis5 2 5 3" xfId="6899"/>
    <cellStyle name="40% - Énfasis5 2 6" xfId="1387"/>
    <cellStyle name="40% - Énfasis5 2 6 2" xfId="4851"/>
    <cellStyle name="40% - Énfasis5 2 6 2 2" xfId="8951"/>
    <cellStyle name="40% - Énfasis5 2 6 3" xfId="6900"/>
    <cellStyle name="40% - Énfasis5 2 7" xfId="1388"/>
    <cellStyle name="40% - Énfasis5 2 7 2" xfId="4852"/>
    <cellStyle name="40% - Énfasis5 2 7 2 2" xfId="8952"/>
    <cellStyle name="40% - Énfasis5 2 7 3" xfId="6901"/>
    <cellStyle name="40% - Énfasis5 2 8" xfId="1389"/>
    <cellStyle name="40% - Énfasis5 2 8 2" xfId="4853"/>
    <cellStyle name="40% - Énfasis5 2 8 2 2" xfId="8953"/>
    <cellStyle name="40% - Énfasis5 2 8 3" xfId="6902"/>
    <cellStyle name="40% - Énfasis5 2 9" xfId="1390"/>
    <cellStyle name="40% - Énfasis5 2 9 2" xfId="4854"/>
    <cellStyle name="40% - Énfasis5 2 9 2 2" xfId="8954"/>
    <cellStyle name="40% - Énfasis5 2 9 3" xfId="6903"/>
    <cellStyle name="40% - Énfasis5 3" xfId="1391"/>
    <cellStyle name="40% - Énfasis5 3 10" xfId="1392"/>
    <cellStyle name="40% - Énfasis5 3 10 2" xfId="4856"/>
    <cellStyle name="40% - Énfasis5 3 10 2 2" xfId="8956"/>
    <cellStyle name="40% - Énfasis5 3 10 3" xfId="6905"/>
    <cellStyle name="40% - Énfasis5 3 11" xfId="4855"/>
    <cellStyle name="40% - Énfasis5 3 11 2" xfId="8955"/>
    <cellStyle name="40% - Énfasis5 3 12" xfId="6904"/>
    <cellStyle name="40% - Énfasis5 3 2" xfId="1393"/>
    <cellStyle name="40% - Énfasis5 3 2 10" xfId="6906"/>
    <cellStyle name="40% - Énfasis5 3 2 2" xfId="1394"/>
    <cellStyle name="40% - Énfasis5 3 2 2 2" xfId="1395"/>
    <cellStyle name="40% - Énfasis5 3 2 2 2 2" xfId="4859"/>
    <cellStyle name="40% - Énfasis5 3 2 2 2 2 2" xfId="8959"/>
    <cellStyle name="40% - Énfasis5 3 2 2 2 3" xfId="6908"/>
    <cellStyle name="40% - Énfasis5 3 2 2 3" xfId="1396"/>
    <cellStyle name="40% - Énfasis5 3 2 2 3 2" xfId="4860"/>
    <cellStyle name="40% - Énfasis5 3 2 2 3 2 2" xfId="8960"/>
    <cellStyle name="40% - Énfasis5 3 2 2 3 3" xfId="6909"/>
    <cellStyle name="40% - Énfasis5 3 2 2 4" xfId="4858"/>
    <cellStyle name="40% - Énfasis5 3 2 2 4 2" xfId="8958"/>
    <cellStyle name="40% - Énfasis5 3 2 2 5" xfId="6907"/>
    <cellStyle name="40% - Énfasis5 3 2 3" xfId="1397"/>
    <cellStyle name="40% - Énfasis5 3 2 3 2" xfId="4861"/>
    <cellStyle name="40% - Énfasis5 3 2 3 2 2" xfId="8961"/>
    <cellStyle name="40% - Énfasis5 3 2 3 3" xfId="6910"/>
    <cellStyle name="40% - Énfasis5 3 2 4" xfId="1398"/>
    <cellStyle name="40% - Énfasis5 3 2 4 2" xfId="4862"/>
    <cellStyle name="40% - Énfasis5 3 2 4 2 2" xfId="8962"/>
    <cellStyle name="40% - Énfasis5 3 2 4 3" xfId="6911"/>
    <cellStyle name="40% - Énfasis5 3 2 5" xfId="1399"/>
    <cellStyle name="40% - Énfasis5 3 2 5 2" xfId="4863"/>
    <cellStyle name="40% - Énfasis5 3 2 5 2 2" xfId="8963"/>
    <cellStyle name="40% - Énfasis5 3 2 5 3" xfId="6912"/>
    <cellStyle name="40% - Énfasis5 3 2 6" xfId="1400"/>
    <cellStyle name="40% - Énfasis5 3 2 6 2" xfId="4864"/>
    <cellStyle name="40% - Énfasis5 3 2 6 2 2" xfId="8964"/>
    <cellStyle name="40% - Énfasis5 3 2 6 3" xfId="6913"/>
    <cellStyle name="40% - Énfasis5 3 2 7" xfId="1401"/>
    <cellStyle name="40% - Énfasis5 3 2 7 2" xfId="4865"/>
    <cellStyle name="40% - Énfasis5 3 2 7 2 2" xfId="8965"/>
    <cellStyle name="40% - Énfasis5 3 2 7 3" xfId="6914"/>
    <cellStyle name="40% - Énfasis5 3 2 8" xfId="1402"/>
    <cellStyle name="40% - Énfasis5 3 2 8 2" xfId="4866"/>
    <cellStyle name="40% - Énfasis5 3 2 8 2 2" xfId="8966"/>
    <cellStyle name="40% - Énfasis5 3 2 8 3" xfId="6915"/>
    <cellStyle name="40% - Énfasis5 3 2 9" xfId="4857"/>
    <cellStyle name="40% - Énfasis5 3 2 9 2" xfId="8957"/>
    <cellStyle name="40% - Énfasis5 3 3" xfId="1403"/>
    <cellStyle name="40% - Énfasis5 3 3 10" xfId="6916"/>
    <cellStyle name="40% - Énfasis5 3 3 2" xfId="1404"/>
    <cellStyle name="40% - Énfasis5 3 3 2 2" xfId="1405"/>
    <cellStyle name="40% - Énfasis5 3 3 2 2 2" xfId="4869"/>
    <cellStyle name="40% - Énfasis5 3 3 2 2 2 2" xfId="8969"/>
    <cellStyle name="40% - Énfasis5 3 3 2 2 3" xfId="6918"/>
    <cellStyle name="40% - Énfasis5 3 3 2 3" xfId="1406"/>
    <cellStyle name="40% - Énfasis5 3 3 2 3 2" xfId="4870"/>
    <cellStyle name="40% - Énfasis5 3 3 2 3 2 2" xfId="8970"/>
    <cellStyle name="40% - Énfasis5 3 3 2 3 3" xfId="6919"/>
    <cellStyle name="40% - Énfasis5 3 3 2 4" xfId="4868"/>
    <cellStyle name="40% - Énfasis5 3 3 2 4 2" xfId="8968"/>
    <cellStyle name="40% - Énfasis5 3 3 2 5" xfId="6917"/>
    <cellStyle name="40% - Énfasis5 3 3 3" xfId="1407"/>
    <cellStyle name="40% - Énfasis5 3 3 3 2" xfId="4871"/>
    <cellStyle name="40% - Énfasis5 3 3 3 2 2" xfId="8971"/>
    <cellStyle name="40% - Énfasis5 3 3 3 3" xfId="6920"/>
    <cellStyle name="40% - Énfasis5 3 3 4" xfId="1408"/>
    <cellStyle name="40% - Énfasis5 3 3 4 2" xfId="4872"/>
    <cellStyle name="40% - Énfasis5 3 3 4 2 2" xfId="8972"/>
    <cellStyle name="40% - Énfasis5 3 3 4 3" xfId="6921"/>
    <cellStyle name="40% - Énfasis5 3 3 5" xfId="1409"/>
    <cellStyle name="40% - Énfasis5 3 3 5 2" xfId="4873"/>
    <cellStyle name="40% - Énfasis5 3 3 5 2 2" xfId="8973"/>
    <cellStyle name="40% - Énfasis5 3 3 5 3" xfId="6922"/>
    <cellStyle name="40% - Énfasis5 3 3 6" xfId="1410"/>
    <cellStyle name="40% - Énfasis5 3 3 6 2" xfId="4874"/>
    <cellStyle name="40% - Énfasis5 3 3 6 2 2" xfId="8974"/>
    <cellStyle name="40% - Énfasis5 3 3 6 3" xfId="6923"/>
    <cellStyle name="40% - Énfasis5 3 3 7" xfId="1411"/>
    <cellStyle name="40% - Énfasis5 3 3 7 2" xfId="4875"/>
    <cellStyle name="40% - Énfasis5 3 3 7 2 2" xfId="8975"/>
    <cellStyle name="40% - Énfasis5 3 3 7 3" xfId="6924"/>
    <cellStyle name="40% - Énfasis5 3 3 8" xfId="1412"/>
    <cellStyle name="40% - Énfasis5 3 3 8 2" xfId="4876"/>
    <cellStyle name="40% - Énfasis5 3 3 8 2 2" xfId="8976"/>
    <cellStyle name="40% - Énfasis5 3 3 8 3" xfId="6925"/>
    <cellStyle name="40% - Énfasis5 3 3 9" xfId="4867"/>
    <cellStyle name="40% - Énfasis5 3 3 9 2" xfId="8967"/>
    <cellStyle name="40% - Énfasis5 3 4" xfId="1413"/>
    <cellStyle name="40% - Énfasis5 3 4 2" xfId="1414"/>
    <cellStyle name="40% - Énfasis5 3 4 2 2" xfId="4878"/>
    <cellStyle name="40% - Énfasis5 3 4 2 2 2" xfId="8978"/>
    <cellStyle name="40% - Énfasis5 3 4 2 3" xfId="6927"/>
    <cellStyle name="40% - Énfasis5 3 4 3" xfId="1415"/>
    <cellStyle name="40% - Énfasis5 3 4 3 2" xfId="4879"/>
    <cellStyle name="40% - Énfasis5 3 4 3 2 2" xfId="8979"/>
    <cellStyle name="40% - Énfasis5 3 4 3 3" xfId="6928"/>
    <cellStyle name="40% - Énfasis5 3 4 4" xfId="4877"/>
    <cellStyle name="40% - Énfasis5 3 4 4 2" xfId="8977"/>
    <cellStyle name="40% - Énfasis5 3 4 5" xfId="6926"/>
    <cellStyle name="40% - Énfasis5 3 5" xfId="1416"/>
    <cellStyle name="40% - Énfasis5 3 5 2" xfId="4880"/>
    <cellStyle name="40% - Énfasis5 3 5 2 2" xfId="8980"/>
    <cellStyle name="40% - Énfasis5 3 5 3" xfId="6929"/>
    <cellStyle name="40% - Énfasis5 3 6" xfId="1417"/>
    <cellStyle name="40% - Énfasis5 3 6 2" xfId="4881"/>
    <cellStyle name="40% - Énfasis5 3 6 2 2" xfId="8981"/>
    <cellStyle name="40% - Énfasis5 3 6 3" xfId="6930"/>
    <cellStyle name="40% - Énfasis5 3 7" xfId="1418"/>
    <cellStyle name="40% - Énfasis5 3 7 2" xfId="4882"/>
    <cellStyle name="40% - Énfasis5 3 7 2 2" xfId="8982"/>
    <cellStyle name="40% - Énfasis5 3 7 3" xfId="6931"/>
    <cellStyle name="40% - Énfasis5 3 8" xfId="1419"/>
    <cellStyle name="40% - Énfasis5 3 8 2" xfId="4883"/>
    <cellStyle name="40% - Énfasis5 3 8 2 2" xfId="8983"/>
    <cellStyle name="40% - Énfasis5 3 8 3" xfId="6932"/>
    <cellStyle name="40% - Énfasis5 3 9" xfId="1420"/>
    <cellStyle name="40% - Énfasis5 3 9 2" xfId="4884"/>
    <cellStyle name="40% - Énfasis5 3 9 2 2" xfId="8984"/>
    <cellStyle name="40% - Énfasis5 3 9 3" xfId="6933"/>
    <cellStyle name="40% - Énfasis5 4" xfId="1421"/>
    <cellStyle name="40% - Énfasis5 4 10" xfId="6934"/>
    <cellStyle name="40% - Énfasis5 4 2" xfId="1422"/>
    <cellStyle name="40% - Énfasis5 4 2 2" xfId="1423"/>
    <cellStyle name="40% - Énfasis5 4 2 2 2" xfId="4887"/>
    <cellStyle name="40% - Énfasis5 4 2 2 2 2" xfId="8987"/>
    <cellStyle name="40% - Énfasis5 4 2 2 3" xfId="6936"/>
    <cellStyle name="40% - Énfasis5 4 2 3" xfId="1424"/>
    <cellStyle name="40% - Énfasis5 4 2 3 2" xfId="4888"/>
    <cellStyle name="40% - Énfasis5 4 2 3 2 2" xfId="8988"/>
    <cellStyle name="40% - Énfasis5 4 2 3 3" xfId="6937"/>
    <cellStyle name="40% - Énfasis5 4 2 4" xfId="4886"/>
    <cellStyle name="40% - Énfasis5 4 2 4 2" xfId="8986"/>
    <cellStyle name="40% - Énfasis5 4 2 5" xfId="6935"/>
    <cellStyle name="40% - Énfasis5 4 3" xfId="1425"/>
    <cellStyle name="40% - Énfasis5 4 3 2" xfId="4889"/>
    <cellStyle name="40% - Énfasis5 4 3 2 2" xfId="8989"/>
    <cellStyle name="40% - Énfasis5 4 3 3" xfId="6938"/>
    <cellStyle name="40% - Énfasis5 4 4" xfId="1426"/>
    <cellStyle name="40% - Énfasis5 4 4 2" xfId="4890"/>
    <cellStyle name="40% - Énfasis5 4 4 2 2" xfId="8990"/>
    <cellStyle name="40% - Énfasis5 4 4 3" xfId="6939"/>
    <cellStyle name="40% - Énfasis5 4 5" xfId="1427"/>
    <cellStyle name="40% - Énfasis5 4 5 2" xfId="4891"/>
    <cellStyle name="40% - Énfasis5 4 5 2 2" xfId="8991"/>
    <cellStyle name="40% - Énfasis5 4 5 3" xfId="6940"/>
    <cellStyle name="40% - Énfasis5 4 6" xfId="1428"/>
    <cellStyle name="40% - Énfasis5 4 6 2" xfId="4892"/>
    <cellStyle name="40% - Énfasis5 4 6 2 2" xfId="8992"/>
    <cellStyle name="40% - Énfasis5 4 6 3" xfId="6941"/>
    <cellStyle name="40% - Énfasis5 4 7" xfId="1429"/>
    <cellStyle name="40% - Énfasis5 4 7 2" xfId="4893"/>
    <cellStyle name="40% - Énfasis5 4 7 2 2" xfId="8993"/>
    <cellStyle name="40% - Énfasis5 4 7 3" xfId="6942"/>
    <cellStyle name="40% - Énfasis5 4 8" xfId="1430"/>
    <cellStyle name="40% - Énfasis5 4 8 2" xfId="4894"/>
    <cellStyle name="40% - Énfasis5 4 8 2 2" xfId="8994"/>
    <cellStyle name="40% - Énfasis5 4 8 3" xfId="6943"/>
    <cellStyle name="40% - Énfasis5 4 9" xfId="4885"/>
    <cellStyle name="40% - Énfasis5 4 9 2" xfId="8985"/>
    <cellStyle name="40% - Énfasis5 5" xfId="1431"/>
    <cellStyle name="40% - Énfasis5 5 10" xfId="6944"/>
    <cellStyle name="40% - Énfasis5 5 2" xfId="1432"/>
    <cellStyle name="40% - Énfasis5 5 2 2" xfId="1433"/>
    <cellStyle name="40% - Énfasis5 5 2 2 2" xfId="4897"/>
    <cellStyle name="40% - Énfasis5 5 2 2 2 2" xfId="8997"/>
    <cellStyle name="40% - Énfasis5 5 2 2 3" xfId="6946"/>
    <cellStyle name="40% - Énfasis5 5 2 3" xfId="1434"/>
    <cellStyle name="40% - Énfasis5 5 2 3 2" xfId="4898"/>
    <cellStyle name="40% - Énfasis5 5 2 3 2 2" xfId="8998"/>
    <cellStyle name="40% - Énfasis5 5 2 3 3" xfId="6947"/>
    <cellStyle name="40% - Énfasis5 5 2 4" xfId="4896"/>
    <cellStyle name="40% - Énfasis5 5 2 4 2" xfId="8996"/>
    <cellStyle name="40% - Énfasis5 5 2 5" xfId="6945"/>
    <cellStyle name="40% - Énfasis5 5 3" xfId="1435"/>
    <cellStyle name="40% - Énfasis5 5 3 2" xfId="4899"/>
    <cellStyle name="40% - Énfasis5 5 3 2 2" xfId="8999"/>
    <cellStyle name="40% - Énfasis5 5 3 3" xfId="6948"/>
    <cellStyle name="40% - Énfasis5 5 4" xfId="1436"/>
    <cellStyle name="40% - Énfasis5 5 4 2" xfId="4900"/>
    <cellStyle name="40% - Énfasis5 5 4 2 2" xfId="9000"/>
    <cellStyle name="40% - Énfasis5 5 4 3" xfId="6949"/>
    <cellStyle name="40% - Énfasis5 5 5" xfId="1437"/>
    <cellStyle name="40% - Énfasis5 5 5 2" xfId="4901"/>
    <cellStyle name="40% - Énfasis5 5 5 2 2" xfId="9001"/>
    <cellStyle name="40% - Énfasis5 5 5 3" xfId="6950"/>
    <cellStyle name="40% - Énfasis5 5 6" xfId="1438"/>
    <cellStyle name="40% - Énfasis5 5 6 2" xfId="4902"/>
    <cellStyle name="40% - Énfasis5 5 6 2 2" xfId="9002"/>
    <cellStyle name="40% - Énfasis5 5 6 3" xfId="6951"/>
    <cellStyle name="40% - Énfasis5 5 7" xfId="1439"/>
    <cellStyle name="40% - Énfasis5 5 7 2" xfId="4903"/>
    <cellStyle name="40% - Énfasis5 5 7 2 2" xfId="9003"/>
    <cellStyle name="40% - Énfasis5 5 7 3" xfId="6952"/>
    <cellStyle name="40% - Énfasis5 5 8" xfId="1440"/>
    <cellStyle name="40% - Énfasis5 5 8 2" xfId="4904"/>
    <cellStyle name="40% - Énfasis5 5 8 2 2" xfId="9004"/>
    <cellStyle name="40% - Énfasis5 5 8 3" xfId="6953"/>
    <cellStyle name="40% - Énfasis5 5 9" xfId="4895"/>
    <cellStyle name="40% - Énfasis5 5 9 2" xfId="8995"/>
    <cellStyle name="40% - Énfasis5 6" xfId="9555"/>
    <cellStyle name="40% - Énfasis6" xfId="9537" builtinId="51" customBuiltin="1"/>
    <cellStyle name="40% - Énfasis6 2" xfId="1441"/>
    <cellStyle name="40% - Énfasis6 2 10" xfId="1442"/>
    <cellStyle name="40% - Énfasis6 2 10 2" xfId="4906"/>
    <cellStyle name="40% - Énfasis6 2 10 2 2" xfId="9006"/>
    <cellStyle name="40% - Énfasis6 2 10 3" xfId="6955"/>
    <cellStyle name="40% - Énfasis6 2 11" xfId="4905"/>
    <cellStyle name="40% - Énfasis6 2 11 2" xfId="9005"/>
    <cellStyle name="40% - Énfasis6 2 12" xfId="6954"/>
    <cellStyle name="40% - Énfasis6 2 2" xfId="1443"/>
    <cellStyle name="40% - Énfasis6 2 2 10" xfId="6956"/>
    <cellStyle name="40% - Énfasis6 2 2 2" xfId="1444"/>
    <cellStyle name="40% - Énfasis6 2 2 2 2" xfId="1445"/>
    <cellStyle name="40% - Énfasis6 2 2 2 2 2" xfId="4909"/>
    <cellStyle name="40% - Énfasis6 2 2 2 2 2 2" xfId="9009"/>
    <cellStyle name="40% - Énfasis6 2 2 2 2 3" xfId="6958"/>
    <cellStyle name="40% - Énfasis6 2 2 2 3" xfId="1446"/>
    <cellStyle name="40% - Énfasis6 2 2 2 3 2" xfId="4910"/>
    <cellStyle name="40% - Énfasis6 2 2 2 3 2 2" xfId="9010"/>
    <cellStyle name="40% - Énfasis6 2 2 2 3 3" xfId="6959"/>
    <cellStyle name="40% - Énfasis6 2 2 2 4" xfId="4908"/>
    <cellStyle name="40% - Énfasis6 2 2 2 4 2" xfId="9008"/>
    <cellStyle name="40% - Énfasis6 2 2 2 5" xfId="6957"/>
    <cellStyle name="40% - Énfasis6 2 2 3" xfId="1447"/>
    <cellStyle name="40% - Énfasis6 2 2 3 2" xfId="4911"/>
    <cellStyle name="40% - Énfasis6 2 2 3 2 2" xfId="9011"/>
    <cellStyle name="40% - Énfasis6 2 2 3 3" xfId="6960"/>
    <cellStyle name="40% - Énfasis6 2 2 4" xfId="1448"/>
    <cellStyle name="40% - Énfasis6 2 2 4 2" xfId="4912"/>
    <cellStyle name="40% - Énfasis6 2 2 4 2 2" xfId="9012"/>
    <cellStyle name="40% - Énfasis6 2 2 4 3" xfId="6961"/>
    <cellStyle name="40% - Énfasis6 2 2 5" xfId="1449"/>
    <cellStyle name="40% - Énfasis6 2 2 5 2" xfId="4913"/>
    <cellStyle name="40% - Énfasis6 2 2 5 2 2" xfId="9013"/>
    <cellStyle name="40% - Énfasis6 2 2 5 3" xfId="6962"/>
    <cellStyle name="40% - Énfasis6 2 2 6" xfId="1450"/>
    <cellStyle name="40% - Énfasis6 2 2 6 2" xfId="4914"/>
    <cellStyle name="40% - Énfasis6 2 2 6 2 2" xfId="9014"/>
    <cellStyle name="40% - Énfasis6 2 2 6 3" xfId="6963"/>
    <cellStyle name="40% - Énfasis6 2 2 7" xfId="1451"/>
    <cellStyle name="40% - Énfasis6 2 2 7 2" xfId="4915"/>
    <cellStyle name="40% - Énfasis6 2 2 7 2 2" xfId="9015"/>
    <cellStyle name="40% - Énfasis6 2 2 7 3" xfId="6964"/>
    <cellStyle name="40% - Énfasis6 2 2 8" xfId="1452"/>
    <cellStyle name="40% - Énfasis6 2 2 8 2" xfId="4916"/>
    <cellStyle name="40% - Énfasis6 2 2 8 2 2" xfId="9016"/>
    <cellStyle name="40% - Énfasis6 2 2 8 3" xfId="6965"/>
    <cellStyle name="40% - Énfasis6 2 2 9" xfId="4907"/>
    <cellStyle name="40% - Énfasis6 2 2 9 2" xfId="9007"/>
    <cellStyle name="40% - Énfasis6 2 3" xfId="1453"/>
    <cellStyle name="40% - Énfasis6 2 3 10" xfId="6966"/>
    <cellStyle name="40% - Énfasis6 2 3 2" xfId="1454"/>
    <cellStyle name="40% - Énfasis6 2 3 2 2" xfId="1455"/>
    <cellStyle name="40% - Énfasis6 2 3 2 2 2" xfId="4919"/>
    <cellStyle name="40% - Énfasis6 2 3 2 2 2 2" xfId="9019"/>
    <cellStyle name="40% - Énfasis6 2 3 2 2 3" xfId="6968"/>
    <cellStyle name="40% - Énfasis6 2 3 2 3" xfId="1456"/>
    <cellStyle name="40% - Énfasis6 2 3 2 3 2" xfId="4920"/>
    <cellStyle name="40% - Énfasis6 2 3 2 3 2 2" xfId="9020"/>
    <cellStyle name="40% - Énfasis6 2 3 2 3 3" xfId="6969"/>
    <cellStyle name="40% - Énfasis6 2 3 2 4" xfId="4918"/>
    <cellStyle name="40% - Énfasis6 2 3 2 4 2" xfId="9018"/>
    <cellStyle name="40% - Énfasis6 2 3 2 5" xfId="6967"/>
    <cellStyle name="40% - Énfasis6 2 3 3" xfId="1457"/>
    <cellStyle name="40% - Énfasis6 2 3 3 2" xfId="4921"/>
    <cellStyle name="40% - Énfasis6 2 3 3 2 2" xfId="9021"/>
    <cellStyle name="40% - Énfasis6 2 3 3 3" xfId="6970"/>
    <cellStyle name="40% - Énfasis6 2 3 4" xfId="1458"/>
    <cellStyle name="40% - Énfasis6 2 3 4 2" xfId="4922"/>
    <cellStyle name="40% - Énfasis6 2 3 4 2 2" xfId="9022"/>
    <cellStyle name="40% - Énfasis6 2 3 4 3" xfId="6971"/>
    <cellStyle name="40% - Énfasis6 2 3 5" xfId="1459"/>
    <cellStyle name="40% - Énfasis6 2 3 5 2" xfId="4923"/>
    <cellStyle name="40% - Énfasis6 2 3 5 2 2" xfId="9023"/>
    <cellStyle name="40% - Énfasis6 2 3 5 3" xfId="6972"/>
    <cellStyle name="40% - Énfasis6 2 3 6" xfId="1460"/>
    <cellStyle name="40% - Énfasis6 2 3 6 2" xfId="4924"/>
    <cellStyle name="40% - Énfasis6 2 3 6 2 2" xfId="9024"/>
    <cellStyle name="40% - Énfasis6 2 3 6 3" xfId="6973"/>
    <cellStyle name="40% - Énfasis6 2 3 7" xfId="1461"/>
    <cellStyle name="40% - Énfasis6 2 3 7 2" xfId="4925"/>
    <cellStyle name="40% - Énfasis6 2 3 7 2 2" xfId="9025"/>
    <cellStyle name="40% - Énfasis6 2 3 7 3" xfId="6974"/>
    <cellStyle name="40% - Énfasis6 2 3 8" xfId="1462"/>
    <cellStyle name="40% - Énfasis6 2 3 8 2" xfId="4926"/>
    <cellStyle name="40% - Énfasis6 2 3 8 2 2" xfId="9026"/>
    <cellStyle name="40% - Énfasis6 2 3 8 3" xfId="6975"/>
    <cellStyle name="40% - Énfasis6 2 3 9" xfId="4917"/>
    <cellStyle name="40% - Énfasis6 2 3 9 2" xfId="9017"/>
    <cellStyle name="40% - Énfasis6 2 4" xfId="1463"/>
    <cellStyle name="40% - Énfasis6 2 4 2" xfId="1464"/>
    <cellStyle name="40% - Énfasis6 2 4 2 2" xfId="4928"/>
    <cellStyle name="40% - Énfasis6 2 4 2 2 2" xfId="9028"/>
    <cellStyle name="40% - Énfasis6 2 4 2 3" xfId="6977"/>
    <cellStyle name="40% - Énfasis6 2 4 3" xfId="1465"/>
    <cellStyle name="40% - Énfasis6 2 4 3 2" xfId="4929"/>
    <cellStyle name="40% - Énfasis6 2 4 3 2 2" xfId="9029"/>
    <cellStyle name="40% - Énfasis6 2 4 3 3" xfId="6978"/>
    <cellStyle name="40% - Énfasis6 2 4 4" xfId="4927"/>
    <cellStyle name="40% - Énfasis6 2 4 4 2" xfId="9027"/>
    <cellStyle name="40% - Énfasis6 2 4 5" xfId="6976"/>
    <cellStyle name="40% - Énfasis6 2 5" xfId="1466"/>
    <cellStyle name="40% - Énfasis6 2 5 2" xfId="4930"/>
    <cellStyle name="40% - Énfasis6 2 5 2 2" xfId="9030"/>
    <cellStyle name="40% - Énfasis6 2 5 3" xfId="6979"/>
    <cellStyle name="40% - Énfasis6 2 6" xfId="1467"/>
    <cellStyle name="40% - Énfasis6 2 6 2" xfId="4931"/>
    <cellStyle name="40% - Énfasis6 2 6 2 2" xfId="9031"/>
    <cellStyle name="40% - Énfasis6 2 6 3" xfId="6980"/>
    <cellStyle name="40% - Énfasis6 2 7" xfId="1468"/>
    <cellStyle name="40% - Énfasis6 2 7 2" xfId="4932"/>
    <cellStyle name="40% - Énfasis6 2 7 2 2" xfId="9032"/>
    <cellStyle name="40% - Énfasis6 2 7 3" xfId="6981"/>
    <cellStyle name="40% - Énfasis6 2 8" xfId="1469"/>
    <cellStyle name="40% - Énfasis6 2 8 2" xfId="4933"/>
    <cellStyle name="40% - Énfasis6 2 8 2 2" xfId="9033"/>
    <cellStyle name="40% - Énfasis6 2 8 3" xfId="6982"/>
    <cellStyle name="40% - Énfasis6 2 9" xfId="1470"/>
    <cellStyle name="40% - Énfasis6 2 9 2" xfId="4934"/>
    <cellStyle name="40% - Énfasis6 2 9 2 2" xfId="9034"/>
    <cellStyle name="40% - Énfasis6 2 9 3" xfId="6983"/>
    <cellStyle name="40% - Énfasis6 3" xfId="1471"/>
    <cellStyle name="40% - Énfasis6 3 10" xfId="1472"/>
    <cellStyle name="40% - Énfasis6 3 10 2" xfId="4936"/>
    <cellStyle name="40% - Énfasis6 3 10 2 2" xfId="9036"/>
    <cellStyle name="40% - Énfasis6 3 10 3" xfId="6985"/>
    <cellStyle name="40% - Énfasis6 3 11" xfId="4935"/>
    <cellStyle name="40% - Énfasis6 3 11 2" xfId="9035"/>
    <cellStyle name="40% - Énfasis6 3 12" xfId="6984"/>
    <cellStyle name="40% - Énfasis6 3 2" xfId="1473"/>
    <cellStyle name="40% - Énfasis6 3 2 10" xfId="6986"/>
    <cellStyle name="40% - Énfasis6 3 2 2" xfId="1474"/>
    <cellStyle name="40% - Énfasis6 3 2 2 2" xfId="1475"/>
    <cellStyle name="40% - Énfasis6 3 2 2 2 2" xfId="4939"/>
    <cellStyle name="40% - Énfasis6 3 2 2 2 2 2" xfId="9039"/>
    <cellStyle name="40% - Énfasis6 3 2 2 2 3" xfId="6988"/>
    <cellStyle name="40% - Énfasis6 3 2 2 3" xfId="1476"/>
    <cellStyle name="40% - Énfasis6 3 2 2 3 2" xfId="4940"/>
    <cellStyle name="40% - Énfasis6 3 2 2 3 2 2" xfId="9040"/>
    <cellStyle name="40% - Énfasis6 3 2 2 3 3" xfId="6989"/>
    <cellStyle name="40% - Énfasis6 3 2 2 4" xfId="4938"/>
    <cellStyle name="40% - Énfasis6 3 2 2 4 2" xfId="9038"/>
    <cellStyle name="40% - Énfasis6 3 2 2 5" xfId="6987"/>
    <cellStyle name="40% - Énfasis6 3 2 3" xfId="1477"/>
    <cellStyle name="40% - Énfasis6 3 2 3 2" xfId="4941"/>
    <cellStyle name="40% - Énfasis6 3 2 3 2 2" xfId="9041"/>
    <cellStyle name="40% - Énfasis6 3 2 3 3" xfId="6990"/>
    <cellStyle name="40% - Énfasis6 3 2 4" xfId="1478"/>
    <cellStyle name="40% - Énfasis6 3 2 4 2" xfId="4942"/>
    <cellStyle name="40% - Énfasis6 3 2 4 2 2" xfId="9042"/>
    <cellStyle name="40% - Énfasis6 3 2 4 3" xfId="6991"/>
    <cellStyle name="40% - Énfasis6 3 2 5" xfId="1479"/>
    <cellStyle name="40% - Énfasis6 3 2 5 2" xfId="4943"/>
    <cellStyle name="40% - Énfasis6 3 2 5 2 2" xfId="9043"/>
    <cellStyle name="40% - Énfasis6 3 2 5 3" xfId="6992"/>
    <cellStyle name="40% - Énfasis6 3 2 6" xfId="1480"/>
    <cellStyle name="40% - Énfasis6 3 2 6 2" xfId="4944"/>
    <cellStyle name="40% - Énfasis6 3 2 6 2 2" xfId="9044"/>
    <cellStyle name="40% - Énfasis6 3 2 6 3" xfId="6993"/>
    <cellStyle name="40% - Énfasis6 3 2 7" xfId="1481"/>
    <cellStyle name="40% - Énfasis6 3 2 7 2" xfId="4945"/>
    <cellStyle name="40% - Énfasis6 3 2 7 2 2" xfId="9045"/>
    <cellStyle name="40% - Énfasis6 3 2 7 3" xfId="6994"/>
    <cellStyle name="40% - Énfasis6 3 2 8" xfId="1482"/>
    <cellStyle name="40% - Énfasis6 3 2 8 2" xfId="4946"/>
    <cellStyle name="40% - Énfasis6 3 2 8 2 2" xfId="9046"/>
    <cellStyle name="40% - Énfasis6 3 2 8 3" xfId="6995"/>
    <cellStyle name="40% - Énfasis6 3 2 9" xfId="4937"/>
    <cellStyle name="40% - Énfasis6 3 2 9 2" xfId="9037"/>
    <cellStyle name="40% - Énfasis6 3 3" xfId="1483"/>
    <cellStyle name="40% - Énfasis6 3 3 10" xfId="6996"/>
    <cellStyle name="40% - Énfasis6 3 3 2" xfId="1484"/>
    <cellStyle name="40% - Énfasis6 3 3 2 2" xfId="1485"/>
    <cellStyle name="40% - Énfasis6 3 3 2 2 2" xfId="4949"/>
    <cellStyle name="40% - Énfasis6 3 3 2 2 2 2" xfId="9049"/>
    <cellStyle name="40% - Énfasis6 3 3 2 2 3" xfId="6998"/>
    <cellStyle name="40% - Énfasis6 3 3 2 3" xfId="1486"/>
    <cellStyle name="40% - Énfasis6 3 3 2 3 2" xfId="4950"/>
    <cellStyle name="40% - Énfasis6 3 3 2 3 2 2" xfId="9050"/>
    <cellStyle name="40% - Énfasis6 3 3 2 3 3" xfId="6999"/>
    <cellStyle name="40% - Énfasis6 3 3 2 4" xfId="4948"/>
    <cellStyle name="40% - Énfasis6 3 3 2 4 2" xfId="9048"/>
    <cellStyle name="40% - Énfasis6 3 3 2 5" xfId="6997"/>
    <cellStyle name="40% - Énfasis6 3 3 3" xfId="1487"/>
    <cellStyle name="40% - Énfasis6 3 3 3 2" xfId="4951"/>
    <cellStyle name="40% - Énfasis6 3 3 3 2 2" xfId="9051"/>
    <cellStyle name="40% - Énfasis6 3 3 3 3" xfId="7000"/>
    <cellStyle name="40% - Énfasis6 3 3 4" xfId="1488"/>
    <cellStyle name="40% - Énfasis6 3 3 4 2" xfId="4952"/>
    <cellStyle name="40% - Énfasis6 3 3 4 2 2" xfId="9052"/>
    <cellStyle name="40% - Énfasis6 3 3 4 3" xfId="7001"/>
    <cellStyle name="40% - Énfasis6 3 3 5" xfId="1489"/>
    <cellStyle name="40% - Énfasis6 3 3 5 2" xfId="4953"/>
    <cellStyle name="40% - Énfasis6 3 3 5 2 2" xfId="9053"/>
    <cellStyle name="40% - Énfasis6 3 3 5 3" xfId="7002"/>
    <cellStyle name="40% - Énfasis6 3 3 6" xfId="1490"/>
    <cellStyle name="40% - Énfasis6 3 3 6 2" xfId="4954"/>
    <cellStyle name="40% - Énfasis6 3 3 6 2 2" xfId="9054"/>
    <cellStyle name="40% - Énfasis6 3 3 6 3" xfId="7003"/>
    <cellStyle name="40% - Énfasis6 3 3 7" xfId="1491"/>
    <cellStyle name="40% - Énfasis6 3 3 7 2" xfId="4955"/>
    <cellStyle name="40% - Énfasis6 3 3 7 2 2" xfId="9055"/>
    <cellStyle name="40% - Énfasis6 3 3 7 3" xfId="7004"/>
    <cellStyle name="40% - Énfasis6 3 3 8" xfId="1492"/>
    <cellStyle name="40% - Énfasis6 3 3 8 2" xfId="4956"/>
    <cellStyle name="40% - Énfasis6 3 3 8 2 2" xfId="9056"/>
    <cellStyle name="40% - Énfasis6 3 3 8 3" xfId="7005"/>
    <cellStyle name="40% - Énfasis6 3 3 9" xfId="4947"/>
    <cellStyle name="40% - Énfasis6 3 3 9 2" xfId="9047"/>
    <cellStyle name="40% - Énfasis6 3 4" xfId="1493"/>
    <cellStyle name="40% - Énfasis6 3 4 2" xfId="1494"/>
    <cellStyle name="40% - Énfasis6 3 4 2 2" xfId="4958"/>
    <cellStyle name="40% - Énfasis6 3 4 2 2 2" xfId="9058"/>
    <cellStyle name="40% - Énfasis6 3 4 2 3" xfId="7007"/>
    <cellStyle name="40% - Énfasis6 3 4 3" xfId="1495"/>
    <cellStyle name="40% - Énfasis6 3 4 3 2" xfId="4959"/>
    <cellStyle name="40% - Énfasis6 3 4 3 2 2" xfId="9059"/>
    <cellStyle name="40% - Énfasis6 3 4 3 3" xfId="7008"/>
    <cellStyle name="40% - Énfasis6 3 4 4" xfId="4957"/>
    <cellStyle name="40% - Énfasis6 3 4 4 2" xfId="9057"/>
    <cellStyle name="40% - Énfasis6 3 4 5" xfId="7006"/>
    <cellStyle name="40% - Énfasis6 3 5" xfId="1496"/>
    <cellStyle name="40% - Énfasis6 3 5 2" xfId="4960"/>
    <cellStyle name="40% - Énfasis6 3 5 2 2" xfId="9060"/>
    <cellStyle name="40% - Énfasis6 3 5 3" xfId="7009"/>
    <cellStyle name="40% - Énfasis6 3 6" xfId="1497"/>
    <cellStyle name="40% - Énfasis6 3 6 2" xfId="4961"/>
    <cellStyle name="40% - Énfasis6 3 6 2 2" xfId="9061"/>
    <cellStyle name="40% - Énfasis6 3 6 3" xfId="7010"/>
    <cellStyle name="40% - Énfasis6 3 7" xfId="1498"/>
    <cellStyle name="40% - Énfasis6 3 7 2" xfId="4962"/>
    <cellStyle name="40% - Énfasis6 3 7 2 2" xfId="9062"/>
    <cellStyle name="40% - Énfasis6 3 7 3" xfId="7011"/>
    <cellStyle name="40% - Énfasis6 3 8" xfId="1499"/>
    <cellStyle name="40% - Énfasis6 3 8 2" xfId="4963"/>
    <cellStyle name="40% - Énfasis6 3 8 2 2" xfId="9063"/>
    <cellStyle name="40% - Énfasis6 3 8 3" xfId="7012"/>
    <cellStyle name="40% - Énfasis6 3 9" xfId="1500"/>
    <cellStyle name="40% - Énfasis6 3 9 2" xfId="4964"/>
    <cellStyle name="40% - Énfasis6 3 9 2 2" xfId="9064"/>
    <cellStyle name="40% - Énfasis6 3 9 3" xfId="7013"/>
    <cellStyle name="40% - Énfasis6 4" xfId="1501"/>
    <cellStyle name="40% - Énfasis6 4 10" xfId="7014"/>
    <cellStyle name="40% - Énfasis6 4 2" xfId="1502"/>
    <cellStyle name="40% - Énfasis6 4 2 2" xfId="1503"/>
    <cellStyle name="40% - Énfasis6 4 2 2 2" xfId="4967"/>
    <cellStyle name="40% - Énfasis6 4 2 2 2 2" xfId="9067"/>
    <cellStyle name="40% - Énfasis6 4 2 2 3" xfId="7016"/>
    <cellStyle name="40% - Énfasis6 4 2 3" xfId="1504"/>
    <cellStyle name="40% - Énfasis6 4 2 3 2" xfId="4968"/>
    <cellStyle name="40% - Énfasis6 4 2 3 2 2" xfId="9068"/>
    <cellStyle name="40% - Énfasis6 4 2 3 3" xfId="7017"/>
    <cellStyle name="40% - Énfasis6 4 2 4" xfId="4966"/>
    <cellStyle name="40% - Énfasis6 4 2 4 2" xfId="9066"/>
    <cellStyle name="40% - Énfasis6 4 2 5" xfId="7015"/>
    <cellStyle name="40% - Énfasis6 4 3" xfId="1505"/>
    <cellStyle name="40% - Énfasis6 4 3 2" xfId="4969"/>
    <cellStyle name="40% - Énfasis6 4 3 2 2" xfId="9069"/>
    <cellStyle name="40% - Énfasis6 4 3 3" xfId="7018"/>
    <cellStyle name="40% - Énfasis6 4 4" xfId="1506"/>
    <cellStyle name="40% - Énfasis6 4 4 2" xfId="4970"/>
    <cellStyle name="40% - Énfasis6 4 4 2 2" xfId="9070"/>
    <cellStyle name="40% - Énfasis6 4 4 3" xfId="7019"/>
    <cellStyle name="40% - Énfasis6 4 5" xfId="1507"/>
    <cellStyle name="40% - Énfasis6 4 5 2" xfId="4971"/>
    <cellStyle name="40% - Énfasis6 4 5 2 2" xfId="9071"/>
    <cellStyle name="40% - Énfasis6 4 5 3" xfId="7020"/>
    <cellStyle name="40% - Énfasis6 4 6" xfId="1508"/>
    <cellStyle name="40% - Énfasis6 4 6 2" xfId="4972"/>
    <cellStyle name="40% - Énfasis6 4 6 2 2" xfId="9072"/>
    <cellStyle name="40% - Énfasis6 4 6 3" xfId="7021"/>
    <cellStyle name="40% - Énfasis6 4 7" xfId="1509"/>
    <cellStyle name="40% - Énfasis6 4 7 2" xfId="4973"/>
    <cellStyle name="40% - Énfasis6 4 7 2 2" xfId="9073"/>
    <cellStyle name="40% - Énfasis6 4 7 3" xfId="7022"/>
    <cellStyle name="40% - Énfasis6 4 8" xfId="1510"/>
    <cellStyle name="40% - Énfasis6 4 8 2" xfId="4974"/>
    <cellStyle name="40% - Énfasis6 4 8 2 2" xfId="9074"/>
    <cellStyle name="40% - Énfasis6 4 8 3" xfId="7023"/>
    <cellStyle name="40% - Énfasis6 4 9" xfId="4965"/>
    <cellStyle name="40% - Énfasis6 4 9 2" xfId="9065"/>
    <cellStyle name="40% - Énfasis6 5" xfId="1511"/>
    <cellStyle name="40% - Énfasis6 5 10" xfId="7024"/>
    <cellStyle name="40% - Énfasis6 5 2" xfId="1512"/>
    <cellStyle name="40% - Énfasis6 5 2 2" xfId="1513"/>
    <cellStyle name="40% - Énfasis6 5 2 2 2" xfId="4977"/>
    <cellStyle name="40% - Énfasis6 5 2 2 2 2" xfId="9077"/>
    <cellStyle name="40% - Énfasis6 5 2 2 3" xfId="7026"/>
    <cellStyle name="40% - Énfasis6 5 2 3" xfId="1514"/>
    <cellStyle name="40% - Énfasis6 5 2 3 2" xfId="4978"/>
    <cellStyle name="40% - Énfasis6 5 2 3 2 2" xfId="9078"/>
    <cellStyle name="40% - Énfasis6 5 2 3 3" xfId="7027"/>
    <cellStyle name="40% - Énfasis6 5 2 4" xfId="4976"/>
    <cellStyle name="40% - Énfasis6 5 2 4 2" xfId="9076"/>
    <cellStyle name="40% - Énfasis6 5 2 5" xfId="7025"/>
    <cellStyle name="40% - Énfasis6 5 3" xfId="1515"/>
    <cellStyle name="40% - Énfasis6 5 3 2" xfId="4979"/>
    <cellStyle name="40% - Énfasis6 5 3 2 2" xfId="9079"/>
    <cellStyle name="40% - Énfasis6 5 3 3" xfId="7028"/>
    <cellStyle name="40% - Énfasis6 5 4" xfId="1516"/>
    <cellStyle name="40% - Énfasis6 5 4 2" xfId="4980"/>
    <cellStyle name="40% - Énfasis6 5 4 2 2" xfId="9080"/>
    <cellStyle name="40% - Énfasis6 5 4 3" xfId="7029"/>
    <cellStyle name="40% - Énfasis6 5 5" xfId="1517"/>
    <cellStyle name="40% - Énfasis6 5 5 2" xfId="4981"/>
    <cellStyle name="40% - Énfasis6 5 5 2 2" xfId="9081"/>
    <cellStyle name="40% - Énfasis6 5 5 3" xfId="7030"/>
    <cellStyle name="40% - Énfasis6 5 6" xfId="1518"/>
    <cellStyle name="40% - Énfasis6 5 6 2" xfId="4982"/>
    <cellStyle name="40% - Énfasis6 5 6 2 2" xfId="9082"/>
    <cellStyle name="40% - Énfasis6 5 6 3" xfId="7031"/>
    <cellStyle name="40% - Énfasis6 5 7" xfId="1519"/>
    <cellStyle name="40% - Énfasis6 5 7 2" xfId="4983"/>
    <cellStyle name="40% - Énfasis6 5 7 2 2" xfId="9083"/>
    <cellStyle name="40% - Énfasis6 5 7 3" xfId="7032"/>
    <cellStyle name="40% - Énfasis6 5 8" xfId="1520"/>
    <cellStyle name="40% - Énfasis6 5 8 2" xfId="4984"/>
    <cellStyle name="40% - Énfasis6 5 8 2 2" xfId="9084"/>
    <cellStyle name="40% - Énfasis6 5 8 3" xfId="7033"/>
    <cellStyle name="40% - Énfasis6 5 9" xfId="4975"/>
    <cellStyle name="40% - Énfasis6 5 9 2" xfId="9075"/>
    <cellStyle name="40% - Énfasis6 6" xfId="9557"/>
    <cellStyle name="60% - Énfasis1" xfId="9518" builtinId="32" customBuiltin="1"/>
    <cellStyle name="60% - Énfasis2" xfId="9522" builtinId="36" customBuiltin="1"/>
    <cellStyle name="60% - Énfasis3" xfId="9526" builtinId="40" customBuiltin="1"/>
    <cellStyle name="60% - Énfasis4" xfId="9530" builtinId="44" customBuiltin="1"/>
    <cellStyle name="60% - Énfasis5" xfId="9534" builtinId="48" customBuiltin="1"/>
    <cellStyle name="60% - Énfasis6" xfId="9538" builtinId="52" customBuiltin="1"/>
    <cellStyle name="BodyStyle" xfId="1521"/>
    <cellStyle name="BodyStyleBold" xfId="1522"/>
    <cellStyle name="BodyStyleBoldRight" xfId="1523"/>
    <cellStyle name="BodyStyleWithBorder" xfId="1524"/>
    <cellStyle name="BodyStyleWithBorder 2" xfId="1525"/>
    <cellStyle name="BodyStyleWithBorder 2 2" xfId="1526"/>
    <cellStyle name="BodyStyleWithBorder 2 2 2" xfId="1527"/>
    <cellStyle name="BodyStyleWithBorder 2 3" xfId="1528"/>
    <cellStyle name="BodyStyleWithBorder 2 3 2" xfId="1529"/>
    <cellStyle name="BodyStyleWithBorder 2 4" xfId="1530"/>
    <cellStyle name="BodyStyleWithBorder 3" xfId="1531"/>
    <cellStyle name="BodyStyleWithBorder 3 2" xfId="1532"/>
    <cellStyle name="BodyStyleWithBorder 4" xfId="1533"/>
    <cellStyle name="BodyStyleWithBorder 4 2" xfId="1534"/>
    <cellStyle name="BodyStyleWithBorder 5" xfId="1535"/>
    <cellStyle name="BodyStyleWithBorder 5 2" xfId="1536"/>
    <cellStyle name="BodyStyleWithBorder 6" xfId="1537"/>
    <cellStyle name="BodyStyleWithBorder 6 2" xfId="1538"/>
    <cellStyle name="BodyStyleWithBorder 7" xfId="1539"/>
    <cellStyle name="BodyStyleWithBorder 7 2" xfId="1540"/>
    <cellStyle name="BodyStyleWithBorder 8" xfId="1541"/>
    <cellStyle name="BorderThinBlack" xfId="1542"/>
    <cellStyle name="BorderThinBlack 10" xfId="1543"/>
    <cellStyle name="BorderThinBlack 10 2" xfId="1544"/>
    <cellStyle name="BorderThinBlack 11" xfId="3463"/>
    <cellStyle name="BorderThinBlack 2" xfId="1545"/>
    <cellStyle name="BorderThinBlack 2 2" xfId="1546"/>
    <cellStyle name="BorderThinBlack 2 2 2" xfId="1547"/>
    <cellStyle name="BorderThinBlack 2 3" xfId="1548"/>
    <cellStyle name="BorderThinBlack 2 3 2" xfId="1549"/>
    <cellStyle name="BorderThinBlack 2 4" xfId="1550"/>
    <cellStyle name="BorderThinBlack 3" xfId="1551"/>
    <cellStyle name="BorderThinBlack 3 2" xfId="1552"/>
    <cellStyle name="BorderThinBlack 4" xfId="1553"/>
    <cellStyle name="BorderThinBlack 4 2" xfId="1554"/>
    <cellStyle name="BorderThinBlack 5" xfId="1555"/>
    <cellStyle name="BorderThinBlack 5 2" xfId="1556"/>
    <cellStyle name="BorderThinBlack 6" xfId="1557"/>
    <cellStyle name="BorderThinBlack 6 2" xfId="1558"/>
    <cellStyle name="BorderThinBlack 7" xfId="1559"/>
    <cellStyle name="BorderThinBlack 7 2" xfId="1560"/>
    <cellStyle name="BorderThinBlack 8" xfId="1561"/>
    <cellStyle name="BorderThinBlack 8 2" xfId="1562"/>
    <cellStyle name="BorderThinBlack 9" xfId="1563"/>
    <cellStyle name="BorderThinBlack 9 2" xfId="1564"/>
    <cellStyle name="Buena" xfId="9505" builtinId="26" customBuiltin="1"/>
    <cellStyle name="Cálculo" xfId="9510" builtinId="22" customBuiltin="1"/>
    <cellStyle name="Categoría de la tabla dinámica" xfId="1565"/>
    <cellStyle name="Celda de comprobación" xfId="9512" builtinId="23" customBuiltin="1"/>
    <cellStyle name="Celda vinculada" xfId="9511" builtinId="24" customBuiltin="1"/>
    <cellStyle name="Comma" xfId="1566"/>
    <cellStyle name="Comma [0]" xfId="1567"/>
    <cellStyle name="Comma [0] 2" xfId="1568"/>
    <cellStyle name="Comma [0] 2 2" xfId="7036"/>
    <cellStyle name="Comma [0] 3" xfId="1569"/>
    <cellStyle name="Comma [0] 3 2" xfId="1570"/>
    <cellStyle name="Comma [0] 3 2 2" xfId="7038"/>
    <cellStyle name="Comma [0] 3 3" xfId="7037"/>
    <cellStyle name="Comma [0] 4" xfId="3462"/>
    <cellStyle name="Comma [0] 4 2" xfId="7563"/>
    <cellStyle name="Comma [0] 5" xfId="7035"/>
    <cellStyle name="Comma 10" xfId="1571"/>
    <cellStyle name="Comma 10 2" xfId="1572"/>
    <cellStyle name="Comma 10 2 2" xfId="7040"/>
    <cellStyle name="Comma 10 3" xfId="7039"/>
    <cellStyle name="Comma 11" xfId="1573"/>
    <cellStyle name="Comma 11 2" xfId="1574"/>
    <cellStyle name="Comma 11 2 2" xfId="7042"/>
    <cellStyle name="Comma 11 3" xfId="7041"/>
    <cellStyle name="Comma 12" xfId="1575"/>
    <cellStyle name="Comma 12 2" xfId="1576"/>
    <cellStyle name="Comma 12 2 2" xfId="7044"/>
    <cellStyle name="Comma 12 3" xfId="7043"/>
    <cellStyle name="Comma 13" xfId="1577"/>
    <cellStyle name="Comma 13 2" xfId="1578"/>
    <cellStyle name="Comma 13 2 2" xfId="7046"/>
    <cellStyle name="Comma 13 3" xfId="7045"/>
    <cellStyle name="Comma 14" xfId="1579"/>
    <cellStyle name="Comma 14 2" xfId="1580"/>
    <cellStyle name="Comma 14 2 2" xfId="7048"/>
    <cellStyle name="Comma 14 3" xfId="7047"/>
    <cellStyle name="Comma 15" xfId="1581"/>
    <cellStyle name="Comma 15 2" xfId="1582"/>
    <cellStyle name="Comma 15 2 2" xfId="7050"/>
    <cellStyle name="Comma 15 3" xfId="7049"/>
    <cellStyle name="Comma 16" xfId="1583"/>
    <cellStyle name="Comma 16 2" xfId="1584"/>
    <cellStyle name="Comma 16 2 2" xfId="7052"/>
    <cellStyle name="Comma 16 3" xfId="7051"/>
    <cellStyle name="Comma 17" xfId="1585"/>
    <cellStyle name="Comma 17 2" xfId="1586"/>
    <cellStyle name="Comma 17 2 2" xfId="7054"/>
    <cellStyle name="Comma 17 3" xfId="7053"/>
    <cellStyle name="Comma 18" xfId="1587"/>
    <cellStyle name="Comma 18 2" xfId="1588"/>
    <cellStyle name="Comma 18 2 2" xfId="7056"/>
    <cellStyle name="Comma 18 3" xfId="7055"/>
    <cellStyle name="Comma 19" xfId="1589"/>
    <cellStyle name="Comma 19 2" xfId="1590"/>
    <cellStyle name="Comma 19 2 2" xfId="7058"/>
    <cellStyle name="Comma 19 3" xfId="7057"/>
    <cellStyle name="Comma 2" xfId="1591"/>
    <cellStyle name="Comma 2 2" xfId="7059"/>
    <cellStyle name="Comma 20" xfId="1592"/>
    <cellStyle name="Comma 20 2" xfId="1593"/>
    <cellStyle name="Comma 20 2 2" xfId="7061"/>
    <cellStyle name="Comma 20 3" xfId="7060"/>
    <cellStyle name="Comma 21" xfId="3461"/>
    <cellStyle name="Comma 21 2" xfId="7562"/>
    <cellStyle name="Comma 22" xfId="7034"/>
    <cellStyle name="Comma 23" xfId="9559"/>
    <cellStyle name="Comma 3" xfId="1594"/>
    <cellStyle name="Comma 3 2" xfId="1595"/>
    <cellStyle name="Comma 3 2 2" xfId="7063"/>
    <cellStyle name="Comma 3 3" xfId="7062"/>
    <cellStyle name="Comma 4" xfId="1596"/>
    <cellStyle name="Comma 4 2" xfId="1597"/>
    <cellStyle name="Comma 4 2 2" xfId="7065"/>
    <cellStyle name="Comma 4 3" xfId="7064"/>
    <cellStyle name="Comma 5" xfId="1598"/>
    <cellStyle name="Comma 5 2" xfId="1599"/>
    <cellStyle name="Comma 5 2 2" xfId="7067"/>
    <cellStyle name="Comma 5 3" xfId="7066"/>
    <cellStyle name="Comma 6" xfId="1600"/>
    <cellStyle name="Comma 6 2" xfId="1601"/>
    <cellStyle name="Comma 6 2 2" xfId="7069"/>
    <cellStyle name="Comma 6 3" xfId="7068"/>
    <cellStyle name="Comma 7" xfId="1602"/>
    <cellStyle name="Comma 7 2" xfId="1603"/>
    <cellStyle name="Comma 7 2 2" xfId="7071"/>
    <cellStyle name="Comma 7 3" xfId="7070"/>
    <cellStyle name="Comma 8" xfId="1604"/>
    <cellStyle name="Comma 8 2" xfId="1605"/>
    <cellStyle name="Comma 8 2 2" xfId="7073"/>
    <cellStyle name="Comma 8 3" xfId="7072"/>
    <cellStyle name="Comma 9" xfId="1606"/>
    <cellStyle name="Comma 9 2" xfId="1607"/>
    <cellStyle name="Comma 9 2 2" xfId="7075"/>
    <cellStyle name="Comma 9 3" xfId="7074"/>
    <cellStyle name="Currency" xfId="1608"/>
    <cellStyle name="Currency [0]" xfId="1609"/>
    <cellStyle name="Currency [0] 2" xfId="1610"/>
    <cellStyle name="Currency [0] 2 2" xfId="7077"/>
    <cellStyle name="Currency [0] 3" xfId="1611"/>
    <cellStyle name="Currency [0] 3 2" xfId="1612"/>
    <cellStyle name="Currency [0] 3 2 2" xfId="7079"/>
    <cellStyle name="Currency [0] 3 3" xfId="7078"/>
    <cellStyle name="Currency [0] 4" xfId="3460"/>
    <cellStyle name="Currency [0] 4 2" xfId="7561"/>
    <cellStyle name="Currency [0] 5" xfId="7076"/>
    <cellStyle name="Currency 10" xfId="1613"/>
    <cellStyle name="Currency 10 2" xfId="1614"/>
    <cellStyle name="Currency 11" xfId="1615"/>
    <cellStyle name="Currency 11 2" xfId="1616"/>
    <cellStyle name="Currency 12" xfId="1617"/>
    <cellStyle name="Currency 12 2" xfId="1618"/>
    <cellStyle name="Currency 13" xfId="1619"/>
    <cellStyle name="Currency 13 2" xfId="1620"/>
    <cellStyle name="Currency 14" xfId="1621"/>
    <cellStyle name="Currency 14 2" xfId="1622"/>
    <cellStyle name="Currency 15" xfId="1623"/>
    <cellStyle name="Currency 15 2" xfId="1624"/>
    <cellStyle name="Currency 16" xfId="1625"/>
    <cellStyle name="Currency 16 2" xfId="1626"/>
    <cellStyle name="Currency 17" xfId="1627"/>
    <cellStyle name="Currency 17 2" xfId="1628"/>
    <cellStyle name="Currency 18" xfId="1629"/>
    <cellStyle name="Currency 18 2" xfId="1630"/>
    <cellStyle name="Currency 19" xfId="1631"/>
    <cellStyle name="Currency 19 2" xfId="1632"/>
    <cellStyle name="Currency 2" xfId="1633"/>
    <cellStyle name="Currency 20" xfId="1634"/>
    <cellStyle name="Currency 20 2" xfId="1635"/>
    <cellStyle name="Currency 21" xfId="3459"/>
    <cellStyle name="Currency 22" xfId="9558"/>
    <cellStyle name="Currency 3" xfId="1636"/>
    <cellStyle name="Currency 3 2" xfId="1637"/>
    <cellStyle name="Currency 4" xfId="1638"/>
    <cellStyle name="Currency 4 2" xfId="1639"/>
    <cellStyle name="Currency 5" xfId="1640"/>
    <cellStyle name="Currency 5 2" xfId="1641"/>
    <cellStyle name="Currency 6" xfId="1642"/>
    <cellStyle name="Currency 6 2" xfId="1643"/>
    <cellStyle name="Currency 7" xfId="1644"/>
    <cellStyle name="Currency 7 2" xfId="1645"/>
    <cellStyle name="Currency 8" xfId="1646"/>
    <cellStyle name="Currency 8 2" xfId="1647"/>
    <cellStyle name="Currency 9" xfId="1648"/>
    <cellStyle name="Currency 9 2" xfId="1649"/>
    <cellStyle name="DateStyle" xfId="1650"/>
    <cellStyle name="DateTimeStyle" xfId="1651"/>
    <cellStyle name="Decimal" xfId="1652"/>
    <cellStyle name="DecimalWithBorder" xfId="1653"/>
    <cellStyle name="DecimalWithBorder 2" xfId="1654"/>
    <cellStyle name="DecimalWithBorder 2 2" xfId="1655"/>
    <cellStyle name="DecimalWithBorder 2 2 2" xfId="1656"/>
    <cellStyle name="DecimalWithBorder 2 3" xfId="1657"/>
    <cellStyle name="DecimalWithBorder 2 3 2" xfId="1658"/>
    <cellStyle name="DecimalWithBorder 2 4" xfId="1659"/>
    <cellStyle name="DecimalWithBorder 3" xfId="1660"/>
    <cellStyle name="DecimalWithBorder 3 2" xfId="1661"/>
    <cellStyle name="DecimalWithBorder 4" xfId="1662"/>
    <cellStyle name="DecimalWithBorder 4 2" xfId="1663"/>
    <cellStyle name="DecimalWithBorder 5" xfId="1664"/>
    <cellStyle name="DecimalWithBorder 5 2" xfId="1665"/>
    <cellStyle name="DecimalWithBorder 6" xfId="1666"/>
    <cellStyle name="DecimalWithBorder 6 2" xfId="1667"/>
    <cellStyle name="DecimalWithBorder 7" xfId="1668"/>
    <cellStyle name="DecimalWithBorder 7 2" xfId="1669"/>
    <cellStyle name="DecimalWithBorder 8" xfId="1670"/>
    <cellStyle name="Encabezado 4" xfId="9504" builtinId="19" customBuiltin="1"/>
    <cellStyle name="Énfasis1" xfId="1671" builtinId="29" customBuiltin="1"/>
    <cellStyle name="Énfasis2" xfId="9519" builtinId="33" customBuiltin="1"/>
    <cellStyle name="Énfasis3" xfId="9523" builtinId="37" customBuiltin="1"/>
    <cellStyle name="Énfasis4" xfId="9527" builtinId="41" customBuiltin="1"/>
    <cellStyle name="Énfasis5" xfId="9531" builtinId="45" customBuiltin="1"/>
    <cellStyle name="Énfasis6" xfId="9535" builtinId="49" customBuiltin="1"/>
    <cellStyle name="Entrada" xfId="9508" builtinId="20" customBuiltin="1"/>
    <cellStyle name="Estilo 1" xfId="1672"/>
    <cellStyle name="Estilo 1 2" xfId="1673"/>
    <cellStyle name="Euro" xfId="1674"/>
    <cellStyle name="EuroCurrency" xfId="1675"/>
    <cellStyle name="EuroCurrencyWithBorder" xfId="1676"/>
    <cellStyle name="EuroCurrencyWithBorder 2" xfId="1677"/>
    <cellStyle name="EuroCurrencyWithBorder 2 2" xfId="1678"/>
    <cellStyle name="EuroCurrencyWithBorder 2 2 2" xfId="1679"/>
    <cellStyle name="EuroCurrencyWithBorder 2 3" xfId="1680"/>
    <cellStyle name="EuroCurrencyWithBorder 2 3 2" xfId="1681"/>
    <cellStyle name="EuroCurrencyWithBorder 2 4" xfId="1682"/>
    <cellStyle name="EuroCurrencyWithBorder 3" xfId="1683"/>
    <cellStyle name="EuroCurrencyWithBorder 3 2" xfId="1684"/>
    <cellStyle name="EuroCurrencyWithBorder 4" xfId="1685"/>
    <cellStyle name="EuroCurrencyWithBorder 4 2" xfId="1686"/>
    <cellStyle name="EuroCurrencyWithBorder 5" xfId="1687"/>
    <cellStyle name="EuroCurrencyWithBorder 5 2" xfId="1688"/>
    <cellStyle name="EuroCurrencyWithBorder 6" xfId="1689"/>
    <cellStyle name="EuroCurrencyWithBorder 6 2" xfId="1690"/>
    <cellStyle name="EuroCurrencyWithBorder 7" xfId="1691"/>
    <cellStyle name="EuroCurrencyWithBorder 7 2" xfId="1692"/>
    <cellStyle name="EuroCurrencyWithBorder 8" xfId="1693"/>
    <cellStyle name="Excel Built-in Normal" xfId="1694"/>
    <cellStyle name="Excel Built-in Normal 2" xfId="1695"/>
    <cellStyle name="Excel_BuiltIn_Énfasis1 1" xfId="1696"/>
    <cellStyle name="HeaderStyle" xfId="1697"/>
    <cellStyle name="HeaderStyle 2" xfId="1698"/>
    <cellStyle name="HeaderStyle 2 2" xfId="1699"/>
    <cellStyle name="HeaderStyle 3" xfId="1700"/>
    <cellStyle name="HeaderStyle 3 2" xfId="1701"/>
    <cellStyle name="HeaderStyle 4" xfId="1702"/>
    <cellStyle name="HeaderSubTop" xfId="1703"/>
    <cellStyle name="HeaderSubTop 2" xfId="1704"/>
    <cellStyle name="HeaderSubTopNoBold" xfId="1705"/>
    <cellStyle name="HeaderSubTopNoBold 2" xfId="1706"/>
    <cellStyle name="HeaderTopBuyer" xfId="1707"/>
    <cellStyle name="HeaderTopBuyer 2" xfId="1708"/>
    <cellStyle name="HeaderTopStyle" xfId="1709"/>
    <cellStyle name="HeaderTopStyleAlignRight" xfId="1710"/>
    <cellStyle name="Hipervínculo" xfId="9560" builtinId="8"/>
    <cellStyle name="Hipervínculo 2" xfId="1711"/>
    <cellStyle name="Hipervínculo visitado 10" xfId="1712"/>
    <cellStyle name="Hipervínculo visitado 11" xfId="1713"/>
    <cellStyle name="Hipervínculo visitado 12" xfId="1714"/>
    <cellStyle name="Hipervínculo visitado 13" xfId="1715"/>
    <cellStyle name="Hipervínculo visitado 14" xfId="1716"/>
    <cellStyle name="Hipervínculo visitado 15" xfId="1717"/>
    <cellStyle name="Hipervínculo visitado 16" xfId="1718"/>
    <cellStyle name="Hipervínculo visitado 17" xfId="1719"/>
    <cellStyle name="Hipervínculo visitado 18" xfId="1720"/>
    <cellStyle name="Hipervínculo visitado 19" xfId="1721"/>
    <cellStyle name="Hipervínculo visitado 2" xfId="1722"/>
    <cellStyle name="Hipervínculo visitado 20" xfId="1723"/>
    <cellStyle name="Hipervínculo visitado 21" xfId="1724"/>
    <cellStyle name="Hipervínculo visitado 22" xfId="1725"/>
    <cellStyle name="Hipervínculo visitado 23" xfId="1726"/>
    <cellStyle name="Hipervínculo visitado 24" xfId="1727"/>
    <cellStyle name="Hipervínculo visitado 25" xfId="1728"/>
    <cellStyle name="Hipervínculo visitado 26" xfId="1729"/>
    <cellStyle name="Hipervínculo visitado 27" xfId="1730"/>
    <cellStyle name="Hipervínculo visitado 28" xfId="1731"/>
    <cellStyle name="Hipervínculo visitado 29" xfId="1732"/>
    <cellStyle name="Hipervínculo visitado 3" xfId="1733"/>
    <cellStyle name="Hipervínculo visitado 4" xfId="1734"/>
    <cellStyle name="Hipervínculo visitado 5" xfId="1735"/>
    <cellStyle name="Hipervínculo visitado 6" xfId="1736"/>
    <cellStyle name="Hipervínculo visitado 7" xfId="1737"/>
    <cellStyle name="Hipervínculo visitado 8" xfId="1738"/>
    <cellStyle name="Hipervínculo visitado 9" xfId="1739"/>
    <cellStyle name="Incorrecto" xfId="9506" builtinId="27" customBuiltin="1"/>
    <cellStyle name="MainTitle" xfId="1740"/>
    <cellStyle name="MainTitle 2" xfId="1741"/>
    <cellStyle name="MainTitle 2 2" xfId="1742"/>
    <cellStyle name="MainTitle 2 2 2" xfId="1743"/>
    <cellStyle name="MainTitle 2 2 2 2" xfId="1744"/>
    <cellStyle name="MainTitle 2 2 3" xfId="1745"/>
    <cellStyle name="MainTitle 2 2 3 2" xfId="1746"/>
    <cellStyle name="MainTitle 2 2 4" xfId="1747"/>
    <cellStyle name="MainTitle 2 3" xfId="1748"/>
    <cellStyle name="MainTitle 2 3 2" xfId="1749"/>
    <cellStyle name="MainTitle 2 4" xfId="1750"/>
    <cellStyle name="MainTitle 2 4 2" xfId="1751"/>
    <cellStyle name="MainTitle 2 5" xfId="1752"/>
    <cellStyle name="MainTitle 2 5 2" xfId="1753"/>
    <cellStyle name="MainTitle 2 6" xfId="1754"/>
    <cellStyle name="MainTitle 2 6 2" xfId="1755"/>
    <cellStyle name="MainTitle 2 7" xfId="1756"/>
    <cellStyle name="MainTitle 3" xfId="1757"/>
    <cellStyle name="MainTitle 3 2" xfId="1758"/>
    <cellStyle name="MainTitle 3 2 2" xfId="1759"/>
    <cellStyle name="MainTitle 3 3" xfId="1760"/>
    <cellStyle name="MainTitle 3 3 2" xfId="1761"/>
    <cellStyle name="MainTitle 3 4" xfId="1762"/>
    <cellStyle name="MainTitle 4" xfId="1763"/>
    <cellStyle name="MainTitle 4 2" xfId="1764"/>
    <cellStyle name="MainTitle 5" xfId="1765"/>
    <cellStyle name="MainTitle 5 2" xfId="1766"/>
    <cellStyle name="MainTitle 6" xfId="1767"/>
    <cellStyle name="MainTitle 6 2" xfId="1768"/>
    <cellStyle name="MainTitle 7" xfId="1769"/>
    <cellStyle name="MainTitle 7 2" xfId="1770"/>
    <cellStyle name="MainTitle 8" xfId="1771"/>
    <cellStyle name="MainTitle 8 2" xfId="1772"/>
    <cellStyle name="MainTitle 9" xfId="1773"/>
    <cellStyle name="Millares" xfId="1774" builtinId="3"/>
    <cellStyle name="Millares [0] 2" xfId="1775"/>
    <cellStyle name="Millares [0] 2 2" xfId="7081"/>
    <cellStyle name="Millares [0] 3" xfId="1776"/>
    <cellStyle name="Millares [0] 3 2" xfId="4985"/>
    <cellStyle name="Millares 10" xfId="1777"/>
    <cellStyle name="Millares 10 2" xfId="1778"/>
    <cellStyle name="Millares 10 2 2" xfId="1779"/>
    <cellStyle name="Millares 10 2 2 2" xfId="4987"/>
    <cellStyle name="Millares 10 2 3" xfId="4986"/>
    <cellStyle name="Millares 10 3" xfId="1780"/>
    <cellStyle name="Millares 10 3 2" xfId="1781"/>
    <cellStyle name="Millares 10 3 2 2" xfId="4989"/>
    <cellStyle name="Millares 10 3 3" xfId="4988"/>
    <cellStyle name="Millares 10 4" xfId="1782"/>
    <cellStyle name="Millares 10 4 2" xfId="1783"/>
    <cellStyle name="Millares 10 4 2 2" xfId="4991"/>
    <cellStyle name="Millares 10 4 3" xfId="4990"/>
    <cellStyle name="Millares 10 5" xfId="1784"/>
    <cellStyle name="Millares 10 5 2" xfId="7083"/>
    <cellStyle name="Millares 10 6" xfId="7082"/>
    <cellStyle name="Millares 11" xfId="1785"/>
    <cellStyle name="Millares 11 2" xfId="1786"/>
    <cellStyle name="Millares 11 2 2" xfId="1787"/>
    <cellStyle name="Millares 11 2 2 2" xfId="1788"/>
    <cellStyle name="Millares 11 2 2 2 2" xfId="7087"/>
    <cellStyle name="Millares 11 2 2 3" xfId="7086"/>
    <cellStyle name="Millares 11 2 3" xfId="7085"/>
    <cellStyle name="Millares 11 3" xfId="1789"/>
    <cellStyle name="Millares 11 3 2" xfId="1790"/>
    <cellStyle name="Millares 11 3 2 2" xfId="1791"/>
    <cellStyle name="Millares 11 3 2 2 2" xfId="7090"/>
    <cellStyle name="Millares 11 3 2 3" xfId="7089"/>
    <cellStyle name="Millares 11 3 3" xfId="7088"/>
    <cellStyle name="Millares 11 4" xfId="1792"/>
    <cellStyle name="Millares 11 4 2" xfId="1793"/>
    <cellStyle name="Millares 11 4 2 2" xfId="7092"/>
    <cellStyle name="Millares 11 4 3" xfId="7091"/>
    <cellStyle name="Millares 11 5" xfId="1794"/>
    <cellStyle name="Millares 11 5 2" xfId="7093"/>
    <cellStyle name="Millares 11 6" xfId="7084"/>
    <cellStyle name="Millares 12" xfId="1795"/>
    <cellStyle name="Millares 12 2" xfId="1796"/>
    <cellStyle name="Millares 12 2 2" xfId="7095"/>
    <cellStyle name="Millares 12 3" xfId="7094"/>
    <cellStyle name="Millares 13" xfId="1797"/>
    <cellStyle name="Millares 13 2" xfId="1798"/>
    <cellStyle name="Millares 13 2 2" xfId="7097"/>
    <cellStyle name="Millares 13 3" xfId="7096"/>
    <cellStyle name="Millares 14" xfId="1799"/>
    <cellStyle name="Millares 14 2" xfId="1800"/>
    <cellStyle name="Millares 14 2 2" xfId="7099"/>
    <cellStyle name="Millares 14 3" xfId="7098"/>
    <cellStyle name="Millares 15" xfId="1801"/>
    <cellStyle name="Millares 15 2" xfId="1802"/>
    <cellStyle name="Millares 15 2 2" xfId="7101"/>
    <cellStyle name="Millares 15 3" xfId="7100"/>
    <cellStyle name="Millares 16" xfId="1803"/>
    <cellStyle name="Millares 16 2" xfId="7102"/>
    <cellStyle name="Millares 17" xfId="1804"/>
    <cellStyle name="Millares 17 2" xfId="7103"/>
    <cellStyle name="Millares 18" xfId="1805"/>
    <cellStyle name="Millares 18 2" xfId="7104"/>
    <cellStyle name="Millares 19" xfId="1806"/>
    <cellStyle name="Millares 19 2" xfId="1807"/>
    <cellStyle name="Millares 19 2 2" xfId="1808"/>
    <cellStyle name="Millares 19 2 2 2" xfId="7107"/>
    <cellStyle name="Millares 19 2 3" xfId="7106"/>
    <cellStyle name="Millares 19 3" xfId="7105"/>
    <cellStyle name="Millares 2" xfId="1809"/>
    <cellStyle name="Millares 2 10" xfId="1810"/>
    <cellStyle name="Millares 2 10 2" xfId="4993"/>
    <cellStyle name="Millares 2 11" xfId="4992"/>
    <cellStyle name="Millares 2 2" xfId="1811"/>
    <cellStyle name="Millares 2 2 2" xfId="1812"/>
    <cellStyle name="Millares 2 2 2 2" xfId="1813"/>
    <cellStyle name="Millares 2 2 2 2 2" xfId="4995"/>
    <cellStyle name="Millares 2 2 2 3" xfId="4994"/>
    <cellStyle name="Millares 2 2 3" xfId="1814"/>
    <cellStyle name="Millares 2 2 3 2" xfId="1815"/>
    <cellStyle name="Millares 2 2 3 2 2" xfId="4997"/>
    <cellStyle name="Millares 2 2 3 2 2 2" xfId="9086"/>
    <cellStyle name="Millares 2 2 3 2 3" xfId="7110"/>
    <cellStyle name="Millares 2 2 3 3" xfId="4996"/>
    <cellStyle name="Millares 2 2 3 3 2" xfId="9085"/>
    <cellStyle name="Millares 2 2 3 4" xfId="7109"/>
    <cellStyle name="Millares 2 2 4" xfId="1816"/>
    <cellStyle name="Millares 2 2 4 2" xfId="7111"/>
    <cellStyle name="Millares 2 2 5" xfId="7108"/>
    <cellStyle name="Millares 2 3" xfId="1817"/>
    <cellStyle name="Millares 2 3 2" xfId="1818"/>
    <cellStyle name="Millares 2 3 2 2" xfId="1819"/>
    <cellStyle name="Millares 2 3 2 2 2" xfId="5000"/>
    <cellStyle name="Millares 2 3 2 2 2 2" xfId="9089"/>
    <cellStyle name="Millares 2 3 2 2 3" xfId="7114"/>
    <cellStyle name="Millares 2 3 2 3" xfId="4999"/>
    <cellStyle name="Millares 2 3 2 3 2" xfId="9088"/>
    <cellStyle name="Millares 2 3 2 4" xfId="7113"/>
    <cellStyle name="Millares 2 3 3" xfId="1820"/>
    <cellStyle name="Millares 2 3 3 2" xfId="5001"/>
    <cellStyle name="Millares 2 3 3 2 2" xfId="9090"/>
    <cellStyle name="Millares 2 3 3 3" xfId="7115"/>
    <cellStyle name="Millares 2 3 4" xfId="4998"/>
    <cellStyle name="Millares 2 3 4 2" xfId="9087"/>
    <cellStyle name="Millares 2 3 5" xfId="7112"/>
    <cellStyle name="Millares 2 4" xfId="1821"/>
    <cellStyle name="Millares 2 4 2" xfId="1822"/>
    <cellStyle name="Millares 2 4 2 2" xfId="5003"/>
    <cellStyle name="Millares 2 4 2 2 2" xfId="9092"/>
    <cellStyle name="Millares 2 4 2 3" xfId="7117"/>
    <cellStyle name="Millares 2 4 3" xfId="5002"/>
    <cellStyle name="Millares 2 4 3 2" xfId="9091"/>
    <cellStyle name="Millares 2 4 4" xfId="7116"/>
    <cellStyle name="Millares 2 5" xfId="1823"/>
    <cellStyle name="Millares 2 5 2" xfId="1824"/>
    <cellStyle name="Millares 2 5 2 2" xfId="5005"/>
    <cellStyle name="Millares 2 5 3" xfId="5004"/>
    <cellStyle name="Millares 2 6" xfId="1825"/>
    <cellStyle name="Millares 2 6 2" xfId="1826"/>
    <cellStyle name="Millares 2 6 2 2" xfId="1827"/>
    <cellStyle name="Millares 2 6 2 2 2" xfId="5007"/>
    <cellStyle name="Millares 2 6 2 3" xfId="5006"/>
    <cellStyle name="Millares 2 6 3" xfId="1828"/>
    <cellStyle name="Millares 2 6 3 2" xfId="1829"/>
    <cellStyle name="Millares 2 6 3 2 2" xfId="7120"/>
    <cellStyle name="Millares 2 6 3 3" xfId="7119"/>
    <cellStyle name="Millares 2 6 4" xfId="7118"/>
    <cellStyle name="Millares 2 7" xfId="1830"/>
    <cellStyle name="Millares 2 7 2" xfId="1831"/>
    <cellStyle name="Millares 2 7 2 2" xfId="5009"/>
    <cellStyle name="Millares 2 7 3" xfId="5008"/>
    <cellStyle name="Millares 2 8" xfId="1832"/>
    <cellStyle name="Millares 2 8 2" xfId="1833"/>
    <cellStyle name="Millares 2 8 2 2" xfId="5011"/>
    <cellStyle name="Millares 2 8 3" xfId="5010"/>
    <cellStyle name="Millares 2 9" xfId="1834"/>
    <cellStyle name="Millares 20" xfId="1835"/>
    <cellStyle name="Millares 20 2" xfId="7121"/>
    <cellStyle name="Millares 21" xfId="1836"/>
    <cellStyle name="Millares 21 2" xfId="1837"/>
    <cellStyle name="Millares 21 2 2" xfId="5013"/>
    <cellStyle name="Millares 21 3" xfId="5012"/>
    <cellStyle name="Millares 22" xfId="1838"/>
    <cellStyle name="Millares 22 2" xfId="1839"/>
    <cellStyle name="Millares 22 2 2" xfId="5015"/>
    <cellStyle name="Millares 22 3" xfId="5014"/>
    <cellStyle name="Millares 23" xfId="1840"/>
    <cellStyle name="Millares 23 2" xfId="1841"/>
    <cellStyle name="Millares 23 2 2" xfId="5017"/>
    <cellStyle name="Millares 23 3" xfId="5016"/>
    <cellStyle name="Millares 24" xfId="1842"/>
    <cellStyle name="Millares 24 2" xfId="1843"/>
    <cellStyle name="Millares 24 2 2" xfId="5019"/>
    <cellStyle name="Millares 24 3" xfId="5018"/>
    <cellStyle name="Millares 25" xfId="1844"/>
    <cellStyle name="Millares 25 2" xfId="1845"/>
    <cellStyle name="Millares 25 2 2" xfId="5021"/>
    <cellStyle name="Millares 25 3" xfId="5020"/>
    <cellStyle name="Millares 26" xfId="1846"/>
    <cellStyle name="Millares 26 2" xfId="1847"/>
    <cellStyle name="Millares 26 2 2" xfId="5023"/>
    <cellStyle name="Millares 26 3" xfId="5022"/>
    <cellStyle name="Millares 27" xfId="1848"/>
    <cellStyle name="Millares 27 2" xfId="1849"/>
    <cellStyle name="Millares 27 2 2" xfId="5025"/>
    <cellStyle name="Millares 27 3" xfId="5024"/>
    <cellStyle name="Millares 28" xfId="1850"/>
    <cellStyle name="Millares 28 2" xfId="1851"/>
    <cellStyle name="Millares 28 2 2" xfId="5027"/>
    <cellStyle name="Millares 28 3" xfId="5026"/>
    <cellStyle name="Millares 29" xfId="1852"/>
    <cellStyle name="Millares 29 2" xfId="1853"/>
    <cellStyle name="Millares 29 2 2" xfId="5029"/>
    <cellStyle name="Millares 29 3" xfId="5028"/>
    <cellStyle name="Millares 3" xfId="1854"/>
    <cellStyle name="Millares 3 2" xfId="1855"/>
    <cellStyle name="Millares 3 3" xfId="1856"/>
    <cellStyle name="Millares 3 3 2" xfId="5031"/>
    <cellStyle name="Millares 3 4" xfId="5030"/>
    <cellStyle name="Millares 30" xfId="1857"/>
    <cellStyle name="Millares 30 2" xfId="1858"/>
    <cellStyle name="Millares 30 2 2" xfId="1859"/>
    <cellStyle name="Millares 30 2 2 2" xfId="5034"/>
    <cellStyle name="Millares 30 2 3" xfId="5033"/>
    <cellStyle name="Millares 30 3" xfId="1860"/>
    <cellStyle name="Millares 30 3 2" xfId="5035"/>
    <cellStyle name="Millares 30 4" xfId="5032"/>
    <cellStyle name="Millares 31" xfId="1861"/>
    <cellStyle name="Millares 31 2" xfId="5036"/>
    <cellStyle name="Millares 32" xfId="1862"/>
    <cellStyle name="Millares 32 2" xfId="5037"/>
    <cellStyle name="Millares 33" xfId="1863"/>
    <cellStyle name="Millares 33 2" xfId="5038"/>
    <cellStyle name="Millares 34" xfId="1864"/>
    <cellStyle name="Millares 34 2" xfId="5039"/>
    <cellStyle name="Millares 35" xfId="1865"/>
    <cellStyle name="Millares 35 2" xfId="5040"/>
    <cellStyle name="Millares 36" xfId="1866"/>
    <cellStyle name="Millares 36 2" xfId="5041"/>
    <cellStyle name="Millares 37" xfId="1867"/>
    <cellStyle name="Millares 37 2" xfId="5042"/>
    <cellStyle name="Millares 38" xfId="1868"/>
    <cellStyle name="Millares 38 2" xfId="5043"/>
    <cellStyle name="Millares 39" xfId="1869"/>
    <cellStyle name="Millares 39 2" xfId="5044"/>
    <cellStyle name="Millares 4" xfId="1870"/>
    <cellStyle name="Millares 4 2" xfId="1871"/>
    <cellStyle name="Millares 4 2 2" xfId="1872"/>
    <cellStyle name="Millares 4 2 2 2" xfId="1873"/>
    <cellStyle name="Millares 4 2 2 2 2" xfId="7124"/>
    <cellStyle name="Millares 4 2 2 3" xfId="7123"/>
    <cellStyle name="Millares 4 2 3" xfId="7122"/>
    <cellStyle name="Millares 4 3" xfId="1874"/>
    <cellStyle name="Millares 4 3 2" xfId="1875"/>
    <cellStyle name="Millares 4 3 2 2" xfId="1876"/>
    <cellStyle name="Millares 4 3 2 2 2" xfId="7127"/>
    <cellStyle name="Millares 4 3 2 3" xfId="7126"/>
    <cellStyle name="Millares 4 3 3" xfId="7125"/>
    <cellStyle name="Millares 4 4" xfId="1877"/>
    <cellStyle name="Millares 4 4 2" xfId="1878"/>
    <cellStyle name="Millares 4 4 2 2" xfId="1879"/>
    <cellStyle name="Millares 4 4 2 2 2" xfId="7130"/>
    <cellStyle name="Millares 4 4 2 3" xfId="7129"/>
    <cellStyle name="Millares 4 4 3" xfId="7128"/>
    <cellStyle name="Millares 4 5" xfId="1880"/>
    <cellStyle name="Millares 4 5 2" xfId="1881"/>
    <cellStyle name="Millares 4 5 2 2" xfId="5047"/>
    <cellStyle name="Millares 4 5 2 2 2" xfId="9094"/>
    <cellStyle name="Millares 4 5 2 3" xfId="7132"/>
    <cellStyle name="Millares 4 5 3" xfId="5046"/>
    <cellStyle name="Millares 4 5 3 2" xfId="9093"/>
    <cellStyle name="Millares 4 5 4" xfId="7131"/>
    <cellStyle name="Millares 4 6" xfId="1882"/>
    <cellStyle name="Millares 4 6 2" xfId="5048"/>
    <cellStyle name="Millares 4 7" xfId="5045"/>
    <cellStyle name="Millares 40" xfId="1883"/>
    <cellStyle name="Millares 40 2" xfId="5049"/>
    <cellStyle name="Millares 41" xfId="1884"/>
    <cellStyle name="Millares 41 2" xfId="5050"/>
    <cellStyle name="Millares 42" xfId="1885"/>
    <cellStyle name="Millares 42 2" xfId="5051"/>
    <cellStyle name="Millares 43" xfId="1886"/>
    <cellStyle name="Millares 43 2" xfId="5052"/>
    <cellStyle name="Millares 44" xfId="1887"/>
    <cellStyle name="Millares 44 2" xfId="5053"/>
    <cellStyle name="Millares 45" xfId="1888"/>
    <cellStyle name="Millares 45 2" xfId="5054"/>
    <cellStyle name="Millares 46" xfId="1889"/>
    <cellStyle name="Millares 46 2" xfId="5055"/>
    <cellStyle name="Millares 47" xfId="1890"/>
    <cellStyle name="Millares 47 2" xfId="5056"/>
    <cellStyle name="Millares 48" xfId="1891"/>
    <cellStyle name="Millares 48 2" xfId="5057"/>
    <cellStyle name="Millares 49" xfId="1892"/>
    <cellStyle name="Millares 49 2" xfId="5058"/>
    <cellStyle name="Millares 5" xfId="1893"/>
    <cellStyle name="Millares 5 15" xfId="1894"/>
    <cellStyle name="Millares 5 15 2" xfId="1895"/>
    <cellStyle name="Millares 5 15 2 2" xfId="1896"/>
    <cellStyle name="Millares 5 15 2 2 2" xfId="7135"/>
    <cellStyle name="Millares 5 15 2 3" xfId="7134"/>
    <cellStyle name="Millares 5 15 3" xfId="7133"/>
    <cellStyle name="Millares 5 2" xfId="1897"/>
    <cellStyle name="Millares 5 2 2" xfId="1898"/>
    <cellStyle name="Millares 5 3" xfId="1899"/>
    <cellStyle name="Millares 5 4" xfId="1900"/>
    <cellStyle name="Millares 5 4 2" xfId="5060"/>
    <cellStyle name="Millares 5 5" xfId="5059"/>
    <cellStyle name="Millares 50" xfId="1901"/>
    <cellStyle name="Millares 50 2" xfId="5061"/>
    <cellStyle name="Millares 51" xfId="1902"/>
    <cellStyle name="Millares 51 2" xfId="5062"/>
    <cellStyle name="Millares 52" xfId="7080"/>
    <cellStyle name="Millares 6" xfId="1903"/>
    <cellStyle name="Millares 6 2" xfId="1904"/>
    <cellStyle name="Millares 6 2 2" xfId="1905"/>
    <cellStyle name="Millares 6 2 2 2" xfId="1906"/>
    <cellStyle name="Millares 6 2 2 2 2" xfId="7138"/>
    <cellStyle name="Millares 6 2 2 3" xfId="7137"/>
    <cellStyle name="Millares 6 2 3" xfId="7136"/>
    <cellStyle name="Millares 6 3" xfId="1907"/>
    <cellStyle name="Millares 6 3 2" xfId="1908"/>
    <cellStyle name="Millares 6 3 2 2" xfId="7140"/>
    <cellStyle name="Millares 6 3 3" xfId="7139"/>
    <cellStyle name="Millares 6 4" xfId="1909"/>
    <cellStyle name="Millares 6 4 2" xfId="7141"/>
    <cellStyle name="Millares 6 5" xfId="1910"/>
    <cellStyle name="Millares 6 5 2" xfId="5064"/>
    <cellStyle name="Millares 6 6" xfId="5063"/>
    <cellStyle name="Millares 7" xfId="1911"/>
    <cellStyle name="Millares 7 2" xfId="1912"/>
    <cellStyle name="Millares 7 2 2" xfId="1913"/>
    <cellStyle name="Millares 7 2 2 2" xfId="7143"/>
    <cellStyle name="Millares 7 2 3" xfId="7142"/>
    <cellStyle name="Millares 7 3" xfId="1914"/>
    <cellStyle name="Millares 7 3 2" xfId="1915"/>
    <cellStyle name="Millares 7 3 2 2" xfId="7145"/>
    <cellStyle name="Millares 7 3 3" xfId="7144"/>
    <cellStyle name="Millares 7 4" xfId="1916"/>
    <cellStyle name="Millares 7 4 2" xfId="1917"/>
    <cellStyle name="Millares 7 4 2 2" xfId="7147"/>
    <cellStyle name="Millares 7 4 3" xfId="7146"/>
    <cellStyle name="Millares 7 5" xfId="1918"/>
    <cellStyle name="Millares 7 5 2" xfId="5066"/>
    <cellStyle name="Millares 7 6" xfId="5065"/>
    <cellStyle name="Millares 8" xfId="1919"/>
    <cellStyle name="Millares 8 2" xfId="1920"/>
    <cellStyle name="Millares 8 2 2" xfId="1921"/>
    <cellStyle name="Millares 8 2 2 2" xfId="1922"/>
    <cellStyle name="Millares 8 2 2 2 2" xfId="7150"/>
    <cellStyle name="Millares 8 2 2 3" xfId="7149"/>
    <cellStyle name="Millares 8 2 3" xfId="7148"/>
    <cellStyle name="Millares 8 3" xfId="1923"/>
    <cellStyle name="Millares 8 3 2" xfId="1924"/>
    <cellStyle name="Millares 8 3 2 2" xfId="1925"/>
    <cellStyle name="Millares 8 3 2 2 2" xfId="7153"/>
    <cellStyle name="Millares 8 3 2 3" xfId="7152"/>
    <cellStyle name="Millares 8 3 3" xfId="7151"/>
    <cellStyle name="Millares 8 4" xfId="1926"/>
    <cellStyle name="Millares 8 4 2" xfId="1927"/>
    <cellStyle name="Millares 8 4 2 2" xfId="7155"/>
    <cellStyle name="Millares 8 4 3" xfId="7154"/>
    <cellStyle name="Millares 8 5" xfId="1928"/>
    <cellStyle name="Millares 8 5 2" xfId="7156"/>
    <cellStyle name="Millares 8 6" xfId="1929"/>
    <cellStyle name="Millares 8 6 2" xfId="5068"/>
    <cellStyle name="Millares 8 7" xfId="5067"/>
    <cellStyle name="Millares 9" xfId="1930"/>
    <cellStyle name="Millares 9 2" xfId="1931"/>
    <cellStyle name="Millares 9 2 2" xfId="7158"/>
    <cellStyle name="Millares 9 3" xfId="7157"/>
    <cellStyle name="Moneda [0] 2" xfId="1932"/>
    <cellStyle name="Moneda 2" xfId="1933"/>
    <cellStyle name="Moneda 2 2" xfId="1934"/>
    <cellStyle name="Moneda 2 2 2" xfId="1935"/>
    <cellStyle name="Moneda 2 2 2 2" xfId="1936"/>
    <cellStyle name="Moneda 2 3" xfId="1937"/>
    <cellStyle name="Moneda 2 3 2" xfId="5070"/>
    <cellStyle name="Moneda 2 4" xfId="5069"/>
    <cellStyle name="Moneda 3" xfId="1938"/>
    <cellStyle name="Moneda 3 2" xfId="1939"/>
    <cellStyle name="Moneda 3 2 2" xfId="5072"/>
    <cellStyle name="Moneda 3 3" xfId="5071"/>
    <cellStyle name="Moneda 4" xfId="1940"/>
    <cellStyle name="Moneda 4 10" xfId="1941"/>
    <cellStyle name="Moneda 4 10 2" xfId="1942"/>
    <cellStyle name="Moneda 4 11" xfId="1943"/>
    <cellStyle name="Moneda 4 2" xfId="1944"/>
    <cellStyle name="Moneda 4 2 2" xfId="1945"/>
    <cellStyle name="Moneda 4 2 2 2" xfId="1946"/>
    <cellStyle name="Moneda 4 2 2 2 2" xfId="1947"/>
    <cellStyle name="Moneda 4 2 2 3" xfId="1948"/>
    <cellStyle name="Moneda 4 2 2 3 2" xfId="1949"/>
    <cellStyle name="Moneda 4 2 2 4" xfId="1950"/>
    <cellStyle name="Moneda 4 2 3" xfId="1951"/>
    <cellStyle name="Moneda 4 2 3 2" xfId="1952"/>
    <cellStyle name="Moneda 4 2 4" xfId="1953"/>
    <cellStyle name="Moneda 4 2 4 2" xfId="1954"/>
    <cellStyle name="Moneda 4 2 5" xfId="1955"/>
    <cellStyle name="Moneda 4 2 5 2" xfId="1956"/>
    <cellStyle name="Moneda 4 2 6" xfId="1957"/>
    <cellStyle name="Moneda 4 2 6 2" xfId="1958"/>
    <cellStyle name="Moneda 4 2 7" xfId="1959"/>
    <cellStyle name="Moneda 4 2 7 2" xfId="1960"/>
    <cellStyle name="Moneda 4 2 8" xfId="1961"/>
    <cellStyle name="Moneda 4 2 8 2" xfId="1962"/>
    <cellStyle name="Moneda 4 2 9" xfId="1963"/>
    <cellStyle name="Moneda 4 3" xfId="1964"/>
    <cellStyle name="Moneda 4 3 2" xfId="1965"/>
    <cellStyle name="Moneda 4 3 2 2" xfId="1966"/>
    <cellStyle name="Moneda 4 3 2 2 2" xfId="1967"/>
    <cellStyle name="Moneda 4 3 2 3" xfId="1968"/>
    <cellStyle name="Moneda 4 3 2 3 2" xfId="1969"/>
    <cellStyle name="Moneda 4 3 2 4" xfId="1970"/>
    <cellStyle name="Moneda 4 3 3" xfId="1971"/>
    <cellStyle name="Moneda 4 3 3 2" xfId="1972"/>
    <cellStyle name="Moneda 4 3 4" xfId="1973"/>
    <cellStyle name="Moneda 4 3 4 2" xfId="1974"/>
    <cellStyle name="Moneda 4 3 5" xfId="1975"/>
    <cellStyle name="Moneda 4 3 5 2" xfId="1976"/>
    <cellStyle name="Moneda 4 3 6" xfId="1977"/>
    <cellStyle name="Moneda 4 3 6 2" xfId="1978"/>
    <cellStyle name="Moneda 4 3 7" xfId="1979"/>
    <cellStyle name="Moneda 4 3 7 2" xfId="1980"/>
    <cellStyle name="Moneda 4 3 8" xfId="1981"/>
    <cellStyle name="Moneda 4 3 8 2" xfId="1982"/>
    <cellStyle name="Moneda 4 3 9" xfId="1983"/>
    <cellStyle name="Moneda 4 4" xfId="1984"/>
    <cellStyle name="Moneda 4 4 2" xfId="1985"/>
    <cellStyle name="Moneda 4 4 2 2" xfId="1986"/>
    <cellStyle name="Moneda 4 4 3" xfId="1987"/>
    <cellStyle name="Moneda 4 4 3 2" xfId="1988"/>
    <cellStyle name="Moneda 4 4 4" xfId="1989"/>
    <cellStyle name="Moneda 4 5" xfId="1990"/>
    <cellStyle name="Moneda 4 5 2" xfId="1991"/>
    <cellStyle name="Moneda 4 6" xfId="1992"/>
    <cellStyle name="Moneda 4 6 2" xfId="1993"/>
    <cellStyle name="Moneda 4 7" xfId="1994"/>
    <cellStyle name="Moneda 4 7 2" xfId="1995"/>
    <cellStyle name="Moneda 4 8" xfId="1996"/>
    <cellStyle name="Moneda 4 8 2" xfId="1997"/>
    <cellStyle name="Moneda 4 9" xfId="1998"/>
    <cellStyle name="Moneda 4 9 2" xfId="1999"/>
    <cellStyle name="Moneda 5" xfId="2000"/>
    <cellStyle name="Moneda 5 2" xfId="2001"/>
    <cellStyle name="Moneda 5 2 2" xfId="5074"/>
    <cellStyle name="Moneda 5 2 2 2" xfId="9096"/>
    <cellStyle name="Moneda 5 2 3" xfId="7160"/>
    <cellStyle name="Moneda 5 3" xfId="5073"/>
    <cellStyle name="Moneda 5 3 2" xfId="9095"/>
    <cellStyle name="Moneda 5 4" xfId="7159"/>
    <cellStyle name="Neutral" xfId="9507" builtinId="28" customBuiltin="1"/>
    <cellStyle name="Normal" xfId="0" builtinId="0"/>
    <cellStyle name="Normal 10" xfId="2002"/>
    <cellStyle name="Normal 10 10" xfId="2003"/>
    <cellStyle name="Normal 10 10 2" xfId="5076"/>
    <cellStyle name="Normal 10 10 2 2" xfId="9098"/>
    <cellStyle name="Normal 10 10 3" xfId="7162"/>
    <cellStyle name="Normal 10 11" xfId="5075"/>
    <cellStyle name="Normal 10 11 2" xfId="9097"/>
    <cellStyle name="Normal 10 12" xfId="7161"/>
    <cellStyle name="Normal 10 2" xfId="2004"/>
    <cellStyle name="Normal 10 2 10" xfId="7163"/>
    <cellStyle name="Normal 10 2 2" xfId="2005"/>
    <cellStyle name="Normal 10 2 2 2" xfId="2006"/>
    <cellStyle name="Normal 10 2 2 2 2" xfId="5079"/>
    <cellStyle name="Normal 10 2 2 2 2 2" xfId="9101"/>
    <cellStyle name="Normal 10 2 2 2 3" xfId="7165"/>
    <cellStyle name="Normal 10 2 2 3" xfId="2007"/>
    <cellStyle name="Normal 10 2 2 3 2" xfId="5080"/>
    <cellStyle name="Normal 10 2 2 3 2 2" xfId="9102"/>
    <cellStyle name="Normal 10 2 2 3 3" xfId="7166"/>
    <cellStyle name="Normal 10 2 2 4" xfId="5078"/>
    <cellStyle name="Normal 10 2 2 4 2" xfId="9100"/>
    <cellStyle name="Normal 10 2 2 5" xfId="7164"/>
    <cellStyle name="Normal 10 2 3" xfId="2008"/>
    <cellStyle name="Normal 10 2 3 2" xfId="5081"/>
    <cellStyle name="Normal 10 2 3 2 2" xfId="9103"/>
    <cellStyle name="Normal 10 2 3 3" xfId="7167"/>
    <cellStyle name="Normal 10 2 4" xfId="2009"/>
    <cellStyle name="Normal 10 2 4 2" xfId="5082"/>
    <cellStyle name="Normal 10 2 4 2 2" xfId="9104"/>
    <cellStyle name="Normal 10 2 4 3" xfId="7168"/>
    <cellStyle name="Normal 10 2 5" xfId="2010"/>
    <cellStyle name="Normal 10 2 5 2" xfId="5083"/>
    <cellStyle name="Normal 10 2 5 2 2" xfId="9105"/>
    <cellStyle name="Normal 10 2 5 3" xfId="7169"/>
    <cellStyle name="Normal 10 2 6" xfId="2011"/>
    <cellStyle name="Normal 10 2 6 2" xfId="5084"/>
    <cellStyle name="Normal 10 2 6 2 2" xfId="9106"/>
    <cellStyle name="Normal 10 2 6 3" xfId="7170"/>
    <cellStyle name="Normal 10 2 7" xfId="2012"/>
    <cellStyle name="Normal 10 2 7 2" xfId="5085"/>
    <cellStyle name="Normal 10 2 7 2 2" xfId="9107"/>
    <cellStyle name="Normal 10 2 7 3" xfId="7171"/>
    <cellStyle name="Normal 10 2 8" xfId="2013"/>
    <cellStyle name="Normal 10 2 8 2" xfId="5086"/>
    <cellStyle name="Normal 10 2 8 2 2" xfId="9108"/>
    <cellStyle name="Normal 10 2 8 3" xfId="7172"/>
    <cellStyle name="Normal 10 2 9" xfId="5077"/>
    <cellStyle name="Normal 10 2 9 2" xfId="9099"/>
    <cellStyle name="Normal 10 3" xfId="2014"/>
    <cellStyle name="Normal 10 3 10" xfId="7173"/>
    <cellStyle name="Normal 10 3 2" xfId="2015"/>
    <cellStyle name="Normal 10 3 2 2" xfId="2016"/>
    <cellStyle name="Normal 10 3 2 2 2" xfId="5089"/>
    <cellStyle name="Normal 10 3 2 2 2 2" xfId="9111"/>
    <cellStyle name="Normal 10 3 2 2 3" xfId="7175"/>
    <cellStyle name="Normal 10 3 2 3" xfId="2017"/>
    <cellStyle name="Normal 10 3 2 3 2" xfId="5090"/>
    <cellStyle name="Normal 10 3 2 3 2 2" xfId="9112"/>
    <cellStyle name="Normal 10 3 2 3 3" xfId="7176"/>
    <cellStyle name="Normal 10 3 2 4" xfId="5088"/>
    <cellStyle name="Normal 10 3 2 4 2" xfId="9110"/>
    <cellStyle name="Normal 10 3 2 5" xfId="7174"/>
    <cellStyle name="Normal 10 3 3" xfId="2018"/>
    <cellStyle name="Normal 10 3 3 2" xfId="5091"/>
    <cellStyle name="Normal 10 3 3 2 2" xfId="9113"/>
    <cellStyle name="Normal 10 3 3 3" xfId="7177"/>
    <cellStyle name="Normal 10 3 4" xfId="2019"/>
    <cellStyle name="Normal 10 3 4 2" xfId="5092"/>
    <cellStyle name="Normal 10 3 4 2 2" xfId="9114"/>
    <cellStyle name="Normal 10 3 4 3" xfId="7178"/>
    <cellStyle name="Normal 10 3 5" xfId="2020"/>
    <cellStyle name="Normal 10 3 5 2" xfId="5093"/>
    <cellStyle name="Normal 10 3 5 2 2" xfId="9115"/>
    <cellStyle name="Normal 10 3 5 3" xfId="7179"/>
    <cellStyle name="Normal 10 3 6" xfId="2021"/>
    <cellStyle name="Normal 10 3 6 2" xfId="5094"/>
    <cellStyle name="Normal 10 3 6 2 2" xfId="9116"/>
    <cellStyle name="Normal 10 3 6 3" xfId="7180"/>
    <cellStyle name="Normal 10 3 7" xfId="2022"/>
    <cellStyle name="Normal 10 3 7 2" xfId="5095"/>
    <cellStyle name="Normal 10 3 7 2 2" xfId="9117"/>
    <cellStyle name="Normal 10 3 7 3" xfId="7181"/>
    <cellStyle name="Normal 10 3 8" xfId="2023"/>
    <cellStyle name="Normal 10 3 8 2" xfId="5096"/>
    <cellStyle name="Normal 10 3 8 2 2" xfId="9118"/>
    <cellStyle name="Normal 10 3 8 3" xfId="7182"/>
    <cellStyle name="Normal 10 3 9" xfId="5087"/>
    <cellStyle name="Normal 10 3 9 2" xfId="9109"/>
    <cellStyle name="Normal 10 4" xfId="2024"/>
    <cellStyle name="Normal 10 4 2" xfId="2025"/>
    <cellStyle name="Normal 10 4 2 2" xfId="5098"/>
    <cellStyle name="Normal 10 4 2 2 2" xfId="9120"/>
    <cellStyle name="Normal 10 4 2 3" xfId="7184"/>
    <cellStyle name="Normal 10 4 3" xfId="2026"/>
    <cellStyle name="Normal 10 4 3 2" xfId="5099"/>
    <cellStyle name="Normal 10 4 3 2 2" xfId="9121"/>
    <cellStyle name="Normal 10 4 3 3" xfId="7185"/>
    <cellStyle name="Normal 10 4 4" xfId="5097"/>
    <cellStyle name="Normal 10 4 4 2" xfId="9119"/>
    <cellStyle name="Normal 10 4 5" xfId="7183"/>
    <cellStyle name="Normal 10 5" xfId="2027"/>
    <cellStyle name="Normal 10 5 2" xfId="5100"/>
    <cellStyle name="Normal 10 5 2 2" xfId="9122"/>
    <cellStyle name="Normal 10 5 3" xfId="7186"/>
    <cellStyle name="Normal 10 6" xfId="2028"/>
    <cellStyle name="Normal 10 6 2" xfId="5101"/>
    <cellStyle name="Normal 10 6 2 2" xfId="9123"/>
    <cellStyle name="Normal 10 6 3" xfId="7187"/>
    <cellStyle name="Normal 10 7" xfId="2029"/>
    <cellStyle name="Normal 10 7 2" xfId="5102"/>
    <cellStyle name="Normal 10 7 2 2" xfId="9124"/>
    <cellStyle name="Normal 10 7 3" xfId="7188"/>
    <cellStyle name="Normal 10 8" xfId="2030"/>
    <cellStyle name="Normal 10 8 2" xfId="5103"/>
    <cellStyle name="Normal 10 8 2 2" xfId="9125"/>
    <cellStyle name="Normal 10 8 3" xfId="7189"/>
    <cellStyle name="Normal 10 9" xfId="2031"/>
    <cellStyle name="Normal 10 9 2" xfId="5104"/>
    <cellStyle name="Normal 10 9 2 2" xfId="9126"/>
    <cellStyle name="Normal 10 9 3" xfId="7190"/>
    <cellStyle name="Normal 11" xfId="2032"/>
    <cellStyle name="Normal 11 10" xfId="2033"/>
    <cellStyle name="Normal 11 10 2" xfId="5106"/>
    <cellStyle name="Normal 11 10 2 2" xfId="9128"/>
    <cellStyle name="Normal 11 10 3" xfId="7192"/>
    <cellStyle name="Normal 11 11" xfId="5105"/>
    <cellStyle name="Normal 11 11 2" xfId="9127"/>
    <cellStyle name="Normal 11 12" xfId="7191"/>
    <cellStyle name="Normal 11 2" xfId="2034"/>
    <cellStyle name="Normal 11 2 10" xfId="7193"/>
    <cellStyle name="Normal 11 2 2" xfId="2035"/>
    <cellStyle name="Normal 11 2 2 2" xfId="2036"/>
    <cellStyle name="Normal 11 2 2 2 2" xfId="5109"/>
    <cellStyle name="Normal 11 2 2 2 2 2" xfId="9131"/>
    <cellStyle name="Normal 11 2 2 2 3" xfId="7195"/>
    <cellStyle name="Normal 11 2 2 3" xfId="2037"/>
    <cellStyle name="Normal 11 2 2 3 2" xfId="5110"/>
    <cellStyle name="Normal 11 2 2 3 2 2" xfId="9132"/>
    <cellStyle name="Normal 11 2 2 3 3" xfId="7196"/>
    <cellStyle name="Normal 11 2 2 4" xfId="5108"/>
    <cellStyle name="Normal 11 2 2 4 2" xfId="9130"/>
    <cellStyle name="Normal 11 2 2 5" xfId="7194"/>
    <cellStyle name="Normal 11 2 3" xfId="2038"/>
    <cellStyle name="Normal 11 2 3 2" xfId="5111"/>
    <cellStyle name="Normal 11 2 3 2 2" xfId="9133"/>
    <cellStyle name="Normal 11 2 3 3" xfId="7197"/>
    <cellStyle name="Normal 11 2 4" xfId="2039"/>
    <cellStyle name="Normal 11 2 4 2" xfId="5112"/>
    <cellStyle name="Normal 11 2 4 2 2" xfId="9134"/>
    <cellStyle name="Normal 11 2 4 3" xfId="7198"/>
    <cellStyle name="Normal 11 2 5" xfId="2040"/>
    <cellStyle name="Normal 11 2 5 2" xfId="5113"/>
    <cellStyle name="Normal 11 2 5 2 2" xfId="9135"/>
    <cellStyle name="Normal 11 2 5 3" xfId="7199"/>
    <cellStyle name="Normal 11 2 6" xfId="2041"/>
    <cellStyle name="Normal 11 2 6 2" xfId="5114"/>
    <cellStyle name="Normal 11 2 6 2 2" xfId="9136"/>
    <cellStyle name="Normal 11 2 6 3" xfId="7200"/>
    <cellStyle name="Normal 11 2 7" xfId="2042"/>
    <cellStyle name="Normal 11 2 7 2" xfId="5115"/>
    <cellStyle name="Normal 11 2 7 2 2" xfId="9137"/>
    <cellStyle name="Normal 11 2 7 3" xfId="7201"/>
    <cellStyle name="Normal 11 2 8" xfId="2043"/>
    <cellStyle name="Normal 11 2 8 2" xfId="5116"/>
    <cellStyle name="Normal 11 2 8 2 2" xfId="9138"/>
    <cellStyle name="Normal 11 2 8 3" xfId="7202"/>
    <cellStyle name="Normal 11 2 9" xfId="5107"/>
    <cellStyle name="Normal 11 2 9 2" xfId="9129"/>
    <cellStyle name="Normal 11 3" xfId="2044"/>
    <cellStyle name="Normal 11 3 10" xfId="7203"/>
    <cellStyle name="Normal 11 3 2" xfId="2045"/>
    <cellStyle name="Normal 11 3 2 2" xfId="2046"/>
    <cellStyle name="Normal 11 3 2 2 2" xfId="5119"/>
    <cellStyle name="Normal 11 3 2 2 2 2" xfId="9141"/>
    <cellStyle name="Normal 11 3 2 2 3" xfId="7205"/>
    <cellStyle name="Normal 11 3 2 3" xfId="2047"/>
    <cellStyle name="Normal 11 3 2 3 2" xfId="5120"/>
    <cellStyle name="Normal 11 3 2 3 2 2" xfId="9142"/>
    <cellStyle name="Normal 11 3 2 3 3" xfId="7206"/>
    <cellStyle name="Normal 11 3 2 4" xfId="5118"/>
    <cellStyle name="Normal 11 3 2 4 2" xfId="9140"/>
    <cellStyle name="Normal 11 3 2 5" xfId="7204"/>
    <cellStyle name="Normal 11 3 3" xfId="2048"/>
    <cellStyle name="Normal 11 3 3 2" xfId="5121"/>
    <cellStyle name="Normal 11 3 3 2 2" xfId="9143"/>
    <cellStyle name="Normal 11 3 3 3" xfId="7207"/>
    <cellStyle name="Normal 11 3 4" xfId="2049"/>
    <cellStyle name="Normal 11 3 4 2" xfId="5122"/>
    <cellStyle name="Normal 11 3 4 2 2" xfId="9144"/>
    <cellStyle name="Normal 11 3 4 3" xfId="7208"/>
    <cellStyle name="Normal 11 3 5" xfId="2050"/>
    <cellStyle name="Normal 11 3 5 2" xfId="5123"/>
    <cellStyle name="Normal 11 3 5 2 2" xfId="9145"/>
    <cellStyle name="Normal 11 3 5 3" xfId="7209"/>
    <cellStyle name="Normal 11 3 6" xfId="2051"/>
    <cellStyle name="Normal 11 3 6 2" xfId="5124"/>
    <cellStyle name="Normal 11 3 6 2 2" xfId="9146"/>
    <cellStyle name="Normal 11 3 6 3" xfId="7210"/>
    <cellStyle name="Normal 11 3 7" xfId="2052"/>
    <cellStyle name="Normal 11 3 7 2" xfId="5125"/>
    <cellStyle name="Normal 11 3 7 2 2" xfId="9147"/>
    <cellStyle name="Normal 11 3 7 3" xfId="7211"/>
    <cellStyle name="Normal 11 3 8" xfId="2053"/>
    <cellStyle name="Normal 11 3 8 2" xfId="5126"/>
    <cellStyle name="Normal 11 3 8 2 2" xfId="9148"/>
    <cellStyle name="Normal 11 3 8 3" xfId="7212"/>
    <cellStyle name="Normal 11 3 9" xfId="5117"/>
    <cellStyle name="Normal 11 3 9 2" xfId="9139"/>
    <cellStyle name="Normal 11 4" xfId="2054"/>
    <cellStyle name="Normal 11 4 2" xfId="2055"/>
    <cellStyle name="Normal 11 4 2 2" xfId="5128"/>
    <cellStyle name="Normal 11 4 2 2 2" xfId="9150"/>
    <cellStyle name="Normal 11 4 2 3" xfId="7214"/>
    <cellStyle name="Normal 11 4 3" xfId="2056"/>
    <cellStyle name="Normal 11 4 3 2" xfId="5129"/>
    <cellStyle name="Normal 11 4 3 2 2" xfId="9151"/>
    <cellStyle name="Normal 11 4 3 3" xfId="7215"/>
    <cellStyle name="Normal 11 4 4" xfId="5127"/>
    <cellStyle name="Normal 11 4 4 2" xfId="9149"/>
    <cellStyle name="Normal 11 4 5" xfId="7213"/>
    <cellStyle name="Normal 11 5" xfId="2057"/>
    <cellStyle name="Normal 11 5 2" xfId="5130"/>
    <cellStyle name="Normal 11 5 2 2" xfId="9152"/>
    <cellStyle name="Normal 11 5 3" xfId="7216"/>
    <cellStyle name="Normal 11 6" xfId="2058"/>
    <cellStyle name="Normal 11 6 2" xfId="5131"/>
    <cellStyle name="Normal 11 6 2 2" xfId="9153"/>
    <cellStyle name="Normal 11 6 3" xfId="7217"/>
    <cellStyle name="Normal 11 7" xfId="2059"/>
    <cellStyle name="Normal 11 7 2" xfId="5132"/>
    <cellStyle name="Normal 11 7 2 2" xfId="9154"/>
    <cellStyle name="Normal 11 7 3" xfId="7218"/>
    <cellStyle name="Normal 11 8" xfId="2060"/>
    <cellStyle name="Normal 11 8 2" xfId="5133"/>
    <cellStyle name="Normal 11 8 2 2" xfId="9155"/>
    <cellStyle name="Normal 11 8 3" xfId="7219"/>
    <cellStyle name="Normal 11 9" xfId="2061"/>
    <cellStyle name="Normal 11 9 2" xfId="5134"/>
    <cellStyle name="Normal 11 9 2 2" xfId="9156"/>
    <cellStyle name="Normal 11 9 3" xfId="7220"/>
    <cellStyle name="Normal 12" xfId="2062"/>
    <cellStyle name="Normal 12 10" xfId="2063"/>
    <cellStyle name="Normal 12 10 2" xfId="5136"/>
    <cellStyle name="Normal 12 10 2 2" xfId="9158"/>
    <cellStyle name="Normal 12 10 3" xfId="7222"/>
    <cellStyle name="Normal 12 11" xfId="5135"/>
    <cellStyle name="Normal 12 11 2" xfId="9157"/>
    <cellStyle name="Normal 12 12" xfId="7221"/>
    <cellStyle name="Normal 12 2" xfId="2064"/>
    <cellStyle name="Normal 12 2 10" xfId="7223"/>
    <cellStyle name="Normal 12 2 2" xfId="2065"/>
    <cellStyle name="Normal 12 2 2 2" xfId="2066"/>
    <cellStyle name="Normal 12 2 2 2 2" xfId="5139"/>
    <cellStyle name="Normal 12 2 2 2 2 2" xfId="9161"/>
    <cellStyle name="Normal 12 2 2 2 3" xfId="7225"/>
    <cellStyle name="Normal 12 2 2 3" xfId="2067"/>
    <cellStyle name="Normal 12 2 2 3 2" xfId="5140"/>
    <cellStyle name="Normal 12 2 2 3 2 2" xfId="9162"/>
    <cellStyle name="Normal 12 2 2 3 3" xfId="7226"/>
    <cellStyle name="Normal 12 2 2 4" xfId="5138"/>
    <cellStyle name="Normal 12 2 2 4 2" xfId="9160"/>
    <cellStyle name="Normal 12 2 2 5" xfId="7224"/>
    <cellStyle name="Normal 12 2 3" xfId="2068"/>
    <cellStyle name="Normal 12 2 3 2" xfId="5141"/>
    <cellStyle name="Normal 12 2 3 2 2" xfId="9163"/>
    <cellStyle name="Normal 12 2 3 3" xfId="7227"/>
    <cellStyle name="Normal 12 2 4" xfId="2069"/>
    <cellStyle name="Normal 12 2 4 2" xfId="5142"/>
    <cellStyle name="Normal 12 2 4 2 2" xfId="9164"/>
    <cellStyle name="Normal 12 2 4 3" xfId="7228"/>
    <cellStyle name="Normal 12 2 5" xfId="2070"/>
    <cellStyle name="Normal 12 2 5 2" xfId="5143"/>
    <cellStyle name="Normal 12 2 5 2 2" xfId="9165"/>
    <cellStyle name="Normal 12 2 5 3" xfId="7229"/>
    <cellStyle name="Normal 12 2 6" xfId="2071"/>
    <cellStyle name="Normal 12 2 6 2" xfId="5144"/>
    <cellStyle name="Normal 12 2 6 2 2" xfId="9166"/>
    <cellStyle name="Normal 12 2 6 3" xfId="7230"/>
    <cellStyle name="Normal 12 2 7" xfId="2072"/>
    <cellStyle name="Normal 12 2 7 2" xfId="5145"/>
    <cellStyle name="Normal 12 2 7 2 2" xfId="9167"/>
    <cellStyle name="Normal 12 2 7 3" xfId="7231"/>
    <cellStyle name="Normal 12 2 8" xfId="2073"/>
    <cellStyle name="Normal 12 2 8 2" xfId="5146"/>
    <cellStyle name="Normal 12 2 8 2 2" xfId="9168"/>
    <cellStyle name="Normal 12 2 8 3" xfId="7232"/>
    <cellStyle name="Normal 12 2 9" xfId="5137"/>
    <cellStyle name="Normal 12 2 9 2" xfId="9159"/>
    <cellStyle name="Normal 12 3" xfId="2074"/>
    <cellStyle name="Normal 12 3 10" xfId="7233"/>
    <cellStyle name="Normal 12 3 2" xfId="2075"/>
    <cellStyle name="Normal 12 3 2 2" xfId="2076"/>
    <cellStyle name="Normal 12 3 2 2 2" xfId="5149"/>
    <cellStyle name="Normal 12 3 2 2 2 2" xfId="9171"/>
    <cellStyle name="Normal 12 3 2 2 3" xfId="7235"/>
    <cellStyle name="Normal 12 3 2 3" xfId="2077"/>
    <cellStyle name="Normal 12 3 2 3 2" xfId="5150"/>
    <cellStyle name="Normal 12 3 2 3 2 2" xfId="9172"/>
    <cellStyle name="Normal 12 3 2 3 3" xfId="7236"/>
    <cellStyle name="Normal 12 3 2 4" xfId="5148"/>
    <cellStyle name="Normal 12 3 2 4 2" xfId="9170"/>
    <cellStyle name="Normal 12 3 2 5" xfId="7234"/>
    <cellStyle name="Normal 12 3 3" xfId="2078"/>
    <cellStyle name="Normal 12 3 3 2" xfId="5151"/>
    <cellStyle name="Normal 12 3 3 2 2" xfId="9173"/>
    <cellStyle name="Normal 12 3 3 3" xfId="7237"/>
    <cellStyle name="Normal 12 3 4" xfId="2079"/>
    <cellStyle name="Normal 12 3 4 2" xfId="5152"/>
    <cellStyle name="Normal 12 3 4 2 2" xfId="9174"/>
    <cellStyle name="Normal 12 3 4 3" xfId="7238"/>
    <cellStyle name="Normal 12 3 5" xfId="2080"/>
    <cellStyle name="Normal 12 3 5 2" xfId="5153"/>
    <cellStyle name="Normal 12 3 5 2 2" xfId="9175"/>
    <cellStyle name="Normal 12 3 5 3" xfId="7239"/>
    <cellStyle name="Normal 12 3 6" xfId="2081"/>
    <cellStyle name="Normal 12 3 6 2" xfId="5154"/>
    <cellStyle name="Normal 12 3 6 2 2" xfId="9176"/>
    <cellStyle name="Normal 12 3 6 3" xfId="7240"/>
    <cellStyle name="Normal 12 3 7" xfId="2082"/>
    <cellStyle name="Normal 12 3 7 2" xfId="5155"/>
    <cellStyle name="Normal 12 3 7 2 2" xfId="9177"/>
    <cellStyle name="Normal 12 3 7 3" xfId="7241"/>
    <cellStyle name="Normal 12 3 8" xfId="2083"/>
    <cellStyle name="Normal 12 3 8 2" xfId="5156"/>
    <cellStyle name="Normal 12 3 8 2 2" xfId="9178"/>
    <cellStyle name="Normal 12 3 8 3" xfId="7242"/>
    <cellStyle name="Normal 12 3 9" xfId="5147"/>
    <cellStyle name="Normal 12 3 9 2" xfId="9169"/>
    <cellStyle name="Normal 12 4" xfId="2084"/>
    <cellStyle name="Normal 12 4 2" xfId="2085"/>
    <cellStyle name="Normal 12 4 2 2" xfId="5158"/>
    <cellStyle name="Normal 12 4 2 2 2" xfId="9180"/>
    <cellStyle name="Normal 12 4 2 3" xfId="7244"/>
    <cellStyle name="Normal 12 4 3" xfId="2086"/>
    <cellStyle name="Normal 12 4 3 2" xfId="5159"/>
    <cellStyle name="Normal 12 4 3 2 2" xfId="9181"/>
    <cellStyle name="Normal 12 4 3 3" xfId="7245"/>
    <cellStyle name="Normal 12 4 4" xfId="5157"/>
    <cellStyle name="Normal 12 4 4 2" xfId="9179"/>
    <cellStyle name="Normal 12 4 5" xfId="7243"/>
    <cellStyle name="Normal 12 5" xfId="2087"/>
    <cellStyle name="Normal 12 5 2" xfId="5160"/>
    <cellStyle name="Normal 12 5 2 2" xfId="9182"/>
    <cellStyle name="Normal 12 5 3" xfId="7246"/>
    <cellStyle name="Normal 12 6" xfId="2088"/>
    <cellStyle name="Normal 12 6 2" xfId="5161"/>
    <cellStyle name="Normal 12 6 2 2" xfId="9183"/>
    <cellStyle name="Normal 12 6 3" xfId="7247"/>
    <cellStyle name="Normal 12 7" xfId="2089"/>
    <cellStyle name="Normal 12 7 2" xfId="5162"/>
    <cellStyle name="Normal 12 7 2 2" xfId="9184"/>
    <cellStyle name="Normal 12 7 3" xfId="7248"/>
    <cellStyle name="Normal 12 8" xfId="2090"/>
    <cellStyle name="Normal 12 8 2" xfId="5163"/>
    <cellStyle name="Normal 12 8 2 2" xfId="9185"/>
    <cellStyle name="Normal 12 8 3" xfId="7249"/>
    <cellStyle name="Normal 12 9" xfId="2091"/>
    <cellStyle name="Normal 12 9 2" xfId="5164"/>
    <cellStyle name="Normal 12 9 2 2" xfId="9186"/>
    <cellStyle name="Normal 12 9 3" xfId="7250"/>
    <cellStyle name="Normal 13" xfId="2092"/>
    <cellStyle name="Normal 14" xfId="2093"/>
    <cellStyle name="Normal 14 2" xfId="2094"/>
    <cellStyle name="Normal 14 2 2" xfId="5166"/>
    <cellStyle name="Normal 14 2 2 2" xfId="9188"/>
    <cellStyle name="Normal 14 2 3" xfId="7252"/>
    <cellStyle name="Normal 14 3" xfId="2095"/>
    <cellStyle name="Normal 14 3 2" xfId="5167"/>
    <cellStyle name="Normal 14 3 2 2" xfId="9189"/>
    <cellStyle name="Normal 14 3 3" xfId="7253"/>
    <cellStyle name="Normal 14 4" xfId="5165"/>
    <cellStyle name="Normal 14 4 2" xfId="9187"/>
    <cellStyle name="Normal 14 5" xfId="7251"/>
    <cellStyle name="Normal 15" xfId="2096"/>
    <cellStyle name="Normal 15 2" xfId="2097"/>
    <cellStyle name="Normal 15 2 2" xfId="2098"/>
    <cellStyle name="Normal 15 2 2 2" xfId="5170"/>
    <cellStyle name="Normal 15 2 3" xfId="5169"/>
    <cellStyle name="Normal 15 3" xfId="2099"/>
    <cellStyle name="Normal 15 3 2" xfId="5171"/>
    <cellStyle name="Normal 15 4" xfId="5168"/>
    <cellStyle name="Normal 16" xfId="3464"/>
    <cellStyle name="Normal 16 2" xfId="5511"/>
    <cellStyle name="Normal 16 2 2" xfId="9495"/>
    <cellStyle name="Normal 16 3" xfId="7564"/>
    <cellStyle name="Normal 17" xfId="5513"/>
    <cellStyle name="Normal 18" xfId="5512"/>
    <cellStyle name="Normal 19" xfId="9496"/>
    <cellStyle name="Normal 2" xfId="2100"/>
    <cellStyle name="Normal 2 10" xfId="2101"/>
    <cellStyle name="Normal 2 10 2" xfId="5173"/>
    <cellStyle name="Normal 2 10 2 2" xfId="9190"/>
    <cellStyle name="Normal 2 10 3" xfId="7255"/>
    <cellStyle name="Normal 2 11" xfId="2102"/>
    <cellStyle name="Normal 2 11 2" xfId="5174"/>
    <cellStyle name="Normal 2 11 2 2" xfId="9191"/>
    <cellStyle name="Normal 2 11 3" xfId="7256"/>
    <cellStyle name="Normal 2 12" xfId="2103"/>
    <cellStyle name="Normal 2 12 2" xfId="5175"/>
    <cellStyle name="Normal 2 12 2 2" xfId="9192"/>
    <cellStyle name="Normal 2 12 3" xfId="7257"/>
    <cellStyle name="Normal 2 13" xfId="2104"/>
    <cellStyle name="Normal 2 13 2" xfId="5176"/>
    <cellStyle name="Normal 2 13 2 2" xfId="9193"/>
    <cellStyle name="Normal 2 13 3" xfId="7258"/>
    <cellStyle name="Normal 2 14" xfId="2105"/>
    <cellStyle name="Normal 2 14 2" xfId="5177"/>
    <cellStyle name="Normal 2 14 2 2" xfId="9194"/>
    <cellStyle name="Normal 2 14 3" xfId="7259"/>
    <cellStyle name="Normal 2 15" xfId="2106"/>
    <cellStyle name="Normal 2 15 2" xfId="5178"/>
    <cellStyle name="Normal 2 15 2 2" xfId="9195"/>
    <cellStyle name="Normal 2 15 3" xfId="7260"/>
    <cellStyle name="Normal 2 16" xfId="2107"/>
    <cellStyle name="Normal 2 16 2" xfId="5179"/>
    <cellStyle name="Normal 2 17" xfId="5172"/>
    <cellStyle name="Normal 2 18" xfId="7254"/>
    <cellStyle name="Normal 2 2" xfId="2108"/>
    <cellStyle name="Normal 2 2 2" xfId="2109"/>
    <cellStyle name="Normal 2 2 2 2" xfId="2110"/>
    <cellStyle name="Normal 2 2 2 2 2" xfId="5182"/>
    <cellStyle name="Normal 2 2 2 3" xfId="5181"/>
    <cellStyle name="Normal 2 2 3" xfId="2111"/>
    <cellStyle name="Normal 2 2 3 2" xfId="5183"/>
    <cellStyle name="Normal 2 2 4" xfId="5180"/>
    <cellStyle name="Normal 2 3" xfId="2112"/>
    <cellStyle name="Normal 2 3 2" xfId="2113"/>
    <cellStyle name="Normal 2 3 2 2" xfId="2114"/>
    <cellStyle name="Normal 2 3 2 2 2" xfId="5186"/>
    <cellStyle name="Normal 2 3 2 3" xfId="5185"/>
    <cellStyle name="Normal 2 3 3" xfId="2115"/>
    <cellStyle name="Normal 2 3 3 2" xfId="2116"/>
    <cellStyle name="Normal 2 3 3 2 2" xfId="5187"/>
    <cellStyle name="Normal 2 3 4" xfId="5184"/>
    <cellStyle name="Normal 2 3 4 2" xfId="9196"/>
    <cellStyle name="Normal 2 3 5" xfId="7261"/>
    <cellStyle name="Normal 2 4" xfId="2117"/>
    <cellStyle name="Normal 2 4 10" xfId="2118"/>
    <cellStyle name="Normal 2 4 10 2" xfId="5188"/>
    <cellStyle name="Normal 2 4 10 2 2" xfId="9197"/>
    <cellStyle name="Normal 2 4 10 3" xfId="7262"/>
    <cellStyle name="Normal 2 4 11" xfId="2119"/>
    <cellStyle name="Normal 2 4 11 2" xfId="5189"/>
    <cellStyle name="Normal 2 4 11 2 2" xfId="9198"/>
    <cellStyle name="Normal 2 4 11 3" xfId="7263"/>
    <cellStyle name="Normal 2 4 12" xfId="2120"/>
    <cellStyle name="Normal 2 4 12 2" xfId="5190"/>
    <cellStyle name="Normal 2 4 12 2 2" xfId="9199"/>
    <cellStyle name="Normal 2 4 12 3" xfId="7264"/>
    <cellStyle name="Normal 2 4 2" xfId="2121"/>
    <cellStyle name="Normal 2 4 2 10" xfId="2122"/>
    <cellStyle name="Normal 2 4 2 10 2" xfId="5192"/>
    <cellStyle name="Normal 2 4 2 10 2 2" xfId="9201"/>
    <cellStyle name="Normal 2 4 2 10 3" xfId="7266"/>
    <cellStyle name="Normal 2 4 2 11" xfId="5191"/>
    <cellStyle name="Normal 2 4 2 11 2" xfId="9200"/>
    <cellStyle name="Normal 2 4 2 12" xfId="7265"/>
    <cellStyle name="Normal 2 4 2 2" xfId="2123"/>
    <cellStyle name="Normal 2 4 2 2 10" xfId="7267"/>
    <cellStyle name="Normal 2 4 2 2 2" xfId="2124"/>
    <cellStyle name="Normal 2 4 2 2 2 2" xfId="2125"/>
    <cellStyle name="Normal 2 4 2 2 2 2 2" xfId="5195"/>
    <cellStyle name="Normal 2 4 2 2 2 2 2 2" xfId="9204"/>
    <cellStyle name="Normal 2 4 2 2 2 2 3" xfId="7269"/>
    <cellStyle name="Normal 2 4 2 2 2 3" xfId="2126"/>
    <cellStyle name="Normal 2 4 2 2 2 3 2" xfId="5196"/>
    <cellStyle name="Normal 2 4 2 2 2 3 2 2" xfId="9205"/>
    <cellStyle name="Normal 2 4 2 2 2 3 3" xfId="7270"/>
    <cellStyle name="Normal 2 4 2 2 2 4" xfId="5194"/>
    <cellStyle name="Normal 2 4 2 2 2 4 2" xfId="9203"/>
    <cellStyle name="Normal 2 4 2 2 2 5" xfId="7268"/>
    <cellStyle name="Normal 2 4 2 2 3" xfId="2127"/>
    <cellStyle name="Normal 2 4 2 2 3 2" xfId="5197"/>
    <cellStyle name="Normal 2 4 2 2 3 2 2" xfId="9206"/>
    <cellStyle name="Normal 2 4 2 2 3 3" xfId="7271"/>
    <cellStyle name="Normal 2 4 2 2 4" xfId="2128"/>
    <cellStyle name="Normal 2 4 2 2 4 2" xfId="5198"/>
    <cellStyle name="Normal 2 4 2 2 4 2 2" xfId="9207"/>
    <cellStyle name="Normal 2 4 2 2 4 3" xfId="7272"/>
    <cellStyle name="Normal 2 4 2 2 5" xfId="2129"/>
    <cellStyle name="Normal 2 4 2 2 5 2" xfId="5199"/>
    <cellStyle name="Normal 2 4 2 2 5 2 2" xfId="9208"/>
    <cellStyle name="Normal 2 4 2 2 5 3" xfId="7273"/>
    <cellStyle name="Normal 2 4 2 2 6" xfId="2130"/>
    <cellStyle name="Normal 2 4 2 2 6 2" xfId="5200"/>
    <cellStyle name="Normal 2 4 2 2 6 2 2" xfId="9209"/>
    <cellStyle name="Normal 2 4 2 2 6 3" xfId="7274"/>
    <cellStyle name="Normal 2 4 2 2 7" xfId="2131"/>
    <cellStyle name="Normal 2 4 2 2 7 2" xfId="5201"/>
    <cellStyle name="Normal 2 4 2 2 7 2 2" xfId="9210"/>
    <cellStyle name="Normal 2 4 2 2 7 3" xfId="7275"/>
    <cellStyle name="Normal 2 4 2 2 8" xfId="2132"/>
    <cellStyle name="Normal 2 4 2 2 8 2" xfId="5202"/>
    <cellStyle name="Normal 2 4 2 2 8 2 2" xfId="9211"/>
    <cellStyle name="Normal 2 4 2 2 8 3" xfId="7276"/>
    <cellStyle name="Normal 2 4 2 2 9" xfId="5193"/>
    <cellStyle name="Normal 2 4 2 2 9 2" xfId="9202"/>
    <cellStyle name="Normal 2 4 2 3" xfId="2133"/>
    <cellStyle name="Normal 2 4 2 3 10" xfId="7277"/>
    <cellStyle name="Normal 2 4 2 3 2" xfId="2134"/>
    <cellStyle name="Normal 2 4 2 3 2 2" xfId="2135"/>
    <cellStyle name="Normal 2 4 2 3 2 2 2" xfId="5205"/>
    <cellStyle name="Normal 2 4 2 3 2 2 2 2" xfId="9214"/>
    <cellStyle name="Normal 2 4 2 3 2 2 3" xfId="7279"/>
    <cellStyle name="Normal 2 4 2 3 2 3" xfId="2136"/>
    <cellStyle name="Normal 2 4 2 3 2 3 2" xfId="5206"/>
    <cellStyle name="Normal 2 4 2 3 2 3 2 2" xfId="9215"/>
    <cellStyle name="Normal 2 4 2 3 2 3 3" xfId="7280"/>
    <cellStyle name="Normal 2 4 2 3 2 4" xfId="5204"/>
    <cellStyle name="Normal 2 4 2 3 2 4 2" xfId="9213"/>
    <cellStyle name="Normal 2 4 2 3 2 5" xfId="7278"/>
    <cellStyle name="Normal 2 4 2 3 3" xfId="2137"/>
    <cellStyle name="Normal 2 4 2 3 3 2" xfId="5207"/>
    <cellStyle name="Normal 2 4 2 3 3 2 2" xfId="9216"/>
    <cellStyle name="Normal 2 4 2 3 3 3" xfId="7281"/>
    <cellStyle name="Normal 2 4 2 3 4" xfId="2138"/>
    <cellStyle name="Normal 2 4 2 3 4 2" xfId="5208"/>
    <cellStyle name="Normal 2 4 2 3 4 2 2" xfId="9217"/>
    <cellStyle name="Normal 2 4 2 3 4 3" xfId="7282"/>
    <cellStyle name="Normal 2 4 2 3 5" xfId="2139"/>
    <cellStyle name="Normal 2 4 2 3 5 2" xfId="5209"/>
    <cellStyle name="Normal 2 4 2 3 5 2 2" xfId="9218"/>
    <cellStyle name="Normal 2 4 2 3 5 3" xfId="7283"/>
    <cellStyle name="Normal 2 4 2 3 6" xfId="2140"/>
    <cellStyle name="Normal 2 4 2 3 6 2" xfId="5210"/>
    <cellStyle name="Normal 2 4 2 3 6 2 2" xfId="9219"/>
    <cellStyle name="Normal 2 4 2 3 6 3" xfId="7284"/>
    <cellStyle name="Normal 2 4 2 3 7" xfId="2141"/>
    <cellStyle name="Normal 2 4 2 3 7 2" xfId="5211"/>
    <cellStyle name="Normal 2 4 2 3 7 2 2" xfId="9220"/>
    <cellStyle name="Normal 2 4 2 3 7 3" xfId="7285"/>
    <cellStyle name="Normal 2 4 2 3 8" xfId="2142"/>
    <cellStyle name="Normal 2 4 2 3 8 2" xfId="5212"/>
    <cellStyle name="Normal 2 4 2 3 8 2 2" xfId="9221"/>
    <cellStyle name="Normal 2 4 2 3 8 3" xfId="7286"/>
    <cellStyle name="Normal 2 4 2 3 9" xfId="5203"/>
    <cellStyle name="Normal 2 4 2 3 9 2" xfId="9212"/>
    <cellStyle name="Normal 2 4 2 4" xfId="2143"/>
    <cellStyle name="Normal 2 4 2 4 2" xfId="2144"/>
    <cellStyle name="Normal 2 4 2 4 2 2" xfId="5214"/>
    <cellStyle name="Normal 2 4 2 4 2 2 2" xfId="9223"/>
    <cellStyle name="Normal 2 4 2 4 2 3" xfId="7288"/>
    <cellStyle name="Normal 2 4 2 4 3" xfId="2145"/>
    <cellStyle name="Normal 2 4 2 4 3 2" xfId="5215"/>
    <cellStyle name="Normal 2 4 2 4 3 2 2" xfId="9224"/>
    <cellStyle name="Normal 2 4 2 4 3 3" xfId="7289"/>
    <cellStyle name="Normal 2 4 2 4 4" xfId="5213"/>
    <cellStyle name="Normal 2 4 2 4 4 2" xfId="9222"/>
    <cellStyle name="Normal 2 4 2 4 5" xfId="7287"/>
    <cellStyle name="Normal 2 4 2 5" xfId="2146"/>
    <cellStyle name="Normal 2 4 2 5 2" xfId="5216"/>
    <cellStyle name="Normal 2 4 2 5 2 2" xfId="9225"/>
    <cellStyle name="Normal 2 4 2 5 3" xfId="7290"/>
    <cellStyle name="Normal 2 4 2 6" xfId="2147"/>
    <cellStyle name="Normal 2 4 2 6 2" xfId="5217"/>
    <cellStyle name="Normal 2 4 2 6 2 2" xfId="9226"/>
    <cellStyle name="Normal 2 4 2 6 3" xfId="7291"/>
    <cellStyle name="Normal 2 4 2 7" xfId="2148"/>
    <cellStyle name="Normal 2 4 2 7 2" xfId="5218"/>
    <cellStyle name="Normal 2 4 2 7 2 2" xfId="9227"/>
    <cellStyle name="Normal 2 4 2 7 3" xfId="7292"/>
    <cellStyle name="Normal 2 4 2 8" xfId="2149"/>
    <cellStyle name="Normal 2 4 2 8 2" xfId="5219"/>
    <cellStyle name="Normal 2 4 2 8 2 2" xfId="9228"/>
    <cellStyle name="Normal 2 4 2 8 3" xfId="7293"/>
    <cellStyle name="Normal 2 4 2 9" xfId="2150"/>
    <cellStyle name="Normal 2 4 2 9 2" xfId="5220"/>
    <cellStyle name="Normal 2 4 2 9 2 2" xfId="9229"/>
    <cellStyle name="Normal 2 4 2 9 3" xfId="7294"/>
    <cellStyle name="Normal 2 4 3" xfId="2151"/>
    <cellStyle name="Normal 2 4 3 10" xfId="7295"/>
    <cellStyle name="Normal 2 4 3 2" xfId="2152"/>
    <cellStyle name="Normal 2 4 3 2 2" xfId="2153"/>
    <cellStyle name="Normal 2 4 3 2 2 2" xfId="5223"/>
    <cellStyle name="Normal 2 4 3 2 2 2 2" xfId="9232"/>
    <cellStyle name="Normal 2 4 3 2 2 3" xfId="7297"/>
    <cellStyle name="Normal 2 4 3 2 3" xfId="2154"/>
    <cellStyle name="Normal 2 4 3 2 3 2" xfId="5224"/>
    <cellStyle name="Normal 2 4 3 2 3 2 2" xfId="9233"/>
    <cellStyle name="Normal 2 4 3 2 3 3" xfId="7298"/>
    <cellStyle name="Normal 2 4 3 2 4" xfId="5222"/>
    <cellStyle name="Normal 2 4 3 2 4 2" xfId="9231"/>
    <cellStyle name="Normal 2 4 3 2 5" xfId="7296"/>
    <cellStyle name="Normal 2 4 3 3" xfId="2155"/>
    <cellStyle name="Normal 2 4 3 3 2" xfId="5225"/>
    <cellStyle name="Normal 2 4 3 3 2 2" xfId="9234"/>
    <cellStyle name="Normal 2 4 3 3 3" xfId="7299"/>
    <cellStyle name="Normal 2 4 3 4" xfId="2156"/>
    <cellStyle name="Normal 2 4 3 4 2" xfId="5226"/>
    <cellStyle name="Normal 2 4 3 4 2 2" xfId="9235"/>
    <cellStyle name="Normal 2 4 3 4 3" xfId="7300"/>
    <cellStyle name="Normal 2 4 3 5" xfId="2157"/>
    <cellStyle name="Normal 2 4 3 5 2" xfId="5227"/>
    <cellStyle name="Normal 2 4 3 5 2 2" xfId="9236"/>
    <cellStyle name="Normal 2 4 3 5 3" xfId="7301"/>
    <cellStyle name="Normal 2 4 3 6" xfId="2158"/>
    <cellStyle name="Normal 2 4 3 6 2" xfId="5228"/>
    <cellStyle name="Normal 2 4 3 6 2 2" xfId="9237"/>
    <cellStyle name="Normal 2 4 3 6 3" xfId="7302"/>
    <cellStyle name="Normal 2 4 3 7" xfId="2159"/>
    <cellStyle name="Normal 2 4 3 7 2" xfId="5229"/>
    <cellStyle name="Normal 2 4 3 7 2 2" xfId="9238"/>
    <cellStyle name="Normal 2 4 3 7 3" xfId="7303"/>
    <cellStyle name="Normal 2 4 3 8" xfId="2160"/>
    <cellStyle name="Normal 2 4 3 8 2" xfId="5230"/>
    <cellStyle name="Normal 2 4 3 8 2 2" xfId="9239"/>
    <cellStyle name="Normal 2 4 3 8 3" xfId="7304"/>
    <cellStyle name="Normal 2 4 3 9" xfId="5221"/>
    <cellStyle name="Normal 2 4 3 9 2" xfId="9230"/>
    <cellStyle name="Normal 2 4 4" xfId="2161"/>
    <cellStyle name="Normal 2 4 4 10" xfId="7305"/>
    <cellStyle name="Normal 2 4 4 2" xfId="2162"/>
    <cellStyle name="Normal 2 4 4 2 2" xfId="2163"/>
    <cellStyle name="Normal 2 4 4 2 2 2" xfId="5233"/>
    <cellStyle name="Normal 2 4 4 2 2 2 2" xfId="9242"/>
    <cellStyle name="Normal 2 4 4 2 2 3" xfId="7307"/>
    <cellStyle name="Normal 2 4 4 2 3" xfId="2164"/>
    <cellStyle name="Normal 2 4 4 2 3 2" xfId="5234"/>
    <cellStyle name="Normal 2 4 4 2 3 2 2" xfId="9243"/>
    <cellStyle name="Normal 2 4 4 2 3 3" xfId="7308"/>
    <cellStyle name="Normal 2 4 4 2 4" xfId="5232"/>
    <cellStyle name="Normal 2 4 4 2 4 2" xfId="9241"/>
    <cellStyle name="Normal 2 4 4 2 5" xfId="7306"/>
    <cellStyle name="Normal 2 4 4 3" xfId="2165"/>
    <cellStyle name="Normal 2 4 4 3 2" xfId="5235"/>
    <cellStyle name="Normal 2 4 4 3 2 2" xfId="9244"/>
    <cellStyle name="Normal 2 4 4 3 3" xfId="7309"/>
    <cellStyle name="Normal 2 4 4 4" xfId="2166"/>
    <cellStyle name="Normal 2 4 4 4 2" xfId="5236"/>
    <cellStyle name="Normal 2 4 4 4 2 2" xfId="9245"/>
    <cellStyle name="Normal 2 4 4 4 3" xfId="7310"/>
    <cellStyle name="Normal 2 4 4 5" xfId="2167"/>
    <cellStyle name="Normal 2 4 4 5 2" xfId="5237"/>
    <cellStyle name="Normal 2 4 4 5 2 2" xfId="9246"/>
    <cellStyle name="Normal 2 4 4 5 3" xfId="7311"/>
    <cellStyle name="Normal 2 4 4 6" xfId="2168"/>
    <cellStyle name="Normal 2 4 4 6 2" xfId="5238"/>
    <cellStyle name="Normal 2 4 4 6 2 2" xfId="9247"/>
    <cellStyle name="Normal 2 4 4 6 3" xfId="7312"/>
    <cellStyle name="Normal 2 4 4 7" xfId="2169"/>
    <cellStyle name="Normal 2 4 4 7 2" xfId="5239"/>
    <cellStyle name="Normal 2 4 4 7 2 2" xfId="9248"/>
    <cellStyle name="Normal 2 4 4 7 3" xfId="7313"/>
    <cellStyle name="Normal 2 4 4 8" xfId="2170"/>
    <cellStyle name="Normal 2 4 4 8 2" xfId="5240"/>
    <cellStyle name="Normal 2 4 4 8 2 2" xfId="9249"/>
    <cellStyle name="Normal 2 4 4 8 3" xfId="7314"/>
    <cellStyle name="Normal 2 4 4 9" xfId="5231"/>
    <cellStyle name="Normal 2 4 4 9 2" xfId="9240"/>
    <cellStyle name="Normal 2 4 5" xfId="2171"/>
    <cellStyle name="Normal 2 4 5 2" xfId="2172"/>
    <cellStyle name="Normal 2 4 5 2 2" xfId="5242"/>
    <cellStyle name="Normal 2 4 5 2 2 2" xfId="9251"/>
    <cellStyle name="Normal 2 4 5 2 3" xfId="7316"/>
    <cellStyle name="Normal 2 4 5 3" xfId="2173"/>
    <cellStyle name="Normal 2 4 5 3 2" xfId="5243"/>
    <cellStyle name="Normal 2 4 5 3 2 2" xfId="9252"/>
    <cellStyle name="Normal 2 4 5 3 3" xfId="7317"/>
    <cellStyle name="Normal 2 4 5 4" xfId="5241"/>
    <cellStyle name="Normal 2 4 5 4 2" xfId="9250"/>
    <cellStyle name="Normal 2 4 5 5" xfId="7315"/>
    <cellStyle name="Normal 2 4 6" xfId="2174"/>
    <cellStyle name="Normal 2 4 6 2" xfId="5244"/>
    <cellStyle name="Normal 2 4 6 2 2" xfId="9253"/>
    <cellStyle name="Normal 2 4 6 3" xfId="7318"/>
    <cellStyle name="Normal 2 4 7" xfId="2175"/>
    <cellStyle name="Normal 2 4 7 2" xfId="5245"/>
    <cellStyle name="Normal 2 4 7 2 2" xfId="9254"/>
    <cellStyle name="Normal 2 4 7 3" xfId="7319"/>
    <cellStyle name="Normal 2 4 8" xfId="2176"/>
    <cellStyle name="Normal 2 4 8 2" xfId="5246"/>
    <cellStyle name="Normal 2 4 8 2 2" xfId="9255"/>
    <cellStyle name="Normal 2 4 8 3" xfId="7320"/>
    <cellStyle name="Normal 2 4 9" xfId="2177"/>
    <cellStyle name="Normal 2 4 9 2" xfId="5247"/>
    <cellStyle name="Normal 2 4 9 2 2" xfId="9256"/>
    <cellStyle name="Normal 2 4 9 3" xfId="7321"/>
    <cellStyle name="Normal 2 5" xfId="2178"/>
    <cellStyle name="Normal 2 5 10" xfId="2179"/>
    <cellStyle name="Normal 2 5 10 2" xfId="5249"/>
    <cellStyle name="Normal 2 5 10 2 2" xfId="9258"/>
    <cellStyle name="Normal 2 5 10 3" xfId="7323"/>
    <cellStyle name="Normal 2 5 11" xfId="5248"/>
    <cellStyle name="Normal 2 5 11 2" xfId="9257"/>
    <cellStyle name="Normal 2 5 12" xfId="7322"/>
    <cellStyle name="Normal 2 5 2" xfId="2180"/>
    <cellStyle name="Normal 2 5 2 10" xfId="7324"/>
    <cellStyle name="Normal 2 5 2 2" xfId="2181"/>
    <cellStyle name="Normal 2 5 2 2 2" xfId="2182"/>
    <cellStyle name="Normal 2 5 2 2 2 2" xfId="5252"/>
    <cellStyle name="Normal 2 5 2 2 2 2 2" xfId="9261"/>
    <cellStyle name="Normal 2 5 2 2 2 3" xfId="7326"/>
    <cellStyle name="Normal 2 5 2 2 3" xfId="2183"/>
    <cellStyle name="Normal 2 5 2 2 3 2" xfId="5253"/>
    <cellStyle name="Normal 2 5 2 2 3 2 2" xfId="9262"/>
    <cellStyle name="Normal 2 5 2 2 3 3" xfId="7327"/>
    <cellStyle name="Normal 2 5 2 2 4" xfId="5251"/>
    <cellStyle name="Normal 2 5 2 2 4 2" xfId="9260"/>
    <cellStyle name="Normal 2 5 2 2 5" xfId="7325"/>
    <cellStyle name="Normal 2 5 2 3" xfId="2184"/>
    <cellStyle name="Normal 2 5 2 3 2" xfId="5254"/>
    <cellStyle name="Normal 2 5 2 3 2 2" xfId="9263"/>
    <cellStyle name="Normal 2 5 2 3 3" xfId="7328"/>
    <cellStyle name="Normal 2 5 2 4" xfId="2185"/>
    <cellStyle name="Normal 2 5 2 4 2" xfId="5255"/>
    <cellStyle name="Normal 2 5 2 4 2 2" xfId="9264"/>
    <cellStyle name="Normal 2 5 2 4 3" xfId="7329"/>
    <cellStyle name="Normal 2 5 2 5" xfId="2186"/>
    <cellStyle name="Normal 2 5 2 5 2" xfId="5256"/>
    <cellStyle name="Normal 2 5 2 5 2 2" xfId="9265"/>
    <cellStyle name="Normal 2 5 2 5 3" xfId="7330"/>
    <cellStyle name="Normal 2 5 2 6" xfId="2187"/>
    <cellStyle name="Normal 2 5 2 6 2" xfId="5257"/>
    <cellStyle name="Normal 2 5 2 6 2 2" xfId="9266"/>
    <cellStyle name="Normal 2 5 2 6 3" xfId="7331"/>
    <cellStyle name="Normal 2 5 2 7" xfId="2188"/>
    <cellStyle name="Normal 2 5 2 7 2" xfId="5258"/>
    <cellStyle name="Normal 2 5 2 7 2 2" xfId="9267"/>
    <cellStyle name="Normal 2 5 2 7 3" xfId="7332"/>
    <cellStyle name="Normal 2 5 2 8" xfId="2189"/>
    <cellStyle name="Normal 2 5 2 8 2" xfId="5259"/>
    <cellStyle name="Normal 2 5 2 8 2 2" xfId="9268"/>
    <cellStyle name="Normal 2 5 2 8 3" xfId="7333"/>
    <cellStyle name="Normal 2 5 2 9" xfId="5250"/>
    <cellStyle name="Normal 2 5 2 9 2" xfId="9259"/>
    <cellStyle name="Normal 2 5 3" xfId="2190"/>
    <cellStyle name="Normal 2 5 3 10" xfId="7334"/>
    <cellStyle name="Normal 2 5 3 2" xfId="2191"/>
    <cellStyle name="Normal 2 5 3 2 2" xfId="2192"/>
    <cellStyle name="Normal 2 5 3 2 2 2" xfId="5262"/>
    <cellStyle name="Normal 2 5 3 2 2 2 2" xfId="9271"/>
    <cellStyle name="Normal 2 5 3 2 2 3" xfId="7336"/>
    <cellStyle name="Normal 2 5 3 2 3" xfId="2193"/>
    <cellStyle name="Normal 2 5 3 2 3 2" xfId="5263"/>
    <cellStyle name="Normal 2 5 3 2 3 2 2" xfId="9272"/>
    <cellStyle name="Normal 2 5 3 2 3 3" xfId="7337"/>
    <cellStyle name="Normal 2 5 3 2 4" xfId="5261"/>
    <cellStyle name="Normal 2 5 3 2 4 2" xfId="9270"/>
    <cellStyle name="Normal 2 5 3 2 5" xfId="7335"/>
    <cellStyle name="Normal 2 5 3 3" xfId="2194"/>
    <cellStyle name="Normal 2 5 3 3 2" xfId="5264"/>
    <cellStyle name="Normal 2 5 3 3 2 2" xfId="9273"/>
    <cellStyle name="Normal 2 5 3 3 3" xfId="7338"/>
    <cellStyle name="Normal 2 5 3 4" xfId="2195"/>
    <cellStyle name="Normal 2 5 3 4 2" xfId="5265"/>
    <cellStyle name="Normal 2 5 3 4 2 2" xfId="9274"/>
    <cellStyle name="Normal 2 5 3 4 3" xfId="7339"/>
    <cellStyle name="Normal 2 5 3 5" xfId="2196"/>
    <cellStyle name="Normal 2 5 3 5 2" xfId="5266"/>
    <cellStyle name="Normal 2 5 3 5 2 2" xfId="9275"/>
    <cellStyle name="Normal 2 5 3 5 3" xfId="7340"/>
    <cellStyle name="Normal 2 5 3 6" xfId="2197"/>
    <cellStyle name="Normal 2 5 3 6 2" xfId="5267"/>
    <cellStyle name="Normal 2 5 3 6 2 2" xfId="9276"/>
    <cellStyle name="Normal 2 5 3 6 3" xfId="7341"/>
    <cellStyle name="Normal 2 5 3 7" xfId="2198"/>
    <cellStyle name="Normal 2 5 3 7 2" xfId="5268"/>
    <cellStyle name="Normal 2 5 3 7 2 2" xfId="9277"/>
    <cellStyle name="Normal 2 5 3 7 3" xfId="7342"/>
    <cellStyle name="Normal 2 5 3 8" xfId="2199"/>
    <cellStyle name="Normal 2 5 3 8 2" xfId="5269"/>
    <cellStyle name="Normal 2 5 3 8 2 2" xfId="9278"/>
    <cellStyle name="Normal 2 5 3 8 3" xfId="7343"/>
    <cellStyle name="Normal 2 5 3 9" xfId="5260"/>
    <cellStyle name="Normal 2 5 3 9 2" xfId="9269"/>
    <cellStyle name="Normal 2 5 4" xfId="2200"/>
    <cellStyle name="Normal 2 5 4 2" xfId="2201"/>
    <cellStyle name="Normal 2 5 4 2 2" xfId="5271"/>
    <cellStyle name="Normal 2 5 4 2 2 2" xfId="9280"/>
    <cellStyle name="Normal 2 5 4 2 3" xfId="7345"/>
    <cellStyle name="Normal 2 5 4 3" xfId="2202"/>
    <cellStyle name="Normal 2 5 4 3 2" xfId="5272"/>
    <cellStyle name="Normal 2 5 4 3 2 2" xfId="9281"/>
    <cellStyle name="Normal 2 5 4 3 3" xfId="7346"/>
    <cellStyle name="Normal 2 5 4 4" xfId="5270"/>
    <cellStyle name="Normal 2 5 4 4 2" xfId="9279"/>
    <cellStyle name="Normal 2 5 4 5" xfId="7344"/>
    <cellStyle name="Normal 2 5 5" xfId="2203"/>
    <cellStyle name="Normal 2 5 5 2" xfId="5273"/>
    <cellStyle name="Normal 2 5 5 2 2" xfId="9282"/>
    <cellStyle name="Normal 2 5 5 3" xfId="7347"/>
    <cellStyle name="Normal 2 5 6" xfId="2204"/>
    <cellStyle name="Normal 2 5 6 2" xfId="5274"/>
    <cellStyle name="Normal 2 5 6 2 2" xfId="9283"/>
    <cellStyle name="Normal 2 5 6 3" xfId="7348"/>
    <cellStyle name="Normal 2 5 7" xfId="2205"/>
    <cellStyle name="Normal 2 5 7 2" xfId="5275"/>
    <cellStyle name="Normal 2 5 7 2 2" xfId="9284"/>
    <cellStyle name="Normal 2 5 7 3" xfId="7349"/>
    <cellStyle name="Normal 2 5 8" xfId="2206"/>
    <cellStyle name="Normal 2 5 8 2" xfId="5276"/>
    <cellStyle name="Normal 2 5 8 2 2" xfId="9285"/>
    <cellStyle name="Normal 2 5 8 3" xfId="7350"/>
    <cellStyle name="Normal 2 5 9" xfId="2207"/>
    <cellStyle name="Normal 2 5 9 2" xfId="5277"/>
    <cellStyle name="Normal 2 5 9 2 2" xfId="9286"/>
    <cellStyle name="Normal 2 5 9 3" xfId="7351"/>
    <cellStyle name="Normal 2 6" xfId="2208"/>
    <cellStyle name="Normal 2 6 10" xfId="2209"/>
    <cellStyle name="Normal 2 6 10 2" xfId="5279"/>
    <cellStyle name="Normal 2 6 10 2 2" xfId="9288"/>
    <cellStyle name="Normal 2 6 10 3" xfId="7353"/>
    <cellStyle name="Normal 2 6 11" xfId="5278"/>
    <cellStyle name="Normal 2 6 11 2" xfId="9287"/>
    <cellStyle name="Normal 2 6 12" xfId="7352"/>
    <cellStyle name="Normal 2 6 2" xfId="2210"/>
    <cellStyle name="Normal 2 6 2 10" xfId="7354"/>
    <cellStyle name="Normal 2 6 2 2" xfId="2211"/>
    <cellStyle name="Normal 2 6 2 2 2" xfId="2212"/>
    <cellStyle name="Normal 2 6 2 2 2 2" xfId="5282"/>
    <cellStyle name="Normal 2 6 2 2 2 2 2" xfId="9291"/>
    <cellStyle name="Normal 2 6 2 2 2 3" xfId="7356"/>
    <cellStyle name="Normal 2 6 2 2 3" xfId="2213"/>
    <cellStyle name="Normal 2 6 2 2 3 2" xfId="5283"/>
    <cellStyle name="Normal 2 6 2 2 3 2 2" xfId="9292"/>
    <cellStyle name="Normal 2 6 2 2 3 3" xfId="7357"/>
    <cellStyle name="Normal 2 6 2 2 4" xfId="5281"/>
    <cellStyle name="Normal 2 6 2 2 4 2" xfId="9290"/>
    <cellStyle name="Normal 2 6 2 2 5" xfId="7355"/>
    <cellStyle name="Normal 2 6 2 3" xfId="2214"/>
    <cellStyle name="Normal 2 6 2 3 2" xfId="5284"/>
    <cellStyle name="Normal 2 6 2 3 2 2" xfId="9293"/>
    <cellStyle name="Normal 2 6 2 3 3" xfId="7358"/>
    <cellStyle name="Normal 2 6 2 4" xfId="2215"/>
    <cellStyle name="Normal 2 6 2 4 2" xfId="5285"/>
    <cellStyle name="Normal 2 6 2 4 2 2" xfId="9294"/>
    <cellStyle name="Normal 2 6 2 4 3" xfId="7359"/>
    <cellStyle name="Normal 2 6 2 5" xfId="2216"/>
    <cellStyle name="Normal 2 6 2 5 2" xfId="5286"/>
    <cellStyle name="Normal 2 6 2 5 2 2" xfId="9295"/>
    <cellStyle name="Normal 2 6 2 5 3" xfId="7360"/>
    <cellStyle name="Normal 2 6 2 6" xfId="2217"/>
    <cellStyle name="Normal 2 6 2 6 2" xfId="5287"/>
    <cellStyle name="Normal 2 6 2 6 2 2" xfId="9296"/>
    <cellStyle name="Normal 2 6 2 6 3" xfId="7361"/>
    <cellStyle name="Normal 2 6 2 7" xfId="2218"/>
    <cellStyle name="Normal 2 6 2 7 2" xfId="5288"/>
    <cellStyle name="Normal 2 6 2 7 2 2" xfId="9297"/>
    <cellStyle name="Normal 2 6 2 7 3" xfId="7362"/>
    <cellStyle name="Normal 2 6 2 8" xfId="2219"/>
    <cellStyle name="Normal 2 6 2 8 2" xfId="5289"/>
    <cellStyle name="Normal 2 6 2 8 2 2" xfId="9298"/>
    <cellStyle name="Normal 2 6 2 8 3" xfId="7363"/>
    <cellStyle name="Normal 2 6 2 9" xfId="5280"/>
    <cellStyle name="Normal 2 6 2 9 2" xfId="9289"/>
    <cellStyle name="Normal 2 6 3" xfId="2220"/>
    <cellStyle name="Normal 2 6 3 10" xfId="7364"/>
    <cellStyle name="Normal 2 6 3 2" xfId="2221"/>
    <cellStyle name="Normal 2 6 3 2 2" xfId="2222"/>
    <cellStyle name="Normal 2 6 3 2 2 2" xfId="5292"/>
    <cellStyle name="Normal 2 6 3 2 2 2 2" xfId="9301"/>
    <cellStyle name="Normal 2 6 3 2 2 3" xfId="7366"/>
    <cellStyle name="Normal 2 6 3 2 3" xfId="2223"/>
    <cellStyle name="Normal 2 6 3 2 3 2" xfId="5293"/>
    <cellStyle name="Normal 2 6 3 2 3 2 2" xfId="9302"/>
    <cellStyle name="Normal 2 6 3 2 3 3" xfId="7367"/>
    <cellStyle name="Normal 2 6 3 2 4" xfId="5291"/>
    <cellStyle name="Normal 2 6 3 2 4 2" xfId="9300"/>
    <cellStyle name="Normal 2 6 3 2 5" xfId="7365"/>
    <cellStyle name="Normal 2 6 3 3" xfId="2224"/>
    <cellStyle name="Normal 2 6 3 3 2" xfId="5294"/>
    <cellStyle name="Normal 2 6 3 3 2 2" xfId="9303"/>
    <cellStyle name="Normal 2 6 3 3 3" xfId="7368"/>
    <cellStyle name="Normal 2 6 3 4" xfId="2225"/>
    <cellStyle name="Normal 2 6 3 4 2" xfId="5295"/>
    <cellStyle name="Normal 2 6 3 4 2 2" xfId="9304"/>
    <cellStyle name="Normal 2 6 3 4 3" xfId="7369"/>
    <cellStyle name="Normal 2 6 3 5" xfId="2226"/>
    <cellStyle name="Normal 2 6 3 5 2" xfId="5296"/>
    <cellStyle name="Normal 2 6 3 5 2 2" xfId="9305"/>
    <cellStyle name="Normal 2 6 3 5 3" xfId="7370"/>
    <cellStyle name="Normal 2 6 3 6" xfId="2227"/>
    <cellStyle name="Normal 2 6 3 6 2" xfId="5297"/>
    <cellStyle name="Normal 2 6 3 6 2 2" xfId="9306"/>
    <cellStyle name="Normal 2 6 3 6 3" xfId="7371"/>
    <cellStyle name="Normal 2 6 3 7" xfId="2228"/>
    <cellStyle name="Normal 2 6 3 7 2" xfId="5298"/>
    <cellStyle name="Normal 2 6 3 7 2 2" xfId="9307"/>
    <cellStyle name="Normal 2 6 3 7 3" xfId="7372"/>
    <cellStyle name="Normal 2 6 3 8" xfId="2229"/>
    <cellStyle name="Normal 2 6 3 8 2" xfId="5299"/>
    <cellStyle name="Normal 2 6 3 8 2 2" xfId="9308"/>
    <cellStyle name="Normal 2 6 3 8 3" xfId="7373"/>
    <cellStyle name="Normal 2 6 3 9" xfId="5290"/>
    <cellStyle name="Normal 2 6 3 9 2" xfId="9299"/>
    <cellStyle name="Normal 2 6 4" xfId="2230"/>
    <cellStyle name="Normal 2 6 4 2" xfId="2231"/>
    <cellStyle name="Normal 2 6 4 2 2" xfId="5301"/>
    <cellStyle name="Normal 2 6 4 2 2 2" xfId="9310"/>
    <cellStyle name="Normal 2 6 4 2 3" xfId="7375"/>
    <cellStyle name="Normal 2 6 4 3" xfId="2232"/>
    <cellStyle name="Normal 2 6 4 3 2" xfId="5302"/>
    <cellStyle name="Normal 2 6 4 3 2 2" xfId="9311"/>
    <cellStyle name="Normal 2 6 4 3 3" xfId="7376"/>
    <cellStyle name="Normal 2 6 4 4" xfId="5300"/>
    <cellStyle name="Normal 2 6 4 4 2" xfId="9309"/>
    <cellStyle name="Normal 2 6 4 5" xfId="7374"/>
    <cellStyle name="Normal 2 6 5" xfId="2233"/>
    <cellStyle name="Normal 2 6 5 2" xfId="5303"/>
    <cellStyle name="Normal 2 6 5 2 2" xfId="9312"/>
    <cellStyle name="Normal 2 6 5 3" xfId="7377"/>
    <cellStyle name="Normal 2 6 6" xfId="2234"/>
    <cellStyle name="Normal 2 6 6 2" xfId="5304"/>
    <cellStyle name="Normal 2 6 6 2 2" xfId="9313"/>
    <cellStyle name="Normal 2 6 6 3" xfId="7378"/>
    <cellStyle name="Normal 2 6 7" xfId="2235"/>
    <cellStyle name="Normal 2 6 7 2" xfId="5305"/>
    <cellStyle name="Normal 2 6 7 2 2" xfId="9314"/>
    <cellStyle name="Normal 2 6 7 3" xfId="7379"/>
    <cellStyle name="Normal 2 6 8" xfId="2236"/>
    <cellStyle name="Normal 2 6 8 2" xfId="5306"/>
    <cellStyle name="Normal 2 6 8 2 2" xfId="9315"/>
    <cellStyle name="Normal 2 6 8 3" xfId="7380"/>
    <cellStyle name="Normal 2 6 9" xfId="2237"/>
    <cellStyle name="Normal 2 6 9 2" xfId="5307"/>
    <cellStyle name="Normal 2 6 9 2 2" xfId="9316"/>
    <cellStyle name="Normal 2 6 9 3" xfId="7381"/>
    <cellStyle name="Normal 2 7" xfId="2238"/>
    <cellStyle name="Normal 2 7 10" xfId="7382"/>
    <cellStyle name="Normal 2 7 2" xfId="2239"/>
    <cellStyle name="Normal 2 7 2 2" xfId="2240"/>
    <cellStyle name="Normal 2 7 2 2 2" xfId="5310"/>
    <cellStyle name="Normal 2 7 2 2 2 2" xfId="9319"/>
    <cellStyle name="Normal 2 7 2 2 3" xfId="7384"/>
    <cellStyle name="Normal 2 7 2 3" xfId="2241"/>
    <cellStyle name="Normal 2 7 2 3 2" xfId="5311"/>
    <cellStyle name="Normal 2 7 2 3 2 2" xfId="9320"/>
    <cellStyle name="Normal 2 7 2 3 3" xfId="7385"/>
    <cellStyle name="Normal 2 7 2 4" xfId="5309"/>
    <cellStyle name="Normal 2 7 2 4 2" xfId="9318"/>
    <cellStyle name="Normal 2 7 2 5" xfId="7383"/>
    <cellStyle name="Normal 2 7 3" xfId="2242"/>
    <cellStyle name="Normal 2 7 3 2" xfId="5312"/>
    <cellStyle name="Normal 2 7 3 2 2" xfId="9321"/>
    <cellStyle name="Normal 2 7 3 3" xfId="7386"/>
    <cellStyle name="Normal 2 7 4" xfId="2243"/>
    <cellStyle name="Normal 2 7 4 2" xfId="5313"/>
    <cellStyle name="Normal 2 7 4 2 2" xfId="9322"/>
    <cellStyle name="Normal 2 7 4 3" xfId="7387"/>
    <cellStyle name="Normal 2 7 5" xfId="2244"/>
    <cellStyle name="Normal 2 7 5 2" xfId="5314"/>
    <cellStyle name="Normal 2 7 5 2 2" xfId="9323"/>
    <cellStyle name="Normal 2 7 5 3" xfId="7388"/>
    <cellStyle name="Normal 2 7 6" xfId="2245"/>
    <cellStyle name="Normal 2 7 6 2" xfId="5315"/>
    <cellStyle name="Normal 2 7 6 2 2" xfId="9324"/>
    <cellStyle name="Normal 2 7 6 3" xfId="7389"/>
    <cellStyle name="Normal 2 7 7" xfId="2246"/>
    <cellStyle name="Normal 2 7 7 2" xfId="5316"/>
    <cellStyle name="Normal 2 7 7 2 2" xfId="9325"/>
    <cellStyle name="Normal 2 7 7 3" xfId="7390"/>
    <cellStyle name="Normal 2 7 8" xfId="2247"/>
    <cellStyle name="Normal 2 7 8 2" xfId="5317"/>
    <cellStyle name="Normal 2 7 8 2 2" xfId="9326"/>
    <cellStyle name="Normal 2 7 8 3" xfId="7391"/>
    <cellStyle name="Normal 2 7 9" xfId="5308"/>
    <cellStyle name="Normal 2 7 9 2" xfId="9317"/>
    <cellStyle name="Normal 2 8" xfId="2248"/>
    <cellStyle name="Normal 2 8 10" xfId="7392"/>
    <cellStyle name="Normal 2 8 2" xfId="2249"/>
    <cellStyle name="Normal 2 8 2 2" xfId="2250"/>
    <cellStyle name="Normal 2 8 2 2 2" xfId="5320"/>
    <cellStyle name="Normal 2 8 2 2 2 2" xfId="9329"/>
    <cellStyle name="Normal 2 8 2 2 3" xfId="7394"/>
    <cellStyle name="Normal 2 8 2 3" xfId="2251"/>
    <cellStyle name="Normal 2 8 2 3 2" xfId="5321"/>
    <cellStyle name="Normal 2 8 2 3 2 2" xfId="9330"/>
    <cellStyle name="Normal 2 8 2 3 3" xfId="7395"/>
    <cellStyle name="Normal 2 8 2 4" xfId="5319"/>
    <cellStyle name="Normal 2 8 2 4 2" xfId="9328"/>
    <cellStyle name="Normal 2 8 2 5" xfId="7393"/>
    <cellStyle name="Normal 2 8 3" xfId="2252"/>
    <cellStyle name="Normal 2 8 3 2" xfId="5322"/>
    <cellStyle name="Normal 2 8 3 2 2" xfId="9331"/>
    <cellStyle name="Normal 2 8 3 3" xfId="7396"/>
    <cellStyle name="Normal 2 8 4" xfId="2253"/>
    <cellStyle name="Normal 2 8 4 2" xfId="5323"/>
    <cellStyle name="Normal 2 8 4 2 2" xfId="9332"/>
    <cellStyle name="Normal 2 8 4 3" xfId="7397"/>
    <cellStyle name="Normal 2 8 5" xfId="2254"/>
    <cellStyle name="Normal 2 8 5 2" xfId="5324"/>
    <cellStyle name="Normal 2 8 5 2 2" xfId="9333"/>
    <cellStyle name="Normal 2 8 5 3" xfId="7398"/>
    <cellStyle name="Normal 2 8 6" xfId="2255"/>
    <cellStyle name="Normal 2 8 6 2" xfId="5325"/>
    <cellStyle name="Normal 2 8 6 2 2" xfId="9334"/>
    <cellStyle name="Normal 2 8 6 3" xfId="7399"/>
    <cellStyle name="Normal 2 8 7" xfId="2256"/>
    <cellStyle name="Normal 2 8 7 2" xfId="5326"/>
    <cellStyle name="Normal 2 8 7 2 2" xfId="9335"/>
    <cellStyle name="Normal 2 8 7 3" xfId="7400"/>
    <cellStyle name="Normal 2 8 8" xfId="2257"/>
    <cellStyle name="Normal 2 8 8 2" xfId="5327"/>
    <cellStyle name="Normal 2 8 8 2 2" xfId="9336"/>
    <cellStyle name="Normal 2 8 8 3" xfId="7401"/>
    <cellStyle name="Normal 2 8 9" xfId="5318"/>
    <cellStyle name="Normal 2 8 9 2" xfId="9327"/>
    <cellStyle name="Normal 2 9" xfId="2258"/>
    <cellStyle name="Normal 2 9 2" xfId="2259"/>
    <cellStyle name="Normal 2 9 2 2" xfId="5329"/>
    <cellStyle name="Normal 2 9 2 2 2" xfId="9338"/>
    <cellStyle name="Normal 2 9 2 3" xfId="7403"/>
    <cellStyle name="Normal 2 9 3" xfId="2260"/>
    <cellStyle name="Normal 2 9 3 2" xfId="5330"/>
    <cellStyle name="Normal 2 9 3 2 2" xfId="9339"/>
    <cellStyle name="Normal 2 9 3 3" xfId="7404"/>
    <cellStyle name="Normal 2 9 4" xfId="5328"/>
    <cellStyle name="Normal 2 9 4 2" xfId="9337"/>
    <cellStyle name="Normal 2 9 5" xfId="7402"/>
    <cellStyle name="Normal 20" xfId="9497"/>
    <cellStyle name="Normal 21" xfId="9498"/>
    <cellStyle name="Normal 22" xfId="9499"/>
    <cellStyle name="Normal 23" xfId="9539"/>
    <cellStyle name="Normal 24" xfId="9541"/>
    <cellStyle name="Normal 25" xfId="9561"/>
    <cellStyle name="Normal 26" xfId="9562"/>
    <cellStyle name="Normal 27" xfId="9563"/>
    <cellStyle name="Normal 28" xfId="9564"/>
    <cellStyle name="Normal 3" xfId="2261"/>
    <cellStyle name="Normal 3 2" xfId="2262"/>
    <cellStyle name="Normal 3 2 2" xfId="2263"/>
    <cellStyle name="Normal 3 2 2 2" xfId="2264"/>
    <cellStyle name="Normal 3 2 2 2 2" xfId="5334"/>
    <cellStyle name="Normal 3 2 2 3" xfId="5333"/>
    <cellStyle name="Normal 3 2 3" xfId="2265"/>
    <cellStyle name="Normal 3 2 3 2" xfId="2266"/>
    <cellStyle name="Normal 3 2 3 2 2" xfId="5336"/>
    <cellStyle name="Normal 3 2 3 3" xfId="5335"/>
    <cellStyle name="Normal 3 2 4" xfId="5332"/>
    <cellStyle name="Normal 3 2 4 2" xfId="9340"/>
    <cellStyle name="Normal 3 2 5" xfId="7405"/>
    <cellStyle name="Normal 3 3" xfId="2267"/>
    <cellStyle name="Normal 3 4" xfId="2268"/>
    <cellStyle name="Normal 3 4 2" xfId="5337"/>
    <cellStyle name="Normal 3 5" xfId="5331"/>
    <cellStyle name="Normal 3 6" xfId="9543"/>
    <cellStyle name="Normal 4" xfId="2269"/>
    <cellStyle name="Normal 4 2" xfId="2270"/>
    <cellStyle name="Normal 4 2 2" xfId="2271"/>
    <cellStyle name="Normal 4 2 2 2" xfId="5340"/>
    <cellStyle name="Normal 4 2 3" xfId="5339"/>
    <cellStyle name="Normal 4 3" xfId="5338"/>
    <cellStyle name="Normal 4 3 2" xfId="9341"/>
    <cellStyle name="Normal 4 4" xfId="7406"/>
    <cellStyle name="Normal 4 5" xfId="9544"/>
    <cellStyle name="Normal 5" xfId="2272"/>
    <cellStyle name="Normal 5 10" xfId="2273"/>
    <cellStyle name="Normal 5 10 2" xfId="5342"/>
    <cellStyle name="Normal 5 10 2 2" xfId="9343"/>
    <cellStyle name="Normal 5 10 3" xfId="7408"/>
    <cellStyle name="Normal 5 11" xfId="2274"/>
    <cellStyle name="Normal 5 11 2" xfId="5343"/>
    <cellStyle name="Normal 5 11 2 2" xfId="9344"/>
    <cellStyle name="Normal 5 11 3" xfId="7409"/>
    <cellStyle name="Normal 5 12" xfId="5341"/>
    <cellStyle name="Normal 5 12 2" xfId="9342"/>
    <cellStyle name="Normal 5 13" xfId="7407"/>
    <cellStyle name="Normal 5 14" xfId="9542"/>
    <cellStyle name="Normal 5 2" xfId="2275"/>
    <cellStyle name="Normal 5 2 10" xfId="2276"/>
    <cellStyle name="Normal 5 2 10 2" xfId="5345"/>
    <cellStyle name="Normal 5 2 10 2 2" xfId="9346"/>
    <cellStyle name="Normal 5 2 10 3" xfId="7411"/>
    <cellStyle name="Normal 5 2 11" xfId="5344"/>
    <cellStyle name="Normal 5 2 11 2" xfId="9345"/>
    <cellStyle name="Normal 5 2 12" xfId="7410"/>
    <cellStyle name="Normal 5 2 2" xfId="2277"/>
    <cellStyle name="Normal 5 2 2 10" xfId="7412"/>
    <cellStyle name="Normal 5 2 2 2" xfId="2278"/>
    <cellStyle name="Normal 5 2 2 2 2" xfId="2279"/>
    <cellStyle name="Normal 5 2 2 2 2 2" xfId="5348"/>
    <cellStyle name="Normal 5 2 2 2 2 2 2" xfId="9349"/>
    <cellStyle name="Normal 5 2 2 2 2 3" xfId="7414"/>
    <cellStyle name="Normal 5 2 2 2 3" xfId="2280"/>
    <cellStyle name="Normal 5 2 2 2 3 2" xfId="5349"/>
    <cellStyle name="Normal 5 2 2 2 3 2 2" xfId="9350"/>
    <cellStyle name="Normal 5 2 2 2 3 3" xfId="7415"/>
    <cellStyle name="Normal 5 2 2 2 4" xfId="5347"/>
    <cellStyle name="Normal 5 2 2 2 4 2" xfId="9348"/>
    <cellStyle name="Normal 5 2 2 2 5" xfId="7413"/>
    <cellStyle name="Normal 5 2 2 3" xfId="2281"/>
    <cellStyle name="Normal 5 2 2 3 2" xfId="5350"/>
    <cellStyle name="Normal 5 2 2 3 2 2" xfId="9351"/>
    <cellStyle name="Normal 5 2 2 3 3" xfId="7416"/>
    <cellStyle name="Normal 5 2 2 4" xfId="2282"/>
    <cellStyle name="Normal 5 2 2 4 2" xfId="5351"/>
    <cellStyle name="Normal 5 2 2 4 2 2" xfId="9352"/>
    <cellStyle name="Normal 5 2 2 4 3" xfId="7417"/>
    <cellStyle name="Normal 5 2 2 5" xfId="2283"/>
    <cellStyle name="Normal 5 2 2 5 2" xfId="5352"/>
    <cellStyle name="Normal 5 2 2 5 2 2" xfId="9353"/>
    <cellStyle name="Normal 5 2 2 5 3" xfId="7418"/>
    <cellStyle name="Normal 5 2 2 6" xfId="2284"/>
    <cellStyle name="Normal 5 2 2 6 2" xfId="5353"/>
    <cellStyle name="Normal 5 2 2 6 2 2" xfId="9354"/>
    <cellStyle name="Normal 5 2 2 6 3" xfId="7419"/>
    <cellStyle name="Normal 5 2 2 7" xfId="2285"/>
    <cellStyle name="Normal 5 2 2 7 2" xfId="5354"/>
    <cellStyle name="Normal 5 2 2 7 2 2" xfId="9355"/>
    <cellStyle name="Normal 5 2 2 7 3" xfId="7420"/>
    <cellStyle name="Normal 5 2 2 8" xfId="2286"/>
    <cellStyle name="Normal 5 2 2 8 2" xfId="5355"/>
    <cellStyle name="Normal 5 2 2 8 2 2" xfId="9356"/>
    <cellStyle name="Normal 5 2 2 8 3" xfId="7421"/>
    <cellStyle name="Normal 5 2 2 9" xfId="5346"/>
    <cellStyle name="Normal 5 2 2 9 2" xfId="9347"/>
    <cellStyle name="Normal 5 2 3" xfId="2287"/>
    <cellStyle name="Normal 5 2 3 10" xfId="7422"/>
    <cellStyle name="Normal 5 2 3 2" xfId="2288"/>
    <cellStyle name="Normal 5 2 3 2 2" xfId="2289"/>
    <cellStyle name="Normal 5 2 3 2 2 2" xfId="5358"/>
    <cellStyle name="Normal 5 2 3 2 2 2 2" xfId="9359"/>
    <cellStyle name="Normal 5 2 3 2 2 3" xfId="7424"/>
    <cellStyle name="Normal 5 2 3 2 3" xfId="2290"/>
    <cellStyle name="Normal 5 2 3 2 3 2" xfId="5359"/>
    <cellStyle name="Normal 5 2 3 2 3 2 2" xfId="9360"/>
    <cellStyle name="Normal 5 2 3 2 3 3" xfId="7425"/>
    <cellStyle name="Normal 5 2 3 2 4" xfId="5357"/>
    <cellStyle name="Normal 5 2 3 2 4 2" xfId="9358"/>
    <cellStyle name="Normal 5 2 3 2 5" xfId="7423"/>
    <cellStyle name="Normal 5 2 3 3" xfId="2291"/>
    <cellStyle name="Normal 5 2 3 3 2" xfId="5360"/>
    <cellStyle name="Normal 5 2 3 3 2 2" xfId="9361"/>
    <cellStyle name="Normal 5 2 3 3 3" xfId="7426"/>
    <cellStyle name="Normal 5 2 3 4" xfId="2292"/>
    <cellStyle name="Normal 5 2 3 4 2" xfId="5361"/>
    <cellStyle name="Normal 5 2 3 4 2 2" xfId="9362"/>
    <cellStyle name="Normal 5 2 3 4 3" xfId="7427"/>
    <cellStyle name="Normal 5 2 3 5" xfId="2293"/>
    <cellStyle name="Normal 5 2 3 5 2" xfId="5362"/>
    <cellStyle name="Normal 5 2 3 5 2 2" xfId="9363"/>
    <cellStyle name="Normal 5 2 3 5 3" xfId="7428"/>
    <cellStyle name="Normal 5 2 3 6" xfId="2294"/>
    <cellStyle name="Normal 5 2 3 6 2" xfId="5363"/>
    <cellStyle name="Normal 5 2 3 6 2 2" xfId="9364"/>
    <cellStyle name="Normal 5 2 3 6 3" xfId="7429"/>
    <cellStyle name="Normal 5 2 3 7" xfId="2295"/>
    <cellStyle name="Normal 5 2 3 7 2" xfId="5364"/>
    <cellStyle name="Normal 5 2 3 7 2 2" xfId="9365"/>
    <cellStyle name="Normal 5 2 3 7 3" xfId="7430"/>
    <cellStyle name="Normal 5 2 3 8" xfId="2296"/>
    <cellStyle name="Normal 5 2 3 8 2" xfId="5365"/>
    <cellStyle name="Normal 5 2 3 8 2 2" xfId="9366"/>
    <cellStyle name="Normal 5 2 3 8 3" xfId="7431"/>
    <cellStyle name="Normal 5 2 3 9" xfId="5356"/>
    <cellStyle name="Normal 5 2 3 9 2" xfId="9357"/>
    <cellStyle name="Normal 5 2 4" xfId="2297"/>
    <cellStyle name="Normal 5 2 4 2" xfId="2298"/>
    <cellStyle name="Normal 5 2 4 2 2" xfId="5367"/>
    <cellStyle name="Normal 5 2 4 2 2 2" xfId="9368"/>
    <cellStyle name="Normal 5 2 4 2 3" xfId="7433"/>
    <cellStyle name="Normal 5 2 4 3" xfId="2299"/>
    <cellStyle name="Normal 5 2 4 3 2" xfId="5368"/>
    <cellStyle name="Normal 5 2 4 3 2 2" xfId="9369"/>
    <cellStyle name="Normal 5 2 4 3 3" xfId="7434"/>
    <cellStyle name="Normal 5 2 4 4" xfId="5366"/>
    <cellStyle name="Normal 5 2 4 4 2" xfId="9367"/>
    <cellStyle name="Normal 5 2 4 5" xfId="7432"/>
    <cellStyle name="Normal 5 2 5" xfId="2300"/>
    <cellStyle name="Normal 5 2 5 2" xfId="5369"/>
    <cellStyle name="Normal 5 2 5 2 2" xfId="9370"/>
    <cellStyle name="Normal 5 2 5 3" xfId="7435"/>
    <cellStyle name="Normal 5 2 6" xfId="2301"/>
    <cellStyle name="Normal 5 2 6 2" xfId="5370"/>
    <cellStyle name="Normal 5 2 6 2 2" xfId="9371"/>
    <cellStyle name="Normal 5 2 6 3" xfId="7436"/>
    <cellStyle name="Normal 5 2 7" xfId="2302"/>
    <cellStyle name="Normal 5 2 7 2" xfId="5371"/>
    <cellStyle name="Normal 5 2 7 2 2" xfId="9372"/>
    <cellStyle name="Normal 5 2 7 3" xfId="7437"/>
    <cellStyle name="Normal 5 2 8" xfId="2303"/>
    <cellStyle name="Normal 5 2 8 2" xfId="5372"/>
    <cellStyle name="Normal 5 2 8 2 2" xfId="9373"/>
    <cellStyle name="Normal 5 2 8 3" xfId="7438"/>
    <cellStyle name="Normal 5 2 9" xfId="2304"/>
    <cellStyle name="Normal 5 2 9 2" xfId="5373"/>
    <cellStyle name="Normal 5 2 9 2 2" xfId="9374"/>
    <cellStyle name="Normal 5 2 9 3" xfId="7439"/>
    <cellStyle name="Normal 5 3" xfId="2305"/>
    <cellStyle name="Normal 5 3 10" xfId="7440"/>
    <cellStyle name="Normal 5 3 2" xfId="2306"/>
    <cellStyle name="Normal 5 3 2 2" xfId="2307"/>
    <cellStyle name="Normal 5 3 2 2 2" xfId="5376"/>
    <cellStyle name="Normal 5 3 2 2 2 2" xfId="9377"/>
    <cellStyle name="Normal 5 3 2 2 3" xfId="7442"/>
    <cellStyle name="Normal 5 3 2 3" xfId="2308"/>
    <cellStyle name="Normal 5 3 2 3 2" xfId="5377"/>
    <cellStyle name="Normal 5 3 2 3 2 2" xfId="9378"/>
    <cellStyle name="Normal 5 3 2 3 3" xfId="7443"/>
    <cellStyle name="Normal 5 3 2 4" xfId="5375"/>
    <cellStyle name="Normal 5 3 2 4 2" xfId="9376"/>
    <cellStyle name="Normal 5 3 2 5" xfId="7441"/>
    <cellStyle name="Normal 5 3 3" xfId="2309"/>
    <cellStyle name="Normal 5 3 3 2" xfId="5378"/>
    <cellStyle name="Normal 5 3 3 2 2" xfId="9379"/>
    <cellStyle name="Normal 5 3 3 3" xfId="7444"/>
    <cellStyle name="Normal 5 3 4" xfId="2310"/>
    <cellStyle name="Normal 5 3 4 2" xfId="5379"/>
    <cellStyle name="Normal 5 3 4 2 2" xfId="9380"/>
    <cellStyle name="Normal 5 3 4 3" xfId="7445"/>
    <cellStyle name="Normal 5 3 5" xfId="2311"/>
    <cellStyle name="Normal 5 3 5 2" xfId="5380"/>
    <cellStyle name="Normal 5 3 5 2 2" xfId="9381"/>
    <cellStyle name="Normal 5 3 5 3" xfId="7446"/>
    <cellStyle name="Normal 5 3 6" xfId="2312"/>
    <cellStyle name="Normal 5 3 6 2" xfId="5381"/>
    <cellStyle name="Normal 5 3 6 2 2" xfId="9382"/>
    <cellStyle name="Normal 5 3 6 3" xfId="7447"/>
    <cellStyle name="Normal 5 3 7" xfId="2313"/>
    <cellStyle name="Normal 5 3 7 2" xfId="5382"/>
    <cellStyle name="Normal 5 3 7 2 2" xfId="9383"/>
    <cellStyle name="Normal 5 3 7 3" xfId="7448"/>
    <cellStyle name="Normal 5 3 8" xfId="2314"/>
    <cellStyle name="Normal 5 3 8 2" xfId="5383"/>
    <cellStyle name="Normal 5 3 8 2 2" xfId="9384"/>
    <cellStyle name="Normal 5 3 8 3" xfId="7449"/>
    <cellStyle name="Normal 5 3 9" xfId="5374"/>
    <cellStyle name="Normal 5 3 9 2" xfId="9375"/>
    <cellStyle name="Normal 5 4" xfId="2315"/>
    <cellStyle name="Normal 5 4 10" xfId="7450"/>
    <cellStyle name="Normal 5 4 2" xfId="2316"/>
    <cellStyle name="Normal 5 4 2 2" xfId="2317"/>
    <cellStyle name="Normal 5 4 2 2 2" xfId="5386"/>
    <cellStyle name="Normal 5 4 2 2 2 2" xfId="9387"/>
    <cellStyle name="Normal 5 4 2 2 3" xfId="7452"/>
    <cellStyle name="Normal 5 4 2 3" xfId="2318"/>
    <cellStyle name="Normal 5 4 2 3 2" xfId="5387"/>
    <cellStyle name="Normal 5 4 2 3 2 2" xfId="9388"/>
    <cellStyle name="Normal 5 4 2 3 3" xfId="7453"/>
    <cellStyle name="Normal 5 4 2 4" xfId="5385"/>
    <cellStyle name="Normal 5 4 2 4 2" xfId="9386"/>
    <cellStyle name="Normal 5 4 2 5" xfId="7451"/>
    <cellStyle name="Normal 5 4 3" xfId="2319"/>
    <cellStyle name="Normal 5 4 3 2" xfId="5388"/>
    <cellStyle name="Normal 5 4 3 2 2" xfId="9389"/>
    <cellStyle name="Normal 5 4 3 3" xfId="7454"/>
    <cellStyle name="Normal 5 4 4" xfId="2320"/>
    <cellStyle name="Normal 5 4 4 2" xfId="5389"/>
    <cellStyle name="Normal 5 4 4 2 2" xfId="9390"/>
    <cellStyle name="Normal 5 4 4 3" xfId="7455"/>
    <cellStyle name="Normal 5 4 5" xfId="2321"/>
    <cellStyle name="Normal 5 4 5 2" xfId="5390"/>
    <cellStyle name="Normal 5 4 5 2 2" xfId="9391"/>
    <cellStyle name="Normal 5 4 5 3" xfId="7456"/>
    <cellStyle name="Normal 5 4 6" xfId="2322"/>
    <cellStyle name="Normal 5 4 6 2" xfId="5391"/>
    <cellStyle name="Normal 5 4 6 2 2" xfId="9392"/>
    <cellStyle name="Normal 5 4 6 3" xfId="7457"/>
    <cellStyle name="Normal 5 4 7" xfId="2323"/>
    <cellStyle name="Normal 5 4 7 2" xfId="5392"/>
    <cellStyle name="Normal 5 4 7 2 2" xfId="9393"/>
    <cellStyle name="Normal 5 4 7 3" xfId="7458"/>
    <cellStyle name="Normal 5 4 8" xfId="2324"/>
    <cellStyle name="Normal 5 4 8 2" xfId="5393"/>
    <cellStyle name="Normal 5 4 8 2 2" xfId="9394"/>
    <cellStyle name="Normal 5 4 8 3" xfId="7459"/>
    <cellStyle name="Normal 5 4 9" xfId="5384"/>
    <cellStyle name="Normal 5 4 9 2" xfId="9385"/>
    <cellStyle name="Normal 5 5" xfId="2325"/>
    <cellStyle name="Normal 5 5 2" xfId="2326"/>
    <cellStyle name="Normal 5 5 2 2" xfId="5395"/>
    <cellStyle name="Normal 5 5 2 2 2" xfId="9396"/>
    <cellStyle name="Normal 5 5 2 3" xfId="7461"/>
    <cellStyle name="Normal 5 5 3" xfId="2327"/>
    <cellStyle name="Normal 5 5 3 2" xfId="5396"/>
    <cellStyle name="Normal 5 5 3 2 2" xfId="9397"/>
    <cellStyle name="Normal 5 5 3 3" xfId="7462"/>
    <cellStyle name="Normal 5 5 4" xfId="5394"/>
    <cellStyle name="Normal 5 5 4 2" xfId="9395"/>
    <cellStyle name="Normal 5 5 5" xfId="7460"/>
    <cellStyle name="Normal 5 6" xfId="2328"/>
    <cellStyle name="Normal 5 6 2" xfId="5397"/>
    <cellStyle name="Normal 5 6 2 2" xfId="9398"/>
    <cellStyle name="Normal 5 6 3" xfId="7463"/>
    <cellStyle name="Normal 5 7" xfId="2329"/>
    <cellStyle name="Normal 5 7 2" xfId="5398"/>
    <cellStyle name="Normal 5 7 2 2" xfId="9399"/>
    <cellStyle name="Normal 5 7 3" xfId="7464"/>
    <cellStyle name="Normal 5 8" xfId="2330"/>
    <cellStyle name="Normal 5 8 2" xfId="5399"/>
    <cellStyle name="Normal 5 8 2 2" xfId="9400"/>
    <cellStyle name="Normal 5 8 3" xfId="7465"/>
    <cellStyle name="Normal 5 9" xfId="2331"/>
    <cellStyle name="Normal 5 9 2" xfId="5400"/>
    <cellStyle name="Normal 5 9 2 2" xfId="9401"/>
    <cellStyle name="Normal 5 9 3" xfId="7466"/>
    <cellStyle name="Normal 6" xfId="2332"/>
    <cellStyle name="Normal 6 2" xfId="2333"/>
    <cellStyle name="Normal 6 2 2" xfId="2334"/>
    <cellStyle name="Normal 6 3" xfId="2335"/>
    <cellStyle name="Normal 7" xfId="2336"/>
    <cellStyle name="Normal 7 10" xfId="2337"/>
    <cellStyle name="Normal 7 10 2" xfId="5402"/>
    <cellStyle name="Normal 7 10 2 2" xfId="9403"/>
    <cellStyle name="Normal 7 10 3" xfId="7468"/>
    <cellStyle name="Normal 7 11" xfId="2338"/>
    <cellStyle name="Normal 7 11 2" xfId="5403"/>
    <cellStyle name="Normal 7 11 2 2" xfId="9404"/>
    <cellStyle name="Normal 7 11 3" xfId="7469"/>
    <cellStyle name="Normal 7 12" xfId="2339"/>
    <cellStyle name="Normal 7 12 2" xfId="5404"/>
    <cellStyle name="Normal 7 12 2 2" xfId="9405"/>
    <cellStyle name="Normal 7 12 3" xfId="7470"/>
    <cellStyle name="Normal 7 13" xfId="5401"/>
    <cellStyle name="Normal 7 13 2" xfId="9402"/>
    <cellStyle name="Normal 7 14" xfId="7467"/>
    <cellStyle name="Normal 7 2" xfId="2340"/>
    <cellStyle name="Normal 7 2 2" xfId="2341"/>
    <cellStyle name="Normal 7 2 2 2" xfId="5406"/>
    <cellStyle name="Normal 7 2 3" xfId="5405"/>
    <cellStyle name="Normal 7 3" xfId="2342"/>
    <cellStyle name="Normal 7 3 10" xfId="7471"/>
    <cellStyle name="Normal 7 3 2" xfId="2343"/>
    <cellStyle name="Normal 7 3 2 2" xfId="2344"/>
    <cellStyle name="Normal 7 3 2 2 2" xfId="5409"/>
    <cellStyle name="Normal 7 3 2 2 2 2" xfId="9408"/>
    <cellStyle name="Normal 7 3 2 2 3" xfId="7473"/>
    <cellStyle name="Normal 7 3 2 3" xfId="2345"/>
    <cellStyle name="Normal 7 3 2 3 2" xfId="5410"/>
    <cellStyle name="Normal 7 3 2 3 2 2" xfId="9409"/>
    <cellStyle name="Normal 7 3 2 3 3" xfId="7474"/>
    <cellStyle name="Normal 7 3 2 4" xfId="5408"/>
    <cellStyle name="Normal 7 3 2 4 2" xfId="9407"/>
    <cellStyle name="Normal 7 3 2 5" xfId="7472"/>
    <cellStyle name="Normal 7 3 3" xfId="2346"/>
    <cellStyle name="Normal 7 3 3 2" xfId="5411"/>
    <cellStyle name="Normal 7 3 3 2 2" xfId="9410"/>
    <cellStyle name="Normal 7 3 3 3" xfId="7475"/>
    <cellStyle name="Normal 7 3 4" xfId="2347"/>
    <cellStyle name="Normal 7 3 4 2" xfId="5412"/>
    <cellStyle name="Normal 7 3 4 2 2" xfId="9411"/>
    <cellStyle name="Normal 7 3 4 3" xfId="7476"/>
    <cellStyle name="Normal 7 3 5" xfId="2348"/>
    <cellStyle name="Normal 7 3 5 2" xfId="5413"/>
    <cellStyle name="Normal 7 3 5 2 2" xfId="9412"/>
    <cellStyle name="Normal 7 3 5 3" xfId="7477"/>
    <cellStyle name="Normal 7 3 6" xfId="2349"/>
    <cellStyle name="Normal 7 3 6 2" xfId="5414"/>
    <cellStyle name="Normal 7 3 6 2 2" xfId="9413"/>
    <cellStyle name="Normal 7 3 6 3" xfId="7478"/>
    <cellStyle name="Normal 7 3 7" xfId="2350"/>
    <cellStyle name="Normal 7 3 7 2" xfId="5415"/>
    <cellStyle name="Normal 7 3 7 2 2" xfId="9414"/>
    <cellStyle name="Normal 7 3 7 3" xfId="7479"/>
    <cellStyle name="Normal 7 3 8" xfId="2351"/>
    <cellStyle name="Normal 7 3 8 2" xfId="5416"/>
    <cellStyle name="Normal 7 3 8 2 2" xfId="9415"/>
    <cellStyle name="Normal 7 3 8 3" xfId="7480"/>
    <cellStyle name="Normal 7 3 9" xfId="5407"/>
    <cellStyle name="Normal 7 3 9 2" xfId="9406"/>
    <cellStyle name="Normal 7 4" xfId="2352"/>
    <cellStyle name="Normal 7 4 10" xfId="7481"/>
    <cellStyle name="Normal 7 4 2" xfId="2353"/>
    <cellStyle name="Normal 7 4 2 2" xfId="2354"/>
    <cellStyle name="Normal 7 4 2 2 2" xfId="5419"/>
    <cellStyle name="Normal 7 4 2 2 2 2" xfId="9418"/>
    <cellStyle name="Normal 7 4 2 2 3" xfId="7483"/>
    <cellStyle name="Normal 7 4 2 3" xfId="2355"/>
    <cellStyle name="Normal 7 4 2 3 2" xfId="5420"/>
    <cellStyle name="Normal 7 4 2 3 2 2" xfId="9419"/>
    <cellStyle name="Normal 7 4 2 3 3" xfId="7484"/>
    <cellStyle name="Normal 7 4 2 4" xfId="5418"/>
    <cellStyle name="Normal 7 4 2 4 2" xfId="9417"/>
    <cellStyle name="Normal 7 4 2 5" xfId="7482"/>
    <cellStyle name="Normal 7 4 3" xfId="2356"/>
    <cellStyle name="Normal 7 4 3 2" xfId="5421"/>
    <cellStyle name="Normal 7 4 3 2 2" xfId="9420"/>
    <cellStyle name="Normal 7 4 3 3" xfId="7485"/>
    <cellStyle name="Normal 7 4 4" xfId="2357"/>
    <cellStyle name="Normal 7 4 4 2" xfId="5422"/>
    <cellStyle name="Normal 7 4 4 2 2" xfId="9421"/>
    <cellStyle name="Normal 7 4 4 3" xfId="7486"/>
    <cellStyle name="Normal 7 4 5" xfId="2358"/>
    <cellStyle name="Normal 7 4 5 2" xfId="5423"/>
    <cellStyle name="Normal 7 4 5 2 2" xfId="9422"/>
    <cellStyle name="Normal 7 4 5 3" xfId="7487"/>
    <cellStyle name="Normal 7 4 6" xfId="2359"/>
    <cellStyle name="Normal 7 4 6 2" xfId="5424"/>
    <cellStyle name="Normal 7 4 6 2 2" xfId="9423"/>
    <cellStyle name="Normal 7 4 6 3" xfId="7488"/>
    <cellStyle name="Normal 7 4 7" xfId="2360"/>
    <cellStyle name="Normal 7 4 7 2" xfId="5425"/>
    <cellStyle name="Normal 7 4 7 2 2" xfId="9424"/>
    <cellStyle name="Normal 7 4 7 3" xfId="7489"/>
    <cellStyle name="Normal 7 4 8" xfId="2361"/>
    <cellStyle name="Normal 7 4 8 2" xfId="5426"/>
    <cellStyle name="Normal 7 4 8 2 2" xfId="9425"/>
    <cellStyle name="Normal 7 4 8 3" xfId="7490"/>
    <cellStyle name="Normal 7 4 9" xfId="5417"/>
    <cellStyle name="Normal 7 4 9 2" xfId="9416"/>
    <cellStyle name="Normal 7 5" xfId="2362"/>
    <cellStyle name="Normal 7 5 2" xfId="2363"/>
    <cellStyle name="Normal 7 5 2 2" xfId="5428"/>
    <cellStyle name="Normal 7 5 2 2 2" xfId="9427"/>
    <cellStyle name="Normal 7 5 2 3" xfId="7492"/>
    <cellStyle name="Normal 7 5 3" xfId="2364"/>
    <cellStyle name="Normal 7 5 3 2" xfId="5429"/>
    <cellStyle name="Normal 7 5 3 2 2" xfId="9428"/>
    <cellStyle name="Normal 7 5 3 3" xfId="7493"/>
    <cellStyle name="Normal 7 5 4" xfId="5427"/>
    <cellStyle name="Normal 7 5 4 2" xfId="9426"/>
    <cellStyle name="Normal 7 5 5" xfId="7491"/>
    <cellStyle name="Normal 7 6" xfId="2365"/>
    <cellStyle name="Normal 7 6 2" xfId="2366"/>
    <cellStyle name="Normal 7 6 2 2" xfId="5431"/>
    <cellStyle name="Normal 7 6 2 2 2" xfId="9430"/>
    <cellStyle name="Normal 7 6 2 3" xfId="7495"/>
    <cellStyle name="Normal 7 6 3" xfId="2367"/>
    <cellStyle name="Normal 7 6 3 2" xfId="5432"/>
    <cellStyle name="Normal 7 6 3 2 2" xfId="9431"/>
    <cellStyle name="Normal 7 6 3 3" xfId="7496"/>
    <cellStyle name="Normal 7 6 4" xfId="5430"/>
    <cellStyle name="Normal 7 6 4 2" xfId="9429"/>
    <cellStyle name="Normal 7 6 5" xfId="7494"/>
    <cellStyle name="Normal 7 7" xfId="2368"/>
    <cellStyle name="Normal 7 7 2" xfId="5433"/>
    <cellStyle name="Normal 7 7 2 2" xfId="9432"/>
    <cellStyle name="Normal 7 7 3" xfId="7497"/>
    <cellStyle name="Normal 7 8" xfId="2369"/>
    <cellStyle name="Normal 7 8 2" xfId="5434"/>
    <cellStyle name="Normal 7 8 2 2" xfId="9433"/>
    <cellStyle name="Normal 7 8 3" xfId="7498"/>
    <cellStyle name="Normal 7 9" xfId="2370"/>
    <cellStyle name="Normal 7 9 2" xfId="5435"/>
    <cellStyle name="Normal 7 9 2 2" xfId="9434"/>
    <cellStyle name="Normal 7 9 3" xfId="7499"/>
    <cellStyle name="Normal 8" xfId="2371"/>
    <cellStyle name="Normal 8 10" xfId="2372"/>
    <cellStyle name="Normal 8 10 2" xfId="5437"/>
    <cellStyle name="Normal 8 10 2 2" xfId="9436"/>
    <cellStyle name="Normal 8 10 3" xfId="7501"/>
    <cellStyle name="Normal 8 11" xfId="5436"/>
    <cellStyle name="Normal 8 11 2" xfId="9435"/>
    <cellStyle name="Normal 8 12" xfId="7500"/>
    <cellStyle name="Normal 8 2" xfId="2373"/>
    <cellStyle name="Normal 8 2 10" xfId="7502"/>
    <cellStyle name="Normal 8 2 2" xfId="2374"/>
    <cellStyle name="Normal 8 2 2 2" xfId="2375"/>
    <cellStyle name="Normal 8 2 2 2 2" xfId="5440"/>
    <cellStyle name="Normal 8 2 2 2 2 2" xfId="9439"/>
    <cellStyle name="Normal 8 2 2 2 3" xfId="7504"/>
    <cellStyle name="Normal 8 2 2 3" xfId="2376"/>
    <cellStyle name="Normal 8 2 2 3 2" xfId="5441"/>
    <cellStyle name="Normal 8 2 2 3 2 2" xfId="9440"/>
    <cellStyle name="Normal 8 2 2 3 3" xfId="7505"/>
    <cellStyle name="Normal 8 2 2 4" xfId="5439"/>
    <cellStyle name="Normal 8 2 2 4 2" xfId="9438"/>
    <cellStyle name="Normal 8 2 2 5" xfId="7503"/>
    <cellStyle name="Normal 8 2 3" xfId="2377"/>
    <cellStyle name="Normal 8 2 3 2" xfId="5442"/>
    <cellStyle name="Normal 8 2 3 2 2" xfId="9441"/>
    <cellStyle name="Normal 8 2 3 3" xfId="7506"/>
    <cellStyle name="Normal 8 2 4" xfId="2378"/>
    <cellStyle name="Normal 8 2 4 2" xfId="5443"/>
    <cellStyle name="Normal 8 2 4 2 2" xfId="9442"/>
    <cellStyle name="Normal 8 2 4 3" xfId="7507"/>
    <cellStyle name="Normal 8 2 5" xfId="2379"/>
    <cellStyle name="Normal 8 2 5 2" xfId="5444"/>
    <cellStyle name="Normal 8 2 5 2 2" xfId="9443"/>
    <cellStyle name="Normal 8 2 5 3" xfId="7508"/>
    <cellStyle name="Normal 8 2 6" xfId="2380"/>
    <cellStyle name="Normal 8 2 6 2" xfId="5445"/>
    <cellStyle name="Normal 8 2 6 2 2" xfId="9444"/>
    <cellStyle name="Normal 8 2 6 3" xfId="7509"/>
    <cellStyle name="Normal 8 2 7" xfId="2381"/>
    <cellStyle name="Normal 8 2 7 2" xfId="5446"/>
    <cellStyle name="Normal 8 2 7 2 2" xfId="9445"/>
    <cellStyle name="Normal 8 2 7 3" xfId="7510"/>
    <cellStyle name="Normal 8 2 8" xfId="2382"/>
    <cellStyle name="Normal 8 2 8 2" xfId="5447"/>
    <cellStyle name="Normal 8 2 8 2 2" xfId="9446"/>
    <cellStyle name="Normal 8 2 8 3" xfId="7511"/>
    <cellStyle name="Normal 8 2 9" xfId="5438"/>
    <cellStyle name="Normal 8 2 9 2" xfId="9437"/>
    <cellStyle name="Normal 8 3" xfId="2383"/>
    <cellStyle name="Normal 8 3 10" xfId="7512"/>
    <cellStyle name="Normal 8 3 2" xfId="2384"/>
    <cellStyle name="Normal 8 3 2 2" xfId="2385"/>
    <cellStyle name="Normal 8 3 2 2 2" xfId="5450"/>
    <cellStyle name="Normal 8 3 2 2 2 2" xfId="9449"/>
    <cellStyle name="Normal 8 3 2 2 3" xfId="7514"/>
    <cellStyle name="Normal 8 3 2 3" xfId="2386"/>
    <cellStyle name="Normal 8 3 2 3 2" xfId="5451"/>
    <cellStyle name="Normal 8 3 2 3 2 2" xfId="9450"/>
    <cellStyle name="Normal 8 3 2 3 3" xfId="7515"/>
    <cellStyle name="Normal 8 3 2 4" xfId="5449"/>
    <cellStyle name="Normal 8 3 2 4 2" xfId="9448"/>
    <cellStyle name="Normal 8 3 2 5" xfId="7513"/>
    <cellStyle name="Normal 8 3 3" xfId="2387"/>
    <cellStyle name="Normal 8 3 3 2" xfId="5452"/>
    <cellStyle name="Normal 8 3 3 2 2" xfId="9451"/>
    <cellStyle name="Normal 8 3 3 3" xfId="7516"/>
    <cellStyle name="Normal 8 3 4" xfId="2388"/>
    <cellStyle name="Normal 8 3 4 2" xfId="5453"/>
    <cellStyle name="Normal 8 3 4 2 2" xfId="9452"/>
    <cellStyle name="Normal 8 3 4 3" xfId="7517"/>
    <cellStyle name="Normal 8 3 5" xfId="2389"/>
    <cellStyle name="Normal 8 3 5 2" xfId="5454"/>
    <cellStyle name="Normal 8 3 5 2 2" xfId="9453"/>
    <cellStyle name="Normal 8 3 5 3" xfId="7518"/>
    <cellStyle name="Normal 8 3 6" xfId="2390"/>
    <cellStyle name="Normal 8 3 6 2" xfId="5455"/>
    <cellStyle name="Normal 8 3 6 2 2" xfId="9454"/>
    <cellStyle name="Normal 8 3 6 3" xfId="7519"/>
    <cellStyle name="Normal 8 3 7" xfId="2391"/>
    <cellStyle name="Normal 8 3 7 2" xfId="5456"/>
    <cellStyle name="Normal 8 3 7 2 2" xfId="9455"/>
    <cellStyle name="Normal 8 3 7 3" xfId="7520"/>
    <cellStyle name="Normal 8 3 8" xfId="2392"/>
    <cellStyle name="Normal 8 3 8 2" xfId="5457"/>
    <cellStyle name="Normal 8 3 8 2 2" xfId="9456"/>
    <cellStyle name="Normal 8 3 8 3" xfId="7521"/>
    <cellStyle name="Normal 8 3 9" xfId="5448"/>
    <cellStyle name="Normal 8 3 9 2" xfId="9447"/>
    <cellStyle name="Normal 8 4" xfId="2393"/>
    <cellStyle name="Normal 8 4 2" xfId="2394"/>
    <cellStyle name="Normal 8 4 2 2" xfId="5459"/>
    <cellStyle name="Normal 8 4 2 2 2" xfId="9458"/>
    <cellStyle name="Normal 8 4 2 3" xfId="7523"/>
    <cellStyle name="Normal 8 4 3" xfId="2395"/>
    <cellStyle name="Normal 8 4 3 2" xfId="5460"/>
    <cellStyle name="Normal 8 4 3 2 2" xfId="9459"/>
    <cellStyle name="Normal 8 4 3 3" xfId="7524"/>
    <cellStyle name="Normal 8 4 4" xfId="5458"/>
    <cellStyle name="Normal 8 4 4 2" xfId="9457"/>
    <cellStyle name="Normal 8 4 5" xfId="7522"/>
    <cellStyle name="Normal 8 5" xfId="2396"/>
    <cellStyle name="Normal 8 5 2" xfId="5461"/>
    <cellStyle name="Normal 8 5 2 2" xfId="9460"/>
    <cellStyle name="Normal 8 5 3" xfId="7525"/>
    <cellStyle name="Normal 8 6" xfId="2397"/>
    <cellStyle name="Normal 8 6 2" xfId="5462"/>
    <cellStyle name="Normal 8 6 2 2" xfId="9461"/>
    <cellStyle name="Normal 8 6 3" xfId="7526"/>
    <cellStyle name="Normal 8 7" xfId="2398"/>
    <cellStyle name="Normal 8 7 2" xfId="5463"/>
    <cellStyle name="Normal 8 7 2 2" xfId="9462"/>
    <cellStyle name="Normal 8 7 3" xfId="7527"/>
    <cellStyle name="Normal 8 8" xfId="2399"/>
    <cellStyle name="Normal 8 8 2" xfId="5464"/>
    <cellStyle name="Normal 8 8 2 2" xfId="9463"/>
    <cellStyle name="Normal 8 8 3" xfId="7528"/>
    <cellStyle name="Normal 8 9" xfId="2400"/>
    <cellStyle name="Normal 8 9 2" xfId="5465"/>
    <cellStyle name="Normal 8 9 2 2" xfId="9464"/>
    <cellStyle name="Normal 8 9 3" xfId="7529"/>
    <cellStyle name="Normal 9" xfId="2401"/>
    <cellStyle name="Normal 9 10" xfId="2402"/>
    <cellStyle name="Normal 9 10 2" xfId="5467"/>
    <cellStyle name="Normal 9 10 2 2" xfId="9466"/>
    <cellStyle name="Normal 9 10 3" xfId="7531"/>
    <cellStyle name="Normal 9 11" xfId="5466"/>
    <cellStyle name="Normal 9 11 2" xfId="9465"/>
    <cellStyle name="Normal 9 12" xfId="7530"/>
    <cellStyle name="Normal 9 2" xfId="2403"/>
    <cellStyle name="Normal 9 2 10" xfId="7532"/>
    <cellStyle name="Normal 9 2 2" xfId="2404"/>
    <cellStyle name="Normal 9 2 2 2" xfId="2405"/>
    <cellStyle name="Normal 9 2 2 2 2" xfId="5470"/>
    <cellStyle name="Normal 9 2 2 2 2 2" xfId="9469"/>
    <cellStyle name="Normal 9 2 2 2 3" xfId="7534"/>
    <cellStyle name="Normal 9 2 2 3" xfId="2406"/>
    <cellStyle name="Normal 9 2 2 3 2" xfId="5471"/>
    <cellStyle name="Normal 9 2 2 3 2 2" xfId="9470"/>
    <cellStyle name="Normal 9 2 2 3 3" xfId="7535"/>
    <cellStyle name="Normal 9 2 2 4" xfId="5469"/>
    <cellStyle name="Normal 9 2 2 4 2" xfId="9468"/>
    <cellStyle name="Normal 9 2 2 5" xfId="7533"/>
    <cellStyle name="Normal 9 2 3" xfId="2407"/>
    <cellStyle name="Normal 9 2 3 2" xfId="5472"/>
    <cellStyle name="Normal 9 2 3 2 2" xfId="9471"/>
    <cellStyle name="Normal 9 2 3 3" xfId="7536"/>
    <cellStyle name="Normal 9 2 4" xfId="2408"/>
    <cellStyle name="Normal 9 2 4 2" xfId="5473"/>
    <cellStyle name="Normal 9 2 4 2 2" xfId="9472"/>
    <cellStyle name="Normal 9 2 4 3" xfId="7537"/>
    <cellStyle name="Normal 9 2 5" xfId="2409"/>
    <cellStyle name="Normal 9 2 5 2" xfId="5474"/>
    <cellStyle name="Normal 9 2 5 2 2" xfId="9473"/>
    <cellStyle name="Normal 9 2 5 3" xfId="7538"/>
    <cellStyle name="Normal 9 2 6" xfId="2410"/>
    <cellStyle name="Normal 9 2 6 2" xfId="5475"/>
    <cellStyle name="Normal 9 2 6 2 2" xfId="9474"/>
    <cellStyle name="Normal 9 2 6 3" xfId="7539"/>
    <cellStyle name="Normal 9 2 7" xfId="2411"/>
    <cellStyle name="Normal 9 2 7 2" xfId="5476"/>
    <cellStyle name="Normal 9 2 7 2 2" xfId="9475"/>
    <cellStyle name="Normal 9 2 7 3" xfId="7540"/>
    <cellStyle name="Normal 9 2 8" xfId="2412"/>
    <cellStyle name="Normal 9 2 8 2" xfId="5477"/>
    <cellStyle name="Normal 9 2 8 2 2" xfId="9476"/>
    <cellStyle name="Normal 9 2 8 3" xfId="7541"/>
    <cellStyle name="Normal 9 2 9" xfId="5468"/>
    <cellStyle name="Normal 9 2 9 2" xfId="9467"/>
    <cellStyle name="Normal 9 3" xfId="2413"/>
    <cellStyle name="Normal 9 3 10" xfId="7542"/>
    <cellStyle name="Normal 9 3 2" xfId="2414"/>
    <cellStyle name="Normal 9 3 2 2" xfId="2415"/>
    <cellStyle name="Normal 9 3 2 2 2" xfId="5480"/>
    <cellStyle name="Normal 9 3 2 2 2 2" xfId="9479"/>
    <cellStyle name="Normal 9 3 2 2 3" xfId="7544"/>
    <cellStyle name="Normal 9 3 2 3" xfId="2416"/>
    <cellStyle name="Normal 9 3 2 3 2" xfId="5481"/>
    <cellStyle name="Normal 9 3 2 3 2 2" xfId="9480"/>
    <cellStyle name="Normal 9 3 2 3 3" xfId="7545"/>
    <cellStyle name="Normal 9 3 2 4" xfId="5479"/>
    <cellStyle name="Normal 9 3 2 4 2" xfId="9478"/>
    <cellStyle name="Normal 9 3 2 5" xfId="7543"/>
    <cellStyle name="Normal 9 3 3" xfId="2417"/>
    <cellStyle name="Normal 9 3 3 2" xfId="5482"/>
    <cellStyle name="Normal 9 3 3 2 2" xfId="9481"/>
    <cellStyle name="Normal 9 3 3 3" xfId="7546"/>
    <cellStyle name="Normal 9 3 4" xfId="2418"/>
    <cellStyle name="Normal 9 3 4 2" xfId="5483"/>
    <cellStyle name="Normal 9 3 4 2 2" xfId="9482"/>
    <cellStyle name="Normal 9 3 4 3" xfId="7547"/>
    <cellStyle name="Normal 9 3 5" xfId="2419"/>
    <cellStyle name="Normal 9 3 5 2" xfId="5484"/>
    <cellStyle name="Normal 9 3 5 2 2" xfId="9483"/>
    <cellStyle name="Normal 9 3 5 3" xfId="7548"/>
    <cellStyle name="Normal 9 3 6" xfId="2420"/>
    <cellStyle name="Normal 9 3 6 2" xfId="5485"/>
    <cellStyle name="Normal 9 3 6 2 2" xfId="9484"/>
    <cellStyle name="Normal 9 3 6 3" xfId="7549"/>
    <cellStyle name="Normal 9 3 7" xfId="2421"/>
    <cellStyle name="Normal 9 3 7 2" xfId="5486"/>
    <cellStyle name="Normal 9 3 7 2 2" xfId="9485"/>
    <cellStyle name="Normal 9 3 7 3" xfId="7550"/>
    <cellStyle name="Normal 9 3 8" xfId="2422"/>
    <cellStyle name="Normal 9 3 8 2" xfId="5487"/>
    <cellStyle name="Normal 9 3 8 2 2" xfId="9486"/>
    <cellStyle name="Normal 9 3 8 3" xfId="7551"/>
    <cellStyle name="Normal 9 3 9" xfId="5478"/>
    <cellStyle name="Normal 9 3 9 2" xfId="9477"/>
    <cellStyle name="Normal 9 4" xfId="2423"/>
    <cellStyle name="Normal 9 4 2" xfId="2424"/>
    <cellStyle name="Normal 9 4 2 2" xfId="5489"/>
    <cellStyle name="Normal 9 4 2 2 2" xfId="9488"/>
    <cellStyle name="Normal 9 4 2 3" xfId="7553"/>
    <cellStyle name="Normal 9 4 3" xfId="2425"/>
    <cellStyle name="Normal 9 4 3 2" xfId="5490"/>
    <cellStyle name="Normal 9 4 3 2 2" xfId="9489"/>
    <cellStyle name="Normal 9 4 3 3" xfId="7554"/>
    <cellStyle name="Normal 9 4 4" xfId="5488"/>
    <cellStyle name="Normal 9 4 4 2" xfId="9487"/>
    <cellStyle name="Normal 9 4 5" xfId="7552"/>
    <cellStyle name="Normal 9 5" xfId="2426"/>
    <cellStyle name="Normal 9 5 2" xfId="5491"/>
    <cellStyle name="Normal 9 5 2 2" xfId="9490"/>
    <cellStyle name="Normal 9 5 3" xfId="7555"/>
    <cellStyle name="Normal 9 6" xfId="2427"/>
    <cellStyle name="Normal 9 6 2" xfId="5492"/>
    <cellStyle name="Normal 9 6 2 2" xfId="9491"/>
    <cellStyle name="Normal 9 6 3" xfId="7556"/>
    <cellStyle name="Normal 9 7" xfId="2428"/>
    <cellStyle name="Normal 9 7 2" xfId="5493"/>
    <cellStyle name="Normal 9 7 2 2" xfId="9492"/>
    <cellStyle name="Normal 9 7 3" xfId="7557"/>
    <cellStyle name="Normal 9 8" xfId="2429"/>
    <cellStyle name="Normal 9 8 2" xfId="5494"/>
    <cellStyle name="Normal 9 8 2 2" xfId="9493"/>
    <cellStyle name="Normal 9 8 3" xfId="7558"/>
    <cellStyle name="Normal 9 9" xfId="2430"/>
    <cellStyle name="Normal 9 9 2" xfId="5495"/>
    <cellStyle name="Normal 9 9 2 2" xfId="9494"/>
    <cellStyle name="Normal 9 9 3" xfId="7559"/>
    <cellStyle name="Notas 10" xfId="2431"/>
    <cellStyle name="Notas 10 2" xfId="2432"/>
    <cellStyle name="Notas 10 2 2" xfId="2433"/>
    <cellStyle name="Notas 10 2 2 2" xfId="2434"/>
    <cellStyle name="Notas 10 2 3" xfId="2435"/>
    <cellStyle name="Notas 10 3" xfId="2436"/>
    <cellStyle name="Notas 10 3 2" xfId="2437"/>
    <cellStyle name="Notas 10 3 2 2" xfId="2438"/>
    <cellStyle name="Notas 10 3 3" xfId="2439"/>
    <cellStyle name="Notas 10 4" xfId="2440"/>
    <cellStyle name="Notas 10 4 2" xfId="2441"/>
    <cellStyle name="Notas 10 5" xfId="2442"/>
    <cellStyle name="Notas 11" xfId="2443"/>
    <cellStyle name="Notas 11 2" xfId="2444"/>
    <cellStyle name="Notas 11 2 2" xfId="2445"/>
    <cellStyle name="Notas 11 2 2 2" xfId="2446"/>
    <cellStyle name="Notas 11 2 3" xfId="2447"/>
    <cellStyle name="Notas 11 3" xfId="2448"/>
    <cellStyle name="Notas 11 3 2" xfId="2449"/>
    <cellStyle name="Notas 11 3 2 2" xfId="2450"/>
    <cellStyle name="Notas 11 3 3" xfId="2451"/>
    <cellStyle name="Notas 11 4" xfId="2452"/>
    <cellStyle name="Notas 11 4 2" xfId="2453"/>
    <cellStyle name="Notas 11 5" xfId="2454"/>
    <cellStyle name="Notas 12" xfId="2455"/>
    <cellStyle name="Notas 12 2" xfId="2456"/>
    <cellStyle name="Notas 12 2 2" xfId="2457"/>
    <cellStyle name="Notas 12 2 2 2" xfId="2458"/>
    <cellStyle name="Notas 12 2 3" xfId="2459"/>
    <cellStyle name="Notas 12 3" xfId="2460"/>
    <cellStyle name="Notas 12 3 2" xfId="2461"/>
    <cellStyle name="Notas 12 3 2 2" xfId="2462"/>
    <cellStyle name="Notas 12 3 3" xfId="2463"/>
    <cellStyle name="Notas 12 4" xfId="2464"/>
    <cellStyle name="Notas 12 4 2" xfId="2465"/>
    <cellStyle name="Notas 12 5" xfId="2466"/>
    <cellStyle name="Notas 13" xfId="2467"/>
    <cellStyle name="Notas 13 2" xfId="2468"/>
    <cellStyle name="Notas 13 2 2" xfId="2469"/>
    <cellStyle name="Notas 13 2 2 2" xfId="2470"/>
    <cellStyle name="Notas 13 2 3" xfId="2471"/>
    <cellStyle name="Notas 13 3" xfId="2472"/>
    <cellStyle name="Notas 13 3 2" xfId="2473"/>
    <cellStyle name="Notas 13 3 2 2" xfId="2474"/>
    <cellStyle name="Notas 13 3 3" xfId="2475"/>
    <cellStyle name="Notas 13 4" xfId="2476"/>
    <cellStyle name="Notas 13 4 2" xfId="2477"/>
    <cellStyle name="Notas 13 5" xfId="2478"/>
    <cellStyle name="Notas 14" xfId="2479"/>
    <cellStyle name="Notas 14 2" xfId="2480"/>
    <cellStyle name="Notas 14 2 2" xfId="2481"/>
    <cellStyle name="Notas 14 2 2 2" xfId="2482"/>
    <cellStyle name="Notas 14 2 3" xfId="2483"/>
    <cellStyle name="Notas 14 3" xfId="2484"/>
    <cellStyle name="Notas 14 3 2" xfId="2485"/>
    <cellStyle name="Notas 14 3 2 2" xfId="2486"/>
    <cellStyle name="Notas 14 3 3" xfId="2487"/>
    <cellStyle name="Notas 14 4" xfId="2488"/>
    <cellStyle name="Notas 14 4 2" xfId="2489"/>
    <cellStyle name="Notas 14 5" xfId="2490"/>
    <cellStyle name="Notas 15" xfId="2491"/>
    <cellStyle name="Notas 15 2" xfId="2492"/>
    <cellStyle name="Notas 15 2 2" xfId="2493"/>
    <cellStyle name="Notas 15 2 2 2" xfId="2494"/>
    <cellStyle name="Notas 15 2 3" xfId="2495"/>
    <cellStyle name="Notas 15 3" xfId="2496"/>
    <cellStyle name="Notas 15 3 2" xfId="2497"/>
    <cellStyle name="Notas 15 3 2 2" xfId="2498"/>
    <cellStyle name="Notas 15 3 3" xfId="2499"/>
    <cellStyle name="Notas 15 4" xfId="2500"/>
    <cellStyle name="Notas 15 4 2" xfId="2501"/>
    <cellStyle name="Notas 15 5" xfId="2502"/>
    <cellStyle name="Notas 16" xfId="2503"/>
    <cellStyle name="Notas 16 2" xfId="2504"/>
    <cellStyle name="Notas 16 2 2" xfId="2505"/>
    <cellStyle name="Notas 16 2 2 2" xfId="2506"/>
    <cellStyle name="Notas 16 2 3" xfId="2507"/>
    <cellStyle name="Notas 16 3" xfId="2508"/>
    <cellStyle name="Notas 16 3 2" xfId="2509"/>
    <cellStyle name="Notas 16 3 2 2" xfId="2510"/>
    <cellStyle name="Notas 16 3 3" xfId="2511"/>
    <cellStyle name="Notas 16 4" xfId="2512"/>
    <cellStyle name="Notas 16 4 2" xfId="2513"/>
    <cellStyle name="Notas 16 5" xfId="2514"/>
    <cellStyle name="Notas 17" xfId="2515"/>
    <cellStyle name="Notas 17 2" xfId="2516"/>
    <cellStyle name="Notas 17 2 2" xfId="2517"/>
    <cellStyle name="Notas 17 2 2 2" xfId="2518"/>
    <cellStyle name="Notas 17 2 3" xfId="2519"/>
    <cellStyle name="Notas 17 3" xfId="2520"/>
    <cellStyle name="Notas 17 3 2" xfId="2521"/>
    <cellStyle name="Notas 17 3 2 2" xfId="2522"/>
    <cellStyle name="Notas 17 3 3" xfId="2523"/>
    <cellStyle name="Notas 17 4" xfId="2524"/>
    <cellStyle name="Notas 17 4 2" xfId="2525"/>
    <cellStyle name="Notas 17 5" xfId="2526"/>
    <cellStyle name="Notas 18" xfId="2527"/>
    <cellStyle name="Notas 18 2" xfId="2528"/>
    <cellStyle name="Notas 18 2 2" xfId="2529"/>
    <cellStyle name="Notas 18 2 2 2" xfId="2530"/>
    <cellStyle name="Notas 18 2 3" xfId="2531"/>
    <cellStyle name="Notas 18 3" xfId="2532"/>
    <cellStyle name="Notas 18 3 2" xfId="2533"/>
    <cellStyle name="Notas 18 3 2 2" xfId="2534"/>
    <cellStyle name="Notas 18 3 3" xfId="2535"/>
    <cellStyle name="Notas 18 4" xfId="2536"/>
    <cellStyle name="Notas 18 4 2" xfId="2537"/>
    <cellStyle name="Notas 18 5" xfId="2538"/>
    <cellStyle name="Notas 19" xfId="2539"/>
    <cellStyle name="Notas 19 2" xfId="2540"/>
    <cellStyle name="Notas 19 2 2" xfId="2541"/>
    <cellStyle name="Notas 19 2 2 2" xfId="2542"/>
    <cellStyle name="Notas 19 2 3" xfId="2543"/>
    <cellStyle name="Notas 19 3" xfId="2544"/>
    <cellStyle name="Notas 19 3 2" xfId="2545"/>
    <cellStyle name="Notas 19 3 2 2" xfId="2546"/>
    <cellStyle name="Notas 19 3 3" xfId="2547"/>
    <cellStyle name="Notas 19 4" xfId="2548"/>
    <cellStyle name="Notas 19 4 2" xfId="2549"/>
    <cellStyle name="Notas 19 5" xfId="2550"/>
    <cellStyle name="Notas 2" xfId="2551"/>
    <cellStyle name="Notas 2 10" xfId="2552"/>
    <cellStyle name="Notas 2 10 2" xfId="2553"/>
    <cellStyle name="Notas 2 10 2 2" xfId="2554"/>
    <cellStyle name="Notas 2 10 3" xfId="2555"/>
    <cellStyle name="Notas 2 11" xfId="2556"/>
    <cellStyle name="Notas 2 11 2" xfId="2557"/>
    <cellStyle name="Notas 2 11 2 2" xfId="2558"/>
    <cellStyle name="Notas 2 11 3" xfId="2559"/>
    <cellStyle name="Notas 2 12" xfId="2560"/>
    <cellStyle name="Notas 2 12 2" xfId="2561"/>
    <cellStyle name="Notas 2 12 2 2" xfId="2562"/>
    <cellStyle name="Notas 2 12 3" xfId="2563"/>
    <cellStyle name="Notas 2 13" xfId="2564"/>
    <cellStyle name="Notas 2 2" xfId="2565"/>
    <cellStyle name="Notas 2 2 10" xfId="2566"/>
    <cellStyle name="Notas 2 2 10 2" xfId="2567"/>
    <cellStyle name="Notas 2 2 10 2 2" xfId="2568"/>
    <cellStyle name="Notas 2 2 10 3" xfId="2569"/>
    <cellStyle name="Notas 2 2 11" xfId="2570"/>
    <cellStyle name="Notas 2 2 11 2" xfId="2571"/>
    <cellStyle name="Notas 2 2 12" xfId="2572"/>
    <cellStyle name="Notas 2 2 2" xfId="2573"/>
    <cellStyle name="Notas 2 2 2 10" xfId="2574"/>
    <cellStyle name="Notas 2 2 2 2" xfId="2575"/>
    <cellStyle name="Notas 2 2 2 2 2" xfId="2576"/>
    <cellStyle name="Notas 2 2 2 2 2 2" xfId="2577"/>
    <cellStyle name="Notas 2 2 2 2 2 2 2" xfId="2578"/>
    <cellStyle name="Notas 2 2 2 2 2 3" xfId="2579"/>
    <cellStyle name="Notas 2 2 2 2 3" xfId="2580"/>
    <cellStyle name="Notas 2 2 2 2 3 2" xfId="2581"/>
    <cellStyle name="Notas 2 2 2 2 3 2 2" xfId="2582"/>
    <cellStyle name="Notas 2 2 2 2 3 3" xfId="2583"/>
    <cellStyle name="Notas 2 2 2 2 4" xfId="2584"/>
    <cellStyle name="Notas 2 2 2 2 4 2" xfId="2585"/>
    <cellStyle name="Notas 2 2 2 2 5" xfId="2586"/>
    <cellStyle name="Notas 2 2 2 3" xfId="2587"/>
    <cellStyle name="Notas 2 2 2 3 2" xfId="2588"/>
    <cellStyle name="Notas 2 2 2 3 2 2" xfId="2589"/>
    <cellStyle name="Notas 2 2 2 3 3" xfId="2590"/>
    <cellStyle name="Notas 2 2 2 4" xfId="2591"/>
    <cellStyle name="Notas 2 2 2 4 2" xfId="2592"/>
    <cellStyle name="Notas 2 2 2 4 2 2" xfId="2593"/>
    <cellStyle name="Notas 2 2 2 4 3" xfId="2594"/>
    <cellStyle name="Notas 2 2 2 5" xfId="2595"/>
    <cellStyle name="Notas 2 2 2 5 2" xfId="2596"/>
    <cellStyle name="Notas 2 2 2 5 2 2" xfId="2597"/>
    <cellStyle name="Notas 2 2 2 5 3" xfId="2598"/>
    <cellStyle name="Notas 2 2 2 6" xfId="2599"/>
    <cellStyle name="Notas 2 2 2 6 2" xfId="2600"/>
    <cellStyle name="Notas 2 2 2 6 2 2" xfId="2601"/>
    <cellStyle name="Notas 2 2 2 6 3" xfId="2602"/>
    <cellStyle name="Notas 2 2 2 7" xfId="2603"/>
    <cellStyle name="Notas 2 2 2 7 2" xfId="2604"/>
    <cellStyle name="Notas 2 2 2 7 2 2" xfId="2605"/>
    <cellStyle name="Notas 2 2 2 7 3" xfId="2606"/>
    <cellStyle name="Notas 2 2 2 8" xfId="2607"/>
    <cellStyle name="Notas 2 2 2 8 2" xfId="2608"/>
    <cellStyle name="Notas 2 2 2 8 2 2" xfId="2609"/>
    <cellStyle name="Notas 2 2 2 8 3" xfId="2610"/>
    <cellStyle name="Notas 2 2 2 9" xfId="2611"/>
    <cellStyle name="Notas 2 2 2 9 2" xfId="2612"/>
    <cellStyle name="Notas 2 2 3" xfId="2613"/>
    <cellStyle name="Notas 2 2 3 10" xfId="2614"/>
    <cellStyle name="Notas 2 2 3 2" xfId="2615"/>
    <cellStyle name="Notas 2 2 3 2 2" xfId="2616"/>
    <cellStyle name="Notas 2 2 3 2 2 2" xfId="2617"/>
    <cellStyle name="Notas 2 2 3 2 2 2 2" xfId="2618"/>
    <cellStyle name="Notas 2 2 3 2 2 3" xfId="2619"/>
    <cellStyle name="Notas 2 2 3 2 3" xfId="2620"/>
    <cellStyle name="Notas 2 2 3 2 3 2" xfId="2621"/>
    <cellStyle name="Notas 2 2 3 2 3 2 2" xfId="2622"/>
    <cellStyle name="Notas 2 2 3 2 3 3" xfId="2623"/>
    <cellStyle name="Notas 2 2 3 2 4" xfId="2624"/>
    <cellStyle name="Notas 2 2 3 2 4 2" xfId="2625"/>
    <cellStyle name="Notas 2 2 3 2 5" xfId="2626"/>
    <cellStyle name="Notas 2 2 3 3" xfId="2627"/>
    <cellStyle name="Notas 2 2 3 3 2" xfId="2628"/>
    <cellStyle name="Notas 2 2 3 3 2 2" xfId="2629"/>
    <cellStyle name="Notas 2 2 3 3 3" xfId="2630"/>
    <cellStyle name="Notas 2 2 3 4" xfId="2631"/>
    <cellStyle name="Notas 2 2 3 4 2" xfId="2632"/>
    <cellStyle name="Notas 2 2 3 4 2 2" xfId="2633"/>
    <cellStyle name="Notas 2 2 3 4 3" xfId="2634"/>
    <cellStyle name="Notas 2 2 3 5" xfId="2635"/>
    <cellStyle name="Notas 2 2 3 5 2" xfId="2636"/>
    <cellStyle name="Notas 2 2 3 5 2 2" xfId="2637"/>
    <cellStyle name="Notas 2 2 3 5 3" xfId="2638"/>
    <cellStyle name="Notas 2 2 3 6" xfId="2639"/>
    <cellStyle name="Notas 2 2 3 6 2" xfId="2640"/>
    <cellStyle name="Notas 2 2 3 6 2 2" xfId="2641"/>
    <cellStyle name="Notas 2 2 3 6 3" xfId="2642"/>
    <cellStyle name="Notas 2 2 3 7" xfId="2643"/>
    <cellStyle name="Notas 2 2 3 7 2" xfId="2644"/>
    <cellStyle name="Notas 2 2 3 7 2 2" xfId="2645"/>
    <cellStyle name="Notas 2 2 3 7 3" xfId="2646"/>
    <cellStyle name="Notas 2 2 3 8" xfId="2647"/>
    <cellStyle name="Notas 2 2 3 8 2" xfId="2648"/>
    <cellStyle name="Notas 2 2 3 8 2 2" xfId="2649"/>
    <cellStyle name="Notas 2 2 3 8 3" xfId="2650"/>
    <cellStyle name="Notas 2 2 3 9" xfId="2651"/>
    <cellStyle name="Notas 2 2 3 9 2" xfId="2652"/>
    <cellStyle name="Notas 2 2 4" xfId="2653"/>
    <cellStyle name="Notas 2 2 4 2" xfId="2654"/>
    <cellStyle name="Notas 2 2 4 2 2" xfId="2655"/>
    <cellStyle name="Notas 2 2 4 2 2 2" xfId="2656"/>
    <cellStyle name="Notas 2 2 4 2 3" xfId="2657"/>
    <cellStyle name="Notas 2 2 4 3" xfId="2658"/>
    <cellStyle name="Notas 2 2 4 3 2" xfId="2659"/>
    <cellStyle name="Notas 2 2 4 3 2 2" xfId="2660"/>
    <cellStyle name="Notas 2 2 4 3 3" xfId="2661"/>
    <cellStyle name="Notas 2 2 4 4" xfId="2662"/>
    <cellStyle name="Notas 2 2 4 4 2" xfId="2663"/>
    <cellStyle name="Notas 2 2 4 5" xfId="2664"/>
    <cellStyle name="Notas 2 2 5" xfId="2665"/>
    <cellStyle name="Notas 2 2 5 2" xfId="2666"/>
    <cellStyle name="Notas 2 2 5 2 2" xfId="2667"/>
    <cellStyle name="Notas 2 2 5 3" xfId="2668"/>
    <cellStyle name="Notas 2 2 6" xfId="2669"/>
    <cellStyle name="Notas 2 2 6 2" xfId="2670"/>
    <cellStyle name="Notas 2 2 6 2 2" xfId="2671"/>
    <cellStyle name="Notas 2 2 6 3" xfId="2672"/>
    <cellStyle name="Notas 2 2 7" xfId="2673"/>
    <cellStyle name="Notas 2 2 7 2" xfId="2674"/>
    <cellStyle name="Notas 2 2 7 2 2" xfId="2675"/>
    <cellStyle name="Notas 2 2 7 3" xfId="2676"/>
    <cellStyle name="Notas 2 2 8" xfId="2677"/>
    <cellStyle name="Notas 2 2 8 2" xfId="2678"/>
    <cellStyle name="Notas 2 2 8 2 2" xfId="2679"/>
    <cellStyle name="Notas 2 2 8 3" xfId="2680"/>
    <cellStyle name="Notas 2 2 9" xfId="2681"/>
    <cellStyle name="Notas 2 2 9 2" xfId="2682"/>
    <cellStyle name="Notas 2 2 9 2 2" xfId="2683"/>
    <cellStyle name="Notas 2 2 9 3" xfId="2684"/>
    <cellStyle name="Notas 2 3" xfId="2685"/>
    <cellStyle name="Notas 2 3 2" xfId="2686"/>
    <cellStyle name="Notas 2 3 2 2" xfId="2687"/>
    <cellStyle name="Notas 2 3 3" xfId="2688"/>
    <cellStyle name="Notas 2 4" xfId="2689"/>
    <cellStyle name="Notas 2 4 10" xfId="2690"/>
    <cellStyle name="Notas 2 4 2" xfId="2691"/>
    <cellStyle name="Notas 2 4 2 2" xfId="2692"/>
    <cellStyle name="Notas 2 4 2 2 2" xfId="2693"/>
    <cellStyle name="Notas 2 4 2 2 2 2" xfId="2694"/>
    <cellStyle name="Notas 2 4 2 2 3" xfId="2695"/>
    <cellStyle name="Notas 2 4 2 3" xfId="2696"/>
    <cellStyle name="Notas 2 4 2 3 2" xfId="2697"/>
    <cellStyle name="Notas 2 4 2 3 2 2" xfId="2698"/>
    <cellStyle name="Notas 2 4 2 3 3" xfId="2699"/>
    <cellStyle name="Notas 2 4 2 4" xfId="2700"/>
    <cellStyle name="Notas 2 4 2 4 2" xfId="2701"/>
    <cellStyle name="Notas 2 4 2 5" xfId="2702"/>
    <cellStyle name="Notas 2 4 3" xfId="2703"/>
    <cellStyle name="Notas 2 4 3 2" xfId="2704"/>
    <cellStyle name="Notas 2 4 3 2 2" xfId="2705"/>
    <cellStyle name="Notas 2 4 3 3" xfId="2706"/>
    <cellStyle name="Notas 2 4 4" xfId="2707"/>
    <cellStyle name="Notas 2 4 4 2" xfId="2708"/>
    <cellStyle name="Notas 2 4 4 2 2" xfId="2709"/>
    <cellStyle name="Notas 2 4 4 3" xfId="2710"/>
    <cellStyle name="Notas 2 4 5" xfId="2711"/>
    <cellStyle name="Notas 2 4 5 2" xfId="2712"/>
    <cellStyle name="Notas 2 4 5 2 2" xfId="2713"/>
    <cellStyle name="Notas 2 4 5 3" xfId="2714"/>
    <cellStyle name="Notas 2 4 6" xfId="2715"/>
    <cellStyle name="Notas 2 4 6 2" xfId="2716"/>
    <cellStyle name="Notas 2 4 6 2 2" xfId="2717"/>
    <cellStyle name="Notas 2 4 6 3" xfId="2718"/>
    <cellStyle name="Notas 2 4 7" xfId="2719"/>
    <cellStyle name="Notas 2 4 7 2" xfId="2720"/>
    <cellStyle name="Notas 2 4 7 2 2" xfId="2721"/>
    <cellStyle name="Notas 2 4 7 3" xfId="2722"/>
    <cellStyle name="Notas 2 4 8" xfId="2723"/>
    <cellStyle name="Notas 2 4 8 2" xfId="2724"/>
    <cellStyle name="Notas 2 4 8 2 2" xfId="2725"/>
    <cellStyle name="Notas 2 4 8 3" xfId="2726"/>
    <cellStyle name="Notas 2 4 9" xfId="2727"/>
    <cellStyle name="Notas 2 4 9 2" xfId="2728"/>
    <cellStyle name="Notas 2 5" xfId="2729"/>
    <cellStyle name="Notas 2 5 10" xfId="2730"/>
    <cellStyle name="Notas 2 5 2" xfId="2731"/>
    <cellStyle name="Notas 2 5 2 2" xfId="2732"/>
    <cellStyle name="Notas 2 5 2 2 2" xfId="2733"/>
    <cellStyle name="Notas 2 5 2 2 2 2" xfId="2734"/>
    <cellStyle name="Notas 2 5 2 2 3" xfId="2735"/>
    <cellStyle name="Notas 2 5 2 3" xfId="2736"/>
    <cellStyle name="Notas 2 5 2 3 2" xfId="2737"/>
    <cellStyle name="Notas 2 5 2 3 2 2" xfId="2738"/>
    <cellStyle name="Notas 2 5 2 3 3" xfId="2739"/>
    <cellStyle name="Notas 2 5 2 4" xfId="2740"/>
    <cellStyle name="Notas 2 5 2 4 2" xfId="2741"/>
    <cellStyle name="Notas 2 5 2 5" xfId="2742"/>
    <cellStyle name="Notas 2 5 3" xfId="2743"/>
    <cellStyle name="Notas 2 5 3 2" xfId="2744"/>
    <cellStyle name="Notas 2 5 3 2 2" xfId="2745"/>
    <cellStyle name="Notas 2 5 3 3" xfId="2746"/>
    <cellStyle name="Notas 2 5 4" xfId="2747"/>
    <cellStyle name="Notas 2 5 4 2" xfId="2748"/>
    <cellStyle name="Notas 2 5 4 2 2" xfId="2749"/>
    <cellStyle name="Notas 2 5 4 3" xfId="2750"/>
    <cellStyle name="Notas 2 5 5" xfId="2751"/>
    <cellStyle name="Notas 2 5 5 2" xfId="2752"/>
    <cellStyle name="Notas 2 5 5 2 2" xfId="2753"/>
    <cellStyle name="Notas 2 5 5 3" xfId="2754"/>
    <cellStyle name="Notas 2 5 6" xfId="2755"/>
    <cellStyle name="Notas 2 5 6 2" xfId="2756"/>
    <cellStyle name="Notas 2 5 6 2 2" xfId="2757"/>
    <cellStyle name="Notas 2 5 6 3" xfId="2758"/>
    <cellStyle name="Notas 2 5 7" xfId="2759"/>
    <cellStyle name="Notas 2 5 7 2" xfId="2760"/>
    <cellStyle name="Notas 2 5 7 2 2" xfId="2761"/>
    <cellStyle name="Notas 2 5 7 3" xfId="2762"/>
    <cellStyle name="Notas 2 5 8" xfId="2763"/>
    <cellStyle name="Notas 2 5 8 2" xfId="2764"/>
    <cellStyle name="Notas 2 5 8 2 2" xfId="2765"/>
    <cellStyle name="Notas 2 5 8 3" xfId="2766"/>
    <cellStyle name="Notas 2 5 9" xfId="2767"/>
    <cellStyle name="Notas 2 5 9 2" xfId="2768"/>
    <cellStyle name="Notas 2 6" xfId="2769"/>
    <cellStyle name="Notas 2 6 2" xfId="2770"/>
    <cellStyle name="Notas 2 6 2 2" xfId="2771"/>
    <cellStyle name="Notas 2 6 2 2 2" xfId="2772"/>
    <cellStyle name="Notas 2 6 2 3" xfId="2773"/>
    <cellStyle name="Notas 2 6 3" xfId="2774"/>
    <cellStyle name="Notas 2 6 3 2" xfId="2775"/>
    <cellStyle name="Notas 2 6 3 2 2" xfId="2776"/>
    <cellStyle name="Notas 2 6 3 3" xfId="2777"/>
    <cellStyle name="Notas 2 6 4" xfId="2778"/>
    <cellStyle name="Notas 2 6 4 2" xfId="2779"/>
    <cellStyle name="Notas 2 6 5" xfId="2780"/>
    <cellStyle name="Notas 2 7" xfId="2781"/>
    <cellStyle name="Notas 2 7 2" xfId="2782"/>
    <cellStyle name="Notas 2 7 2 2" xfId="2783"/>
    <cellStyle name="Notas 2 7 3" xfId="2784"/>
    <cellStyle name="Notas 2 8" xfId="2785"/>
    <cellStyle name="Notas 2 8 2" xfId="2786"/>
    <cellStyle name="Notas 2 8 2 2" xfId="2787"/>
    <cellStyle name="Notas 2 8 3" xfId="2788"/>
    <cellStyle name="Notas 2 9" xfId="2789"/>
    <cellStyle name="Notas 2 9 2" xfId="2790"/>
    <cellStyle name="Notas 2 9 2 2" xfId="2791"/>
    <cellStyle name="Notas 2 9 3" xfId="2792"/>
    <cellStyle name="Notas 20" xfId="2793"/>
    <cellStyle name="Notas 20 2" xfId="2794"/>
    <cellStyle name="Notas 20 2 2" xfId="2795"/>
    <cellStyle name="Notas 20 2 2 2" xfId="2796"/>
    <cellStyle name="Notas 20 2 3" xfId="2797"/>
    <cellStyle name="Notas 20 3" xfId="2798"/>
    <cellStyle name="Notas 20 3 2" xfId="2799"/>
    <cellStyle name="Notas 20 3 2 2" xfId="2800"/>
    <cellStyle name="Notas 20 3 3" xfId="2801"/>
    <cellStyle name="Notas 20 4" xfId="2802"/>
    <cellStyle name="Notas 20 4 2" xfId="2803"/>
    <cellStyle name="Notas 20 5" xfId="2804"/>
    <cellStyle name="Notas 21" xfId="2805"/>
    <cellStyle name="Notas 21 2" xfId="2806"/>
    <cellStyle name="Notas 21 2 2" xfId="2807"/>
    <cellStyle name="Notas 21 2 2 2" xfId="2808"/>
    <cellStyle name="Notas 21 2 3" xfId="2809"/>
    <cellStyle name="Notas 21 3" xfId="2810"/>
    <cellStyle name="Notas 21 3 2" xfId="2811"/>
    <cellStyle name="Notas 21 3 2 2" xfId="2812"/>
    <cellStyle name="Notas 21 3 3" xfId="2813"/>
    <cellStyle name="Notas 21 4" xfId="2814"/>
    <cellStyle name="Notas 21 4 2" xfId="2815"/>
    <cellStyle name="Notas 21 5" xfId="2816"/>
    <cellStyle name="Notas 22" xfId="2817"/>
    <cellStyle name="Notas 22 2" xfId="2818"/>
    <cellStyle name="Notas 22 2 2" xfId="2819"/>
    <cellStyle name="Notas 22 2 2 2" xfId="2820"/>
    <cellStyle name="Notas 22 2 3" xfId="2821"/>
    <cellStyle name="Notas 22 3" xfId="2822"/>
    <cellStyle name="Notas 22 3 2" xfId="2823"/>
    <cellStyle name="Notas 22 3 2 2" xfId="2824"/>
    <cellStyle name="Notas 22 3 3" xfId="2825"/>
    <cellStyle name="Notas 22 4" xfId="2826"/>
    <cellStyle name="Notas 22 4 2" xfId="2827"/>
    <cellStyle name="Notas 22 5" xfId="2828"/>
    <cellStyle name="Notas 23" xfId="2829"/>
    <cellStyle name="Notas 23 2" xfId="2830"/>
    <cellStyle name="Notas 23 2 2" xfId="2831"/>
    <cellStyle name="Notas 23 2 2 2" xfId="2832"/>
    <cellStyle name="Notas 23 2 3" xfId="2833"/>
    <cellStyle name="Notas 23 3" xfId="2834"/>
    <cellStyle name="Notas 23 3 2" xfId="2835"/>
    <cellStyle name="Notas 23 3 2 2" xfId="2836"/>
    <cellStyle name="Notas 23 3 3" xfId="2837"/>
    <cellStyle name="Notas 23 4" xfId="2838"/>
    <cellStyle name="Notas 23 4 2" xfId="2839"/>
    <cellStyle name="Notas 23 5" xfId="2840"/>
    <cellStyle name="Notas 24" xfId="2841"/>
    <cellStyle name="Notas 24 2" xfId="2842"/>
    <cellStyle name="Notas 24 2 2" xfId="2843"/>
    <cellStyle name="Notas 24 2 2 2" xfId="2844"/>
    <cellStyle name="Notas 24 2 3" xfId="2845"/>
    <cellStyle name="Notas 24 3" xfId="2846"/>
    <cellStyle name="Notas 24 3 2" xfId="2847"/>
    <cellStyle name="Notas 24 3 2 2" xfId="2848"/>
    <cellStyle name="Notas 24 3 3" xfId="2849"/>
    <cellStyle name="Notas 24 4" xfId="2850"/>
    <cellStyle name="Notas 24 4 2" xfId="2851"/>
    <cellStyle name="Notas 24 5" xfId="2852"/>
    <cellStyle name="Notas 25" xfId="2853"/>
    <cellStyle name="Notas 25 2" xfId="2854"/>
    <cellStyle name="Notas 25 2 2" xfId="2855"/>
    <cellStyle name="Notas 25 2 2 2" xfId="2856"/>
    <cellStyle name="Notas 25 2 3" xfId="2857"/>
    <cellStyle name="Notas 25 3" xfId="2858"/>
    <cellStyle name="Notas 25 3 2" xfId="2859"/>
    <cellStyle name="Notas 25 3 2 2" xfId="2860"/>
    <cellStyle name="Notas 25 3 3" xfId="2861"/>
    <cellStyle name="Notas 25 4" xfId="2862"/>
    <cellStyle name="Notas 25 4 2" xfId="2863"/>
    <cellStyle name="Notas 25 5" xfId="2864"/>
    <cellStyle name="Notas 26" xfId="2865"/>
    <cellStyle name="Notas 26 2" xfId="2866"/>
    <cellStyle name="Notas 26 2 2" xfId="2867"/>
    <cellStyle name="Notas 26 2 2 2" xfId="2868"/>
    <cellStyle name="Notas 26 2 3" xfId="2869"/>
    <cellStyle name="Notas 26 3" xfId="2870"/>
    <cellStyle name="Notas 26 3 2" xfId="2871"/>
    <cellStyle name="Notas 26 3 2 2" xfId="2872"/>
    <cellStyle name="Notas 26 3 3" xfId="2873"/>
    <cellStyle name="Notas 26 4" xfId="2874"/>
    <cellStyle name="Notas 26 4 2" xfId="2875"/>
    <cellStyle name="Notas 26 5" xfId="2876"/>
    <cellStyle name="Notas 27" xfId="2877"/>
    <cellStyle name="Notas 27 2" xfId="2878"/>
    <cellStyle name="Notas 27 2 2" xfId="2879"/>
    <cellStyle name="Notas 27 2 2 2" xfId="2880"/>
    <cellStyle name="Notas 27 2 3" xfId="2881"/>
    <cellStyle name="Notas 27 3" xfId="2882"/>
    <cellStyle name="Notas 27 3 2" xfId="2883"/>
    <cellStyle name="Notas 27 3 2 2" xfId="2884"/>
    <cellStyle name="Notas 27 3 3" xfId="2885"/>
    <cellStyle name="Notas 27 4" xfId="2886"/>
    <cellStyle name="Notas 27 4 2" xfId="2887"/>
    <cellStyle name="Notas 27 5" xfId="2888"/>
    <cellStyle name="Notas 28" xfId="2889"/>
    <cellStyle name="Notas 28 2" xfId="2890"/>
    <cellStyle name="Notas 28 2 2" xfId="2891"/>
    <cellStyle name="Notas 28 2 2 2" xfId="2892"/>
    <cellStyle name="Notas 28 2 3" xfId="2893"/>
    <cellStyle name="Notas 28 3" xfId="2894"/>
    <cellStyle name="Notas 28 3 2" xfId="2895"/>
    <cellStyle name="Notas 28 3 2 2" xfId="2896"/>
    <cellStyle name="Notas 28 3 3" xfId="2897"/>
    <cellStyle name="Notas 28 4" xfId="2898"/>
    <cellStyle name="Notas 28 4 2" xfId="2899"/>
    <cellStyle name="Notas 28 5" xfId="2900"/>
    <cellStyle name="Notas 29" xfId="2901"/>
    <cellStyle name="Notas 29 2" xfId="2902"/>
    <cellStyle name="Notas 29 2 2" xfId="2903"/>
    <cellStyle name="Notas 29 2 2 2" xfId="2904"/>
    <cellStyle name="Notas 29 2 3" xfId="2905"/>
    <cellStyle name="Notas 29 3" xfId="2906"/>
    <cellStyle name="Notas 29 3 2" xfId="2907"/>
    <cellStyle name="Notas 29 3 2 2" xfId="2908"/>
    <cellStyle name="Notas 29 3 3" xfId="2909"/>
    <cellStyle name="Notas 29 4" xfId="2910"/>
    <cellStyle name="Notas 29 4 2" xfId="2911"/>
    <cellStyle name="Notas 29 5" xfId="2912"/>
    <cellStyle name="Notas 3" xfId="2913"/>
    <cellStyle name="Notas 3 2" xfId="2914"/>
    <cellStyle name="Notas 3 2 2" xfId="2915"/>
    <cellStyle name="Notas 3 2 2 2" xfId="2916"/>
    <cellStyle name="Notas 3 2 3" xfId="2917"/>
    <cellStyle name="Notas 3 3" xfId="2918"/>
    <cellStyle name="Notas 3 3 2" xfId="2919"/>
    <cellStyle name="Notas 3 3 2 2" xfId="2920"/>
    <cellStyle name="Notas 3 3 3" xfId="2921"/>
    <cellStyle name="Notas 3 4" xfId="2922"/>
    <cellStyle name="Notas 3 4 2" xfId="2923"/>
    <cellStyle name="Notas 3 5" xfId="2924"/>
    <cellStyle name="Notas 30" xfId="2925"/>
    <cellStyle name="Notas 30 2" xfId="2926"/>
    <cellStyle name="Notas 30 2 2" xfId="2927"/>
    <cellStyle name="Notas 30 2 2 2" xfId="2928"/>
    <cellStyle name="Notas 30 2 3" xfId="2929"/>
    <cellStyle name="Notas 30 3" xfId="2930"/>
    <cellStyle name="Notas 30 3 2" xfId="2931"/>
    <cellStyle name="Notas 30 3 2 2" xfId="2932"/>
    <cellStyle name="Notas 30 3 3" xfId="2933"/>
    <cellStyle name="Notas 30 4" xfId="2934"/>
    <cellStyle name="Notas 30 4 2" xfId="2935"/>
    <cellStyle name="Notas 30 5" xfId="2936"/>
    <cellStyle name="Notas 31" xfId="2937"/>
    <cellStyle name="Notas 31 2" xfId="2938"/>
    <cellStyle name="Notas 31 2 2" xfId="2939"/>
    <cellStyle name="Notas 31 3" xfId="2940"/>
    <cellStyle name="Notas 32" xfId="2941"/>
    <cellStyle name="Notas 32 2" xfId="2942"/>
    <cellStyle name="Notas 32 2 2" xfId="2943"/>
    <cellStyle name="Notas 32 3" xfId="2944"/>
    <cellStyle name="Notas 33" xfId="2945"/>
    <cellStyle name="Notas 33 2" xfId="2946"/>
    <cellStyle name="Notas 33 2 2" xfId="2947"/>
    <cellStyle name="Notas 33 3" xfId="2948"/>
    <cellStyle name="Notas 34" xfId="2949"/>
    <cellStyle name="Notas 34 2" xfId="2950"/>
    <cellStyle name="Notas 34 2 2" xfId="2951"/>
    <cellStyle name="Notas 34 3" xfId="2952"/>
    <cellStyle name="Notas 35" xfId="2953"/>
    <cellStyle name="Notas 35 2" xfId="2954"/>
    <cellStyle name="Notas 35 2 2" xfId="2955"/>
    <cellStyle name="Notas 35 3" xfId="2956"/>
    <cellStyle name="Notas 36" xfId="2957"/>
    <cellStyle name="Notas 36 2" xfId="2958"/>
    <cellStyle name="Notas 36 2 2" xfId="2959"/>
    <cellStyle name="Notas 36 3" xfId="2960"/>
    <cellStyle name="Notas 37" xfId="2961"/>
    <cellStyle name="Notas 37 10" xfId="2962"/>
    <cellStyle name="Notas 37 10 2" xfId="2963"/>
    <cellStyle name="Notas 37 10 2 2" xfId="2964"/>
    <cellStyle name="Notas 37 10 3" xfId="2965"/>
    <cellStyle name="Notas 37 11" xfId="2966"/>
    <cellStyle name="Notas 37 11 2" xfId="2967"/>
    <cellStyle name="Notas 37 12" xfId="2968"/>
    <cellStyle name="Notas 37 2" xfId="2969"/>
    <cellStyle name="Notas 37 2 10" xfId="2970"/>
    <cellStyle name="Notas 37 2 2" xfId="2971"/>
    <cellStyle name="Notas 37 2 2 2" xfId="2972"/>
    <cellStyle name="Notas 37 2 2 2 2" xfId="2973"/>
    <cellStyle name="Notas 37 2 2 2 2 2" xfId="2974"/>
    <cellStyle name="Notas 37 2 2 2 3" xfId="2975"/>
    <cellStyle name="Notas 37 2 2 3" xfId="2976"/>
    <cellStyle name="Notas 37 2 2 3 2" xfId="2977"/>
    <cellStyle name="Notas 37 2 2 3 2 2" xfId="2978"/>
    <cellStyle name="Notas 37 2 2 3 3" xfId="2979"/>
    <cellStyle name="Notas 37 2 2 4" xfId="2980"/>
    <cellStyle name="Notas 37 2 2 4 2" xfId="2981"/>
    <cellStyle name="Notas 37 2 2 5" xfId="2982"/>
    <cellStyle name="Notas 37 2 3" xfId="2983"/>
    <cellStyle name="Notas 37 2 3 2" xfId="2984"/>
    <cellStyle name="Notas 37 2 3 2 2" xfId="2985"/>
    <cellStyle name="Notas 37 2 3 3" xfId="2986"/>
    <cellStyle name="Notas 37 2 4" xfId="2987"/>
    <cellStyle name="Notas 37 2 4 2" xfId="2988"/>
    <cellStyle name="Notas 37 2 4 2 2" xfId="2989"/>
    <cellStyle name="Notas 37 2 4 3" xfId="2990"/>
    <cellStyle name="Notas 37 2 5" xfId="2991"/>
    <cellStyle name="Notas 37 2 5 2" xfId="2992"/>
    <cellStyle name="Notas 37 2 5 2 2" xfId="2993"/>
    <cellStyle name="Notas 37 2 5 3" xfId="2994"/>
    <cellStyle name="Notas 37 2 6" xfId="2995"/>
    <cellStyle name="Notas 37 2 6 2" xfId="2996"/>
    <cellStyle name="Notas 37 2 6 2 2" xfId="2997"/>
    <cellStyle name="Notas 37 2 6 3" xfId="2998"/>
    <cellStyle name="Notas 37 2 7" xfId="2999"/>
    <cellStyle name="Notas 37 2 7 2" xfId="3000"/>
    <cellStyle name="Notas 37 2 7 2 2" xfId="3001"/>
    <cellStyle name="Notas 37 2 7 3" xfId="3002"/>
    <cellStyle name="Notas 37 2 8" xfId="3003"/>
    <cellStyle name="Notas 37 2 8 2" xfId="3004"/>
    <cellStyle name="Notas 37 2 8 2 2" xfId="3005"/>
    <cellStyle name="Notas 37 2 8 3" xfId="3006"/>
    <cellStyle name="Notas 37 2 9" xfId="3007"/>
    <cellStyle name="Notas 37 2 9 2" xfId="3008"/>
    <cellStyle name="Notas 37 3" xfId="3009"/>
    <cellStyle name="Notas 37 3 10" xfId="3010"/>
    <cellStyle name="Notas 37 3 2" xfId="3011"/>
    <cellStyle name="Notas 37 3 2 2" xfId="3012"/>
    <cellStyle name="Notas 37 3 2 2 2" xfId="3013"/>
    <cellStyle name="Notas 37 3 2 2 2 2" xfId="3014"/>
    <cellStyle name="Notas 37 3 2 2 3" xfId="3015"/>
    <cellStyle name="Notas 37 3 2 3" xfId="3016"/>
    <cellStyle name="Notas 37 3 2 3 2" xfId="3017"/>
    <cellStyle name="Notas 37 3 2 3 2 2" xfId="3018"/>
    <cellStyle name="Notas 37 3 2 3 3" xfId="3019"/>
    <cellStyle name="Notas 37 3 2 4" xfId="3020"/>
    <cellStyle name="Notas 37 3 2 4 2" xfId="3021"/>
    <cellStyle name="Notas 37 3 2 5" xfId="3022"/>
    <cellStyle name="Notas 37 3 3" xfId="3023"/>
    <cellStyle name="Notas 37 3 3 2" xfId="3024"/>
    <cellStyle name="Notas 37 3 3 2 2" xfId="3025"/>
    <cellStyle name="Notas 37 3 3 3" xfId="3026"/>
    <cellStyle name="Notas 37 3 4" xfId="3027"/>
    <cellStyle name="Notas 37 3 4 2" xfId="3028"/>
    <cellStyle name="Notas 37 3 4 2 2" xfId="3029"/>
    <cellStyle name="Notas 37 3 4 3" xfId="3030"/>
    <cellStyle name="Notas 37 3 5" xfId="3031"/>
    <cellStyle name="Notas 37 3 5 2" xfId="3032"/>
    <cellStyle name="Notas 37 3 5 2 2" xfId="3033"/>
    <cellStyle name="Notas 37 3 5 3" xfId="3034"/>
    <cellStyle name="Notas 37 3 6" xfId="3035"/>
    <cellStyle name="Notas 37 3 6 2" xfId="3036"/>
    <cellStyle name="Notas 37 3 6 2 2" xfId="3037"/>
    <cellStyle name="Notas 37 3 6 3" xfId="3038"/>
    <cellStyle name="Notas 37 3 7" xfId="3039"/>
    <cellStyle name="Notas 37 3 7 2" xfId="3040"/>
    <cellStyle name="Notas 37 3 7 2 2" xfId="3041"/>
    <cellStyle name="Notas 37 3 7 3" xfId="3042"/>
    <cellStyle name="Notas 37 3 8" xfId="3043"/>
    <cellStyle name="Notas 37 3 8 2" xfId="3044"/>
    <cellStyle name="Notas 37 3 8 2 2" xfId="3045"/>
    <cellStyle name="Notas 37 3 8 3" xfId="3046"/>
    <cellStyle name="Notas 37 3 9" xfId="3047"/>
    <cellStyle name="Notas 37 3 9 2" xfId="3048"/>
    <cellStyle name="Notas 37 4" xfId="3049"/>
    <cellStyle name="Notas 37 4 2" xfId="3050"/>
    <cellStyle name="Notas 37 4 2 2" xfId="3051"/>
    <cellStyle name="Notas 37 4 2 2 2" xfId="3052"/>
    <cellStyle name="Notas 37 4 2 3" xfId="3053"/>
    <cellStyle name="Notas 37 4 3" xfId="3054"/>
    <cellStyle name="Notas 37 4 3 2" xfId="3055"/>
    <cellStyle name="Notas 37 4 3 2 2" xfId="3056"/>
    <cellStyle name="Notas 37 4 3 3" xfId="3057"/>
    <cellStyle name="Notas 37 4 4" xfId="3058"/>
    <cellStyle name="Notas 37 4 4 2" xfId="3059"/>
    <cellStyle name="Notas 37 4 5" xfId="3060"/>
    <cellStyle name="Notas 37 5" xfId="3061"/>
    <cellStyle name="Notas 37 5 2" xfId="3062"/>
    <cellStyle name="Notas 37 5 2 2" xfId="3063"/>
    <cellStyle name="Notas 37 5 3" xfId="3064"/>
    <cellStyle name="Notas 37 6" xfId="3065"/>
    <cellStyle name="Notas 37 6 2" xfId="3066"/>
    <cellStyle name="Notas 37 6 2 2" xfId="3067"/>
    <cellStyle name="Notas 37 6 3" xfId="3068"/>
    <cellStyle name="Notas 37 7" xfId="3069"/>
    <cellStyle name="Notas 37 7 2" xfId="3070"/>
    <cellStyle name="Notas 37 7 2 2" xfId="3071"/>
    <cellStyle name="Notas 37 7 3" xfId="3072"/>
    <cellStyle name="Notas 37 8" xfId="3073"/>
    <cellStyle name="Notas 37 8 2" xfId="3074"/>
    <cellStyle name="Notas 37 8 2 2" xfId="3075"/>
    <cellStyle name="Notas 37 8 3" xfId="3076"/>
    <cellStyle name="Notas 37 9" xfId="3077"/>
    <cellStyle name="Notas 37 9 2" xfId="3078"/>
    <cellStyle name="Notas 37 9 2 2" xfId="3079"/>
    <cellStyle name="Notas 37 9 3" xfId="3080"/>
    <cellStyle name="Notas 38" xfId="3081"/>
    <cellStyle name="Notas 38 10" xfId="3082"/>
    <cellStyle name="Notas 38 10 2" xfId="3083"/>
    <cellStyle name="Notas 38 10 2 2" xfId="3084"/>
    <cellStyle name="Notas 38 10 3" xfId="3085"/>
    <cellStyle name="Notas 38 11" xfId="3086"/>
    <cellStyle name="Notas 38 11 2" xfId="3087"/>
    <cellStyle name="Notas 38 12" xfId="3088"/>
    <cellStyle name="Notas 38 2" xfId="3089"/>
    <cellStyle name="Notas 38 2 10" xfId="3090"/>
    <cellStyle name="Notas 38 2 2" xfId="3091"/>
    <cellStyle name="Notas 38 2 2 2" xfId="3092"/>
    <cellStyle name="Notas 38 2 2 2 2" xfId="3093"/>
    <cellStyle name="Notas 38 2 2 2 2 2" xfId="3094"/>
    <cellStyle name="Notas 38 2 2 2 3" xfId="3095"/>
    <cellStyle name="Notas 38 2 2 3" xfId="3096"/>
    <cellStyle name="Notas 38 2 2 3 2" xfId="3097"/>
    <cellStyle name="Notas 38 2 2 3 2 2" xfId="3098"/>
    <cellStyle name="Notas 38 2 2 3 3" xfId="3099"/>
    <cellStyle name="Notas 38 2 2 4" xfId="3100"/>
    <cellStyle name="Notas 38 2 2 4 2" xfId="3101"/>
    <cellStyle name="Notas 38 2 2 5" xfId="3102"/>
    <cellStyle name="Notas 38 2 3" xfId="3103"/>
    <cellStyle name="Notas 38 2 3 2" xfId="3104"/>
    <cellStyle name="Notas 38 2 3 2 2" xfId="3105"/>
    <cellStyle name="Notas 38 2 3 3" xfId="3106"/>
    <cellStyle name="Notas 38 2 4" xfId="3107"/>
    <cellStyle name="Notas 38 2 4 2" xfId="3108"/>
    <cellStyle name="Notas 38 2 4 2 2" xfId="3109"/>
    <cellStyle name="Notas 38 2 4 3" xfId="3110"/>
    <cellStyle name="Notas 38 2 5" xfId="3111"/>
    <cellStyle name="Notas 38 2 5 2" xfId="3112"/>
    <cellStyle name="Notas 38 2 5 2 2" xfId="3113"/>
    <cellStyle name="Notas 38 2 5 3" xfId="3114"/>
    <cellStyle name="Notas 38 2 6" xfId="3115"/>
    <cellStyle name="Notas 38 2 6 2" xfId="3116"/>
    <cellStyle name="Notas 38 2 6 2 2" xfId="3117"/>
    <cellStyle name="Notas 38 2 6 3" xfId="3118"/>
    <cellStyle name="Notas 38 2 7" xfId="3119"/>
    <cellStyle name="Notas 38 2 7 2" xfId="3120"/>
    <cellStyle name="Notas 38 2 7 2 2" xfId="3121"/>
    <cellStyle name="Notas 38 2 7 3" xfId="3122"/>
    <cellStyle name="Notas 38 2 8" xfId="3123"/>
    <cellStyle name="Notas 38 2 8 2" xfId="3124"/>
    <cellStyle name="Notas 38 2 8 2 2" xfId="3125"/>
    <cellStyle name="Notas 38 2 8 3" xfId="3126"/>
    <cellStyle name="Notas 38 2 9" xfId="3127"/>
    <cellStyle name="Notas 38 2 9 2" xfId="3128"/>
    <cellStyle name="Notas 38 3" xfId="3129"/>
    <cellStyle name="Notas 38 3 10" xfId="3130"/>
    <cellStyle name="Notas 38 3 2" xfId="3131"/>
    <cellStyle name="Notas 38 3 2 2" xfId="3132"/>
    <cellStyle name="Notas 38 3 2 2 2" xfId="3133"/>
    <cellStyle name="Notas 38 3 2 2 2 2" xfId="3134"/>
    <cellStyle name="Notas 38 3 2 2 3" xfId="3135"/>
    <cellStyle name="Notas 38 3 2 3" xfId="3136"/>
    <cellStyle name="Notas 38 3 2 3 2" xfId="3137"/>
    <cellStyle name="Notas 38 3 2 3 2 2" xfId="3138"/>
    <cellStyle name="Notas 38 3 2 3 3" xfId="3139"/>
    <cellStyle name="Notas 38 3 2 4" xfId="3140"/>
    <cellStyle name="Notas 38 3 2 4 2" xfId="3141"/>
    <cellStyle name="Notas 38 3 2 5" xfId="3142"/>
    <cellStyle name="Notas 38 3 3" xfId="3143"/>
    <cellStyle name="Notas 38 3 3 2" xfId="3144"/>
    <cellStyle name="Notas 38 3 3 2 2" xfId="3145"/>
    <cellStyle name="Notas 38 3 3 3" xfId="3146"/>
    <cellStyle name="Notas 38 3 4" xfId="3147"/>
    <cellStyle name="Notas 38 3 4 2" xfId="3148"/>
    <cellStyle name="Notas 38 3 4 2 2" xfId="3149"/>
    <cellStyle name="Notas 38 3 4 3" xfId="3150"/>
    <cellStyle name="Notas 38 3 5" xfId="3151"/>
    <cellStyle name="Notas 38 3 5 2" xfId="3152"/>
    <cellStyle name="Notas 38 3 5 2 2" xfId="3153"/>
    <cellStyle name="Notas 38 3 5 3" xfId="3154"/>
    <cellStyle name="Notas 38 3 6" xfId="3155"/>
    <cellStyle name="Notas 38 3 6 2" xfId="3156"/>
    <cellStyle name="Notas 38 3 6 2 2" xfId="3157"/>
    <cellStyle name="Notas 38 3 6 3" xfId="3158"/>
    <cellStyle name="Notas 38 3 7" xfId="3159"/>
    <cellStyle name="Notas 38 3 7 2" xfId="3160"/>
    <cellStyle name="Notas 38 3 7 2 2" xfId="3161"/>
    <cellStyle name="Notas 38 3 7 3" xfId="3162"/>
    <cellStyle name="Notas 38 3 8" xfId="3163"/>
    <cellStyle name="Notas 38 3 8 2" xfId="3164"/>
    <cellStyle name="Notas 38 3 8 2 2" xfId="3165"/>
    <cellStyle name="Notas 38 3 8 3" xfId="3166"/>
    <cellStyle name="Notas 38 3 9" xfId="3167"/>
    <cellStyle name="Notas 38 3 9 2" xfId="3168"/>
    <cellStyle name="Notas 38 4" xfId="3169"/>
    <cellStyle name="Notas 38 4 2" xfId="3170"/>
    <cellStyle name="Notas 38 4 2 2" xfId="3171"/>
    <cellStyle name="Notas 38 4 2 2 2" xfId="3172"/>
    <cellStyle name="Notas 38 4 2 3" xfId="3173"/>
    <cellStyle name="Notas 38 4 3" xfId="3174"/>
    <cellStyle name="Notas 38 4 3 2" xfId="3175"/>
    <cellStyle name="Notas 38 4 3 2 2" xfId="3176"/>
    <cellStyle name="Notas 38 4 3 3" xfId="3177"/>
    <cellStyle name="Notas 38 4 4" xfId="3178"/>
    <cellStyle name="Notas 38 4 4 2" xfId="3179"/>
    <cellStyle name="Notas 38 4 5" xfId="3180"/>
    <cellStyle name="Notas 38 5" xfId="3181"/>
    <cellStyle name="Notas 38 5 2" xfId="3182"/>
    <cellStyle name="Notas 38 5 2 2" xfId="3183"/>
    <cellStyle name="Notas 38 5 3" xfId="3184"/>
    <cellStyle name="Notas 38 6" xfId="3185"/>
    <cellStyle name="Notas 38 6 2" xfId="3186"/>
    <cellStyle name="Notas 38 6 2 2" xfId="3187"/>
    <cellStyle name="Notas 38 6 3" xfId="3188"/>
    <cellStyle name="Notas 38 7" xfId="3189"/>
    <cellStyle name="Notas 38 7 2" xfId="3190"/>
    <cellStyle name="Notas 38 7 2 2" xfId="3191"/>
    <cellStyle name="Notas 38 7 3" xfId="3192"/>
    <cellStyle name="Notas 38 8" xfId="3193"/>
    <cellStyle name="Notas 38 8 2" xfId="3194"/>
    <cellStyle name="Notas 38 8 2 2" xfId="3195"/>
    <cellStyle name="Notas 38 8 3" xfId="3196"/>
    <cellStyle name="Notas 38 9" xfId="3197"/>
    <cellStyle name="Notas 38 9 2" xfId="3198"/>
    <cellStyle name="Notas 38 9 2 2" xfId="3199"/>
    <cellStyle name="Notas 38 9 3" xfId="3200"/>
    <cellStyle name="Notas 39" xfId="3201"/>
    <cellStyle name="Notas 39 10" xfId="3202"/>
    <cellStyle name="Notas 39 10 2" xfId="3203"/>
    <cellStyle name="Notas 39 10 2 2" xfId="3204"/>
    <cellStyle name="Notas 39 10 3" xfId="3205"/>
    <cellStyle name="Notas 39 11" xfId="3206"/>
    <cellStyle name="Notas 39 11 2" xfId="3207"/>
    <cellStyle name="Notas 39 12" xfId="3208"/>
    <cellStyle name="Notas 39 2" xfId="3209"/>
    <cellStyle name="Notas 39 2 10" xfId="3210"/>
    <cellStyle name="Notas 39 2 2" xfId="3211"/>
    <cellStyle name="Notas 39 2 2 2" xfId="3212"/>
    <cellStyle name="Notas 39 2 2 2 2" xfId="3213"/>
    <cellStyle name="Notas 39 2 2 2 2 2" xfId="3214"/>
    <cellStyle name="Notas 39 2 2 2 3" xfId="3215"/>
    <cellStyle name="Notas 39 2 2 3" xfId="3216"/>
    <cellStyle name="Notas 39 2 2 3 2" xfId="3217"/>
    <cellStyle name="Notas 39 2 2 3 2 2" xfId="3218"/>
    <cellStyle name="Notas 39 2 2 3 3" xfId="3219"/>
    <cellStyle name="Notas 39 2 2 4" xfId="3220"/>
    <cellStyle name="Notas 39 2 2 4 2" xfId="3221"/>
    <cellStyle name="Notas 39 2 2 5" xfId="3222"/>
    <cellStyle name="Notas 39 2 3" xfId="3223"/>
    <cellStyle name="Notas 39 2 3 2" xfId="3224"/>
    <cellStyle name="Notas 39 2 3 2 2" xfId="3225"/>
    <cellStyle name="Notas 39 2 3 3" xfId="3226"/>
    <cellStyle name="Notas 39 2 4" xfId="3227"/>
    <cellStyle name="Notas 39 2 4 2" xfId="3228"/>
    <cellStyle name="Notas 39 2 4 2 2" xfId="3229"/>
    <cellStyle name="Notas 39 2 4 3" xfId="3230"/>
    <cellStyle name="Notas 39 2 5" xfId="3231"/>
    <cellStyle name="Notas 39 2 5 2" xfId="3232"/>
    <cellStyle name="Notas 39 2 5 2 2" xfId="3233"/>
    <cellStyle name="Notas 39 2 5 3" xfId="3234"/>
    <cellStyle name="Notas 39 2 6" xfId="3235"/>
    <cellStyle name="Notas 39 2 6 2" xfId="3236"/>
    <cellStyle name="Notas 39 2 6 2 2" xfId="3237"/>
    <cellStyle name="Notas 39 2 6 3" xfId="3238"/>
    <cellStyle name="Notas 39 2 7" xfId="3239"/>
    <cellStyle name="Notas 39 2 7 2" xfId="3240"/>
    <cellStyle name="Notas 39 2 7 2 2" xfId="3241"/>
    <cellStyle name="Notas 39 2 7 3" xfId="3242"/>
    <cellStyle name="Notas 39 2 8" xfId="3243"/>
    <cellStyle name="Notas 39 2 8 2" xfId="3244"/>
    <cellStyle name="Notas 39 2 8 2 2" xfId="3245"/>
    <cellStyle name="Notas 39 2 8 3" xfId="3246"/>
    <cellStyle name="Notas 39 2 9" xfId="3247"/>
    <cellStyle name="Notas 39 2 9 2" xfId="3248"/>
    <cellStyle name="Notas 39 3" xfId="3249"/>
    <cellStyle name="Notas 39 3 10" xfId="3250"/>
    <cellStyle name="Notas 39 3 2" xfId="3251"/>
    <cellStyle name="Notas 39 3 2 2" xfId="3252"/>
    <cellStyle name="Notas 39 3 2 2 2" xfId="3253"/>
    <cellStyle name="Notas 39 3 2 2 2 2" xfId="3254"/>
    <cellStyle name="Notas 39 3 2 2 3" xfId="3255"/>
    <cellStyle name="Notas 39 3 2 3" xfId="3256"/>
    <cellStyle name="Notas 39 3 2 3 2" xfId="3257"/>
    <cellStyle name="Notas 39 3 2 3 2 2" xfId="3258"/>
    <cellStyle name="Notas 39 3 2 3 3" xfId="3259"/>
    <cellStyle name="Notas 39 3 2 4" xfId="3260"/>
    <cellStyle name="Notas 39 3 2 4 2" xfId="3261"/>
    <cellStyle name="Notas 39 3 2 5" xfId="3262"/>
    <cellStyle name="Notas 39 3 3" xfId="3263"/>
    <cellStyle name="Notas 39 3 3 2" xfId="3264"/>
    <cellStyle name="Notas 39 3 3 2 2" xfId="3265"/>
    <cellStyle name="Notas 39 3 3 3" xfId="3266"/>
    <cellStyle name="Notas 39 3 4" xfId="3267"/>
    <cellStyle name="Notas 39 3 4 2" xfId="3268"/>
    <cellStyle name="Notas 39 3 4 2 2" xfId="3269"/>
    <cellStyle name="Notas 39 3 4 3" xfId="3270"/>
    <cellStyle name="Notas 39 3 5" xfId="3271"/>
    <cellStyle name="Notas 39 3 5 2" xfId="3272"/>
    <cellStyle name="Notas 39 3 5 2 2" xfId="3273"/>
    <cellStyle name="Notas 39 3 5 3" xfId="3274"/>
    <cellStyle name="Notas 39 3 6" xfId="3275"/>
    <cellStyle name="Notas 39 3 6 2" xfId="3276"/>
    <cellStyle name="Notas 39 3 6 2 2" xfId="3277"/>
    <cellStyle name="Notas 39 3 6 3" xfId="3278"/>
    <cellStyle name="Notas 39 3 7" xfId="3279"/>
    <cellStyle name="Notas 39 3 7 2" xfId="3280"/>
    <cellStyle name="Notas 39 3 7 2 2" xfId="3281"/>
    <cellStyle name="Notas 39 3 7 3" xfId="3282"/>
    <cellStyle name="Notas 39 3 8" xfId="3283"/>
    <cellStyle name="Notas 39 3 8 2" xfId="3284"/>
    <cellStyle name="Notas 39 3 8 2 2" xfId="3285"/>
    <cellStyle name="Notas 39 3 8 3" xfId="3286"/>
    <cellStyle name="Notas 39 3 9" xfId="3287"/>
    <cellStyle name="Notas 39 3 9 2" xfId="3288"/>
    <cellStyle name="Notas 39 4" xfId="3289"/>
    <cellStyle name="Notas 39 4 2" xfId="3290"/>
    <cellStyle name="Notas 39 4 2 2" xfId="3291"/>
    <cellStyle name="Notas 39 4 2 2 2" xfId="3292"/>
    <cellStyle name="Notas 39 4 2 3" xfId="3293"/>
    <cellStyle name="Notas 39 4 3" xfId="3294"/>
    <cellStyle name="Notas 39 4 3 2" xfId="3295"/>
    <cellStyle name="Notas 39 4 3 2 2" xfId="3296"/>
    <cellStyle name="Notas 39 4 3 3" xfId="3297"/>
    <cellStyle name="Notas 39 4 4" xfId="3298"/>
    <cellStyle name="Notas 39 4 4 2" xfId="3299"/>
    <cellStyle name="Notas 39 4 5" xfId="3300"/>
    <cellStyle name="Notas 39 5" xfId="3301"/>
    <cellStyle name="Notas 39 5 2" xfId="3302"/>
    <cellStyle name="Notas 39 5 2 2" xfId="3303"/>
    <cellStyle name="Notas 39 5 3" xfId="3304"/>
    <cellStyle name="Notas 39 6" xfId="3305"/>
    <cellStyle name="Notas 39 6 2" xfId="3306"/>
    <cellStyle name="Notas 39 6 2 2" xfId="3307"/>
    <cellStyle name="Notas 39 6 3" xfId="3308"/>
    <cellStyle name="Notas 39 7" xfId="3309"/>
    <cellStyle name="Notas 39 7 2" xfId="3310"/>
    <cellStyle name="Notas 39 7 2 2" xfId="3311"/>
    <cellStyle name="Notas 39 7 3" xfId="3312"/>
    <cellStyle name="Notas 39 8" xfId="3313"/>
    <cellStyle name="Notas 39 8 2" xfId="3314"/>
    <cellStyle name="Notas 39 8 2 2" xfId="3315"/>
    <cellStyle name="Notas 39 8 3" xfId="3316"/>
    <cellStyle name="Notas 39 9" xfId="3317"/>
    <cellStyle name="Notas 39 9 2" xfId="3318"/>
    <cellStyle name="Notas 39 9 2 2" xfId="3319"/>
    <cellStyle name="Notas 39 9 3" xfId="3320"/>
    <cellStyle name="Notas 4" xfId="3321"/>
    <cellStyle name="Notas 4 2" xfId="3322"/>
    <cellStyle name="Notas 4 2 2" xfId="3323"/>
    <cellStyle name="Notas 4 2 2 2" xfId="3324"/>
    <cellStyle name="Notas 4 2 3" xfId="3325"/>
    <cellStyle name="Notas 4 3" xfId="3326"/>
    <cellStyle name="Notas 4 3 2" xfId="3327"/>
    <cellStyle name="Notas 4 3 2 2" xfId="3328"/>
    <cellStyle name="Notas 4 3 3" xfId="3329"/>
    <cellStyle name="Notas 4 4" xfId="3330"/>
    <cellStyle name="Notas 4 4 2" xfId="3331"/>
    <cellStyle name="Notas 4 5" xfId="3332"/>
    <cellStyle name="Notas 40" xfId="9540"/>
    <cellStyle name="Notas 41" xfId="9545"/>
    <cellStyle name="Notas 5" xfId="3333"/>
    <cellStyle name="Notas 5 2" xfId="3334"/>
    <cellStyle name="Notas 5 2 2" xfId="3335"/>
    <cellStyle name="Notas 5 2 2 2" xfId="3336"/>
    <cellStyle name="Notas 5 2 3" xfId="3337"/>
    <cellStyle name="Notas 5 3" xfId="3338"/>
    <cellStyle name="Notas 5 3 2" xfId="3339"/>
    <cellStyle name="Notas 5 3 2 2" xfId="3340"/>
    <cellStyle name="Notas 5 3 3" xfId="3341"/>
    <cellStyle name="Notas 5 4" xfId="3342"/>
    <cellStyle name="Notas 5 4 2" xfId="3343"/>
    <cellStyle name="Notas 5 5" xfId="3344"/>
    <cellStyle name="Notas 6" xfId="3345"/>
    <cellStyle name="Notas 6 2" xfId="3346"/>
    <cellStyle name="Notas 6 2 2" xfId="3347"/>
    <cellStyle name="Notas 6 2 2 2" xfId="3348"/>
    <cellStyle name="Notas 6 2 3" xfId="3349"/>
    <cellStyle name="Notas 6 3" xfId="3350"/>
    <cellStyle name="Notas 6 3 2" xfId="3351"/>
    <cellStyle name="Notas 6 3 2 2" xfId="3352"/>
    <cellStyle name="Notas 6 3 3" xfId="3353"/>
    <cellStyle name="Notas 6 4" xfId="3354"/>
    <cellStyle name="Notas 6 4 2" xfId="3355"/>
    <cellStyle name="Notas 6 5" xfId="3356"/>
    <cellStyle name="Notas 7" xfId="3357"/>
    <cellStyle name="Notas 7 2" xfId="3358"/>
    <cellStyle name="Notas 7 2 2" xfId="3359"/>
    <cellStyle name="Notas 7 2 2 2" xfId="3360"/>
    <cellStyle name="Notas 7 2 3" xfId="3361"/>
    <cellStyle name="Notas 7 3" xfId="3362"/>
    <cellStyle name="Notas 7 3 2" xfId="3363"/>
    <cellStyle name="Notas 7 3 2 2" xfId="3364"/>
    <cellStyle name="Notas 7 3 3" xfId="3365"/>
    <cellStyle name="Notas 7 4" xfId="3366"/>
    <cellStyle name="Notas 7 4 2" xfId="3367"/>
    <cellStyle name="Notas 7 5" xfId="3368"/>
    <cellStyle name="Notas 8" xfId="3369"/>
    <cellStyle name="Notas 8 2" xfId="3370"/>
    <cellStyle name="Notas 8 2 2" xfId="3371"/>
    <cellStyle name="Notas 8 2 2 2" xfId="3372"/>
    <cellStyle name="Notas 8 2 3" xfId="3373"/>
    <cellStyle name="Notas 8 3" xfId="3374"/>
    <cellStyle name="Notas 8 3 2" xfId="3375"/>
    <cellStyle name="Notas 8 3 2 2" xfId="3376"/>
    <cellStyle name="Notas 8 3 3" xfId="3377"/>
    <cellStyle name="Notas 8 4" xfId="3378"/>
    <cellStyle name="Notas 8 4 2" xfId="3379"/>
    <cellStyle name="Notas 8 5" xfId="3380"/>
    <cellStyle name="Notas 9" xfId="3381"/>
    <cellStyle name="Notas 9 2" xfId="3382"/>
    <cellStyle name="Notas 9 2 2" xfId="3383"/>
    <cellStyle name="Notas 9 2 2 2" xfId="3384"/>
    <cellStyle name="Notas 9 2 3" xfId="3385"/>
    <cellStyle name="Notas 9 3" xfId="3386"/>
    <cellStyle name="Notas 9 3 2" xfId="3387"/>
    <cellStyle name="Notas 9 3 2 2" xfId="3388"/>
    <cellStyle name="Notas 9 3 3" xfId="3389"/>
    <cellStyle name="Notas 9 4" xfId="3390"/>
    <cellStyle name="Notas 9 4 2" xfId="3391"/>
    <cellStyle name="Notas 9 5" xfId="3392"/>
    <cellStyle name="Numeric" xfId="3393"/>
    <cellStyle name="NumericWithBorder" xfId="3394"/>
    <cellStyle name="NumericWithBorder 2" xfId="3395"/>
    <cellStyle name="NumericWithBorder 2 2" xfId="3396"/>
    <cellStyle name="NumericWithBorder 2 2 2" xfId="3397"/>
    <cellStyle name="NumericWithBorder 2 3" xfId="3398"/>
    <cellStyle name="NumericWithBorder 2 3 2" xfId="3399"/>
    <cellStyle name="NumericWithBorder 2 4" xfId="3400"/>
    <cellStyle name="NumericWithBorder 3" xfId="3401"/>
    <cellStyle name="NumericWithBorder 3 2" xfId="3402"/>
    <cellStyle name="NumericWithBorder 4" xfId="3403"/>
    <cellStyle name="NumericWithBorder 4 2" xfId="3404"/>
    <cellStyle name="NumericWithBorder 5" xfId="3405"/>
    <cellStyle name="NumericWithBorder 5 2" xfId="3406"/>
    <cellStyle name="NumericWithBorder 6" xfId="3407"/>
    <cellStyle name="NumericWithBorder 6 2" xfId="3408"/>
    <cellStyle name="NumericWithBorder 7" xfId="3409"/>
    <cellStyle name="NumericWithBorder 7 2" xfId="3410"/>
    <cellStyle name="NumericWithBorder 8" xfId="3411"/>
    <cellStyle name="Percent" xfId="3412"/>
    <cellStyle name="Percent 2" xfId="3413"/>
    <cellStyle name="Percent 3" xfId="3414"/>
    <cellStyle name="Percent 3 2" xfId="3415"/>
    <cellStyle name="Percent 4" xfId="3458"/>
    <cellStyle name="Porcentaje" xfId="3416" builtinId="5"/>
    <cellStyle name="Porcentaje 2" xfId="3417"/>
    <cellStyle name="Porcentaje 2 2" xfId="3418"/>
    <cellStyle name="Porcentaje 2 2 2" xfId="3419"/>
    <cellStyle name="Porcentaje 2 2 2 2" xfId="5497"/>
    <cellStyle name="Porcentaje 2 2 3" xfId="5496"/>
    <cellStyle name="Porcentaje 2 3" xfId="3420"/>
    <cellStyle name="Porcentaje 3" xfId="3421"/>
    <cellStyle name="Porcentaje 3 2" xfId="3422"/>
    <cellStyle name="Porcentaje 3 3" xfId="3423"/>
    <cellStyle name="Porcentaje 3 3 2" xfId="5499"/>
    <cellStyle name="Porcentaje 3 4" xfId="5498"/>
    <cellStyle name="Porcentaje 4" xfId="3424"/>
    <cellStyle name="Porcentaje 4 2" xfId="3425"/>
    <cellStyle name="Porcentaje 5" xfId="3426"/>
    <cellStyle name="Porcentaje 6" xfId="3427"/>
    <cellStyle name="Porcentaje 6 2" xfId="3428"/>
    <cellStyle name="Porcentaje 6 2 2" xfId="3429"/>
    <cellStyle name="Porcentaje 6 2 2 2" xfId="5502"/>
    <cellStyle name="Porcentaje 6 2 3" xfId="5501"/>
    <cellStyle name="Porcentaje 6 3" xfId="3430"/>
    <cellStyle name="Porcentaje 6 3 2" xfId="5503"/>
    <cellStyle name="Porcentaje 6 4" xfId="5500"/>
    <cellStyle name="Porcentaje 7" xfId="3431"/>
    <cellStyle name="Porcentaje 7 2" xfId="5504"/>
    <cellStyle name="Porcentaje 8" xfId="7560"/>
    <cellStyle name="Porcentual 2" xfId="3432"/>
    <cellStyle name="Porcentual 2 2" xfId="3433"/>
    <cellStyle name="Porcentual 2 2 2" xfId="3434"/>
    <cellStyle name="Porcentual 2 2 2 2" xfId="5506"/>
    <cellStyle name="Porcentual 2 2 3" xfId="5505"/>
    <cellStyle name="Porcentual 2 3" xfId="3435"/>
    <cellStyle name="Porcentual 2 3 2" xfId="3436"/>
    <cellStyle name="Porcentual 3" xfId="3437"/>
    <cellStyle name="Porcentual 3 2" xfId="3438"/>
    <cellStyle name="Porcentual 3 2 2" xfId="3439"/>
    <cellStyle name="Porcentual 3 2 2 2" xfId="3440"/>
    <cellStyle name="Porcentual 3 3" xfId="3441"/>
    <cellStyle name="Porcentual 3 3 2" xfId="3442"/>
    <cellStyle name="Porcentual 3 3 2 2" xfId="3443"/>
    <cellStyle name="Porcentual 3 4" xfId="3444"/>
    <cellStyle name="Porcentual 3 4 2" xfId="3445"/>
    <cellStyle name="Porcentual 3 4 2 2" xfId="3446"/>
    <cellStyle name="Porcentual 3 5" xfId="3447"/>
    <cellStyle name="Porcentual 3 5 2" xfId="3448"/>
    <cellStyle name="Porcentual 3 5 2 2" xfId="5508"/>
    <cellStyle name="Porcentual 3 5 3" xfId="5507"/>
    <cellStyle name="Porcentual 3 6" xfId="3449"/>
    <cellStyle name="Porcentual 3 6 2" xfId="3450"/>
    <cellStyle name="Porcentual 4" xfId="3451"/>
    <cellStyle name="Porcentual 4 2" xfId="3452"/>
    <cellStyle name="Porcentual 4 2 2" xfId="3453"/>
    <cellStyle name="Porcentual 5" xfId="3454"/>
    <cellStyle name="Porcentual 5 2" xfId="3455"/>
    <cellStyle name="Porcentual 5 2 2" xfId="5510"/>
    <cellStyle name="Porcentual 5 3" xfId="5509"/>
    <cellStyle name="Salida" xfId="9509" builtinId="21" customBuiltin="1"/>
    <cellStyle name="Texto de advertencia" xfId="9513" builtinId="11" customBuiltin="1"/>
    <cellStyle name="Texto explicativo" xfId="9514" builtinId="53" customBuiltin="1"/>
    <cellStyle name="Título" xfId="9500" builtinId="15" customBuiltin="1"/>
    <cellStyle name="Título 1" xfId="9501" builtinId="16" customBuiltin="1"/>
    <cellStyle name="Título 2" xfId="9502" builtinId="17" customBuiltin="1"/>
    <cellStyle name="Título 3" xfId="9503" builtinId="18" customBuiltin="1"/>
    <cellStyle name="Título 4" xfId="3456"/>
    <cellStyle name="Título 4 2" xfId="3457"/>
    <cellStyle name="Total" xfId="9515" builtinId="25" customBuiltin="1"/>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169" formatCode="_ * #,##0_ ;_ * \-#,##0_ ;_ * &quot;-&quot;??_ ;_ @_ "/>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F0066"/>
      <color rgb="FFFF33CC"/>
      <color rgb="FF00FFCC"/>
      <color rgb="FF00FF00"/>
      <color rgb="FFFCD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555555555555555E-2"/>
          <c:y val="3.7189413823272101E-2"/>
          <c:w val="0.93888888888888888"/>
          <c:h val="0.73217556138815987"/>
        </c:manualLayout>
      </c:layout>
      <c:lineChart>
        <c:grouping val="standard"/>
        <c:varyColors val="0"/>
        <c:ser>
          <c:idx val="0"/>
          <c:order val="0"/>
          <c:tx>
            <c:strRef>
              <c:f>Hoja1!$D$21</c:f>
              <c:strCache>
                <c:ptCount val="1"/>
                <c:pt idx="0">
                  <c:v>Valor a contratar</c:v>
                </c:pt>
              </c:strCache>
            </c:strRef>
          </c:tx>
          <c:marker>
            <c:symbol val="none"/>
          </c:marker>
          <c:cat>
            <c:strRef>
              <c:f>Hoja1!$A$22:$A$30</c:f>
              <c:strCache>
                <c:ptCount val="9"/>
                <c:pt idx="0">
                  <c:v>Enero</c:v>
                </c:pt>
                <c:pt idx="1">
                  <c:v>Febrero</c:v>
                </c:pt>
                <c:pt idx="2">
                  <c:v>Marzo</c:v>
                </c:pt>
                <c:pt idx="3">
                  <c:v>Abril</c:v>
                </c:pt>
                <c:pt idx="4">
                  <c:v>Mayo</c:v>
                </c:pt>
                <c:pt idx="5">
                  <c:v>Junio</c:v>
                </c:pt>
                <c:pt idx="6">
                  <c:v>Julio</c:v>
                </c:pt>
                <c:pt idx="7">
                  <c:v>Agosto</c:v>
                </c:pt>
                <c:pt idx="8">
                  <c:v>Septiembre</c:v>
                </c:pt>
              </c:strCache>
            </c:strRef>
          </c:cat>
          <c:val>
            <c:numRef>
              <c:f>Hoja1!$D$22:$D$30</c:f>
              <c:numCache>
                <c:formatCode>[$$-240A]\ #.##0</c:formatCode>
                <c:ptCount val="9"/>
                <c:pt idx="0">
                  <c:v>10088.933043999999</c:v>
                </c:pt>
                <c:pt idx="1">
                  <c:v>15281.589867999999</c:v>
                </c:pt>
                <c:pt idx="2">
                  <c:v>16377.093696</c:v>
                </c:pt>
                <c:pt idx="3">
                  <c:v>17462.634010000002</c:v>
                </c:pt>
                <c:pt idx="4">
                  <c:v>20766.433168000003</c:v>
                </c:pt>
                <c:pt idx="5">
                  <c:v>27324.087036000004</c:v>
                </c:pt>
                <c:pt idx="6">
                  <c:v>29654.087035000004</c:v>
                </c:pt>
                <c:pt idx="7">
                  <c:v>32469.429019000003</c:v>
                </c:pt>
                <c:pt idx="8">
                  <c:v>34475.429019000003</c:v>
                </c:pt>
              </c:numCache>
            </c:numRef>
          </c:val>
          <c:smooth val="0"/>
        </c:ser>
        <c:dLbls>
          <c:dLblPos val="t"/>
          <c:showLegendKey val="0"/>
          <c:showVal val="1"/>
          <c:showCatName val="0"/>
          <c:showSerName val="0"/>
          <c:showPercent val="0"/>
          <c:showBubbleSize val="0"/>
        </c:dLbls>
        <c:marker val="1"/>
        <c:smooth val="0"/>
        <c:axId val="108009728"/>
        <c:axId val="108724992"/>
      </c:lineChart>
      <c:catAx>
        <c:axId val="108009728"/>
        <c:scaling>
          <c:orientation val="minMax"/>
        </c:scaling>
        <c:delete val="0"/>
        <c:axPos val="b"/>
        <c:majorTickMark val="none"/>
        <c:minorTickMark val="none"/>
        <c:tickLblPos val="nextTo"/>
        <c:txPr>
          <a:bodyPr/>
          <a:lstStyle/>
          <a:p>
            <a:pPr>
              <a:defRPr sz="900"/>
            </a:pPr>
            <a:endParaRPr lang="es-ES"/>
          </a:p>
        </c:txPr>
        <c:crossAx val="108724992"/>
        <c:crosses val="autoZero"/>
        <c:auto val="1"/>
        <c:lblAlgn val="ctr"/>
        <c:lblOffset val="100"/>
        <c:noMultiLvlLbl val="0"/>
      </c:catAx>
      <c:valAx>
        <c:axId val="108724992"/>
        <c:scaling>
          <c:orientation val="minMax"/>
        </c:scaling>
        <c:delete val="1"/>
        <c:axPos val="l"/>
        <c:numFmt formatCode="[$$-240A]\ #.##0" sourceLinked="1"/>
        <c:majorTickMark val="out"/>
        <c:minorTickMark val="none"/>
        <c:tickLblPos val="nextTo"/>
        <c:crossAx val="108009728"/>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476250</xdr:colOff>
      <xdr:row>0</xdr:row>
      <xdr:rowOff>47625</xdr:rowOff>
    </xdr:from>
    <xdr:to>
      <xdr:col>0</xdr:col>
      <xdr:colOff>1924050</xdr:colOff>
      <xdr:row>1</xdr:row>
      <xdr:rowOff>504825</xdr:rowOff>
    </xdr:to>
    <xdr:pic>
      <xdr:nvPicPr>
        <xdr:cNvPr id="10959" name="1 Imagen" descr="IDPCBY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0" y="47625"/>
          <a:ext cx="14478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476250</xdr:colOff>
      <xdr:row>0</xdr:row>
      <xdr:rowOff>47625</xdr:rowOff>
    </xdr:from>
    <xdr:to>
      <xdr:col>0</xdr:col>
      <xdr:colOff>1924050</xdr:colOff>
      <xdr:row>1</xdr:row>
      <xdr:rowOff>504825</xdr:rowOff>
    </xdr:to>
    <xdr:pic>
      <xdr:nvPicPr>
        <xdr:cNvPr id="3932" name="1 Imagen" descr="IDPCBY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0" y="47625"/>
          <a:ext cx="14478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476250</xdr:colOff>
      <xdr:row>0</xdr:row>
      <xdr:rowOff>47625</xdr:rowOff>
    </xdr:from>
    <xdr:to>
      <xdr:col>0</xdr:col>
      <xdr:colOff>1924050</xdr:colOff>
      <xdr:row>1</xdr:row>
      <xdr:rowOff>504825</xdr:rowOff>
    </xdr:to>
    <xdr:pic>
      <xdr:nvPicPr>
        <xdr:cNvPr id="3" name="1 Imagen" descr="IDPCBY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0" y="47625"/>
          <a:ext cx="14478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476250</xdr:colOff>
      <xdr:row>0</xdr:row>
      <xdr:rowOff>47625</xdr:rowOff>
    </xdr:from>
    <xdr:to>
      <xdr:col>0</xdr:col>
      <xdr:colOff>1924050</xdr:colOff>
      <xdr:row>1</xdr:row>
      <xdr:rowOff>504825</xdr:rowOff>
    </xdr:to>
    <xdr:pic>
      <xdr:nvPicPr>
        <xdr:cNvPr id="1903" name="1 Imagen" descr="IDPCBY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0" y="47625"/>
          <a:ext cx="14478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476250</xdr:colOff>
      <xdr:row>0</xdr:row>
      <xdr:rowOff>47625</xdr:rowOff>
    </xdr:from>
    <xdr:to>
      <xdr:col>0</xdr:col>
      <xdr:colOff>1924050</xdr:colOff>
      <xdr:row>1</xdr:row>
      <xdr:rowOff>504825</xdr:rowOff>
    </xdr:to>
    <xdr:pic>
      <xdr:nvPicPr>
        <xdr:cNvPr id="3" name="1 Imagen" descr="IDPCBY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0" y="47625"/>
          <a:ext cx="14478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476250</xdr:colOff>
      <xdr:row>0</xdr:row>
      <xdr:rowOff>47625</xdr:rowOff>
    </xdr:from>
    <xdr:to>
      <xdr:col>0</xdr:col>
      <xdr:colOff>1924050</xdr:colOff>
      <xdr:row>1</xdr:row>
      <xdr:rowOff>504825</xdr:rowOff>
    </xdr:to>
    <xdr:pic>
      <xdr:nvPicPr>
        <xdr:cNvPr id="4" name="1 Imagen" descr="IDPCBY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0" y="47625"/>
          <a:ext cx="14478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476250</xdr:colOff>
      <xdr:row>0</xdr:row>
      <xdr:rowOff>47625</xdr:rowOff>
    </xdr:from>
    <xdr:to>
      <xdr:col>0</xdr:col>
      <xdr:colOff>1924050</xdr:colOff>
      <xdr:row>1</xdr:row>
      <xdr:rowOff>504825</xdr:rowOff>
    </xdr:to>
    <xdr:pic>
      <xdr:nvPicPr>
        <xdr:cNvPr id="4956" name="1 Imagen" descr="IDPCBY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0" y="47625"/>
          <a:ext cx="14478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476250</xdr:colOff>
      <xdr:row>0</xdr:row>
      <xdr:rowOff>47625</xdr:rowOff>
    </xdr:from>
    <xdr:to>
      <xdr:col>0</xdr:col>
      <xdr:colOff>1924050</xdr:colOff>
      <xdr:row>1</xdr:row>
      <xdr:rowOff>504825</xdr:rowOff>
    </xdr:to>
    <xdr:pic>
      <xdr:nvPicPr>
        <xdr:cNvPr id="3" name="1 Imagen" descr="IDPCBY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0" y="47625"/>
          <a:ext cx="14478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476250</xdr:colOff>
      <xdr:row>0</xdr:row>
      <xdr:rowOff>47625</xdr:rowOff>
    </xdr:from>
    <xdr:to>
      <xdr:col>0</xdr:col>
      <xdr:colOff>1924050</xdr:colOff>
      <xdr:row>1</xdr:row>
      <xdr:rowOff>504825</xdr:rowOff>
    </xdr:to>
    <xdr:pic>
      <xdr:nvPicPr>
        <xdr:cNvPr id="4" name="1 Imagen" descr="IDPCBY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0" y="47625"/>
          <a:ext cx="14478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476250</xdr:colOff>
      <xdr:row>0</xdr:row>
      <xdr:rowOff>47625</xdr:rowOff>
    </xdr:from>
    <xdr:to>
      <xdr:col>0</xdr:col>
      <xdr:colOff>1924050</xdr:colOff>
      <xdr:row>1</xdr:row>
      <xdr:rowOff>504825</xdr:rowOff>
    </xdr:to>
    <xdr:pic>
      <xdr:nvPicPr>
        <xdr:cNvPr id="5" name="1 Imagen" descr="IDPCBY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0" y="47625"/>
          <a:ext cx="14478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476250</xdr:colOff>
      <xdr:row>0</xdr:row>
      <xdr:rowOff>47625</xdr:rowOff>
    </xdr:from>
    <xdr:to>
      <xdr:col>0</xdr:col>
      <xdr:colOff>1924050</xdr:colOff>
      <xdr:row>1</xdr:row>
      <xdr:rowOff>504825</xdr:rowOff>
    </xdr:to>
    <xdr:pic>
      <xdr:nvPicPr>
        <xdr:cNvPr id="5990" name="1 Imagen" descr="IDPCBY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0" y="47625"/>
          <a:ext cx="1447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476250</xdr:colOff>
      <xdr:row>0</xdr:row>
      <xdr:rowOff>47625</xdr:rowOff>
    </xdr:from>
    <xdr:to>
      <xdr:col>0</xdr:col>
      <xdr:colOff>1924050</xdr:colOff>
      <xdr:row>1</xdr:row>
      <xdr:rowOff>504825</xdr:rowOff>
    </xdr:to>
    <xdr:pic>
      <xdr:nvPicPr>
        <xdr:cNvPr id="3" name="1 Imagen" descr="IDPCBY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0" y="47625"/>
          <a:ext cx="14478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476250</xdr:colOff>
      <xdr:row>0</xdr:row>
      <xdr:rowOff>47625</xdr:rowOff>
    </xdr:from>
    <xdr:to>
      <xdr:col>0</xdr:col>
      <xdr:colOff>1924050</xdr:colOff>
      <xdr:row>1</xdr:row>
      <xdr:rowOff>504825</xdr:rowOff>
    </xdr:to>
    <xdr:pic>
      <xdr:nvPicPr>
        <xdr:cNvPr id="4" name="1 Imagen" descr="IDPCBY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0" y="47625"/>
          <a:ext cx="14478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476250</xdr:colOff>
      <xdr:row>0</xdr:row>
      <xdr:rowOff>47625</xdr:rowOff>
    </xdr:from>
    <xdr:to>
      <xdr:col>0</xdr:col>
      <xdr:colOff>1924050</xdr:colOff>
      <xdr:row>1</xdr:row>
      <xdr:rowOff>504825</xdr:rowOff>
    </xdr:to>
    <xdr:pic>
      <xdr:nvPicPr>
        <xdr:cNvPr id="5" name="1 Imagen" descr="IDPCBY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0" y="47625"/>
          <a:ext cx="14478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476250</xdr:colOff>
      <xdr:row>0</xdr:row>
      <xdr:rowOff>47625</xdr:rowOff>
    </xdr:from>
    <xdr:to>
      <xdr:col>0</xdr:col>
      <xdr:colOff>1924050</xdr:colOff>
      <xdr:row>1</xdr:row>
      <xdr:rowOff>504825</xdr:rowOff>
    </xdr:to>
    <xdr:pic>
      <xdr:nvPicPr>
        <xdr:cNvPr id="6" name="1 Imagen" descr="IDPCBY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0" y="47625"/>
          <a:ext cx="14478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3</xdr:col>
      <xdr:colOff>104775</xdr:colOff>
      <xdr:row>0</xdr:row>
      <xdr:rowOff>157162</xdr:rowOff>
    </xdr:from>
    <xdr:to>
      <xdr:col>6</xdr:col>
      <xdr:colOff>76200</xdr:colOff>
      <xdr:row>17</xdr:row>
      <xdr:rowOff>147637</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72</xdr:row>
      <xdr:rowOff>0</xdr:rowOff>
    </xdr:from>
    <xdr:to>
      <xdr:col>11</xdr:col>
      <xdr:colOff>352425</xdr:colOff>
      <xdr:row>105</xdr:row>
      <xdr:rowOff>9525</xdr:rowOff>
    </xdr:to>
    <xdr:pic>
      <xdr:nvPicPr>
        <xdr:cNvPr id="2" name="1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14900" y="13115925"/>
          <a:ext cx="5686425" cy="535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CTR" refreshedDate="43474.445431365741" createdVersion="4" refreshedVersion="4" minRefreshableVersion="3" recordCount="463">
  <cacheSource type="worksheet">
    <worksheetSource ref="F31:CD494" sheet="Seguimiento_PAA"/>
  </cacheSource>
  <cacheFields count="77">
    <cacheField name="Código de control" numFmtId="172">
      <sharedItems containsMixedTypes="1" containsNumber="1" containsInteger="1" minValue="1" maxValue="432"/>
    </cacheField>
    <cacheField name="Código de control 2" numFmtId="172">
      <sharedItems containsMixedTypes="1" containsNumber="1" containsInteger="1" minValue="1" maxValue="432"/>
    </cacheField>
    <cacheField name="Comparación" numFmtId="172">
      <sharedItems/>
    </cacheField>
    <cacheField name="Se incluye en SECOP" numFmtId="3">
      <sharedItems/>
    </cacheField>
    <cacheField name="Nombre del proyecto" numFmtId="172">
      <sharedItems/>
    </cacheField>
    <cacheField name="Rubro" numFmtId="0">
      <sharedItems/>
    </cacheField>
    <cacheField name="Códigos UNSPSC (Separados por &quot;;&quot;)" numFmtId="0">
      <sharedItems containsMixedTypes="1" containsNumber="1" containsInteger="1" minValue="56112101" maxValue="93141707"/>
    </cacheField>
    <cacheField name="Descripción" numFmtId="0">
      <sharedItems longText="1"/>
    </cacheField>
    <cacheField name="Descripción (SECOP)" numFmtId="0">
      <sharedItems longText="1"/>
    </cacheField>
    <cacheField name="Fecha estimada de inicio de proceso de selección" numFmtId="14">
      <sharedItems containsDate="1" containsMixedTypes="1" minDate="2019-01-02T00:00:00" maxDate="2019-09-19T00:00:00"/>
    </cacheField>
    <cacheField name="Tiempo Estimado Jurídica" numFmtId="1">
      <sharedItems containsSemiMixedTypes="0" containsString="0" containsNumber="1" containsInteger="1" minValue="0" maxValue="50"/>
    </cacheField>
    <cacheField name="FECHA CRP" numFmtId="14">
      <sharedItems containsDate="1" containsMixedTypes="1" minDate="2019-01-02T00:00:00" maxDate="2019-10-19T00:00:00"/>
    </cacheField>
    <cacheField name="Mes CRP" numFmtId="1">
      <sharedItems containsMixedTypes="1" containsNumber="1" containsInteger="1" minValue="1" maxValue="10" count="10">
        <n v="2"/>
        <n v="1"/>
        <s v="No aplica"/>
        <n v="5"/>
        <n v="6"/>
        <n v="3"/>
        <n v="7"/>
        <n v="4"/>
        <n v="10"/>
        <n v="8"/>
      </sharedItems>
    </cacheField>
    <cacheField name="Fecha estimada de inicio de proceso de selección (mes)" numFmtId="1">
      <sharedItems containsMixedTypes="1" containsNumber="1" containsInteger="1" minValue="1" maxValue="9"/>
    </cacheField>
    <cacheField name="Fecha estimada de presentación de ofertas (mes)" numFmtId="1">
      <sharedItems containsMixedTypes="1" containsNumber="1" containsInteger="1" minValue="1" maxValue="9"/>
    </cacheField>
    <cacheField name="Duración estimada del contrato (Número)" numFmtId="0">
      <sharedItems containsString="0" containsBlank="1" containsNumber="1" containsInteger="1" minValue="0" maxValue="315"/>
    </cacheField>
    <cacheField name="Duración estimada del contrato (intervalo: días, meses, años)" numFmtId="1">
      <sharedItems containsString="0" containsBlank="1" containsNumber="1" containsInteger="1" minValue="0" maxValue="2"/>
    </cacheField>
    <cacheField name="Modalidad de selección (Descripción)" numFmtId="14">
      <sharedItems/>
    </cacheField>
    <cacheField name="Modalidad de selección " numFmtId="14">
      <sharedItems/>
    </cacheField>
    <cacheField name="Fuente de los recursos" numFmtId="1">
      <sharedItems containsSemiMixedTypes="0" containsString="0" containsNumber="1" containsInteger="1" minValue="0" maxValue="0"/>
    </cacheField>
    <cacheField name="Articulación" numFmtId="1">
      <sharedItems/>
    </cacheField>
    <cacheField name="Posible contratista" numFmtId="1">
      <sharedItems containsBlank="1"/>
    </cacheField>
    <cacheField name="Valor total estimado" numFmtId="171">
      <sharedItems containsSemiMixedTypes="0" containsString="0" containsNumber="1" containsInteger="1" minValue="0" maxValue="2000000000"/>
    </cacheField>
    <cacheField name="Valor estimado en la vigencia actual" numFmtId="171">
      <sharedItems containsSemiMixedTypes="0" containsString="0" containsNumber="1" containsInteger="1" minValue="0" maxValue="2000000000"/>
    </cacheField>
    <cacheField name="¿Se requieren vigencias futuras?" numFmtId="1">
      <sharedItems containsSemiMixedTypes="0" containsString="0" containsNumber="1" containsInteger="1" minValue="0" maxValue="0"/>
    </cacheField>
    <cacheField name="Estado de solicitud de vigencias futuras" numFmtId="1">
      <sharedItems containsSemiMixedTypes="0" containsString="0" containsNumber="1" containsInteger="1" minValue="0" maxValue="0"/>
    </cacheField>
    <cacheField name="Unidad de contratación (referencia)" numFmtId="14">
      <sharedItems/>
    </cacheField>
    <cacheField name="Ubicación" numFmtId="14">
      <sharedItems/>
    </cacheField>
    <cacheField name="Nombre del responsable " numFmtId="14">
      <sharedItems/>
    </cacheField>
    <cacheField name="Teléfono del responsable " numFmtId="0">
      <sharedItems/>
    </cacheField>
    <cacheField name="Correo electrónico del responsable " numFmtId="14">
      <sharedItems/>
    </cacheField>
    <cacheField name="Código_x000a_Nombre Meta" numFmtId="14">
      <sharedItems/>
    </cacheField>
    <cacheField name="Código Componente" numFmtId="14">
      <sharedItems/>
    </cacheField>
    <cacheField name="Código_x000a_Concepto PREDIS" numFmtId="14">
      <sharedItems/>
    </cacheField>
    <cacheField name="Meta Entidad" numFmtId="0">
      <sharedItems containsBlank="1"/>
    </cacheField>
    <cacheField name="Componente SEGPLAN" numFmtId="0">
      <sharedItems containsBlank="1"/>
    </cacheField>
    <cacheField name="Producto PMR" numFmtId="0">
      <sharedItems/>
    </cacheField>
    <cacheField name="Cód. Fuente" numFmtId="0">
      <sharedItems/>
    </cacheField>
    <cacheField name="Fuente PREDIS" numFmtId="0">
      <sharedItems containsBlank="1"/>
    </cacheField>
    <cacheField name="Tipo de Gasto" numFmtId="0">
      <sharedItems/>
    </cacheField>
    <cacheField name="Componente de Gasto" numFmtId="0">
      <sharedItems/>
    </cacheField>
    <cacheField name="Concepto de gasto" numFmtId="0">
      <sharedItems containsBlank="1"/>
    </cacheField>
    <cacheField name="Recurrencia" numFmtId="0">
      <sharedItems containsMixedTypes="1" containsNumber="1" containsInteger="1" minValue="0" maxValue="1"/>
    </cacheField>
    <cacheField name="Valor total estimado inicial" numFmtId="3">
      <sharedItems containsSemiMixedTypes="0" containsString="0" containsNumber="1" containsInteger="1" minValue="0" maxValue="2000000000"/>
    </cacheField>
    <cacheField name="Crear" numFmtId="169">
      <sharedItems containsNonDate="0" containsString="0" containsBlank="1"/>
    </cacheField>
    <cacheField name="Aumentar" numFmtId="169">
      <sharedItems containsNonDate="0" containsString="0" containsBlank="1"/>
    </cacheField>
    <cacheField name="Reducir" numFmtId="169">
      <sharedItems containsNonDate="0" containsString="0" containsBlank="1"/>
    </cacheField>
    <cacheField name="Nuevo valor estimado" numFmtId="3">
      <sharedItems containsSemiMixedTypes="0" containsString="0" containsNumber="1" containsInteger="1" minValue="0" maxValue="2000000000"/>
    </cacheField>
    <cacheField name="Viabilidad" numFmtId="0">
      <sharedItems containsNonDate="0" containsString="0" containsBlank="1"/>
    </cacheField>
    <cacheField name="No. Viabilidad" numFmtId="1">
      <sharedItems containsNonDate="0" containsString="0" containsBlank="1"/>
    </cacheField>
    <cacheField name="Valor Viabilidad" numFmtId="3">
      <sharedItems containsNonDate="0" containsString="0" containsBlank="1"/>
    </cacheField>
    <cacheField name="Nº CDP" numFmtId="0">
      <sharedItems containsNonDate="0" containsString="0" containsBlank="1"/>
    </cacheField>
    <cacheField name="Valor CDP" numFmtId="3">
      <sharedItems containsNonDate="0" containsString="0" containsBlank="1"/>
    </cacheField>
    <cacheField name="Saldo Apropiacion" numFmtId="3">
      <sharedItems containsSemiMixedTypes="0" containsString="0" containsNumber="1" containsInteger="1" minValue="0" maxValue="2000000000"/>
    </cacheField>
    <cacheField name="Fecha CDP" numFmtId="185">
      <sharedItems containsNonDate="0" containsString="0" containsBlank="1"/>
    </cacheField>
    <cacheField name="Nº RP" numFmtId="0">
      <sharedItems containsNonDate="0" containsString="0" containsBlank="1"/>
    </cacheField>
    <cacheField name="Valor RP" numFmtId="3">
      <sharedItems containsNonDate="0" containsString="0" containsBlank="1"/>
    </cacheField>
    <cacheField name="Saldo RP" numFmtId="3">
      <sharedItems containsSemiMixedTypes="0" containsString="0" containsNumber="1" containsInteger="1" minValue="0" maxValue="0"/>
    </cacheField>
    <cacheField name="Fecha RP" numFmtId="185">
      <sharedItems containsNonDate="0" containsString="0" containsBlank="1"/>
    </cacheField>
    <cacheField name="Mes Registro RP" numFmtId="1">
      <sharedItems containsSemiMixedTypes="0" containsString="0" containsNumber="1" containsInteger="1" minValue="1" maxValue="1"/>
    </cacheField>
    <cacheField name="Número de Contrato" numFmtId="172">
      <sharedItems containsNonDate="0" containsString="0" containsBlank="1"/>
    </cacheField>
    <cacheField name="Tercero" numFmtId="0">
      <sharedItems containsNonDate="0" containsString="0" containsBlank="1"/>
    </cacheField>
    <cacheField name="GIROS ENERO" numFmtId="3">
      <sharedItems containsNonDate="0" containsString="0" containsBlank="1"/>
    </cacheField>
    <cacheField name="GIROS FEBRERO " numFmtId="3">
      <sharedItems containsNonDate="0" containsString="0" containsBlank="1"/>
    </cacheField>
    <cacheField name="GIROS MARZO" numFmtId="3">
      <sharedItems containsNonDate="0" containsString="0" containsBlank="1"/>
    </cacheField>
    <cacheField name="GIROS ABRIL" numFmtId="3">
      <sharedItems containsNonDate="0" containsString="0" containsBlank="1"/>
    </cacheField>
    <cacheField name="GIROS MAYO" numFmtId="3">
      <sharedItems containsNonDate="0" containsString="0" containsBlank="1"/>
    </cacheField>
    <cacheField name="GIROS JUNIO" numFmtId="3">
      <sharedItems containsNonDate="0" containsString="0" containsBlank="1"/>
    </cacheField>
    <cacheField name="GIROS JULIO" numFmtId="3">
      <sharedItems containsNonDate="0" containsString="0" containsBlank="1"/>
    </cacheField>
    <cacheField name="GIROS AGOSTO" numFmtId="3">
      <sharedItems containsNonDate="0" containsString="0" containsBlank="1"/>
    </cacheField>
    <cacheField name="GIROS SEPTIEMBRE" numFmtId="3">
      <sharedItems containsNonDate="0" containsString="0" containsBlank="1"/>
    </cacheField>
    <cacheField name="GIROS OCTUBRE" numFmtId="3">
      <sharedItems containsNonDate="0" containsString="0" containsBlank="1"/>
    </cacheField>
    <cacheField name="GIROS NOVIEMBRE" numFmtId="3">
      <sharedItems containsNonDate="0" containsString="0" containsBlank="1"/>
    </cacheField>
    <cacheField name="GIROS DICIEMBRE" numFmtId="3">
      <sharedItems containsNonDate="0" containsString="0" containsBlank="1"/>
    </cacheField>
    <cacheField name="GIROS TOTAL" numFmtId="3">
      <sharedItems containsSemiMixedTypes="0" containsString="0" containsNumber="1" containsInteger="1" minValue="0" maxValue="0"/>
    </cacheField>
    <cacheField name="SALDO" numFmtId="3">
      <sharedItems containsSemiMixedTypes="0" containsString="0" containsNumber="1" containsInteger="1" minValue="0" maxValue="0"/>
    </cacheField>
    <cacheField name="Observaciones Subdirección General"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63">
  <r>
    <n v="1"/>
    <n v="1"/>
    <b v="0"/>
    <s v="Sí"/>
    <s v="1024.  Formación en patrimonio cultural"/>
    <s v="3-3-1-15-01-11-1024-124"/>
    <s v="80111601;80111600;"/>
    <s v="Prestar servicios profesionales al Instituto Distrital de Patrimonio Cultural para apoyar en la implementación en aula del programa de formación en patrimonio cultural CIVINAUTAS, dirigido a estudiantes de colegios distritales."/>
    <s v="(Cód. 1) Prestar servicios profesionales al Instituto Distrital de Patrimonio Cultural para apoyar en la implementación en aula del programa de formación en patrimonio cultural CIVINAUTAS, dirigido a estudiantes de colegios distritales."/>
    <d v="2019-01-25T00:00:00"/>
    <n v="10"/>
    <d v="2019-02-08T00:00:00"/>
    <x v="0"/>
    <n v="1"/>
    <n v="1"/>
    <n v="315"/>
    <n v="0"/>
    <s v="Contratación directa / Prestación de servicios profesionales y de apoyo a la gestión"/>
    <s v="CCE-16"/>
    <n v="0"/>
    <s v="N.A."/>
    <s v="Alexandra María Rodriguez"/>
    <n v="28119000"/>
    <n v="28119000"/>
    <n v="0"/>
    <n v="0"/>
    <s v="ASESORA JURIDICA"/>
    <s v="CO-DC-11001"/>
    <s v="Margarita Lucía Castañeda Vargas (Subdirección de Divulgación)"/>
    <s v="3550800"/>
    <s v="margarita.castaneda@idpc.gov.co"/>
    <s v="ME20181024"/>
    <s v="COMP1024"/>
    <s v="CONC1024"/>
    <s v="Atender niños/as y adolescentes a través de la formación en patrimonio cultural dentro del programa de _x000a_jornada única y como estrategias de uso del tiempo escolar durante el_x000a_periodo 2016 - 2020."/>
    <s v="Formación en catedra de patrimonio en colegios del distrito capital"/>
    <s v="12. Formación en Cátedra de Patrimonio en colegios distritales"/>
    <s v="FONT1024"/>
    <s v="12-Otros Distrito"/>
    <s v="04-INVESTIGACION Y ESTUDIOS"/>
    <s v="01-INVESTIGACIÓN BÁSICA APLICADA Y ESTUDIOS PROPIOS DEL SECTOR"/>
    <s v="0187-Actividades de formación en arte, cultura, patrimonio, recreación y deporte"/>
    <n v="0"/>
    <n v="28119000"/>
    <m/>
    <m/>
    <m/>
    <n v="28119000"/>
    <m/>
    <m/>
    <m/>
    <m/>
    <m/>
    <n v="28119000"/>
    <m/>
    <m/>
    <m/>
    <n v="0"/>
    <m/>
    <n v="1"/>
    <m/>
    <m/>
    <m/>
    <m/>
    <m/>
    <m/>
    <m/>
    <m/>
    <m/>
    <m/>
    <m/>
    <m/>
    <m/>
    <m/>
    <n v="0"/>
    <n v="0"/>
    <m/>
  </r>
  <r>
    <n v="2"/>
    <n v="2"/>
    <b v="0"/>
    <s v="Sí"/>
    <s v="1024.  Formación en patrimonio cultural"/>
    <s v="3-3-1-15-01-11-1024-124"/>
    <s v="80111601;80111600;"/>
    <s v="Prestar servicios profesionales al Instituto Distrital de Patrimonio Cultural para acompañar el componente de apropiación social del patrimonio de los procesos de formación en patrimonio cultural, en el marco del proyecto de inversión 1024 - Formación en patrimonio cultural."/>
    <s v="(Cód. 2) Prestar servicios profesionales al Instituto Distrital de Patrimonio Cultural para acompañar el componente de apropiación social del patrimonio de los procesos de formación en patrimonio cultural, en el marco del proyecto de inversión 1024 - Formación en patrimonio cultural."/>
    <d v="2019-01-15T00:00:00"/>
    <n v="10"/>
    <d v="2019-01-29T00:00:00"/>
    <x v="1"/>
    <n v="1"/>
    <n v="1"/>
    <n v="11"/>
    <n v="1"/>
    <s v="Contratación directa / Prestación de servicios profesionales y de apoyo a la gestión"/>
    <s v="CCE-16"/>
    <n v="0"/>
    <s v="N.A."/>
    <s v="Angela María Cadena"/>
    <n v="53460000"/>
    <n v="53460000"/>
    <n v="0"/>
    <n v="0"/>
    <s v="ASESORA JURIDICA"/>
    <s v="CO-DC-11001"/>
    <s v="Margarita Lucía Castañeda Vargas (Subdirección de Divulgación)"/>
    <s v="3550800"/>
    <s v="margarita.castaneda@idpc.gov.co"/>
    <s v="ME20181024"/>
    <s v="COMP1024"/>
    <s v="CONC1024"/>
    <s v="Atender niños/as y adolescentes a través de la formación en patrimonio cultural dentro del programa de _x000a_jornada única y como estrategias de uso del tiempo escolar durante el_x000a_periodo 2016 - 2020."/>
    <s v="Formación en catedra de patrimonio en colegios del distrito capital"/>
    <s v="12. Formación en Cátedra de Patrimonio en colegios distritales"/>
    <s v="FONT1024"/>
    <s v="12-Otros Distrito"/>
    <s v="04-INVESTIGACION Y ESTUDIOS"/>
    <s v="01-INVESTIGACIÓN BÁSICA APLICADA Y ESTUDIOS PROPIOS DEL SECTOR"/>
    <s v="0187-Actividades de formación en arte, cultura, patrimonio, recreación y deporte"/>
    <n v="0"/>
    <n v="53460000"/>
    <m/>
    <m/>
    <m/>
    <n v="53460000"/>
    <m/>
    <m/>
    <m/>
    <m/>
    <m/>
    <n v="53460000"/>
    <m/>
    <m/>
    <m/>
    <n v="0"/>
    <m/>
    <n v="1"/>
    <m/>
    <m/>
    <m/>
    <m/>
    <m/>
    <m/>
    <m/>
    <m/>
    <m/>
    <m/>
    <m/>
    <m/>
    <m/>
    <m/>
    <n v="0"/>
    <n v="0"/>
    <m/>
  </r>
  <r>
    <s v="N.A."/>
    <s v="N.A."/>
    <b v="0"/>
    <s v="No"/>
    <s v="1024.  Formación en patrimonio cultural"/>
    <s v="3-3-1-15-01-11-1024-124"/>
    <s v="No aplica"/>
    <s v="Valor correspondiente para reconocer el pago de la planilla integrada de aportes a riesgos laborales con tarifa tipo V de los contratistas de la Subdirección de Divulgación."/>
    <s v="(Cód. N.A.) Valor correspondiente para reconocer el pago de la planilla integrada de aportes a riesgos laborales con tarifa tipo V de los contratistas de la Subdirección de Divulgación."/>
    <s v="No aplica"/>
    <n v="10"/>
    <s v="No aplica"/>
    <x v="2"/>
    <s v="No aplica"/>
    <s v="No aplica"/>
    <n v="11"/>
    <n v="1"/>
    <s v="Contratación directa"/>
    <s v="CCE-16"/>
    <n v="0"/>
    <s v="ARL N. 5"/>
    <s v="ARL Civinautas"/>
    <n v="11000000"/>
    <n v="11000000"/>
    <n v="0"/>
    <n v="0"/>
    <s v="ASESORA JURIDICA"/>
    <s v="CO-DC-11001"/>
    <s v="Margarita Lucía Castañeda Vargas (Subdirección de Divulgación)"/>
    <s v="3550800"/>
    <s v="margarita.castaneda@idpc.gov.co"/>
    <s v="ME20181024"/>
    <s v="COMP1024"/>
    <s v="CONC1024"/>
    <s v="Atender niños/as y adolescentes a través de la formación en patrimonio cultural dentro del programa de _x000a_jornada única y como estrategias de uso del tiempo escolar durante el_x000a_periodo 2016 - 2020."/>
    <s v="Formación en catedra de patrimonio en colegios del distrito capital"/>
    <s v="12. Formación en Cátedra de Patrimonio en colegios distritales"/>
    <s v="FONT1024"/>
    <s v="12-Otros Distrito"/>
    <s v="04-INVESTIGACION Y ESTUDIOS"/>
    <s v="01-INVESTIGACIÓN BÁSICA APLICADA Y ESTUDIOS PROPIOS DEL SECTOR"/>
    <s v="0187-Actividades de formación en arte, cultura, patrimonio, recreación y deporte"/>
    <n v="0"/>
    <n v="11000000"/>
    <m/>
    <m/>
    <m/>
    <n v="11000000"/>
    <m/>
    <m/>
    <m/>
    <m/>
    <m/>
    <n v="11000000"/>
    <m/>
    <m/>
    <m/>
    <n v="0"/>
    <m/>
    <n v="1"/>
    <m/>
    <m/>
    <m/>
    <m/>
    <m/>
    <m/>
    <m/>
    <m/>
    <m/>
    <m/>
    <m/>
    <m/>
    <m/>
    <m/>
    <n v="0"/>
    <n v="0"/>
    <m/>
  </r>
  <r>
    <n v="3"/>
    <n v="3"/>
    <b v="0"/>
    <s v="Sí"/>
    <s v="1024.  Formación en patrimonio cultural"/>
    <s v="3-3-1-15-01-11-1024-124"/>
    <s v="80111601;80111600;"/>
    <s v="Prestar servicios profesionales al Instituto Distrital de Patrimonio Cultural para apoyar en la implementación en aula del programa de formación en patrimonio cultural CIVINAUTAS, dirigido a estudiantes de colegios distritales."/>
    <s v="(Cód. 3) Prestar servicios profesionales al Instituto Distrital de Patrimonio Cultural para apoyar en la implementación en aula del programa de formación en patrimonio cultural CIVINAUTAS, dirigido a estudiantes de colegios distritales."/>
    <d v="2019-01-25T00:00:00"/>
    <n v="10"/>
    <d v="2019-02-08T00:00:00"/>
    <x v="0"/>
    <n v="1"/>
    <n v="1"/>
    <n v="315"/>
    <n v="0"/>
    <s v="Contratación directa / Prestación de servicios profesionales y de apoyo a la gestión"/>
    <s v="CCE-16"/>
    <n v="0"/>
    <s v="N.A."/>
    <s v="Camilo Casas"/>
    <n v="28119000"/>
    <n v="28119000"/>
    <n v="0"/>
    <n v="0"/>
    <s v="ASESORA JURIDICA"/>
    <s v="CO-DC-11001"/>
    <s v="Margarita Lucía Castañeda Vargas (Subdirección de Divulgación)"/>
    <s v="3550800"/>
    <s v="margarita.castaneda@idpc.gov.co"/>
    <s v="ME20181024"/>
    <s v="COMP1024"/>
    <s v="CONC1024"/>
    <s v="Atender niños/as y adolescentes a través de la formación en patrimonio cultural dentro del programa de _x000a_jornada única y como estrategias de uso del tiempo escolar durante el_x000a_periodo 2016 - 2020."/>
    <s v="Formación en catedra de patrimonio en colegios del distrito capital"/>
    <s v="12. Formación en Cátedra de Patrimonio en colegios distritales"/>
    <s v="FONT1024"/>
    <s v="12-Otros Distrito"/>
    <s v="04-INVESTIGACION Y ESTUDIOS"/>
    <s v="01-INVESTIGACIÓN BÁSICA APLICADA Y ESTUDIOS PROPIOS DEL SECTOR"/>
    <s v="0187-Actividades de formación en arte, cultura, patrimonio, recreación y deporte"/>
    <n v="0"/>
    <n v="28119000"/>
    <m/>
    <m/>
    <m/>
    <n v="28119000"/>
    <m/>
    <m/>
    <m/>
    <m/>
    <m/>
    <n v="28119000"/>
    <m/>
    <m/>
    <m/>
    <n v="0"/>
    <m/>
    <n v="1"/>
    <m/>
    <m/>
    <m/>
    <m/>
    <m/>
    <m/>
    <m/>
    <m/>
    <m/>
    <m/>
    <m/>
    <m/>
    <m/>
    <m/>
    <n v="0"/>
    <n v="0"/>
    <m/>
  </r>
  <r>
    <n v="4"/>
    <n v="4"/>
    <b v="0"/>
    <s v="Sí"/>
    <s v="1024.  Formación en patrimonio cultural"/>
    <s v="3-3-1-15-01-11-1024-124"/>
    <s v="43211507;43211600;43212100;43211503;43201827;43201802;"/>
    <s v="Adquisición de equipos de cómputo y periféricos requeridos para el desarrollo administrativo y misional del Instituto Distrital de Patrimonio Cultural."/>
    <s v="(Cód. 4) Adquisición de equipos de cómputo y periféricos requeridos para el desarrollo administrativo y misional del Instituto Distrital de Patrimonio Cultural."/>
    <d v="2019-03-15T00:00:00"/>
    <n v="45"/>
    <d v="2019-05-17T00:00:00"/>
    <x v="3"/>
    <n v="3"/>
    <n v="3"/>
    <n v="1"/>
    <n v="1"/>
    <s v="Subasta inversa"/>
    <s v="CCE-07"/>
    <n v="0"/>
    <s v="Adquisición de computadores y equipos de computación"/>
    <s v="Computadores "/>
    <n v="10000000"/>
    <n v="10000000"/>
    <n v="0"/>
    <n v="0"/>
    <s v="ASESORA JURIDICA"/>
    <s v="CO-DC-11001"/>
    <s v="Margarita Lucía Castañeda Vargas (Subdirección de Divulgación)"/>
    <s v="3550800"/>
    <s v="margarita.castaneda@idpc.gov.co"/>
    <s v="ME20181024"/>
    <s v="COMP1024"/>
    <s v="CONC1024"/>
    <s v="Atender niños/as y adolescentes a través de la formación en patrimonio cultural dentro del programa de _x000a_jornada única y como estrategias de uso del tiempo escolar durante el_x000a_periodo 2016 - 2020."/>
    <s v="Sistematizacion de la experiencia"/>
    <s v="12. Formación en Cátedra de Patrimonio en colegios distritales"/>
    <s v="FONT1024"/>
    <s v="12-Otros Distrito"/>
    <s v="04-INVESTIGACION Y ESTUDIOS"/>
    <s v="01-INVESTIGACIÓN BÁSICA APLICADA Y ESTUDIOS PROPIOS DEL SECTOR"/>
    <s v="0187-Actividades de formación en arte, cultura, patrimonio, recreación y deporte"/>
    <n v="0"/>
    <n v="10000000"/>
    <m/>
    <m/>
    <m/>
    <n v="10000000"/>
    <m/>
    <m/>
    <m/>
    <m/>
    <m/>
    <n v="10000000"/>
    <m/>
    <m/>
    <m/>
    <n v="0"/>
    <m/>
    <n v="1"/>
    <m/>
    <m/>
    <m/>
    <m/>
    <m/>
    <m/>
    <m/>
    <m/>
    <m/>
    <m/>
    <m/>
    <m/>
    <m/>
    <m/>
    <n v="0"/>
    <n v="0"/>
    <m/>
  </r>
  <r>
    <n v="5"/>
    <n v="5"/>
    <b v="0"/>
    <s v="Sí"/>
    <s v="1024.  Formación en patrimonio cultural"/>
    <s v="3-3-1-15-01-11-1024-124"/>
    <s v="93141701;93141702;93141707;93141708;81141601;"/>
    <s v="Prestar los servicios requeridos por el Instituto Distrital de Patrimonio Cultural para atender las actividades y proyectos relacionados con la formación y divulgación del patrimonio cultural del Distrito Capital."/>
    <s v="(Cód. 5) Prestar los servicios requeridos por el Instituto Distrital de Patrimonio Cultural para atender las actividades y proyectos relacionados con la formación y divulgación del patrimonio cultural del Distrito Capital."/>
    <d v="2019-01-20T00:00:00"/>
    <n v="10"/>
    <d v="2019-02-01T00:00:00"/>
    <x v="0"/>
    <n v="1"/>
    <n v="1"/>
    <n v="10"/>
    <n v="1"/>
    <s v="Contratación directa"/>
    <s v="CCE-16"/>
    <n v="0"/>
    <s v="Logística"/>
    <s v="Contrato Inter/Tequendama_x000a_Exposición_x000a_Refrigerios"/>
    <n v="59400000"/>
    <n v="59400000"/>
    <n v="0"/>
    <n v="0"/>
    <s v="ASESORA JURIDICA"/>
    <s v="CO-DC-11001"/>
    <s v="Margarita Lucía Castañeda Vargas (Subdirección de Divulgación)"/>
    <s v="3550800"/>
    <s v="margarita.castaneda@idpc.gov.co"/>
    <s v="ME20181024"/>
    <s v="COMP1024"/>
    <s v="CONC1024"/>
    <s v="Atender niños/as y adolescentes a través de la formación en patrimonio cultural dentro del programa de _x000a_jornada única y como estrategias de uso del tiempo escolar durante el_x000a_periodo 2016 - 2020."/>
    <s v="Formación en catedra de patrimonio en colegios del distrito capital"/>
    <s v="12. Formación en Cátedra de Patrimonio en colegios distritales"/>
    <s v="FONT1024"/>
    <s v="12-Otros Distrito"/>
    <s v="04-INVESTIGACION Y ESTUDIOS"/>
    <s v="01-INVESTIGACIÓN BÁSICA APLICADA Y ESTUDIOS PROPIOS DEL SECTOR"/>
    <s v="0187-Actividades de formación en arte, cultura, patrimonio, recreación y deporte"/>
    <n v="0"/>
    <n v="59400000"/>
    <m/>
    <m/>
    <m/>
    <n v="59400000"/>
    <m/>
    <m/>
    <m/>
    <m/>
    <m/>
    <n v="59400000"/>
    <m/>
    <m/>
    <m/>
    <n v="0"/>
    <m/>
    <n v="1"/>
    <m/>
    <m/>
    <m/>
    <m/>
    <m/>
    <m/>
    <m/>
    <m/>
    <m/>
    <m/>
    <m/>
    <m/>
    <m/>
    <m/>
    <n v="0"/>
    <n v="0"/>
    <m/>
  </r>
  <r>
    <n v="6"/>
    <n v="6"/>
    <b v="0"/>
    <s v="Sí"/>
    <s v="1024.  Formación en patrimonio cultural"/>
    <s v="3-3-1-15-01-11-1024-124"/>
    <s v="80111601;80111600;"/>
    <s v=" Prestar servicios profesionales al Instituto Distrital de Patrimonio Cultural para apoyar las actividades administrativas del programa de formación en patrimonio cultural CIVINAUTAS, dirigido a estudiantes de colegios distritales."/>
    <s v="(Cód. 6)  Prestar servicios profesionales al Instituto Distrital de Patrimonio Cultural para apoyar las actividades administrativas del programa de formación en patrimonio cultural CIVINAUTAS, dirigido a estudiantes de colegios distritales."/>
    <d v="2019-01-15T00:00:00"/>
    <n v="10"/>
    <d v="2019-01-29T00:00:00"/>
    <x v="1"/>
    <n v="1"/>
    <n v="1"/>
    <n v="11"/>
    <n v="1"/>
    <s v="Contratación directa / Prestación de servicios profesionales y de apoyo a la gestión"/>
    <s v="CCE-16"/>
    <n v="0"/>
    <s v="N.A."/>
    <s v="Diana Pedraza"/>
    <n v="5180000"/>
    <n v="5180000"/>
    <n v="0"/>
    <n v="0"/>
    <s v="ASESORA JURIDICA"/>
    <s v="CO-DC-11001"/>
    <s v="Margarita Lucía Castañeda Vargas (Subdirección de Divulgación)"/>
    <s v="3550800"/>
    <s v="margarita.castaneda@idpc.gov.co"/>
    <s v="ME20181024"/>
    <s v="COMP1024"/>
    <s v="CONC1024"/>
    <s v="Atender niños/as y adolescentes a través de la formación en patrimonio cultural dentro del programa de _x000a_jornada única y como estrategias de uso del tiempo escolar durante el_x000a_periodo 2016 - 2020."/>
    <s v="Formacion a docentes"/>
    <s v="12. Formación en Cátedra de Patrimonio en colegios distritales"/>
    <s v="FONT1024"/>
    <s v="12-Otros Distrito"/>
    <s v="04-INVESTIGACION Y ESTUDIOS"/>
    <s v="01-INVESTIGACIÓN BÁSICA APLICADA Y ESTUDIOS PROPIOS DEL SECTOR"/>
    <s v="0187-Actividades de formación en arte, cultura, patrimonio, recreación y deporte"/>
    <n v="0"/>
    <n v="5180000"/>
    <m/>
    <m/>
    <m/>
    <n v="5180000"/>
    <m/>
    <m/>
    <m/>
    <m/>
    <m/>
    <n v="5180000"/>
    <m/>
    <m/>
    <m/>
    <n v="0"/>
    <m/>
    <n v="1"/>
    <m/>
    <m/>
    <m/>
    <m/>
    <m/>
    <m/>
    <m/>
    <m/>
    <m/>
    <m/>
    <m/>
    <m/>
    <m/>
    <m/>
    <n v="0"/>
    <n v="0"/>
    <m/>
  </r>
  <r>
    <n v="6"/>
    <n v="6"/>
    <b v="1"/>
    <s v="Sí"/>
    <s v="1024.  Formación en patrimonio cultural"/>
    <s v="3-3-1-15-01-11-1024-124"/>
    <s v="80111601;80111600;"/>
    <s v=" Prestar servicios profesionales al Instituto Distrital de Patrimonio Cultural para apoyar las actividades administrativas del programa de formación en patrimonio cultural CIVINAUTAS, dirigido a estudiantes de colegios distritales."/>
    <s v="(Cód. 6)  Prestar servicios profesionales al Instituto Distrital de Patrimonio Cultural para apoyar las actividades administrativas del programa de formación en patrimonio cultural CIVINAUTAS, dirigido a estudiantes de colegios distritales."/>
    <d v="2019-01-15T00:00:00"/>
    <n v="10"/>
    <d v="2019-01-29T00:00:00"/>
    <x v="1"/>
    <n v="1"/>
    <n v="1"/>
    <n v="11"/>
    <n v="1"/>
    <s v="Contratación directa / Prestación de servicios profesionales y de apoyo a la gestión"/>
    <s v="CCE-16"/>
    <n v="0"/>
    <s v="N.A."/>
    <s v="Diana Pedraza"/>
    <n v="48280000"/>
    <n v="48280000"/>
    <n v="0"/>
    <n v="0"/>
    <s v="ASESORA JURIDICA"/>
    <s v="CO-DC-11001"/>
    <s v="Margarita Lucía Castañeda Vargas (Subdirección de Divulgación)"/>
    <s v="3550800"/>
    <s v="margarita.castaneda@idpc.gov.co"/>
    <s v="ME20181024"/>
    <s v="COMP1024"/>
    <s v="CONC1024"/>
    <s v="Atender niños/as y adolescentes a través de la formación en patrimonio cultural dentro del programa de _x000a_jornada única y como estrategias de uso del tiempo escolar durante el_x000a_periodo 2016 - 2020."/>
    <s v="Formación en catedra de patrimonio en colegios del distrito capital"/>
    <s v="12. Formación en Cátedra de Patrimonio en colegios distritales"/>
    <s v="FONT1024"/>
    <s v="12-Otros Distrito"/>
    <s v="04-INVESTIGACION Y ESTUDIOS"/>
    <s v="01-INVESTIGACIÓN BÁSICA APLICADA Y ESTUDIOS PROPIOS DEL SECTOR"/>
    <s v="0187-Actividades de formación en arte, cultura, patrimonio, recreación y deporte"/>
    <n v="0"/>
    <n v="48280000"/>
    <m/>
    <m/>
    <m/>
    <n v="48280000"/>
    <m/>
    <m/>
    <m/>
    <m/>
    <m/>
    <n v="48280000"/>
    <m/>
    <m/>
    <m/>
    <n v="0"/>
    <m/>
    <n v="1"/>
    <m/>
    <m/>
    <m/>
    <m/>
    <m/>
    <m/>
    <m/>
    <m/>
    <m/>
    <m/>
    <m/>
    <m/>
    <m/>
    <m/>
    <n v="0"/>
    <n v="0"/>
    <m/>
  </r>
  <r>
    <n v="7"/>
    <n v="7"/>
    <b v="0"/>
    <s v="Sí"/>
    <s v="1024.  Formación en patrimonio cultural"/>
    <s v="3-3-1-15-01-11-1024-124"/>
    <s v="80111601;80111600;"/>
    <s v="Prestar servicios profesionales al Instituto Distrital de Patrimonio Cultural para orientar los procesos de formación en patrimonio cultural, en el marco del proyecto de inversión 1024 - Formación en patrimonio cultural."/>
    <s v="(Cód. 7) Prestar servicios profesionales al Instituto Distrital de Patrimonio Cultural para orientar los procesos de formación en patrimonio cultural, en el marco del proyecto de inversión 1024 - Formación en patrimonio cultural."/>
    <d v="2019-01-15T00:00:00"/>
    <n v="10"/>
    <d v="2019-01-29T00:00:00"/>
    <x v="1"/>
    <n v="1"/>
    <n v="1"/>
    <n v="11"/>
    <n v="1"/>
    <s v="Contratación directa / Prestación de servicios profesionales y de apoyo a la gestión"/>
    <s v="CCE-16"/>
    <n v="0"/>
    <s v="N.A."/>
    <s v="Fabio López"/>
    <n v="72820000"/>
    <n v="72820000"/>
    <n v="0"/>
    <n v="0"/>
    <s v="ASESORA JURIDICA"/>
    <s v="CO-DC-11001"/>
    <s v="Margarita Lucía Castañeda Vargas (Subdirección de Divulgación)"/>
    <s v="3550800"/>
    <s v="margarita.castaneda@idpc.gov.co"/>
    <s v="ME20181024"/>
    <s v="COMP1024"/>
    <s v="CONC1024"/>
    <s v="Atender niños/as y adolescentes a través de la formación en patrimonio cultural dentro del programa de _x000a_jornada única y como estrategias de uso del tiempo escolar durante el_x000a_periodo 2016 - 2020."/>
    <s v="Formacion a docentes"/>
    <s v="12. Formación en Cátedra de Patrimonio en colegios distritales"/>
    <s v="FONT1024"/>
    <s v="12-Otros Distrito"/>
    <s v="04-INVESTIGACION Y ESTUDIOS"/>
    <s v="01-INVESTIGACIÓN BÁSICA APLICADA Y ESTUDIOS PROPIOS DEL SECTOR"/>
    <s v="0187-Actividades de formación en arte, cultura, patrimonio, recreación y deporte"/>
    <n v="0"/>
    <n v="72820000"/>
    <m/>
    <m/>
    <m/>
    <n v="72820000"/>
    <m/>
    <m/>
    <m/>
    <m/>
    <m/>
    <n v="72820000"/>
    <m/>
    <m/>
    <m/>
    <n v="0"/>
    <m/>
    <n v="1"/>
    <m/>
    <m/>
    <m/>
    <m/>
    <m/>
    <m/>
    <m/>
    <m/>
    <m/>
    <m/>
    <m/>
    <m/>
    <m/>
    <m/>
    <n v="0"/>
    <n v="0"/>
    <m/>
  </r>
  <r>
    <n v="8"/>
    <n v="8"/>
    <b v="0"/>
    <s v="Sí"/>
    <s v="1024.  Formación en patrimonio cultural"/>
    <s v="3-3-1-15-01-11-1024-124"/>
    <s v="82121801;82121506;"/>
    <s v="Contratar la impresión del material divulgativo requerido para la ejecución de los procesos misionales de la Subdirección de Divulgación del Instituto Distrital de Patrimonio Cultural."/>
    <s v="(Cód. 8) Contratar la impresión del material divulgativo requerido para la ejecución de los procesos misionales de la Subdirección de Divulgación del Instituto Distrital de Patrimonio Cultural."/>
    <d v="2019-03-15T00:00:00"/>
    <n v="45"/>
    <d v="2019-05-17T00:00:00"/>
    <x v="3"/>
    <n v="3"/>
    <n v="3"/>
    <n v="4"/>
    <n v="1"/>
    <s v="Menor cuantía"/>
    <s v="CCE-06"/>
    <n v="0"/>
    <s v="Impresos y publicaciones"/>
    <s v="Material divulgativo (civinautas)_x000a_Kits Reimpresi"/>
    <n v="29528000"/>
    <n v="29528000"/>
    <n v="0"/>
    <n v="0"/>
    <s v="ASESORA JURIDICA"/>
    <s v="CO-DC-11001"/>
    <s v="Margarita Lucía Castañeda Vargas (Subdirección de Divulgación)"/>
    <s v="3550800"/>
    <s v="margarita.castaneda@idpc.gov.co"/>
    <s v="ME20181024"/>
    <s v="COMP1024"/>
    <s v="CONC1024"/>
    <s v="Atender niños/as y adolescentes a través de la formación en patrimonio cultural dentro del programa de _x000a_jornada única y como estrategias de uso del tiempo escolar durante el_x000a_periodo 2016 - 2020."/>
    <s v="Formación en catedra de patrimonio en colegios del distrito capital"/>
    <s v="12. Formación en Cátedra de Patrimonio en colegios distritales"/>
    <s v="FONT1024"/>
    <s v="12-Otros Distrito"/>
    <s v="04-INVESTIGACION Y ESTUDIOS"/>
    <s v="01-INVESTIGACIÓN BÁSICA APLICADA Y ESTUDIOS PROPIOS DEL SECTOR"/>
    <s v="0187-Actividades de formación en arte, cultura, patrimonio, recreación y deporte"/>
    <n v="0"/>
    <n v="29528000"/>
    <m/>
    <m/>
    <m/>
    <n v="29528000"/>
    <m/>
    <m/>
    <m/>
    <m/>
    <m/>
    <n v="29528000"/>
    <m/>
    <m/>
    <m/>
    <n v="0"/>
    <m/>
    <n v="1"/>
    <m/>
    <m/>
    <m/>
    <m/>
    <m/>
    <m/>
    <m/>
    <m/>
    <m/>
    <m/>
    <m/>
    <m/>
    <m/>
    <m/>
    <n v="0"/>
    <n v="0"/>
    <m/>
  </r>
  <r>
    <n v="9"/>
    <n v="9"/>
    <b v="0"/>
    <s v="Sí"/>
    <s v="1024.  Formación en patrimonio cultural"/>
    <s v="3-3-1-15-01-11-1024-124"/>
    <s v="80111601;80111600;"/>
    <s v="Prestar servicios profesionales al Instituto Distrital de Patrimonio Cultural para apoyar en la implementación en aula del programa de formación en patrimonio cultural CIVINAUTAS, dirigido a estudiantes de colegios distritales."/>
    <s v="(Cód. 9) Prestar servicios profesionales al Instituto Distrital de Patrimonio Cultural para apoyar en la implementación en aula del programa de formación en patrimonio cultural CIVINAUTAS, dirigido a estudiantes de colegios distritales."/>
    <d v="2019-01-25T00:00:00"/>
    <n v="10"/>
    <d v="2019-02-08T00:00:00"/>
    <x v="0"/>
    <n v="1"/>
    <n v="1"/>
    <n v="315"/>
    <n v="0"/>
    <s v="Contratación directa / Prestación de servicios profesionales y de apoyo a la gestión"/>
    <s v="CCE-16"/>
    <n v="0"/>
    <s v="N.A."/>
    <s v="Nuevo mediador"/>
    <n v="28119000"/>
    <n v="28119000"/>
    <n v="0"/>
    <n v="0"/>
    <s v="ASESORA JURIDICA"/>
    <s v="CO-DC-11001"/>
    <s v="Margarita Lucía Castañeda Vargas (Subdirección de Divulgación)"/>
    <s v="3550800"/>
    <s v="margarita.castaneda@idpc.gov.co"/>
    <s v="ME20181024"/>
    <s v="COMP1024"/>
    <s v="CONC1024"/>
    <s v="Atender niños/as y adolescentes a través de la formación en patrimonio cultural dentro del programa de _x000a_jornada única y como estrategias de uso del tiempo escolar durante el_x000a_periodo 2016 - 2020."/>
    <s v="Formación en catedra de patrimonio en colegios del distrito capital"/>
    <s v="12. Formación en Cátedra de Patrimonio en colegios distritales"/>
    <s v="FONT1024"/>
    <s v="12-Otros Distrito"/>
    <s v="04-INVESTIGACION Y ESTUDIOS"/>
    <s v="01-INVESTIGACIÓN BÁSICA APLICADA Y ESTUDIOS PROPIOS DEL SECTOR"/>
    <s v="0187-Actividades de formación en arte, cultura, patrimonio, recreación y deporte"/>
    <n v="0"/>
    <n v="28119000"/>
    <m/>
    <m/>
    <m/>
    <n v="28119000"/>
    <m/>
    <m/>
    <m/>
    <m/>
    <m/>
    <n v="28119000"/>
    <m/>
    <m/>
    <m/>
    <n v="0"/>
    <m/>
    <n v="1"/>
    <m/>
    <m/>
    <m/>
    <m/>
    <m/>
    <m/>
    <m/>
    <m/>
    <m/>
    <m/>
    <m/>
    <m/>
    <m/>
    <m/>
    <n v="0"/>
    <n v="0"/>
    <m/>
  </r>
  <r>
    <n v="10"/>
    <n v="10"/>
    <b v="0"/>
    <s v="Sí"/>
    <s v="1024.  Formación en patrimonio cultural"/>
    <s v="3-3-1-15-01-11-1024-124"/>
    <s v="80111601;80111600;"/>
    <s v="Prestar servicios profesionales al Instituto Distrital de Patrimonio Cultural para apoyar en la implementación en aula del programa de formación en patrimonio cultural CIVINAUTAS, dirigido a estudiantes de colegios distritales."/>
    <s v="(Cód. 10) Prestar servicios profesionales al Instituto Distrital de Patrimonio Cultural para apoyar en la implementación en aula del programa de formación en patrimonio cultural CIVINAUTAS, dirigido a estudiantes de colegios distritales."/>
    <d v="2019-01-25T00:00:00"/>
    <n v="10"/>
    <d v="2019-02-08T00:00:00"/>
    <x v="0"/>
    <n v="1"/>
    <n v="1"/>
    <n v="315"/>
    <n v="0"/>
    <s v="Contratación directa / Prestación de servicios profesionales y de apoyo a la gestión"/>
    <s v="CCE-16"/>
    <n v="0"/>
    <s v="N.A."/>
    <s v="Nuevo mediador"/>
    <n v="28119000"/>
    <n v="28119000"/>
    <n v="0"/>
    <n v="0"/>
    <s v="ASESORA JURIDICA"/>
    <s v="CO-DC-11001"/>
    <s v="Margarita Lucía Castañeda Vargas (Subdirección de Divulgación)"/>
    <s v="3550800"/>
    <s v="margarita.castaneda@idpc.gov.co"/>
    <s v="ME20181024"/>
    <s v="COMP1024"/>
    <s v="CONC1024"/>
    <s v="Atender niños/as y adolescentes a través de la formación en patrimonio cultural dentro del programa de _x000a_jornada única y como estrategias de uso del tiempo escolar durante el_x000a_periodo 2016 - 2020."/>
    <s v="Formación en catedra de patrimonio en colegios del distrito capital"/>
    <s v="12. Formación en Cátedra de Patrimonio en colegios distritales"/>
    <s v="FONT1024"/>
    <s v="12-Otros Distrito"/>
    <s v="04-INVESTIGACION Y ESTUDIOS"/>
    <s v="01-INVESTIGACIÓN BÁSICA APLICADA Y ESTUDIOS PROPIOS DEL SECTOR"/>
    <s v="0187-Actividades de formación en arte, cultura, patrimonio, recreación y deporte"/>
    <n v="0"/>
    <n v="28119000"/>
    <m/>
    <m/>
    <m/>
    <n v="28119000"/>
    <m/>
    <m/>
    <m/>
    <m/>
    <m/>
    <n v="28119000"/>
    <m/>
    <m/>
    <m/>
    <n v="0"/>
    <m/>
    <n v="1"/>
    <m/>
    <m/>
    <m/>
    <m/>
    <m/>
    <m/>
    <m/>
    <m/>
    <m/>
    <m/>
    <m/>
    <m/>
    <m/>
    <m/>
    <n v="0"/>
    <n v="0"/>
    <m/>
  </r>
  <r>
    <n v="11"/>
    <n v="11"/>
    <b v="0"/>
    <s v="Sí"/>
    <s v="1024.  Formación en patrimonio cultural"/>
    <s v="3-3-1-15-01-11-1024-124"/>
    <s v="80111601;80111600;"/>
    <s v="Prestar servicios profesionales al Instituto Distrital de Patrimonio Cultural para apoyar en la implementación en aula del programa de formación en patrimonio cultural CIVINAUTAS, dirigido a estudiantes de colegios distritales."/>
    <s v="(Cód. 11) Prestar servicios profesionales al Instituto Distrital de Patrimonio Cultural para apoyar en la implementación en aula del programa de formación en patrimonio cultural CIVINAUTAS, dirigido a estudiantes de colegios distritales."/>
    <d v="2019-01-25T00:00:00"/>
    <n v="10"/>
    <d v="2019-02-08T00:00:00"/>
    <x v="0"/>
    <n v="1"/>
    <n v="1"/>
    <n v="315"/>
    <n v="0"/>
    <s v="Contratación directa / Prestación de servicios profesionales y de apoyo a la gestión"/>
    <s v="CCE-16"/>
    <n v="0"/>
    <s v="N.A."/>
    <s v="Nuevo mediador"/>
    <n v="28119000"/>
    <n v="28119000"/>
    <n v="0"/>
    <n v="0"/>
    <s v="ASESORA JURIDICA"/>
    <s v="CO-DC-11001"/>
    <s v="Margarita Lucía Castañeda Vargas (Subdirección de Divulgación)"/>
    <s v="3550800"/>
    <s v="margarita.castaneda@idpc.gov.co"/>
    <s v="ME20181024"/>
    <s v="COMP1024"/>
    <s v="CONC1024"/>
    <s v="Atender niños/as y adolescentes a través de la formación en patrimonio cultural dentro del programa de _x000a_jornada única y como estrategias de uso del tiempo escolar durante el_x000a_periodo 2016 - 2020."/>
    <s v="Formación en catedra de patrimonio en colegios del distrito capital"/>
    <s v="12. Formación en Cátedra de Patrimonio en colegios distritales"/>
    <s v="FONT1024"/>
    <s v="12-Otros Distrito"/>
    <s v="04-INVESTIGACION Y ESTUDIOS"/>
    <s v="01-INVESTIGACIÓN BÁSICA APLICADA Y ESTUDIOS PROPIOS DEL SECTOR"/>
    <s v="0187-Actividades de formación en arte, cultura, patrimonio, recreación y deporte"/>
    <n v="0"/>
    <n v="28119000"/>
    <m/>
    <m/>
    <m/>
    <n v="28119000"/>
    <m/>
    <m/>
    <m/>
    <m/>
    <m/>
    <n v="28119000"/>
    <m/>
    <m/>
    <m/>
    <n v="0"/>
    <m/>
    <n v="1"/>
    <m/>
    <m/>
    <m/>
    <m/>
    <m/>
    <m/>
    <m/>
    <m/>
    <m/>
    <m/>
    <m/>
    <m/>
    <m/>
    <m/>
    <n v="0"/>
    <n v="0"/>
    <m/>
  </r>
  <r>
    <n v="12"/>
    <n v="12"/>
    <b v="0"/>
    <s v="Sí"/>
    <s v="1024.  Formación en patrimonio cultural"/>
    <s v="3-3-1-15-01-11-1024-124"/>
    <s v="80111601;80111600;"/>
    <s v="Prestar servicios profesionales al Instituto Distrital de Patrimonio Cultural para apoyar en la implementación en aula del programa de formación en patrimonio cultural CIVINAUTAS, dirigido a estudiantes de colegios distritales."/>
    <s v="(Cód. 12) Prestar servicios profesionales al Instituto Distrital de Patrimonio Cultural para apoyar en la implementación en aula del programa de formación en patrimonio cultural CIVINAUTAS, dirigido a estudiantes de colegios distritales."/>
    <d v="2019-01-25T00:00:00"/>
    <n v="10"/>
    <d v="2019-02-08T00:00:00"/>
    <x v="0"/>
    <n v="1"/>
    <n v="1"/>
    <n v="315"/>
    <n v="0"/>
    <s v="Contratación directa / Prestación de servicios profesionales y de apoyo a la gestión"/>
    <s v="CCE-16"/>
    <n v="0"/>
    <s v="N.A."/>
    <s v="Nuevo mediador"/>
    <n v="28119000"/>
    <n v="28119000"/>
    <n v="0"/>
    <n v="0"/>
    <s v="ASESORA JURIDICA"/>
    <s v="CO-DC-11001"/>
    <s v="Margarita Lucía Castañeda Vargas (Subdirección de Divulgación)"/>
    <s v="3550800"/>
    <s v="margarita.castaneda@idpc.gov.co"/>
    <s v="ME20181024"/>
    <s v="COMP1024"/>
    <s v="CONC1024"/>
    <s v="Atender niños/as y adolescentes a través de la formación en patrimonio cultural dentro del programa de _x000a_jornada única y como estrategias de uso del tiempo escolar durante el_x000a_periodo 2016 - 2020."/>
    <s v="Formación en catedra de patrimonio en colegios del distrito capital"/>
    <s v="12. Formación en Cátedra de Patrimonio en colegios distritales"/>
    <s v="FONT1024"/>
    <s v="12-Otros Distrito"/>
    <s v="04-INVESTIGACION Y ESTUDIOS"/>
    <s v="01-INVESTIGACIÓN BÁSICA APLICADA Y ESTUDIOS PROPIOS DEL SECTOR"/>
    <s v="0187-Actividades de formación en arte, cultura, patrimonio, recreación y deporte"/>
    <n v="0"/>
    <n v="28119000"/>
    <m/>
    <m/>
    <m/>
    <n v="28119000"/>
    <m/>
    <m/>
    <m/>
    <m/>
    <m/>
    <n v="28119000"/>
    <m/>
    <m/>
    <m/>
    <n v="0"/>
    <m/>
    <n v="1"/>
    <m/>
    <m/>
    <m/>
    <m/>
    <m/>
    <m/>
    <m/>
    <m/>
    <m/>
    <m/>
    <m/>
    <m/>
    <m/>
    <m/>
    <n v="0"/>
    <n v="0"/>
    <m/>
  </r>
  <r>
    <n v="13"/>
    <n v="13"/>
    <b v="0"/>
    <s v="Sí"/>
    <s v="1024.  Formación en patrimonio cultural"/>
    <s v="3-3-1-15-01-11-1024-124"/>
    <s v="44121600;44121700;44110000;44122000;"/>
    <s v="Suministro de papelería, elementos de oficina, útiles escolares y material fungible requeridos para el desarrollo administrativo y misional del Instituto Distrital de Patrimonio Cultural."/>
    <s v="(Cód. 13) Suministro de papelería, elementos de oficina, útiles escolares y material fungible requeridos para el desarrollo administrativo y misional del Instituto Distrital de Patrimonio Cultural."/>
    <d v="2019-03-15T00:00:00"/>
    <n v="45"/>
    <d v="2019-05-17T00:00:00"/>
    <x v="3"/>
    <n v="3"/>
    <n v="3"/>
    <n v="10"/>
    <n v="1"/>
    <s v="Subasta inversa"/>
    <s v="CCE-07"/>
    <n v="0"/>
    <s v="Papelería"/>
    <s v="papelería"/>
    <n v="30000000"/>
    <n v="30000000"/>
    <n v="0"/>
    <n v="0"/>
    <s v="ASESORA JURIDICA"/>
    <s v="CO-DC-11001"/>
    <s v="Margarita Lucía Castañeda Vargas (Subdirección de Divulgación)"/>
    <s v="3550800"/>
    <s v="margarita.castaneda@idpc.gov.co"/>
    <s v="ME20181024"/>
    <s v="COMP1024"/>
    <s v="CONC1024"/>
    <s v="Atender niños/as y adolescentes a través de la formación en patrimonio cultural dentro del programa de _x000a_jornada única y como estrategias de uso del tiempo escolar durante el_x000a_periodo 2016 - 2020."/>
    <s v="Formación en catedra de patrimonio en colegios del distrito capital"/>
    <s v="12. Formación en Cátedra de Patrimonio en colegios distritales"/>
    <s v="FONT1024"/>
    <s v="12-Otros Distrito"/>
    <s v="04-INVESTIGACION Y ESTUDIOS"/>
    <s v="01-INVESTIGACIÓN BÁSICA APLICADA Y ESTUDIOS PROPIOS DEL SECTOR"/>
    <s v="0187-Actividades de formación en arte, cultura, patrimonio, recreación y deporte"/>
    <n v="0"/>
    <n v="30000000"/>
    <m/>
    <m/>
    <m/>
    <n v="30000000"/>
    <m/>
    <m/>
    <m/>
    <m/>
    <m/>
    <n v="30000000"/>
    <m/>
    <m/>
    <m/>
    <n v="0"/>
    <m/>
    <n v="1"/>
    <m/>
    <m/>
    <m/>
    <m/>
    <m/>
    <m/>
    <m/>
    <m/>
    <m/>
    <m/>
    <m/>
    <m/>
    <m/>
    <m/>
    <n v="0"/>
    <n v="0"/>
    <m/>
  </r>
  <r>
    <n v="14"/>
    <n v="14"/>
    <b v="0"/>
    <s v="Sí"/>
    <s v="1024.  Formación en patrimonio cultural"/>
    <s v="3-3-1-15-01-11-1024-124"/>
    <s v="80111601;80111600;"/>
    <s v="Prestar servicios profesionales al Instituto Distrital de Patrimonio Cultural para acompañar el componente pedagógico de los procesos de formación en patrimonio cultural, en el marco del proyecto de inversión 1024 - Formación en patrimonio cultural."/>
    <s v="(Cód. 14) Prestar servicios profesionales al Instituto Distrital de Patrimonio Cultural para acompañar el componente pedagógico de los procesos de formación en patrimonio cultural, en el marco del proyecto de inversión 1024 - Formación en patrimonio cultural."/>
    <d v="2019-01-15T00:00:00"/>
    <n v="10"/>
    <d v="2019-01-29T00:00:00"/>
    <x v="1"/>
    <n v="1"/>
    <n v="1"/>
    <n v="11"/>
    <n v="1"/>
    <s v="Contratación directa / Prestación de servicios profesionales y de apoyo a la gestión"/>
    <s v="CCE-16"/>
    <n v="0"/>
    <s v="N.A."/>
    <s v="Paula Ávila"/>
    <n v="53460000"/>
    <n v="53460000"/>
    <n v="0"/>
    <n v="0"/>
    <s v="ASESORA JURIDICA"/>
    <s v="CO-DC-11001"/>
    <s v="Margarita Lucía Castañeda Vargas (Subdirección de Divulgación)"/>
    <s v="3550800"/>
    <s v="margarita.castaneda@idpc.gov.co"/>
    <s v="ME20181024"/>
    <s v="COMP1024"/>
    <s v="CONC1024"/>
    <s v="Atender niños/as y adolescentes a través de la formación en patrimonio cultural dentro del programa de _x000a_jornada única y como estrategias de uso del tiempo escolar durante el_x000a_periodo 2016 - 2020."/>
    <s v="Formación en catedra de patrimonio en colegios del distrito capital"/>
    <s v="12. Formación en Cátedra de Patrimonio en colegios distritales"/>
    <s v="FONT1024"/>
    <s v="12-Otros Distrito"/>
    <s v="04-INVESTIGACION Y ESTUDIOS"/>
    <s v="01-INVESTIGACIÓN BÁSICA APLICADA Y ESTUDIOS PROPIOS DEL SECTOR"/>
    <s v="0187-Actividades de formación en arte, cultura, patrimonio, recreación y deporte"/>
    <n v="0"/>
    <n v="53460000"/>
    <m/>
    <m/>
    <m/>
    <n v="53460000"/>
    <m/>
    <m/>
    <m/>
    <m/>
    <m/>
    <n v="53460000"/>
    <m/>
    <m/>
    <m/>
    <n v="0"/>
    <m/>
    <n v="1"/>
    <m/>
    <m/>
    <m/>
    <m/>
    <m/>
    <m/>
    <m/>
    <m/>
    <m/>
    <m/>
    <m/>
    <m/>
    <m/>
    <m/>
    <n v="0"/>
    <n v="0"/>
    <m/>
  </r>
  <r>
    <n v="15"/>
    <n v="15"/>
    <b v="0"/>
    <s v="Sí"/>
    <s v="1024.  Formación en patrimonio cultural"/>
    <s v="3-3-1-15-01-11-1024-124"/>
    <s v="82121801;82121506;"/>
    <s v="Contratar el proceso de impresión, encuadernación y acabados de los impresos y publicaciones requeridos para el desarrollo de los proyectos misionales adelantados por la Subdirección de Divulgación del Instituto Distrital de Patrimonio Cultural."/>
    <s v="(Cód. 15) Contratar el proceso de impresión, encuadernación y acabados de los impresos y publicaciones requeridos para el desarrollo de los proyectos misionales adelantados por la Subdirección de Divulgación del Instituto Distrital de Patrimonio Cultural."/>
    <d v="2019-03-20T00:00:00"/>
    <n v="50"/>
    <d v="2019-05-29T00:00:00"/>
    <x v="3"/>
    <n v="3"/>
    <n v="3"/>
    <n v="8"/>
    <n v="1"/>
    <s v="Licitación pública"/>
    <s v="CCE-02"/>
    <n v="0"/>
    <s v="Impresos y publicaciones"/>
    <s v="Publicaciones Civinautas"/>
    <n v="20000000"/>
    <n v="20000000"/>
    <n v="0"/>
    <n v="0"/>
    <s v="ASESORA JURIDICA"/>
    <s v="CO-DC-11001"/>
    <s v="Margarita Lucía Castañeda Vargas (Subdirección de Divulgación)"/>
    <s v="3550800"/>
    <s v="margarita.castaneda@idpc.gov.co"/>
    <s v="ME20181024"/>
    <s v="COMP1024"/>
    <s v="CONC1024"/>
    <s v="Atender niños/as y adolescentes a través de la formación en patrimonio cultural dentro del programa de _x000a_jornada única y como estrategias de uso del tiempo escolar durante el_x000a_periodo 2016 - 2020."/>
    <s v="Formación en catedra de patrimonio en colegios del distrito capital"/>
    <s v="12. Formación en Cátedra de Patrimonio en colegios distritales"/>
    <s v="FONT1024"/>
    <s v="12-Otros Distrito"/>
    <s v="04-INVESTIGACION Y ESTUDIOS"/>
    <s v="01-INVESTIGACIÓN BÁSICA APLICADA Y ESTUDIOS PROPIOS DEL SECTOR"/>
    <s v="0187-Actividades de formación en arte, cultura, patrimonio, recreación y deporte"/>
    <n v="0"/>
    <n v="20000000"/>
    <m/>
    <m/>
    <m/>
    <n v="20000000"/>
    <m/>
    <m/>
    <m/>
    <m/>
    <m/>
    <n v="20000000"/>
    <m/>
    <m/>
    <m/>
    <n v="0"/>
    <m/>
    <n v="1"/>
    <m/>
    <m/>
    <m/>
    <m/>
    <m/>
    <m/>
    <m/>
    <m/>
    <m/>
    <m/>
    <m/>
    <m/>
    <m/>
    <m/>
    <n v="0"/>
    <n v="0"/>
    <m/>
  </r>
  <r>
    <n v="16"/>
    <n v="16"/>
    <b v="0"/>
    <s v="Sí"/>
    <s v="1024.  Formación en patrimonio cultural"/>
    <s v="3-3-1-15-01-11-1024-124"/>
    <s v="80111601;80111600;"/>
    <s v="Prestar servicios profesionales al Instituto Distrital de Patrimonio Cultural como apoyo en la gestión territorial de los procesos de formación, en el marco del proyecto de inversión 1024 - Formación en patrimonio cultural."/>
    <s v="(Cód. 16) Prestar servicios profesionales al Instituto Distrital de Patrimonio Cultural como apoyo en la gestión territorial de los procesos de formación, en el marco del proyecto de inversión 1024 - Formación en patrimonio cultural."/>
    <d v="2019-01-15T00:00:00"/>
    <n v="10"/>
    <d v="2019-01-29T00:00:00"/>
    <x v="1"/>
    <n v="1"/>
    <n v="1"/>
    <n v="11"/>
    <n v="1"/>
    <s v="Contratación directa / Prestación de servicios profesionales y de apoyo a la gestión"/>
    <s v="CCE-16"/>
    <n v="0"/>
    <s v="N.A."/>
    <s v="Sara Beatriz Acuña"/>
    <n v="53460000"/>
    <n v="53460000"/>
    <n v="0"/>
    <n v="0"/>
    <s v="ASESORA JURIDICA"/>
    <s v="CO-DC-11001"/>
    <s v="Margarita Lucía Castañeda Vargas (Subdirección de Divulgación)"/>
    <s v="3550800"/>
    <s v="margarita.castaneda@idpc.gov.co"/>
    <s v="ME20181024"/>
    <s v="COMP1024"/>
    <s v="CONC1024"/>
    <s v="Atender niños/as y adolescentes a través de la formación en patrimonio cultural dentro del programa de _x000a_jornada única y como estrategias de uso del tiempo escolar durante el_x000a_periodo 2016 - 2020."/>
    <s v="Formación en catedra de patrimonio en colegios del distrito capital"/>
    <s v="12. Formación en Cátedra de Patrimonio en colegios distritales"/>
    <s v="FONT1024"/>
    <s v="12-Otros Distrito"/>
    <s v="04-INVESTIGACION Y ESTUDIOS"/>
    <s v="01-INVESTIGACIÓN BÁSICA APLICADA Y ESTUDIOS PROPIOS DEL SECTOR"/>
    <s v="0187-Actividades de formación en arte, cultura, patrimonio, recreación y deporte"/>
    <n v="0"/>
    <n v="53460000"/>
    <m/>
    <m/>
    <m/>
    <n v="53460000"/>
    <m/>
    <m/>
    <m/>
    <m/>
    <m/>
    <n v="53460000"/>
    <m/>
    <m/>
    <m/>
    <n v="0"/>
    <m/>
    <n v="1"/>
    <m/>
    <m/>
    <m/>
    <m/>
    <m/>
    <m/>
    <m/>
    <m/>
    <m/>
    <m/>
    <m/>
    <m/>
    <m/>
    <m/>
    <n v="0"/>
    <n v="0"/>
    <m/>
  </r>
  <r>
    <n v="17"/>
    <n v="17"/>
    <b v="0"/>
    <s v="Sí"/>
    <s v="1024.  Formación en patrimonio cultural"/>
    <s v="3-3-1-15-01-11-1024-124"/>
    <s v="81111500;43232100;43232400;81112100;"/>
    <s v="Contratar el desarrollo y diseño de la página web, así como las herramientas digitales conexas requeridas por el Instituto Distrital de Patrimonio Cultural para la formación y divulgación del patrimonio cultural del Distrito Capital."/>
    <s v="(Cód. 17) Contratar el desarrollo y diseño de la página web, así como las herramientas digitales conexas requeridas por el Instituto Distrital de Patrimonio Cultural para la formación y divulgación del patrimonio cultural del Distrito Capital."/>
    <d v="2019-03-01T00:00:00"/>
    <n v="45"/>
    <d v="2019-05-03T00:00:00"/>
    <x v="3"/>
    <n v="3"/>
    <n v="3"/>
    <n v="6"/>
    <n v="1"/>
    <s v="Menor cuantía"/>
    <s v="CCE-06"/>
    <n v="0"/>
    <s v="Desarrollo web"/>
    <s v="Sitio web IDPC"/>
    <n v="15000000"/>
    <n v="15000000"/>
    <n v="0"/>
    <n v="0"/>
    <s v="ASESORA JURIDICA"/>
    <s v="CO-DC-11001"/>
    <s v="Margarita Lucía Castañeda Vargas (Subdirección de Divulgación)"/>
    <s v="3550800"/>
    <s v="margarita.castaneda@idpc.gov.co"/>
    <s v="ME20181024"/>
    <s v="COMP1024"/>
    <s v="CONC1024"/>
    <s v="Atender niños/as y adolescentes a través de la formación en patrimonio cultural dentro del programa de _x000a_jornada única y como estrategias de uso del tiempo escolar durante el_x000a_periodo 2016 - 2020."/>
    <s v="Sistematizacion de la experiencia"/>
    <s v="12. Formación en Cátedra de Patrimonio en colegios distritales"/>
    <s v="FONT1024"/>
    <s v="12-Otros Distrito"/>
    <s v="04-INVESTIGACION Y ESTUDIOS"/>
    <s v="01-INVESTIGACIÓN BÁSICA APLICADA Y ESTUDIOS PROPIOS DEL SECTOR"/>
    <s v="0187-Actividades de formación en arte, cultura, patrimonio, recreación y deporte"/>
    <n v="0"/>
    <n v="15000000"/>
    <m/>
    <m/>
    <m/>
    <n v="15000000"/>
    <m/>
    <m/>
    <m/>
    <m/>
    <m/>
    <n v="15000000"/>
    <m/>
    <m/>
    <m/>
    <n v="0"/>
    <m/>
    <n v="1"/>
    <m/>
    <m/>
    <m/>
    <m/>
    <m/>
    <m/>
    <m/>
    <m/>
    <m/>
    <m/>
    <m/>
    <m/>
    <m/>
    <m/>
    <n v="0"/>
    <n v="0"/>
    <m/>
  </r>
  <r>
    <n v="18"/>
    <n v="18"/>
    <b v="0"/>
    <s v="Sí"/>
    <s v="1024.  Formación en patrimonio cultural"/>
    <s v="3-3-1-15-01-11-1024-124"/>
    <s v="80111601;80111600;"/>
    <s v="Prestar servicios profesionales al Instituto Distrital de Patrimonio Cultural para apoyar la gestión logística de los recorridos de ciudad realizados en el marco del proyecto de invesión 1024 - Formación en patrimonio cultural."/>
    <s v="(Cód. 18) Prestar servicios profesionales al Instituto Distrital de Patrimonio Cultural para apoyar la gestión logística de los recorridos de ciudad realizados en el marco del proyecto de invesión 1024 - Formación en patrimonio cultural."/>
    <d v="2019-01-15T00:00:00"/>
    <n v="10"/>
    <d v="2019-01-29T00:00:00"/>
    <x v="1"/>
    <n v="1"/>
    <n v="1"/>
    <n v="11"/>
    <n v="1"/>
    <s v="Contratación directa / Prestación de servicios profesionales y de apoyo a la gestión"/>
    <s v="CCE-16"/>
    <n v="0"/>
    <s v="N.A."/>
    <s v="Yaneth Mora"/>
    <n v="53460000"/>
    <n v="53460000"/>
    <n v="0"/>
    <n v="0"/>
    <s v="ASESORA JURIDICA"/>
    <s v="CO-DC-11001"/>
    <s v="Margarita Lucía Castañeda Vargas (Subdirección de Divulgación)"/>
    <s v="3550800"/>
    <s v="margarita.castaneda@idpc.gov.co"/>
    <s v="ME20181024"/>
    <s v="COMP1024"/>
    <s v="CONC1024"/>
    <s v="Atender niños/as y adolescentes a través de la formación en patrimonio cultural dentro del programa de _x000a_jornada única y como estrategias de uso del tiempo escolar durante el_x000a_periodo 2016 - 2020."/>
    <s v="Formación en catedra de patrimonio en colegios del distrito capital"/>
    <s v="12. Formación en Cátedra de Patrimonio en colegios distritales"/>
    <s v="FONT1024"/>
    <s v="12-Otros Distrito"/>
    <s v="04-INVESTIGACION Y ESTUDIOS"/>
    <s v="01-INVESTIGACIÓN BÁSICA APLICADA Y ESTUDIOS PROPIOS DEL SECTOR"/>
    <s v="0187-Actividades de formación en arte, cultura, patrimonio, recreación y deporte"/>
    <n v="0"/>
    <n v="53460000"/>
    <m/>
    <m/>
    <m/>
    <n v="53460000"/>
    <m/>
    <m/>
    <m/>
    <m/>
    <m/>
    <n v="53460000"/>
    <m/>
    <m/>
    <m/>
    <n v="0"/>
    <m/>
    <n v="1"/>
    <m/>
    <m/>
    <m/>
    <m/>
    <m/>
    <m/>
    <m/>
    <m/>
    <m/>
    <m/>
    <m/>
    <m/>
    <m/>
    <m/>
    <n v="0"/>
    <n v="0"/>
    <m/>
  </r>
  <r>
    <n v="19"/>
    <n v="19"/>
    <b v="0"/>
    <s v="Sí"/>
    <s v="1024.  Formación en patrimonio cultural"/>
    <s v="3-3-1-15-01-11-1024-124"/>
    <s v="80111601;80111600;"/>
    <s v="Prestar servicios profesionales al Instituto Distrital de Patrimonio Cultural para apoyar en la implementación en aula del programa de formación en patrimonio cultural CIVINAUTAS, dirigido a estudiantes de colegios distritales."/>
    <s v="(Cód. 19) Prestar servicios profesionales al Instituto Distrital de Patrimonio Cultural para apoyar en la implementación en aula del programa de formación en patrimonio cultural CIVINAUTAS, dirigido a estudiantes de colegios distritales."/>
    <d v="2019-01-25T00:00:00"/>
    <n v="10"/>
    <d v="2019-02-08T00:00:00"/>
    <x v="0"/>
    <n v="1"/>
    <n v="1"/>
    <n v="315"/>
    <n v="0"/>
    <s v="Contratación directa / Prestación de servicios profesionales y de apoyo a la gestión"/>
    <s v="CCE-16"/>
    <n v="0"/>
    <s v="N.A."/>
    <s v="Yenny Lorena Bohórquez"/>
    <n v="28119000"/>
    <n v="28119000"/>
    <n v="0"/>
    <n v="0"/>
    <s v="ASESORA JURIDICA"/>
    <s v="CO-DC-11001"/>
    <s v="Margarita Lucía Castañeda Vargas (Subdirección de Divulgación)"/>
    <s v="3550800"/>
    <s v="margarita.castaneda@idpc.gov.co"/>
    <s v="ME20181024"/>
    <s v="COMP1024"/>
    <s v="CONC1024"/>
    <s v="Atender niños/as y adolescentes a través de la formación en patrimonio cultural dentro del programa de _x000a_jornada única y como estrategias de uso del tiempo escolar durante el_x000a_periodo 2016 - 2020."/>
    <s v="Formación en catedra de patrimonio en colegios del distrito capital"/>
    <s v="12. Formación en Cátedra de Patrimonio en colegios distritales"/>
    <s v="FONT1024"/>
    <s v="12-Otros Distrito"/>
    <s v="04-INVESTIGACION Y ESTUDIOS"/>
    <s v="01-INVESTIGACIÓN BÁSICA APLICADA Y ESTUDIOS PROPIOS DEL SECTOR"/>
    <s v="0187-Actividades de formación en arte, cultura, patrimonio, recreación y deporte"/>
    <n v="0"/>
    <n v="28119000"/>
    <m/>
    <m/>
    <m/>
    <n v="28119000"/>
    <m/>
    <m/>
    <m/>
    <m/>
    <m/>
    <n v="28119000"/>
    <m/>
    <m/>
    <m/>
    <n v="0"/>
    <m/>
    <n v="1"/>
    <m/>
    <m/>
    <m/>
    <m/>
    <m/>
    <m/>
    <m/>
    <m/>
    <m/>
    <m/>
    <m/>
    <m/>
    <m/>
    <m/>
    <n v="0"/>
    <n v="0"/>
    <m/>
  </r>
  <r>
    <n v="20"/>
    <n v="20"/>
    <b v="0"/>
    <s v="Sí"/>
    <s v="1024.  Formación en patrimonio cultural"/>
    <s v="3-3-1-15-01-11-1024-124"/>
    <s v="80111601;80111600;"/>
    <s v="Prestar servicios profesionales al Instituto Distrital de Patrimonio Cultural para apoyar en la implementación en aula del programa de formación en patrimonio cultural CIVINAUTAS, dirigido a estudiantes de colegios distritales."/>
    <s v="(Cód. 20) Prestar servicios profesionales al Instituto Distrital de Patrimonio Cultural para apoyar en la implementación en aula del programa de formación en patrimonio cultural CIVINAUTAS, dirigido a estudiantes de colegios distritales."/>
    <d v="2019-01-25T00:00:00"/>
    <n v="10"/>
    <d v="2019-02-08T00:00:00"/>
    <x v="0"/>
    <n v="1"/>
    <n v="1"/>
    <n v="315"/>
    <n v="0"/>
    <s v="Contratación directa / Prestación de servicios profesionales y de apoyo a la gestión"/>
    <s v="CCE-16"/>
    <n v="0"/>
    <s v="N.A."/>
    <s v="Yenny Sanchez"/>
    <n v="28119000"/>
    <n v="28119000"/>
    <n v="0"/>
    <n v="0"/>
    <s v="ASESORA JURIDICA"/>
    <s v="CO-DC-11001"/>
    <s v="Margarita Lucía Castañeda Vargas (Subdirección de Divulgación)"/>
    <s v="3550800"/>
    <s v="margarita.castaneda@idpc.gov.co"/>
    <s v="ME20181024"/>
    <s v="COMP1024"/>
    <s v="CONC1024"/>
    <s v="Atender niños/as y adolescentes a través de la formación en patrimonio cultural dentro del programa de _x000a_jornada única y como estrategias de uso del tiempo escolar durante el_x000a_periodo 2016 - 2020."/>
    <s v="Formación en catedra de patrimonio en colegios del distrito capital"/>
    <s v="12. Formación en Cátedra de Patrimonio en colegios distritales"/>
    <s v="FONT1024"/>
    <s v="12-Otros Distrito"/>
    <s v="04-INVESTIGACION Y ESTUDIOS"/>
    <s v="01-INVESTIGACIÓN BÁSICA APLICADA Y ESTUDIOS PROPIOS DEL SECTOR"/>
    <s v="0187-Actividades de formación en arte, cultura, patrimonio, recreación y deporte"/>
    <n v="0"/>
    <n v="28119000"/>
    <m/>
    <m/>
    <m/>
    <n v="28119000"/>
    <m/>
    <m/>
    <m/>
    <m/>
    <m/>
    <n v="28119000"/>
    <m/>
    <m/>
    <m/>
    <n v="0"/>
    <m/>
    <n v="1"/>
    <m/>
    <m/>
    <m/>
    <m/>
    <m/>
    <m/>
    <m/>
    <m/>
    <m/>
    <m/>
    <m/>
    <m/>
    <m/>
    <m/>
    <n v="0"/>
    <n v="0"/>
    <m/>
  </r>
  <r>
    <n v="21"/>
    <n v="21"/>
    <b v="0"/>
    <s v="Sí"/>
    <s v="1107. Divulgación y apropiación del patrimonio cultural del Distrito Capital"/>
    <s v="3-3-1-15-03-25-1107-158"/>
    <s v="80111600;"/>
    <s v="Prestar servicios profesionales al Instituto Distrital de Patrimonio Cultural como apoyo a la gestión en los procesos editoriales y de investigación desarrollados por la Subdirección de Divulgación de los Valores del Patrimonio Cultural."/>
    <s v="(Cód. 21) Prestar servicios profesionales al Instituto Distrital de Patrimonio Cultural como apoyo a la gestión en los procesos editoriales y de investigación desarrollados por la Subdirección de Divulgación de los Valores del Patrimonio Cultural."/>
    <d v="2019-05-30T00:00:00"/>
    <n v="10"/>
    <d v="2019-06-13T00:00:00"/>
    <x v="4"/>
    <n v="5"/>
    <n v="5"/>
    <n v="2"/>
    <n v="1"/>
    <s v="Contratación directa / Prestación de servicios profesionales y de apoyo a la gestión"/>
    <s v="CCE-16"/>
    <n v="0"/>
    <s v="N.A."/>
    <s v="Album familiar"/>
    <n v="7000000"/>
    <n v="7000000"/>
    <n v="0"/>
    <n v="0"/>
    <s v="ASESORA JURIDICA"/>
    <s v="CO-DC-11001"/>
    <s v="Margarita Lucía Castañeda Vargas (Subdirección de Divulgación)"/>
    <s v="3550800"/>
    <s v="margarita.castaneda@idpc.gov.co"/>
    <s v="ME20181107"/>
    <s v="COMP1107"/>
    <s v="CONC1107"/>
    <s v="Ofrecer actividades que contribuyan a activar el patrimonio cultural"/>
    <s v="Activación del patrimonio"/>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7000000"/>
    <m/>
    <m/>
    <m/>
    <n v="7000000"/>
    <m/>
    <m/>
    <m/>
    <m/>
    <m/>
    <n v="7000000"/>
    <m/>
    <m/>
    <m/>
    <n v="0"/>
    <m/>
    <n v="1"/>
    <m/>
    <m/>
    <m/>
    <m/>
    <m/>
    <m/>
    <m/>
    <m/>
    <m/>
    <m/>
    <m/>
    <m/>
    <m/>
    <m/>
    <n v="0"/>
    <n v="0"/>
    <m/>
  </r>
  <r>
    <n v="22"/>
    <n v="22"/>
    <b v="0"/>
    <s v="Sí"/>
    <s v="1107. Divulgación y apropiación del patrimonio cultural del Distrito Capital"/>
    <s v="3-3-1-15-03-25-1107-158"/>
    <s v="80111600;"/>
    <s v="Prestar servicios profesionales al Instituto Distrital de Patrimonio Cultural para administrar y actualizar los contenidos de la página web y redes sociales de la entidad, así como la generación de contenidos requeridos para el desarrollo de la estrategia de comunicaciones y de apropiación social del patrimonio cultural."/>
    <s v="(Cód. 22) Prestar servicios profesionales al Instituto Distrital de Patrimonio Cultural para administrar y actualizar los contenidos de la página web y redes sociales de la entidad, así como la generación de contenidos requeridos para el desarrollo de la estrategia de comunicaciones y de apropiación social del patrimonio cultural."/>
    <d v="2019-01-15T00:00:00"/>
    <n v="10"/>
    <d v="2019-01-29T00:00:00"/>
    <x v="1"/>
    <n v="1"/>
    <n v="1"/>
    <n v="11"/>
    <n v="1"/>
    <s v="Contratación directa / Prestación de servicios profesionales y de apoyo a la gestión"/>
    <s v="CCE-16"/>
    <n v="0"/>
    <s v="N.A."/>
    <s v="Alejandra Toro"/>
    <n v="61380000"/>
    <n v="61380000"/>
    <n v="0"/>
    <n v="0"/>
    <s v="ASESORA JURIDICA"/>
    <s v="CO-DC-11001"/>
    <s v="Margarita Lucía Castañeda Vargas (Subdirección de Divulgación)"/>
    <s v="3550800"/>
    <s v="margarita.castaneda@idpc.gov.co"/>
    <s v="ME20181107"/>
    <s v="COMP1107"/>
    <s v="CONC1107"/>
    <s v="Ofrecer actividades que contribuyan a activar el patrimonio cultural"/>
    <s v="Activación del patrimonio"/>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61380000"/>
    <m/>
    <m/>
    <m/>
    <n v="61380000"/>
    <m/>
    <m/>
    <m/>
    <m/>
    <m/>
    <n v="61380000"/>
    <m/>
    <m/>
    <m/>
    <n v="0"/>
    <m/>
    <n v="1"/>
    <m/>
    <m/>
    <m/>
    <m/>
    <m/>
    <m/>
    <m/>
    <m/>
    <m/>
    <m/>
    <m/>
    <m/>
    <m/>
    <m/>
    <n v="0"/>
    <n v="0"/>
    <m/>
  </r>
  <r>
    <n v="23"/>
    <n v="23"/>
    <b v="0"/>
    <s v="Sí"/>
    <s v="1107. Divulgación y apropiación del patrimonio cultural del Distrito Capital"/>
    <s v="3-3-1-15-03-25-1107-158"/>
    <s v="80111600;"/>
    <s v="Prestar servicios profesionales al Instituto Distrital de Patrimonio Cultural para apoyar las acciones de diseño gráfico del Museo de Bogotá."/>
    <s v="(Cód. 23) Prestar servicios profesionales al Instituto Distrital de Patrimonio Cultural para apoyar las acciones de diseño gráfico del Museo de Bogotá."/>
    <d v="2019-01-15T00:00:00"/>
    <n v="10"/>
    <d v="2019-01-29T00:00:00"/>
    <x v="1"/>
    <n v="1"/>
    <n v="1"/>
    <n v="3"/>
    <n v="1"/>
    <s v="Contratación directa / Prestación de servicios profesionales y de apoyo a la gestión"/>
    <s v="CCE-16"/>
    <n v="0"/>
    <s v="N.A."/>
    <s v="Ana María Collazos"/>
    <n v="14520000"/>
    <n v="14520000"/>
    <n v="0"/>
    <n v="0"/>
    <s v="ASESORA JURIDICA"/>
    <s v="CO-DC-11001"/>
    <s v="Margarita Lucía Castañeda Vargas (Subdirección de Divulgación)"/>
    <s v="3550800"/>
    <s v="margarita.castaneda@idpc.gov.co"/>
    <s v="ME20181107"/>
    <s v="COMP1107"/>
    <s v="CONC1107"/>
    <s v="Lograr asistentes a la oferta generada por el Instituto en actividades de patrimonio cultural "/>
    <s v="Museo de Bogotá en operación"/>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14520000"/>
    <m/>
    <m/>
    <m/>
    <n v="14520000"/>
    <m/>
    <m/>
    <m/>
    <m/>
    <m/>
    <n v="14520000"/>
    <m/>
    <m/>
    <m/>
    <n v="0"/>
    <m/>
    <n v="1"/>
    <m/>
    <m/>
    <m/>
    <m/>
    <m/>
    <m/>
    <m/>
    <m/>
    <m/>
    <m/>
    <m/>
    <m/>
    <m/>
    <m/>
    <n v="0"/>
    <n v="0"/>
    <m/>
  </r>
  <r>
    <n v="24"/>
    <n v="24"/>
    <b v="0"/>
    <s v="Sí"/>
    <s v="1107. Divulgación y apropiación del patrimonio cultural del Distrito Capital"/>
    <s v="3-3-1-15-03-25-1107-158"/>
    <s v="80111600;"/>
    <s v="Prestar servicios profesionales al Instituto Distrital de Patrimonio Cultural para acompañar la planeación y desarrollo de los procesos de contratación sin límite de cuantía, así como el impulso de los trámites jurídico/legales que se generen en el marco de las funciones de la Subdirección de Divulgación de los Valores del Patrimonio Cultural."/>
    <s v="(Cód. 24) Prestar servicios profesionales al Instituto Distrital de Patrimonio Cultural para acompañar la planeación y desarrollo de los procesos de contratación sin límite de cuantía, así como el impulso de los trámites jurídico/legales que se generen en el marco de las funciones de la Subdirección de Divulgación de los Valores del Patrimonio Cultural."/>
    <d v="2019-01-15T00:00:00"/>
    <n v="10"/>
    <d v="2019-01-29T00:00:00"/>
    <x v="1"/>
    <n v="1"/>
    <n v="1"/>
    <n v="11"/>
    <n v="1"/>
    <s v="Contratación directa / Prestación de servicios profesionales y de apoyo a la gestión"/>
    <s v="CCE-16"/>
    <n v="0"/>
    <s v="N.A."/>
    <s v="Andres López"/>
    <n v="30576619"/>
    <n v="30576619"/>
    <n v="0"/>
    <n v="0"/>
    <s v="ASESORA JURIDICA"/>
    <s v="CO-DC-11001"/>
    <s v="Margarita Lucía Castañeda Vargas (Subdirección de Divulgación)"/>
    <s v="3550800"/>
    <s v="margarita.castaneda@idpc.gov.co"/>
    <s v="ME20181107"/>
    <s v="COMP1107"/>
    <s v="CONC1107"/>
    <s v="Lograr asistentes a la oferta generada por el Instituto en actividades de patrimonio cultural "/>
    <s v="Museo de Bogotá en operación"/>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30576619"/>
    <m/>
    <m/>
    <m/>
    <n v="30576619"/>
    <m/>
    <m/>
    <m/>
    <m/>
    <m/>
    <n v="30576619"/>
    <m/>
    <m/>
    <m/>
    <n v="0"/>
    <m/>
    <n v="1"/>
    <m/>
    <m/>
    <m/>
    <m/>
    <m/>
    <m/>
    <m/>
    <m/>
    <m/>
    <m/>
    <m/>
    <m/>
    <m/>
    <m/>
    <n v="0"/>
    <n v="0"/>
    <m/>
  </r>
  <r>
    <n v="24"/>
    <n v="24"/>
    <b v="1"/>
    <s v="Sí"/>
    <s v="1107. Divulgación y apropiación del patrimonio cultural del Distrito Capital"/>
    <s v="3-3-1-15-03-25-1107-158"/>
    <s v="80111600;"/>
    <s v="Prestar servicios profesionales al Instituto Distrital de Patrimonio Cultural para acompañar la planeación y desarrollo de los procesos de contratación sin límite de cuantía, así como el impulso de los trámites jurídico/legales que se generen en el marco de las funciones de la Subdirección de Divulgación de los Valores del Patrimonio Cultural."/>
    <s v="(Cód. 24) Prestar servicios profesionales al Instituto Distrital de Patrimonio Cultural para acompañar la planeación y desarrollo de los procesos de contratación sin límite de cuantía, así como el impulso de los trámites jurídico/legales que se generen en el marco de las funciones de la Subdirección de Divulgación de los Valores del Patrimonio Cultural."/>
    <d v="2019-01-15T00:00:00"/>
    <n v="10"/>
    <d v="2019-01-29T00:00:00"/>
    <x v="1"/>
    <n v="1"/>
    <n v="1"/>
    <n v="11"/>
    <n v="1"/>
    <s v="Contratación directa / Prestación de servicios profesionales y de apoyo a la gestión"/>
    <s v="CCE-16"/>
    <n v="0"/>
    <s v="N.A."/>
    <s v="Andres López"/>
    <n v="36303381"/>
    <n v="36303381"/>
    <n v="0"/>
    <n v="0"/>
    <s v="ASESORA JURIDICA"/>
    <s v="CO-DC-11001"/>
    <s v="Margarita Lucía Castañeda Vargas (Subdirección de Divulgación)"/>
    <s v="3550800"/>
    <s v="margarita.castaneda@idpc.gov.co"/>
    <s v="ME20181107"/>
    <s v="COMP1107"/>
    <s v="CONC1107"/>
    <s v="Ofrecer actividades que contribuyan a activar el patrimonio cultural"/>
    <s v="Activación del patrimonio"/>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36303381"/>
    <m/>
    <m/>
    <m/>
    <n v="36303381"/>
    <m/>
    <m/>
    <m/>
    <m/>
    <m/>
    <n v="36303381"/>
    <m/>
    <m/>
    <m/>
    <n v="0"/>
    <m/>
    <n v="1"/>
    <m/>
    <m/>
    <m/>
    <m/>
    <m/>
    <m/>
    <m/>
    <m/>
    <m/>
    <m/>
    <m/>
    <m/>
    <m/>
    <m/>
    <n v="0"/>
    <n v="0"/>
    <m/>
  </r>
  <r>
    <n v="25"/>
    <n v="25"/>
    <b v="0"/>
    <s v="Sí"/>
    <s v="1107. Divulgación y apropiación del patrimonio cultural del Distrito Capital"/>
    <s v="3-3-1-15-03-25-1107-158"/>
    <s v="80111600;"/>
    <s v="Prestar servicios profesionales al Instituto Distrital de Patrimonio Cultural para orientar la planificación de las líneas de acción del Museo de Bogotá."/>
    <s v="(Cód. 25) Prestar servicios profesionales al Instituto Distrital de Patrimonio Cultural para orientar la planificación de las líneas de acción del Museo de Bogotá."/>
    <d v="2019-01-15T00:00:00"/>
    <n v="10"/>
    <d v="2019-01-29T00:00:00"/>
    <x v="1"/>
    <n v="1"/>
    <n v="1"/>
    <n v="2"/>
    <n v="1"/>
    <s v="Contratación directa / Prestación de servicios profesionales y de apoyo a la gestión"/>
    <s v="CCE-16"/>
    <n v="0"/>
    <s v="N.A."/>
    <s v="Angela Santa María"/>
    <n v="17000000"/>
    <n v="17000000"/>
    <n v="0"/>
    <n v="0"/>
    <s v="ASESORA JURIDICA"/>
    <s v="CO-DC-11001"/>
    <s v="Margarita Lucía Castañeda Vargas (Subdirección de Divulgación)"/>
    <s v="3550800"/>
    <s v="margarita.castaneda@idpc.gov.co"/>
    <s v="ME20181107"/>
    <s v="COMP1107"/>
    <s v="CONC1107"/>
    <s v="Lograr asistentes a la oferta generada por el Instituto en actividades de patrimonio cultural "/>
    <s v="Museo de Bogotá en operación"/>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17000000"/>
    <m/>
    <m/>
    <m/>
    <n v="17000000"/>
    <m/>
    <m/>
    <m/>
    <m/>
    <m/>
    <n v="17000000"/>
    <m/>
    <m/>
    <m/>
    <n v="0"/>
    <m/>
    <n v="1"/>
    <m/>
    <m/>
    <m/>
    <m/>
    <m/>
    <m/>
    <m/>
    <m/>
    <m/>
    <m/>
    <m/>
    <m/>
    <m/>
    <m/>
    <n v="0"/>
    <n v="0"/>
    <m/>
  </r>
  <r>
    <n v="26"/>
    <n v="26"/>
    <b v="0"/>
    <s v="Sí"/>
    <s v="1107. Divulgación y apropiación del patrimonio cultural del Distrito Capital"/>
    <s v="3-3-1-15-03-25-1107-158"/>
    <s v="80111600;"/>
    <s v="Prestar servicios profesionales  al Instituto Distrital de Patrimonio Cultural para llevar a cabo los procesos de corrección de estilo de los textos y publicaciones adelantadas por la Subdirección de Divulgación de los Valores del Patrimonio Cultural."/>
    <s v="(Cód. 26) Prestar servicios profesionales  al Instituto Distrital de Patrimonio Cultural para llevar a cabo los procesos de corrección de estilo de los textos y publicaciones adelantadas por la Subdirección de Divulgación de los Valores del Patrimonio Cultural."/>
    <d v="2019-02-15T00:00:00"/>
    <n v="10"/>
    <d v="2019-03-01T00:00:00"/>
    <x v="5"/>
    <n v="2"/>
    <n v="2"/>
    <n v="10"/>
    <n v="1"/>
    <s v="Contratación directa / Prestación de servicios profesionales y de apoyo a la gestión"/>
    <s v="CCE-16"/>
    <n v="0"/>
    <s v="N.A."/>
    <s v="Bibiana Castro Ramirez"/>
    <n v="20000000"/>
    <n v="20000000"/>
    <n v="0"/>
    <n v="0"/>
    <s v="ASESORA JURIDICA"/>
    <s v="CO-DC-11001"/>
    <s v="Margarita Lucía Castañeda Vargas (Subdirección de Divulgación)"/>
    <s v="3550800"/>
    <s v="margarita.castaneda@idpc.gov.co"/>
    <s v="ME20181107"/>
    <s v="COMP1107"/>
    <s v="CONC1107"/>
    <s v="Ofrecer actividades que contribuyan a activar el patrimonio cultural"/>
    <s v="Activación del patrimonio"/>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20000000"/>
    <m/>
    <m/>
    <m/>
    <n v="20000000"/>
    <m/>
    <m/>
    <m/>
    <m/>
    <m/>
    <n v="20000000"/>
    <m/>
    <m/>
    <m/>
    <n v="0"/>
    <m/>
    <n v="1"/>
    <m/>
    <m/>
    <m/>
    <m/>
    <m/>
    <m/>
    <m/>
    <m/>
    <m/>
    <m/>
    <m/>
    <m/>
    <m/>
    <m/>
    <n v="0"/>
    <n v="0"/>
    <m/>
  </r>
  <r>
    <n v="27"/>
    <n v="27"/>
    <b v="0"/>
    <s v="Sí"/>
    <s v="1107. Divulgación y apropiación del patrimonio cultural del Distrito Capital"/>
    <s v="3-3-1-15-03-25-1107-158"/>
    <s v="43211600;"/>
    <s v="Gastos de TI MdB"/>
    <s v="(Cód. 27) Gastos de TI MdB"/>
    <d v="2019-06-20T00:00:00"/>
    <n v="25"/>
    <d v="2019-07-25T00:00:00"/>
    <x v="6"/>
    <n v="6"/>
    <n v="6"/>
    <n v="4"/>
    <n v="1"/>
    <s v="Mínima cuantía"/>
    <s v="CCE-10"/>
    <n v="0"/>
    <s v="Adquisición de computadores y equipos de computación (probablemente personal?)"/>
    <s v="Cableado, puntos de red, accespoint"/>
    <n v="8000000"/>
    <n v="8000000"/>
    <n v="0"/>
    <n v="0"/>
    <s v="ASESORA JURIDICA"/>
    <s v="CO-DC-11001"/>
    <s v="Margarita Lucía Castañeda Vargas (Subdirección de Divulgación)"/>
    <s v="3550800"/>
    <s v="margarita.castaneda@idpc.gov.co"/>
    <s v="ME20181107"/>
    <s v="COMP1107"/>
    <s v="CONC1107"/>
    <s v="Lograr asistentes a la oferta generada por el Instituto en actividades de patrimonio cultural "/>
    <s v="Museo de Bogotá en operación"/>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8000000"/>
    <m/>
    <m/>
    <m/>
    <n v="8000000"/>
    <m/>
    <m/>
    <m/>
    <m/>
    <m/>
    <n v="8000000"/>
    <m/>
    <m/>
    <m/>
    <n v="0"/>
    <m/>
    <n v="1"/>
    <m/>
    <m/>
    <m/>
    <m/>
    <m/>
    <m/>
    <m/>
    <m/>
    <m/>
    <m/>
    <m/>
    <m/>
    <m/>
    <m/>
    <n v="0"/>
    <n v="0"/>
    <m/>
  </r>
  <r>
    <n v="28"/>
    <n v="28"/>
    <b v="0"/>
    <s v="Sí"/>
    <s v="1107. Divulgación y apropiación del patrimonio cultural del Distrito Capital"/>
    <s v="3-3-1-15-03-25-1107-158"/>
    <s v="52161520;52161514;52161505;52161535;52161547;"/>
    <s v="Adquisición de equipos de comunicación, audio, video y conexos requeridos para el desarrollo de las actividades misionales adelantadas por la Subdirección de Divulgación de los Valores del Patrimonio Cultural."/>
    <s v="(Cód. 28) Adquisición de equipos de comunicación, audio, video y conexos requeridos para el desarrollo de las actividades misionales adelantadas por la Subdirección de Divulgación de los Valores del Patrimonio Cultural."/>
    <d v="2019-03-15T00:00:00"/>
    <n v="45"/>
    <d v="2019-05-17T00:00:00"/>
    <x v="3"/>
    <n v="3"/>
    <n v="3"/>
    <n v="3"/>
    <n v="1"/>
    <s v="Subasta inversa"/>
    <s v="CCE-07"/>
    <n v="0"/>
    <s v="Adquisición de equipos de comunicación"/>
    <s v="Cámara, tv, audio, comunicaciones, discos duro MdB, cámara MdB"/>
    <n v="20000000"/>
    <n v="20000000"/>
    <n v="0"/>
    <n v="0"/>
    <s v="ASESORA JURIDICA"/>
    <s v="CO-DC-11001"/>
    <s v="Margarita Lucía Castañeda Vargas (Subdirección de Divulgación)"/>
    <s v="3550800"/>
    <s v="margarita.castaneda@idpc.gov.co"/>
    <s v="ME20181107"/>
    <s v="COMP1107"/>
    <s v="CONC1107"/>
    <s v="Lograr asistentes a la oferta generada por el Instituto en actividades de patrimonio cultural "/>
    <s v="Museo de Bogotá en operación"/>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20000000"/>
    <m/>
    <m/>
    <m/>
    <n v="20000000"/>
    <m/>
    <m/>
    <m/>
    <m/>
    <m/>
    <n v="20000000"/>
    <m/>
    <m/>
    <m/>
    <n v="0"/>
    <m/>
    <n v="1"/>
    <m/>
    <m/>
    <m/>
    <m/>
    <m/>
    <m/>
    <m/>
    <m/>
    <m/>
    <m/>
    <m/>
    <m/>
    <m/>
    <m/>
    <n v="0"/>
    <n v="0"/>
    <m/>
  </r>
  <r>
    <n v="29"/>
    <n v="29"/>
    <b v="0"/>
    <s v="Sí"/>
    <s v="1107. Divulgación y apropiación del patrimonio cultural del Distrito Capital"/>
    <s v="3-3-1-15-03-25-1107-158"/>
    <s v="80111600;"/>
    <s v="Prestar servicios profesionales al Instituto Distrital de Patrimonio Cultural para apoyar el diseño museográfico de los proyectos adelantados por el Museo de Bogotá."/>
    <s v="(Cód. 29) Prestar servicios profesionales al Instituto Distrital de Patrimonio Cultural para apoyar el diseño museográfico de los proyectos adelantados por el Museo de Bogotá."/>
    <d v="2019-01-15T00:00:00"/>
    <n v="10"/>
    <d v="2019-01-29T00:00:00"/>
    <x v="1"/>
    <n v="1"/>
    <n v="1"/>
    <n v="3"/>
    <n v="1"/>
    <s v="Contratación directa / Prestación de servicios profesionales y de apoyo a la gestión"/>
    <s v="CCE-16"/>
    <n v="0"/>
    <s v="N.A."/>
    <s v="Carlos Arturo Rojas"/>
    <n v="18240000"/>
    <n v="18240000"/>
    <n v="0"/>
    <n v="0"/>
    <s v="ASESORA JURIDICA"/>
    <s v="CO-DC-11001"/>
    <s v="Margarita Lucía Castañeda Vargas (Subdirección de Divulgación)"/>
    <s v="3550800"/>
    <s v="margarita.castaneda@idpc.gov.co"/>
    <s v="ME20181107"/>
    <s v="COMP1107"/>
    <s v="CONC1107"/>
    <s v="Lograr asistentes a la oferta generada por el Instituto en actividades de patrimonio cultural "/>
    <s v="Museo de Bogotá en operación"/>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18240000"/>
    <m/>
    <m/>
    <m/>
    <n v="18240000"/>
    <m/>
    <m/>
    <m/>
    <m/>
    <m/>
    <n v="18240000"/>
    <m/>
    <m/>
    <m/>
    <n v="0"/>
    <m/>
    <n v="1"/>
    <m/>
    <m/>
    <m/>
    <m/>
    <m/>
    <m/>
    <m/>
    <m/>
    <m/>
    <m/>
    <m/>
    <m/>
    <m/>
    <m/>
    <n v="0"/>
    <n v="0"/>
    <m/>
  </r>
  <r>
    <n v="30"/>
    <n v="30"/>
    <b v="0"/>
    <s v="Sí"/>
    <s v="1107. Divulgación y apropiación del patrimonio cultural del Distrito Capital"/>
    <s v="3-3-1-15-03-25-1107-158"/>
    <s v="80111600;"/>
    <s v="Prestar servicios profesionales al Instituto Distrital de Patrimonio Cultural para realizar el registro fotográfico y audiovisual requerido para la ejecución de la estrategia de apropiación social del patrimonio cultural."/>
    <s v="(Cód. 30) Prestar servicios profesionales al Instituto Distrital de Patrimonio Cultural para realizar el registro fotográfico y audiovisual requerido para la ejecución de la estrategia de apropiación social del patrimonio cultural."/>
    <d v="2019-01-15T00:00:00"/>
    <n v="10"/>
    <d v="2019-01-29T00:00:00"/>
    <x v="1"/>
    <n v="1"/>
    <n v="1"/>
    <n v="11"/>
    <n v="1"/>
    <s v="Contratación directa / Prestación de servicios profesionales y de apoyo a la gestión"/>
    <s v="CCE-16"/>
    <n v="0"/>
    <s v="N.A."/>
    <s v="Carlos Lema"/>
    <n v="66880000"/>
    <n v="66880000"/>
    <n v="0"/>
    <n v="0"/>
    <s v="ASESORA JURIDICA"/>
    <s v="CO-DC-11001"/>
    <s v="Margarita Lucía Castañeda Vargas (Subdirección de Divulgación)"/>
    <s v="3550800"/>
    <s v="margarita.castaneda@idpc.gov.co"/>
    <s v="ME20181107"/>
    <s v="COMP1107"/>
    <s v="CONC1107"/>
    <s v="Ofrecer actividades que contribuyan a activar el patrimonio cultural"/>
    <s v="Activación del patrimonio"/>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66880000"/>
    <m/>
    <m/>
    <m/>
    <n v="66880000"/>
    <m/>
    <m/>
    <m/>
    <m/>
    <m/>
    <n v="66880000"/>
    <m/>
    <m/>
    <m/>
    <n v="0"/>
    <m/>
    <n v="1"/>
    <m/>
    <m/>
    <m/>
    <m/>
    <m/>
    <m/>
    <m/>
    <m/>
    <m/>
    <m/>
    <m/>
    <m/>
    <m/>
    <m/>
    <n v="0"/>
    <n v="0"/>
    <m/>
  </r>
  <r>
    <n v="31"/>
    <n v="31"/>
    <b v="0"/>
    <s v="Sí"/>
    <s v="1107. Divulgación y apropiación del patrimonio cultural del Distrito Capital"/>
    <s v="3-3-1-15-03-25-1107-158"/>
    <s v="80111600;"/>
    <s v="Prestar servicios profesionales al Instituto Distrital de Patrimonio Cultural para orientar las actividades periodísticas y de prensa requeridas en la estrategia de apropiación social del patrimonio cultural."/>
    <s v="(Cód. 31) Prestar servicios profesionales al Instituto Distrital de Patrimonio Cultural para orientar las actividades periodísticas y de prensa requeridas en la estrategia de apropiación social del patrimonio cultural."/>
    <d v="2019-01-15T00:00:00"/>
    <n v="10"/>
    <d v="2019-01-29T00:00:00"/>
    <x v="1"/>
    <n v="1"/>
    <n v="1"/>
    <n v="11"/>
    <n v="1"/>
    <s v="Contratación directa / Prestación de servicios profesionales y de apoyo a la gestión"/>
    <s v="CCE-16"/>
    <n v="0"/>
    <s v="N.A."/>
    <s v="Carolina Martinez"/>
    <n v="95260000"/>
    <n v="95260000"/>
    <n v="0"/>
    <n v="0"/>
    <s v="ASESORA JURIDICA"/>
    <s v="CO-DC-11001"/>
    <s v="Margarita Lucía Castañeda Vargas (Subdirección de Divulgación)"/>
    <s v="3550800"/>
    <s v="margarita.castaneda@idpc.gov.co"/>
    <s v="ME20181107"/>
    <s v="COMP1107"/>
    <s v="CONC1107"/>
    <s v="Ofrecer actividades que contribuyan a activar el patrimonio cultural"/>
    <s v="Activación del patrimonio"/>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95260000"/>
    <m/>
    <m/>
    <m/>
    <n v="95260000"/>
    <m/>
    <m/>
    <m/>
    <m/>
    <m/>
    <n v="95260000"/>
    <m/>
    <m/>
    <m/>
    <n v="0"/>
    <m/>
    <n v="1"/>
    <m/>
    <m/>
    <m/>
    <m/>
    <m/>
    <m/>
    <m/>
    <m/>
    <m/>
    <m/>
    <m/>
    <m/>
    <m/>
    <m/>
    <n v="0"/>
    <n v="0"/>
    <m/>
  </r>
  <r>
    <n v="32"/>
    <n v="32"/>
    <b v="0"/>
    <s v="Sí"/>
    <s v="1107. Divulgación y apropiación del patrimonio cultural del Distrito Capital"/>
    <s v="3-3-1-15-03-25-1107-158"/>
    <s v="80111600;"/>
    <s v="Prestar servicios profesionales al Instituto Distrital de Patrimonio Cultural para orientar las estrategias encaminados a la salvaguardia y apropiación social del patrimonio cultural inmaterial."/>
    <s v="(Cód. 32) Prestar servicios profesionales al Instituto Distrital de Patrimonio Cultural para orientar las estrategias encaminados a la salvaguardia y apropiación social del patrimonio cultural inmaterial."/>
    <d v="2019-01-15T00:00:00"/>
    <n v="10"/>
    <d v="2019-01-29T00:00:00"/>
    <x v="1"/>
    <n v="1"/>
    <n v="1"/>
    <n v="11"/>
    <n v="1"/>
    <s v="Contratación directa / Prestación de servicios profesionales y de apoyo a la gestión"/>
    <s v="CCE-16"/>
    <n v="0"/>
    <s v="N.A."/>
    <s v="Catalina Cavallier"/>
    <n v="72820000"/>
    <n v="72820000"/>
    <n v="0"/>
    <n v="0"/>
    <s v="ASESORA JURIDICA"/>
    <s v="CO-DC-11001"/>
    <s v="Margarita Lucía Castañeda Vargas (Subdirección de Divulgación)"/>
    <s v="3550800"/>
    <s v="margarita.castaneda@idpc.gov.co"/>
    <s v="ME20181107"/>
    <s v="COMP1107"/>
    <s v="CONC1107"/>
    <s v="Ofrecer actividades que contribuyan a activar el patrimonio cultural"/>
    <s v="Activación del patrimonio"/>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72820000"/>
    <m/>
    <m/>
    <m/>
    <n v="72820000"/>
    <m/>
    <m/>
    <m/>
    <m/>
    <m/>
    <n v="72820000"/>
    <m/>
    <m/>
    <m/>
    <n v="0"/>
    <m/>
    <n v="1"/>
    <m/>
    <m/>
    <m/>
    <m/>
    <m/>
    <m/>
    <m/>
    <m/>
    <m/>
    <m/>
    <m/>
    <m/>
    <m/>
    <m/>
    <n v="0"/>
    <n v="0"/>
    <m/>
  </r>
  <r>
    <n v="33"/>
    <n v="33"/>
    <b v="0"/>
    <s v="Sí"/>
    <s v="1107. Divulgación y apropiación del patrimonio cultural del Distrito Capital"/>
    <s v="3-3-1-15-03-25-1107-158"/>
    <s v="80111600;"/>
    <s v="Prestar servicios profesionales al Instituto Distrital de Patrimonio Cultural para apoyar las actividades de comunicación y generación de contenidos requeridos para el desarrollo de la estrategia de apropiación social del patrimonio cultural."/>
    <s v="(Cód. 33) Prestar servicios profesionales al Instituto Distrital de Patrimonio Cultural para apoyar las actividades de comunicación y generación de contenidos requeridos para el desarrollo de la estrategia de apropiación social del patrimonio cultural."/>
    <d v="2019-01-18T00:00:00"/>
    <n v="10"/>
    <d v="2019-02-01T00:00:00"/>
    <x v="0"/>
    <n v="1"/>
    <n v="1"/>
    <n v="11"/>
    <n v="1"/>
    <s v="Contratación directa / Prestación de servicios profesionales y de apoyo a la gestión"/>
    <s v="CCE-16"/>
    <n v="0"/>
    <s v="N.A."/>
    <s v="Clement Roux"/>
    <n v="61380000"/>
    <n v="61380000"/>
    <n v="0"/>
    <n v="0"/>
    <s v="ASESORA JURIDICA"/>
    <s v="CO-DC-11001"/>
    <s v="Margarita Lucía Castañeda Vargas (Subdirección de Divulgación)"/>
    <s v="3550800"/>
    <s v="margarita.castaneda@idpc.gov.co"/>
    <s v="ME20181107"/>
    <s v="COMP1107"/>
    <s v="CONC1107"/>
    <s v="Ofrecer actividades que contribuyan a activar el patrimonio cultural"/>
    <s v="Activación del patrimonio"/>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61380000"/>
    <m/>
    <m/>
    <m/>
    <n v="61380000"/>
    <m/>
    <m/>
    <m/>
    <m/>
    <m/>
    <n v="61380000"/>
    <m/>
    <m/>
    <m/>
    <n v="0"/>
    <m/>
    <n v="1"/>
    <m/>
    <m/>
    <m/>
    <m/>
    <m/>
    <m/>
    <m/>
    <m/>
    <m/>
    <m/>
    <m/>
    <m/>
    <m/>
    <m/>
    <n v="0"/>
    <n v="0"/>
    <m/>
  </r>
  <r>
    <n v="34"/>
    <n v="34"/>
    <b v="0"/>
    <s v="Sí"/>
    <s v="1107. Divulgación y apropiación del patrimonio cultural del Distrito Capital"/>
    <s v="3-3-1-15-03-25-1107-158"/>
    <s v="43211507;43211600;43212100;43211503;43201827;43201802;"/>
    <s v="Adquisición de equipos de cómputo y periféricos requeridos para el desarrollo administrativo y misional del Instituto Distrital de Patrimonio Cultural"/>
    <s v="(Cód. 34) Adquisición de equipos de cómputo y periféricos requeridos para el desarrollo administrativo y misional del Instituto Distrital de Patrimonio Cultural"/>
    <d v="2019-03-15T00:00:00"/>
    <n v="45"/>
    <d v="2019-05-17T00:00:00"/>
    <x v="3"/>
    <n v="3"/>
    <n v="3"/>
    <n v="1"/>
    <n v="1"/>
    <s v="Subasta inversa"/>
    <s v="CCE-07"/>
    <n v="0"/>
    <s v="Adquisición de computadores y equipos de computación"/>
    <s v="Computadores MdB y Comunicaciones, tablets educativa, licenias MdB, portátil"/>
    <n v="12000000"/>
    <n v="12000000"/>
    <n v="0"/>
    <n v="0"/>
    <s v="ASESORA JURIDICA"/>
    <s v="CO-DC-11001"/>
    <s v="Margarita Lucía Castañeda Vargas (Subdirección de Divulgación)"/>
    <s v="3550800"/>
    <s v="margarita.castaneda@idpc.gov.co"/>
    <s v="ME20181107"/>
    <s v="COMP1107"/>
    <s v="CONC1107"/>
    <s v="Ofrecer actividades que contribuyan a activar el patrimonio cultural"/>
    <s v="Activación del patrimonio"/>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12000000"/>
    <m/>
    <m/>
    <m/>
    <n v="12000000"/>
    <m/>
    <m/>
    <m/>
    <m/>
    <m/>
    <n v="12000000"/>
    <m/>
    <m/>
    <m/>
    <n v="0"/>
    <m/>
    <n v="1"/>
    <m/>
    <m/>
    <m/>
    <m/>
    <m/>
    <m/>
    <m/>
    <m/>
    <m/>
    <m/>
    <m/>
    <m/>
    <m/>
    <m/>
    <n v="0"/>
    <n v="0"/>
    <m/>
  </r>
  <r>
    <n v="35"/>
    <n v="35"/>
    <b v="0"/>
    <s v="Sí"/>
    <s v="1107. Divulgación y apropiación del patrimonio cultural del Distrito Capital"/>
    <s v="3-3-1-15-03-25-1107-158"/>
    <s v="80111600;"/>
    <s v="Prestar servicios profesionales al Instituto Distrital del Patrimonio Cultural para apoyar la ejecucón de los trámites y procesos requeridos para la producción de los eventos generados en el marco de la estrategia de apropiación social del patrimonio cultural."/>
    <s v="(Cód. 35) Prestar servicios profesionales al Instituto Distrital del Patrimonio Cultural para apoyar la ejecucón de los trámites y procesos requeridos para la producción de los eventos generados en el marco de la estrategia de apropiación social del patrimonio cultural."/>
    <d v="2019-01-20T00:00:00"/>
    <n v="10"/>
    <d v="2019-02-01T00:00:00"/>
    <x v="0"/>
    <n v="1"/>
    <n v="1"/>
    <n v="11"/>
    <n v="1"/>
    <s v="Contratación directa / Prestación de servicios profesionales y de apoyo a la gestión"/>
    <s v="CCE-16"/>
    <n v="0"/>
    <s v="N.A."/>
    <s v="Constanza Medina"/>
    <n v="55000000"/>
    <n v="55000000"/>
    <n v="0"/>
    <n v="0"/>
    <s v="ASESORA JURIDICA"/>
    <s v="CO-DC-11001"/>
    <s v="Margarita Lucía Castañeda Vargas (Subdirección de Divulgación)"/>
    <s v="3550800"/>
    <s v="margarita.castaneda@idpc.gov.co"/>
    <s v="ME20181107"/>
    <s v="COMP1107"/>
    <s v="CONC1107"/>
    <s v="Ofrecer actividades que contribuyan a activar el patrimonio cultural"/>
    <s v="Activación del patrimonio"/>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55000000"/>
    <m/>
    <m/>
    <m/>
    <n v="55000000"/>
    <m/>
    <m/>
    <m/>
    <m/>
    <m/>
    <n v="55000000"/>
    <m/>
    <m/>
    <m/>
    <n v="0"/>
    <m/>
    <n v="1"/>
    <m/>
    <m/>
    <m/>
    <m/>
    <m/>
    <m/>
    <m/>
    <m/>
    <m/>
    <m/>
    <m/>
    <m/>
    <m/>
    <m/>
    <n v="0"/>
    <n v="0"/>
    <m/>
  </r>
  <r>
    <n v="36"/>
    <n v="36"/>
    <b v="0"/>
    <s v="Sí"/>
    <s v="1107. Divulgación y apropiación del patrimonio cultural del Distrito Capital"/>
    <s v="3-3-1-15-03-25-1107-158"/>
    <s v="93141701;93141702;93141707;93141708;81141601;"/>
    <s v="Prestar los servicios requeridos por el Instituto Distrital de Patrimonio Cultural para atender las actividades y proyectos relacionados con la formación y divulgación del patrimonio cultural del Distrito Capital."/>
    <s v="(Cód. 36) Prestar los servicios requeridos por el Instituto Distrital de Patrimonio Cultural para atender las actividades y proyectos relacionados con la formación y divulgación del patrimonio cultural del Distrito Capital."/>
    <d v="2019-01-20T00:00:00"/>
    <n v="10"/>
    <d v="2019-02-01T00:00:00"/>
    <x v="0"/>
    <n v="1"/>
    <n v="1"/>
    <n v="10"/>
    <n v="1"/>
    <s v="Contratación directa"/>
    <s v="CCE-16"/>
    <n v="0"/>
    <s v="Logística"/>
    <s v="Contrato Inter/Tequendama"/>
    <n v="268964824"/>
    <n v="268964824"/>
    <n v="0"/>
    <n v="0"/>
    <s v="ASESORA JURIDICA"/>
    <s v="CO-DC-11001"/>
    <s v="Margarita Lucía Castañeda Vargas (Subdirección de Divulgación)"/>
    <s v="3550800"/>
    <s v="margarita.castaneda@idpc.gov.co"/>
    <s v="ME20181107"/>
    <s v="COMP1107"/>
    <s v="CONC1107"/>
    <s v="Lograr asistentes a la oferta generada por el Instituto en actividades de patrimonio cultural "/>
    <s v="Museo de Bogotá en operación"/>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268964824"/>
    <m/>
    <m/>
    <m/>
    <n v="268964824"/>
    <m/>
    <m/>
    <m/>
    <m/>
    <m/>
    <n v="268964824"/>
    <m/>
    <m/>
    <m/>
    <n v="0"/>
    <m/>
    <n v="1"/>
    <m/>
    <m/>
    <m/>
    <m/>
    <m/>
    <m/>
    <m/>
    <m/>
    <m/>
    <m/>
    <m/>
    <m/>
    <m/>
    <m/>
    <n v="0"/>
    <n v="0"/>
    <m/>
  </r>
  <r>
    <n v="36"/>
    <n v="36"/>
    <b v="1"/>
    <s v="Sí"/>
    <s v="1107. Divulgación y apropiación del patrimonio cultural del Distrito Capital"/>
    <s v="3-3-1-15-03-25-1107-158"/>
    <s v="93141701;93141702;93141707;93141708;81141601;"/>
    <s v="Prestar los servicios requeridos por el Instituto Distrital de Patrimonio Cultural para atender las actividades y proyectos relacionados con la formación y divulgación del patrimonio cultural del Distrito Capital."/>
    <s v="(Cód. 36) Prestar los servicios requeridos por el Instituto Distrital de Patrimonio Cultural para atender las actividades y proyectos relacionados con la formación y divulgación del patrimonio cultural del Distrito Capital."/>
    <d v="2019-01-20T00:00:00"/>
    <n v="10"/>
    <d v="2019-02-01T00:00:00"/>
    <x v="0"/>
    <n v="1"/>
    <n v="1"/>
    <n v="10"/>
    <n v="1"/>
    <s v="Contratación directa"/>
    <s v="CCE-16"/>
    <n v="0"/>
    <s v="Logística"/>
    <s v="Contrato Inter/Tequendama"/>
    <n v="340000000"/>
    <n v="340000000"/>
    <n v="0"/>
    <n v="0"/>
    <s v="ASESORA JURIDICA"/>
    <s v="CO-DC-11001"/>
    <s v="Margarita Lucía Castañeda Vargas (Subdirección de Divulgación)"/>
    <s v="3550800"/>
    <s v="margarita.castaneda@idpc.gov.co"/>
    <s v="ME20181107"/>
    <s v="COMP1107"/>
    <s v="CONC1107"/>
    <s v="Lograr asistentes a la oferta generada por el Instituto en actividades de patrimonio cultural "/>
    <s v="Museo de Bogotá en operación"/>
    <s v="13. Oferta cultural para la valoración y divulgación del patrimonio material e  inmaterial de la ciud"/>
    <s v="FONT1107"/>
    <s v="20-Administrados de Destinación Específica"/>
    <s v="03-RECURSO HUMANO"/>
    <s v="01-DIVULGACION, ASISTENCIA TECNICA Y CAPACITACION DE LA POBLACION"/>
    <s v="0066-Fomento, apoyo y divulgación de eventos y expresiones artísticas, culturales y del patrimonio"/>
    <n v="0"/>
    <n v="340000000"/>
    <m/>
    <m/>
    <m/>
    <n v="340000000"/>
    <m/>
    <m/>
    <m/>
    <m/>
    <m/>
    <n v="340000000"/>
    <m/>
    <m/>
    <m/>
    <n v="0"/>
    <m/>
    <n v="1"/>
    <m/>
    <m/>
    <m/>
    <m/>
    <m/>
    <m/>
    <m/>
    <m/>
    <m/>
    <m/>
    <m/>
    <m/>
    <m/>
    <m/>
    <n v="0"/>
    <n v="0"/>
    <m/>
  </r>
  <r>
    <n v="37"/>
    <n v="37"/>
    <b v="0"/>
    <s v="Sí"/>
    <s v="1107. Divulgación y apropiación del patrimonio cultural del Distrito Capital"/>
    <s v="3-3-1-15-03-25-1107-158"/>
    <s v="80111600;"/>
    <s v="Prestar servicios profesionales al Instituto Distrital de Patrimonio Cultural en las actividades relacionadas con el desarrollo del guion curatorial para la exposición temporal del Museo de Bogotá sobre el Bicentenario de la ciudad."/>
    <s v="(Cód. 37) Prestar servicios profesionales al Instituto Distrital de Patrimonio Cultural en las actividades relacionadas con el desarrollo del guion curatorial para la exposición temporal del Museo de Bogotá sobre el Bicentenario de la ciudad."/>
    <d v="2019-01-15T00:00:00"/>
    <n v="10"/>
    <d v="2019-01-29T00:00:00"/>
    <x v="1"/>
    <n v="1"/>
    <n v="1"/>
    <n v="8"/>
    <n v="1"/>
    <s v="Contratación directa / Prestación de servicios profesionales y de apoyo a la gestión"/>
    <s v="CCE-16"/>
    <n v="0"/>
    <s v="N.A."/>
    <s v="Curador Bicentenario"/>
    <n v="52000000"/>
    <n v="52000000"/>
    <n v="0"/>
    <n v="0"/>
    <s v="ASESORA JURIDICA"/>
    <s v="CO-DC-11001"/>
    <s v="Margarita Lucía Castañeda Vargas (Subdirección de Divulgación)"/>
    <s v="3550800"/>
    <s v="margarita.castaneda@idpc.gov.co"/>
    <s v="ME20181107"/>
    <s v="COMP1107"/>
    <s v="CONC1107"/>
    <s v="Lograr asistentes a la oferta generada por el Instituto en actividades de patrimonio cultural "/>
    <s v="Museo de Bogotá en operación"/>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52000000"/>
    <m/>
    <m/>
    <m/>
    <n v="52000000"/>
    <m/>
    <m/>
    <m/>
    <m/>
    <m/>
    <n v="52000000"/>
    <m/>
    <m/>
    <m/>
    <n v="0"/>
    <m/>
    <n v="1"/>
    <m/>
    <m/>
    <m/>
    <m/>
    <m/>
    <m/>
    <m/>
    <m/>
    <m/>
    <m/>
    <m/>
    <m/>
    <m/>
    <m/>
    <n v="0"/>
    <n v="0"/>
    <m/>
  </r>
  <r>
    <n v="38"/>
    <n v="38"/>
    <b v="0"/>
    <s v="Sí"/>
    <s v="1107. Divulgación y apropiación del patrimonio cultural del Distrito Capital"/>
    <s v="3-3-1-15-03-25-1107-158"/>
    <s v="80111600;"/>
    <s v="Prestar servicios profesionales al Instituto Distrital de Patrimonio Cultural en el desarrollo del guion curatorial para la exposición temporal del Museo de Bogotá sobre Bogotá, en medios impresos."/>
    <s v="(Cód. 38) Prestar servicios profesionales al Instituto Distrital de Patrimonio Cultural en el desarrollo del guion curatorial para la exposición temporal del Museo de Bogotá sobre Bogotá, en medios impresos."/>
    <d v="2019-05-30T00:00:00"/>
    <n v="10"/>
    <d v="2019-06-13T00:00:00"/>
    <x v="4"/>
    <n v="5"/>
    <n v="5"/>
    <n v="6"/>
    <n v="2"/>
    <s v="Contratación directa / Prestación de servicios profesionales y de apoyo a la gestión"/>
    <s v="CCE-16"/>
    <n v="0"/>
    <s v="N.A."/>
    <s v="Curador Bogotá Impresa"/>
    <n v="30000000"/>
    <n v="30000000"/>
    <n v="0"/>
    <n v="0"/>
    <s v="ASESORA JURIDICA"/>
    <s v="CO-DC-11001"/>
    <s v="Margarita Lucía Castañeda Vargas (Subdirección de Divulgación)"/>
    <s v="3550800"/>
    <s v="margarita.castaneda@idpc.gov.co"/>
    <s v="ME20181107"/>
    <s v="COMP1107"/>
    <s v="CONC1107"/>
    <s v="Lograr asistentes a la oferta generada por el Instituto en actividades de patrimonio cultural "/>
    <s v="Museo de Bogotá en operación"/>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30000000"/>
    <m/>
    <m/>
    <m/>
    <n v="30000000"/>
    <m/>
    <m/>
    <m/>
    <m/>
    <m/>
    <n v="30000000"/>
    <m/>
    <m/>
    <m/>
    <n v="0"/>
    <m/>
    <n v="1"/>
    <m/>
    <m/>
    <m/>
    <m/>
    <m/>
    <m/>
    <m/>
    <m/>
    <m/>
    <m/>
    <m/>
    <m/>
    <m/>
    <m/>
    <n v="0"/>
    <n v="0"/>
    <m/>
  </r>
  <r>
    <n v="39"/>
    <n v="39"/>
    <b v="0"/>
    <s v="Sí"/>
    <s v="1107. Divulgación y apropiación del patrimonio cultural del Distrito Capital"/>
    <s v="3-3-1-15-03-25-1107-158"/>
    <s v="80111600;"/>
    <s v="Prestar servicios profesionales al Instituto Distrital de Patrimonio Cultural en el desarrollo del guion curatorial para la exposición temporal del Museo de Bogotá sobre la obra fotográfica &quot;Germán Téllez&quot;."/>
    <s v="(Cód. 39) Prestar servicios profesionales al Instituto Distrital de Patrimonio Cultural en el desarrollo del guion curatorial para la exposición temporal del Museo de Bogotá sobre la obra fotográfica &quot;Germán Téllez&quot;."/>
    <d v="2019-02-08T00:00:00"/>
    <n v="10"/>
    <d v="2019-02-22T00:00:00"/>
    <x v="0"/>
    <n v="2"/>
    <n v="2"/>
    <n v="5"/>
    <n v="1"/>
    <s v="Contratación directa / Prestación de servicios profesionales y de apoyo a la gestión"/>
    <s v="CCE-16"/>
    <n v="0"/>
    <s v="N.A."/>
    <s v="Curador Germán Tellez"/>
    <n v="20000000"/>
    <n v="20000000"/>
    <n v="0"/>
    <n v="0"/>
    <s v="ASESORA JURIDICA"/>
    <s v="CO-DC-11001"/>
    <s v="Margarita Lucía Castañeda Vargas (Subdirección de Divulgación)"/>
    <s v="3550800"/>
    <s v="margarita.castaneda@idpc.gov.co"/>
    <s v="ME20181107"/>
    <s v="COMP1107"/>
    <s v="CONC1107"/>
    <s v="Lograr asistentes a la oferta generada por el Instituto en actividades de patrimonio cultural "/>
    <s v="Museo de Bogotá en operación"/>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20000000"/>
    <m/>
    <m/>
    <m/>
    <n v="20000000"/>
    <m/>
    <m/>
    <m/>
    <m/>
    <m/>
    <n v="20000000"/>
    <m/>
    <m/>
    <m/>
    <n v="0"/>
    <m/>
    <n v="1"/>
    <m/>
    <m/>
    <m/>
    <m/>
    <m/>
    <m/>
    <m/>
    <m/>
    <m/>
    <m/>
    <m/>
    <m/>
    <m/>
    <m/>
    <n v="0"/>
    <n v="0"/>
    <m/>
  </r>
  <r>
    <n v="40"/>
    <n v="40"/>
    <b v="0"/>
    <s v="Sí"/>
    <s v="1107. Divulgación y apropiación del patrimonio cultural del Distrito Capital"/>
    <s v="3-3-1-15-03-25-1107-158"/>
    <n v="81141504"/>
    <s v="Adquisición de equipos de control ambiental para las salas de exposición del Museo de Bogotá y para el archivo de gestión del Instituto Distrital de Patrimonio Cultural."/>
    <s v="(Cód. 40) Adquisición de equipos de control ambiental para las salas de exposición del Museo de Bogotá y para el archivo de gestión del Instituto Distrital de Patrimonio Cultural."/>
    <d v="2019-01-31T00:00:00"/>
    <n v="25"/>
    <d v="2019-03-07T00:00:00"/>
    <x v="5"/>
    <n v="1"/>
    <n v="1"/>
    <n v="3"/>
    <n v="1"/>
    <s v="Mínima cuantía"/>
    <s v="CCE-10"/>
    <n v="0"/>
    <s v="Saneamiento y control ambiental"/>
    <s v="Deshumidificadores"/>
    <n v="7000000"/>
    <n v="7000000"/>
    <n v="0"/>
    <n v="0"/>
    <s v="ASESORA JURIDICA"/>
    <s v="CO-DC-11001"/>
    <s v="Margarita Lucía Castañeda Vargas (Subdirección de Divulgación)"/>
    <s v="3550800"/>
    <s v="margarita.castaneda@idpc.gov.co"/>
    <s v="ME20181107"/>
    <s v="COMP1107"/>
    <s v="CONC1107"/>
    <s v="Lograr asistentes a la oferta generada por el Instituto en actividades de patrimonio cultural "/>
    <s v="Museo de Bogotá en operación"/>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7000000"/>
    <m/>
    <m/>
    <m/>
    <n v="7000000"/>
    <m/>
    <m/>
    <m/>
    <m/>
    <m/>
    <n v="7000000"/>
    <m/>
    <m/>
    <m/>
    <n v="0"/>
    <m/>
    <n v="1"/>
    <m/>
    <m/>
    <m/>
    <m/>
    <m/>
    <m/>
    <m/>
    <m/>
    <m/>
    <m/>
    <m/>
    <m/>
    <m/>
    <m/>
    <n v="0"/>
    <n v="0"/>
    <m/>
  </r>
  <r>
    <n v="41"/>
    <n v="41"/>
    <b v="0"/>
    <s v="Sí"/>
    <s v="1107. Divulgación y apropiación del patrimonio cultural del Distrito Capital"/>
    <s v="3-3-1-15-03-25-1107-158"/>
    <s v="80111600;"/>
    <s v="Prestar servicios al Instituto Distrital de Patrimonio Cultural como apoyo a la gestión en la planificación y ejecución del portafolio de servicios educativos y culturales del Museo de Bogotá."/>
    <s v="(Cód. 41) Prestar servicios al Instituto Distrital de Patrimonio Cultural como apoyo a la gestión en la planificación y ejecución del portafolio de servicios educativos y culturales del Museo de Bogotá."/>
    <d v="2019-01-15T00:00:00"/>
    <n v="10"/>
    <d v="2019-01-29T00:00:00"/>
    <x v="1"/>
    <n v="1"/>
    <n v="1"/>
    <n v="3"/>
    <n v="1"/>
    <s v="Contratación directa / Prestación de servicios profesionales y de apoyo a la gestión"/>
    <s v="CCE-16"/>
    <n v="0"/>
    <s v="N.A."/>
    <s v="Diana Gómez"/>
    <n v="7740000"/>
    <n v="7740000"/>
    <n v="0"/>
    <n v="0"/>
    <s v="ASESORA JURIDICA"/>
    <s v="CO-DC-11001"/>
    <s v="Margarita Lucía Castañeda Vargas (Subdirección de Divulgación)"/>
    <s v="3550800"/>
    <s v="margarita.castaneda@idpc.gov.co"/>
    <s v="ME20181107"/>
    <s v="COMP1107"/>
    <s v="CONC1107"/>
    <s v="Lograr asistentes a la oferta generada por el Instituto en actividades de patrimonio cultural "/>
    <s v="Museo de Bogotá en operación"/>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7740000"/>
    <m/>
    <m/>
    <m/>
    <n v="7740000"/>
    <m/>
    <m/>
    <m/>
    <m/>
    <m/>
    <n v="7740000"/>
    <m/>
    <m/>
    <m/>
    <n v="0"/>
    <m/>
    <n v="1"/>
    <m/>
    <m/>
    <m/>
    <m/>
    <m/>
    <m/>
    <m/>
    <m/>
    <m/>
    <m/>
    <m/>
    <m/>
    <m/>
    <m/>
    <n v="0"/>
    <n v="0"/>
    <m/>
  </r>
  <r>
    <n v="42"/>
    <n v="42"/>
    <b v="0"/>
    <s v="Sí"/>
    <s v="1107. Divulgación y apropiación del patrimonio cultural del Distrito Capital"/>
    <s v="3-3-1-15-03-25-1107-158"/>
    <s v="80111600;"/>
    <s v="Prestar servicios profesionales al Instituto Distrital de Patrimonio Cultural para orientar las actividades de curaduría y museología del Museo de Bogotá."/>
    <s v="(Cód. 42) Prestar servicios profesionales al Instituto Distrital de Patrimonio Cultural para orientar las actividades de curaduría y museología del Museo de Bogotá."/>
    <d v="2019-01-15T00:00:00"/>
    <n v="10"/>
    <d v="2019-01-29T00:00:00"/>
    <x v="1"/>
    <n v="1"/>
    <n v="1"/>
    <n v="11"/>
    <n v="1"/>
    <s v="Contratación directa / Prestación de servicios profesionales y de apoyo a la gestión"/>
    <s v="CCE-16"/>
    <n v="0"/>
    <s v="N.A."/>
    <s v="Diana Marcela García"/>
    <n v="72820000"/>
    <n v="72820000"/>
    <n v="0"/>
    <n v="0"/>
    <s v="ASESORA JURIDICA"/>
    <s v="CO-DC-11001"/>
    <s v="Margarita Lucía Castañeda Vargas (Subdirección de Divulgación)"/>
    <s v="3550800"/>
    <s v="margarita.castaneda@idpc.gov.co"/>
    <s v="ME20181107"/>
    <s v="COMP1107"/>
    <s v="CONC1107"/>
    <s v="Lograr asistentes a la oferta generada por el Instituto en actividades de patrimonio cultural "/>
    <s v="Museo de Bogotá en operación"/>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72820000"/>
    <m/>
    <m/>
    <m/>
    <n v="72820000"/>
    <m/>
    <m/>
    <m/>
    <m/>
    <m/>
    <n v="72820000"/>
    <m/>
    <m/>
    <m/>
    <n v="0"/>
    <m/>
    <n v="1"/>
    <m/>
    <m/>
    <m/>
    <m/>
    <m/>
    <m/>
    <m/>
    <m/>
    <m/>
    <m/>
    <m/>
    <m/>
    <m/>
    <m/>
    <n v="0"/>
    <n v="0"/>
    <m/>
  </r>
  <r>
    <n v="43"/>
    <n v="43"/>
    <b v="0"/>
    <s v="Sí"/>
    <s v="1107. Divulgación y apropiación del patrimonio cultural del Distrito Capital"/>
    <s v="3-3-1-15-03-25-1107-158"/>
    <s v="80111600;"/>
    <s v="Prestar servicios profesionales al Instituto Distrital de Patrimonio Cultural para apoyar el desarrollo de estrategias orientadas a la apropiación social y salvaguardia del Patrimonio Cultural Inmaterial."/>
    <s v="(Cód. 43) Prestar servicios profesionales al Instituto Distrital de Patrimonio Cultural para apoyar el desarrollo de estrategias orientadas a la apropiación social y salvaguardia del Patrimonio Cultural Inmaterial."/>
    <d v="2019-01-15T00:00:00"/>
    <n v="10"/>
    <d v="2019-01-29T00:00:00"/>
    <x v="1"/>
    <n v="1"/>
    <n v="1"/>
    <n v="11"/>
    <n v="1"/>
    <s v="Contratación directa / Prestación de servicios profesionales y de apoyo a la gestión"/>
    <s v="CCE-16"/>
    <n v="0"/>
    <s v="N.A."/>
    <s v="Diego Andrés Muñoz"/>
    <n v="65560000"/>
    <n v="65560000"/>
    <n v="0"/>
    <n v="0"/>
    <s v="ASESORA JURIDICA"/>
    <s v="CO-DC-11001"/>
    <s v="Margarita Lucía Castañeda Vargas (Subdirección de Divulgación)"/>
    <s v="3550800"/>
    <s v="margarita.castaneda@idpc.gov.co"/>
    <s v="ME20181107"/>
    <s v="COMP1107"/>
    <s v="CONC1107"/>
    <s v="Ofrecer actividades que contribuyan a activar el patrimonio cultural"/>
    <s v="Activación del patrimonio"/>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65560000"/>
    <m/>
    <m/>
    <m/>
    <n v="65560000"/>
    <m/>
    <m/>
    <m/>
    <m/>
    <m/>
    <n v="65560000"/>
    <m/>
    <m/>
    <m/>
    <n v="0"/>
    <m/>
    <n v="1"/>
    <m/>
    <m/>
    <m/>
    <m/>
    <m/>
    <m/>
    <m/>
    <m/>
    <m/>
    <m/>
    <m/>
    <m/>
    <m/>
    <m/>
    <n v="0"/>
    <n v="0"/>
    <m/>
  </r>
  <r>
    <n v="44"/>
    <n v="44"/>
    <b v="0"/>
    <s v="Sí"/>
    <s v="1107. Divulgación y apropiación del patrimonio cultural del Distrito Capital"/>
    <s v="3-3-1-15-03-25-1107-158"/>
    <s v="80111600;"/>
    <s v="Prestar servicios profesionales al Instituto Distrital de Patrimonio Cultural para acompañar la producción audiovisual y multimedial requerida para el desarrollo de la estrategia de apropiación social del patrimonio cultural."/>
    <s v="(Cód. 44) Prestar servicios profesionales al Instituto Distrital de Patrimonio Cultural para acompañar la producción audiovisual y multimedial requerida para el desarrollo de la estrategia de apropiación social del patrimonio cultural."/>
    <d v="2019-01-15T00:00:00"/>
    <n v="10"/>
    <d v="2019-01-29T00:00:00"/>
    <x v="1"/>
    <n v="1"/>
    <n v="1"/>
    <n v="11"/>
    <n v="1"/>
    <s v="Contratación directa / Prestación de servicios profesionales y de apoyo a la gestión"/>
    <s v="CCE-16"/>
    <n v="0"/>
    <s v="N.A."/>
    <s v="Diego Robayo"/>
    <n v="88000000"/>
    <n v="88000000"/>
    <n v="0"/>
    <n v="0"/>
    <s v="ASESORA JURIDICA"/>
    <s v="CO-DC-11001"/>
    <s v="Margarita Lucía Castañeda Vargas (Subdirección de Divulgación)"/>
    <s v="3550800"/>
    <s v="margarita.castaneda@idpc.gov.co"/>
    <s v="ME20181107"/>
    <s v="COMP1107"/>
    <s v="CONC1107"/>
    <s v="Ofrecer actividades que contribuyan a activar el patrimonio cultural"/>
    <s v="Activación del patrimonio"/>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88000000"/>
    <m/>
    <m/>
    <m/>
    <n v="88000000"/>
    <m/>
    <m/>
    <m/>
    <m/>
    <m/>
    <n v="88000000"/>
    <m/>
    <m/>
    <m/>
    <n v="0"/>
    <m/>
    <n v="1"/>
    <m/>
    <m/>
    <m/>
    <m/>
    <m/>
    <m/>
    <m/>
    <m/>
    <m/>
    <m/>
    <m/>
    <m/>
    <m/>
    <m/>
    <n v="0"/>
    <n v="0"/>
    <m/>
  </r>
  <r>
    <n v="45"/>
    <n v="45"/>
    <b v="0"/>
    <s v="Sí"/>
    <s v="1107. Divulgación y apropiación del patrimonio cultural del Distrito Capital"/>
    <s v="3-3-1-15-03-25-1107-158"/>
    <s v="80111600;"/>
    <s v="Prestar servicios profesionales al Instituto Distrital de Patrimonio Cultural para orientar el diseño gráfico y diagramación de los productos de divulgación en el marco del proyecto de apropiación social del Patrimonio Cultural Inmaterial &quot;Patrimonios Locales&quot;."/>
    <s v="(Cód. 45) Prestar servicios profesionales al Instituto Distrital de Patrimonio Cultural para orientar el diseño gráfico y diagramación de los productos de divulgación en el marco del proyecto de apropiación social del Patrimonio Cultural Inmaterial &quot;Patrimonios Locales&quot;."/>
    <d v="2019-05-30T00:00:00"/>
    <n v="10"/>
    <d v="2019-06-13T00:00:00"/>
    <x v="4"/>
    <n v="5"/>
    <n v="5"/>
    <n v="4"/>
    <n v="1"/>
    <s v="Contratación directa / Prestación de servicios profesionales y de apoyo a la gestión"/>
    <s v="CCE-16"/>
    <n v="0"/>
    <s v="N.A."/>
    <s v="Diseñador gráfico productos Patrimonios Locales"/>
    <n v="16000000"/>
    <n v="16000000"/>
    <n v="0"/>
    <n v="0"/>
    <s v="ASESORA JURIDICA"/>
    <s v="CO-DC-11001"/>
    <s v="Margarita Lucía Castañeda Vargas (Subdirección de Divulgación)"/>
    <s v="3550800"/>
    <s v="margarita.castaneda@idpc.gov.co"/>
    <s v="ME20181107"/>
    <s v="COMP1107"/>
    <s v="CONC1107"/>
    <s v="Ofrecer actividades que contribuyan a activar el patrimonio cultural"/>
    <s v="Activación del patrimonio"/>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16000000"/>
    <m/>
    <m/>
    <m/>
    <n v="16000000"/>
    <m/>
    <m/>
    <m/>
    <m/>
    <m/>
    <n v="16000000"/>
    <m/>
    <m/>
    <m/>
    <n v="0"/>
    <m/>
    <n v="1"/>
    <m/>
    <m/>
    <m/>
    <m/>
    <m/>
    <m/>
    <m/>
    <m/>
    <m/>
    <m/>
    <m/>
    <m/>
    <m/>
    <m/>
    <n v="0"/>
    <n v="0"/>
    <m/>
  </r>
  <r>
    <n v="46"/>
    <n v="46"/>
    <b v="0"/>
    <s v="Sí"/>
    <s v="1107. Divulgación y apropiación del patrimonio cultural del Distrito Capital"/>
    <s v="3-3-1-15-03-25-1107-158"/>
    <s v="80111600;"/>
    <s v="Prestar servicios profesionales al Instituto Distrital de Patrimonio Cultural para apoyar el diseño museográfico de los proyectos adelantados por el Museo de Bogotá."/>
    <s v="(Cód. 46) Prestar servicios profesionales al Instituto Distrital de Patrimonio Cultural para apoyar el diseño museográfico de los proyectos adelantados por el Museo de Bogotá."/>
    <d v="2019-01-25T00:00:00"/>
    <n v="10"/>
    <d v="2019-02-08T00:00:00"/>
    <x v="0"/>
    <n v="1"/>
    <n v="1"/>
    <n v="10"/>
    <n v="1"/>
    <s v="Contratación directa / Prestación de servicios profesionales y de apoyo a la gestión"/>
    <s v="CCE-16"/>
    <n v="0"/>
    <s v="N.A."/>
    <s v="Diseñador pequeño Reemplazo de Juan Sebastian Carranza"/>
    <n v="40000000"/>
    <n v="40000000"/>
    <n v="0"/>
    <n v="0"/>
    <s v="ASESORA JURIDICA"/>
    <s v="CO-DC-11001"/>
    <s v="Margarita Lucía Castañeda Vargas (Subdirección de Divulgación)"/>
    <s v="3550800"/>
    <s v="margarita.castaneda@idpc.gov.co"/>
    <s v="ME20181107"/>
    <s v="COMP1107"/>
    <s v="CONC1107"/>
    <s v="Lograr asistentes a la oferta generada por el Instituto en actividades de patrimonio cultural "/>
    <s v="Museo de Bogotá en operación"/>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40000000"/>
    <m/>
    <m/>
    <m/>
    <n v="40000000"/>
    <m/>
    <m/>
    <m/>
    <m/>
    <m/>
    <n v="40000000"/>
    <m/>
    <m/>
    <m/>
    <n v="0"/>
    <m/>
    <n v="1"/>
    <m/>
    <m/>
    <m/>
    <m/>
    <m/>
    <m/>
    <m/>
    <m/>
    <m/>
    <m/>
    <m/>
    <m/>
    <m/>
    <m/>
    <n v="0"/>
    <n v="0"/>
    <m/>
  </r>
  <r>
    <n v="47"/>
    <n v="47"/>
    <b v="0"/>
    <s v="Sí"/>
    <s v="1107. Divulgación y apropiación del patrimonio cultural del Distrito Capital"/>
    <s v="3-3-1-15-03-25-1107-158"/>
    <s v="80111600;"/>
    <s v="Prestar servicios profesionales al Instituto Distrital de Patrimonio Cultural para apoyar los procesos documentales del Centro de Documentación."/>
    <s v="(Cód. 47) Prestar servicios profesionales al Instituto Distrital de Patrimonio Cultural para apoyar los procesos documentales del Centro de Documentación."/>
    <d v="2019-01-15T00:00:00"/>
    <n v="10"/>
    <d v="2019-01-29T00:00:00"/>
    <x v="1"/>
    <n v="1"/>
    <n v="1"/>
    <n v="11"/>
    <n v="1"/>
    <s v="Contratación directa / Prestación de servicios profesionales y de apoyo a la gestión"/>
    <s v="CCE-16"/>
    <n v="0"/>
    <s v="N.A."/>
    <s v="Eda Lucía"/>
    <n v="49500000"/>
    <n v="49500000"/>
    <n v="0"/>
    <n v="0"/>
    <s v="ASESORA JURIDICA"/>
    <s v="CO-DC-11001"/>
    <s v="Margarita Lucía Castañeda Vargas (Subdirección de Divulgación)"/>
    <s v="3550800"/>
    <s v="margarita.castaneda@idpc.gov.co"/>
    <s v="ME20181107"/>
    <s v="COMP1107"/>
    <s v="CONC1107"/>
    <s v="Ofrecer actividades que contribuyan a activar el patrimonio cultural"/>
    <s v="Activación del patrimonio"/>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49500000"/>
    <m/>
    <m/>
    <m/>
    <n v="49500000"/>
    <m/>
    <m/>
    <m/>
    <m/>
    <m/>
    <n v="49500000"/>
    <m/>
    <m/>
    <m/>
    <n v="0"/>
    <m/>
    <n v="1"/>
    <m/>
    <m/>
    <m/>
    <m/>
    <m/>
    <m/>
    <m/>
    <m/>
    <m/>
    <m/>
    <m/>
    <m/>
    <m/>
    <m/>
    <n v="0"/>
    <n v="0"/>
    <m/>
  </r>
  <r>
    <n v="48"/>
    <n v="48"/>
    <b v="0"/>
    <s v="Sí"/>
    <s v="1107. Divulgación y apropiación del patrimonio cultural del Distrito Capital"/>
    <s v="3-3-1-15-03-25-1107-158"/>
    <s v="80111600;"/>
    <s v="Prestar servicios profesionales al Instituto Distrital de Patrimonio Cultural en las actividades de producción de contenidos audiovisuales requeridos para el desarrollo de la estrategia de apropiación social del patrimonio cultural."/>
    <s v="(Cód. 48) Prestar servicios profesionales al Instituto Distrital de Patrimonio Cultural en las actividades de producción de contenidos audiovisuales requeridos para el desarrollo de la estrategia de apropiación social del patrimonio cultural."/>
    <d v="2019-01-15T00:00:00"/>
    <n v="10"/>
    <d v="2019-01-29T00:00:00"/>
    <x v="1"/>
    <n v="1"/>
    <n v="1"/>
    <n v="11"/>
    <n v="1"/>
    <s v="Contratación directa / Prestación de servicios profesionales y de apoyo a la gestión"/>
    <s v="CCE-16"/>
    <n v="0"/>
    <s v="N.A."/>
    <s v="Edgar Andrés Gutierrez"/>
    <n v="41580000"/>
    <n v="41580000"/>
    <n v="0"/>
    <n v="0"/>
    <s v="ASESORA JURIDICA"/>
    <s v="CO-DC-11001"/>
    <s v="Margarita Lucía Castañeda Vargas (Subdirección de Divulgación)"/>
    <s v="3550800"/>
    <s v="margarita.castaneda@idpc.gov.co"/>
    <s v="ME20181107"/>
    <s v="COMP1107"/>
    <s v="CONC1107"/>
    <s v="Ofrecer actividades que contribuyan a activar el patrimonio cultural"/>
    <s v="Activación del patrimonio"/>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41580000"/>
    <m/>
    <m/>
    <m/>
    <n v="41580000"/>
    <m/>
    <m/>
    <m/>
    <m/>
    <m/>
    <n v="41580000"/>
    <m/>
    <m/>
    <m/>
    <n v="0"/>
    <m/>
    <n v="1"/>
    <m/>
    <m/>
    <m/>
    <m/>
    <m/>
    <m/>
    <m/>
    <m/>
    <m/>
    <m/>
    <m/>
    <m/>
    <m/>
    <m/>
    <n v="0"/>
    <n v="0"/>
    <m/>
  </r>
  <r>
    <n v="49"/>
    <n v="49"/>
    <b v="0"/>
    <s v="Sí"/>
    <s v="1107. Divulgación y apropiación del patrimonio cultural del Distrito Capital"/>
    <s v="3-3-1-15-03-25-1107-158"/>
    <s v="80111600;"/>
    <s v="Prestar servicios profesionales al Instituto Distrital de Patrimonio Cultural para apoyar los procesos de control presupuestal, seguimiento a indicadores y sistema integrado de gestión, requerido en el marco de las funciones de la Subdirección de Divulgación de los Valores del Patrimonio Cultural."/>
    <s v="(Cód. 49) Prestar servicios profesionales al Instituto Distrital de Patrimonio Cultural para apoyar los procesos de control presupuestal, seguimiento a indicadores y sistema integrado de gestión, requerido en el marco de las funciones de la Subdirección de Divulgación de los Valores del Patrimonio Cultural."/>
    <d v="2019-01-15T00:00:00"/>
    <n v="10"/>
    <d v="2019-01-29T00:00:00"/>
    <x v="1"/>
    <n v="1"/>
    <n v="1"/>
    <n v="11"/>
    <n v="1"/>
    <s v="Contratación directa / Prestación de servicios profesionales y de apoyo a la gestión"/>
    <s v="CCE-16"/>
    <n v="0"/>
    <s v="N.A."/>
    <s v="Elkin Buitrago"/>
    <n v="20945000"/>
    <n v="20945000"/>
    <n v="0"/>
    <n v="0"/>
    <s v="ASESORA JURIDICA"/>
    <s v="CO-DC-11001"/>
    <s v="Margarita Lucía Castañeda Vargas (Subdirección de Divulgación)"/>
    <s v="3550800"/>
    <s v="margarita.castaneda@idpc.gov.co"/>
    <s v="ME20181107"/>
    <s v="COMP1107"/>
    <s v="CONC1107"/>
    <s v="Lograr asistentes a la oferta generada por el Instituto en actividades de patrimonio cultural "/>
    <s v="Museo de Bogotá en operación"/>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20945000"/>
    <m/>
    <m/>
    <m/>
    <n v="20945000"/>
    <m/>
    <m/>
    <m/>
    <m/>
    <m/>
    <n v="20945000"/>
    <m/>
    <m/>
    <m/>
    <n v="0"/>
    <m/>
    <n v="1"/>
    <m/>
    <m/>
    <m/>
    <m/>
    <m/>
    <m/>
    <m/>
    <m/>
    <m/>
    <m/>
    <m/>
    <m/>
    <m/>
    <m/>
    <n v="0"/>
    <n v="0"/>
    <m/>
  </r>
  <r>
    <n v="49"/>
    <n v="49"/>
    <b v="1"/>
    <s v="Sí"/>
    <s v="1107. Divulgación y apropiación del patrimonio cultural del Distrito Capital"/>
    <s v="3-3-1-15-03-25-1107-158"/>
    <s v="80111600;"/>
    <s v="Prestar servicios profesionales al Instituto Distrital de Patrimonio Cultural para apoyar los procesos de control presupuestal, seguimiento a indicadores y sistema integrado de gestión, requerido en el marco de las funciones de la Subdirección de Divulgación de los Valores del Patrimonio Cultural."/>
    <s v="(Cód. 49) Prestar servicios profesionales al Instituto Distrital de Patrimonio Cultural para apoyar los procesos de control presupuestal, seguimiento a indicadores y sistema integrado de gestión, requerido en el marco de las funciones de la Subdirección de Divulgación de los Valores del Patrimonio Cultural."/>
    <d v="2019-01-15T00:00:00"/>
    <n v="10"/>
    <d v="2019-01-29T00:00:00"/>
    <x v="1"/>
    <n v="1"/>
    <n v="1"/>
    <n v="11"/>
    <n v="1"/>
    <s v="Contratación directa / Prestación de servicios profesionales y de apoyo a la gestión"/>
    <s v="CCE-16"/>
    <n v="0"/>
    <s v="N.A."/>
    <s v="Elkin Buitrago"/>
    <n v="45935000"/>
    <n v="45935000"/>
    <n v="0"/>
    <n v="0"/>
    <s v="ASESORA JURIDICA"/>
    <s v="CO-DC-11001"/>
    <s v="Margarita Lucía Castañeda Vargas (Subdirección de Divulgación)"/>
    <s v="3550800"/>
    <s v="margarita.castaneda@idpc.gov.co"/>
    <s v="ME20181107"/>
    <s v="COMP1107"/>
    <s v="CONC1107"/>
    <s v="Ofrecer actividades que contribuyan a activar el patrimonio cultural"/>
    <s v="Activación del patrimonio"/>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45935000"/>
    <m/>
    <m/>
    <m/>
    <n v="45935000"/>
    <m/>
    <m/>
    <m/>
    <m/>
    <m/>
    <n v="45935000"/>
    <m/>
    <m/>
    <m/>
    <n v="0"/>
    <m/>
    <n v="1"/>
    <m/>
    <m/>
    <m/>
    <m/>
    <m/>
    <m/>
    <m/>
    <m/>
    <m/>
    <m/>
    <m/>
    <m/>
    <m/>
    <m/>
    <n v="0"/>
    <n v="0"/>
    <m/>
  </r>
  <r>
    <n v="50"/>
    <n v="50"/>
    <b v="0"/>
    <s v="Sí"/>
    <s v="1107. Divulgación y apropiación del patrimonio cultural del Distrito Capital"/>
    <s v="3-3-1-15-03-25-1107-158"/>
    <s v="80111600;"/>
    <s v="Prestar servicios profesionales al Instituto Distrital de Patrimonio Cultural para apoyar el desarrollo de los contenidos requeridos para la publicación sobre la Iglesia San Ignacio de Bogotá."/>
    <s v="(Cód. 50) Prestar servicios profesionales al Instituto Distrital de Patrimonio Cultural para apoyar el desarrollo de los contenidos requeridos para la publicación sobre la Iglesia San Ignacio de Bogotá."/>
    <d v="2019-02-15T00:00:00"/>
    <n v="10"/>
    <d v="2019-03-01T00:00:00"/>
    <x v="5"/>
    <n v="2"/>
    <n v="2"/>
    <n v="3"/>
    <n v="1"/>
    <s v="Contratación directa / Prestación de servicios profesionales y de apoyo a la gestión"/>
    <s v="CCE-16"/>
    <n v="0"/>
    <s v="N.A."/>
    <s v="Ernesto Moore"/>
    <n v="19980000"/>
    <n v="19980000"/>
    <n v="0"/>
    <n v="0"/>
    <s v="ASESORA JURIDICA"/>
    <s v="CO-DC-11001"/>
    <s v="Margarita Lucía Castañeda Vargas (Subdirección de Divulgación)"/>
    <s v="3550800"/>
    <s v="margarita.castaneda@idpc.gov.co"/>
    <s v="ME20181107"/>
    <s v="COMP1107"/>
    <s v="CONC1107"/>
    <s v="Ofrecer actividades que contribuyan a activar el patrimonio cultural"/>
    <s v="Activación del patrimonio"/>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19980000"/>
    <m/>
    <m/>
    <m/>
    <n v="19980000"/>
    <m/>
    <m/>
    <m/>
    <m/>
    <m/>
    <n v="19980000"/>
    <m/>
    <m/>
    <m/>
    <n v="0"/>
    <m/>
    <n v="1"/>
    <m/>
    <m/>
    <m/>
    <m/>
    <m/>
    <m/>
    <m/>
    <m/>
    <m/>
    <m/>
    <m/>
    <m/>
    <m/>
    <m/>
    <n v="0"/>
    <n v="0"/>
    <m/>
  </r>
  <r>
    <s v="N.A."/>
    <s v="N.A."/>
    <b v="0"/>
    <s v="No"/>
    <s v="1107. Divulgación y apropiación del patrimonio cultural del Distrito Capital"/>
    <s v="3-3-1-15-03-25-1107-158"/>
    <s v="93141707; 90151501; 80111617;"/>
    <s v="Diseño, fabricación e instalación de una estructura protectora removible para el Tranvía de Mulas, pieza museográfica central de la sala – Sobre rieles: el Tranvía en Bogotá-, del Museo de Bogotá._x000a__x000a_Observación: Este recurso debe tramitarse con SDH y SDP"/>
    <s v="(Cód. N.A.) Diseño, fabricación e instalación de una estructura protectora removible para el Tranvía de Mulas, pieza museográfica central de la sala – Sobre rieles: el Tranvía en Bogotá-, del Museo de Bogotá._x000a__x000a_Observación: Este recurso debe tramitarse con SDH y SDP"/>
    <d v="2019-01-20T00:00:00"/>
    <n v="45"/>
    <d v="2019-03-22T00:00:00"/>
    <x v="5"/>
    <n v="1"/>
    <n v="1"/>
    <n v="4"/>
    <n v="1"/>
    <s v="Menor cuantía"/>
    <s v="CCE-06"/>
    <n v="0"/>
    <s v="N.A."/>
    <s v="Estructura tranvía"/>
    <n v="0"/>
    <n v="0"/>
    <n v="0"/>
    <n v="0"/>
    <s v="ASESORA JURIDICA"/>
    <s v="CO-DC-11001"/>
    <s v="Margarita Lucía Castañeda Vargas (Subdirección de Divulgación)"/>
    <s v="3550800"/>
    <s v="margarita.castaneda@idpc.gov.co"/>
    <s v="ME20181107"/>
    <s v="COMP1107"/>
    <s v="CONC1107"/>
    <s v="Lograr asistentes a la oferta generada por el Instituto en actividades de patrimonio cultural "/>
    <s v="Museo de Bogotá en operación"/>
    <s v="13. Oferta cultural para la valoración y divulgación del patrimonio material e  inmaterial de la ciud"/>
    <s v="FONT1107"/>
    <s v="20-Administrados de Destinación Específica"/>
    <s v="03-RECURSO HUMANO"/>
    <s v="01-DIVULGACION, ASISTENCIA TECNICA Y CAPACITACION DE LA POBLACION"/>
    <s v="0066-Fomento, apoyo y divulgación de eventos y expresiones artísticas, culturales y del patrimonio"/>
    <n v="0"/>
    <n v="0"/>
    <m/>
    <m/>
    <m/>
    <n v="0"/>
    <m/>
    <m/>
    <m/>
    <m/>
    <m/>
    <n v="0"/>
    <m/>
    <m/>
    <m/>
    <n v="0"/>
    <m/>
    <n v="1"/>
    <m/>
    <m/>
    <m/>
    <m/>
    <m/>
    <m/>
    <m/>
    <m/>
    <m/>
    <m/>
    <m/>
    <m/>
    <m/>
    <m/>
    <n v="0"/>
    <n v="0"/>
    <m/>
  </r>
  <r>
    <n v="51"/>
    <n v="51"/>
    <b v="0"/>
    <s v="Sí"/>
    <s v="1107. Divulgación y apropiación del patrimonio cultural del Distrito Capital"/>
    <s v="3-3-1-15-03-25-1107-158"/>
    <s v="23240000;24110000;24141500;27110000;30110000;30151800;30151900;30161500;30161600;30190000;31160000;31200000;31210000;39121700;40140000;31162800;39100000;"/>
    <s v="Contratar insumos de ferretería, materiales y herramientas requeridas para la ejecución de intervenciones técnicas necesarias para el enlucimiento de fachadas, limpieza y mantenimiento de los Bienes de Interés Cultural muebles en espacio público e instalaciones que se utilizan para la prestación del servicio del Instituto Distrital de Patrimonio Cultural, en la ciudad de Bogotá D.C."/>
    <s v="(Cód. 51) Contratar insumos de ferretería, materiales y herramientas requeridas para la ejecución de intervenciones técnicas necesarias para el enlucimiento de fachadas, limpieza y mantenimiento de los Bienes de Interés Cultural muebles en espacio público e instalaciones que se utilizan para la prestación del servicio del Instituto Distrital de Patrimonio Cultural, en la ciudad de Bogotá D.C."/>
    <d v="2019-02-15T00:00:00"/>
    <n v="45"/>
    <d v="2019-04-19T00:00:00"/>
    <x v="7"/>
    <n v="2"/>
    <n v="2"/>
    <n v="9"/>
    <n v="1"/>
    <s v="Subasta inversa"/>
    <s v="CCE-07"/>
    <n v="0"/>
    <s v="Ferretería"/>
    <s v="Ferreteria"/>
    <n v="10000000"/>
    <n v="10000000"/>
    <n v="0"/>
    <n v="0"/>
    <s v="ASESORA JURIDICA"/>
    <s v="CO-DC-11001"/>
    <s v="Margarita Lucía Castañeda Vargas (Subdirección de Divulgación)"/>
    <s v="3550800"/>
    <s v="margarita.castaneda@idpc.gov.co"/>
    <s v="ME20181107"/>
    <s v="COMP1107"/>
    <s v="CONC1107"/>
    <s v="Lograr asistentes a la oferta generada por el Instituto en actividades de patrimonio cultural "/>
    <s v="Museo de Bogotá en operación"/>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10000000"/>
    <m/>
    <m/>
    <m/>
    <n v="10000000"/>
    <m/>
    <m/>
    <m/>
    <m/>
    <m/>
    <n v="10000000"/>
    <m/>
    <m/>
    <m/>
    <n v="0"/>
    <m/>
    <n v="1"/>
    <m/>
    <m/>
    <m/>
    <m/>
    <m/>
    <m/>
    <m/>
    <m/>
    <m/>
    <m/>
    <m/>
    <m/>
    <m/>
    <m/>
    <n v="0"/>
    <n v="0"/>
    <m/>
  </r>
  <r>
    <n v="52"/>
    <n v="52"/>
    <b v="0"/>
    <s v="Sí"/>
    <s v="1107. Divulgación y apropiación del patrimonio cultural del Distrito Capital"/>
    <s v="3-3-1-15-03-25-1107-158"/>
    <s v="80111600;"/>
    <s v="Prestar servicios profesionales al Instituto Distrital de Patrimonio Cultural para apoyar la planificación y ejecución del programa de recorridos urbanos en el marco de la estrategia de apropiación social del patrimonio cultural."/>
    <s v="(Cód. 52) Prestar servicios profesionales al Instituto Distrital de Patrimonio Cultural para apoyar la planificación y ejecución del programa de recorridos urbanos en el marco de la estrategia de apropiación social del patrimonio cultural."/>
    <d v="2019-01-15T00:00:00"/>
    <n v="10"/>
    <d v="2019-01-29T00:00:00"/>
    <x v="1"/>
    <n v="1"/>
    <n v="1"/>
    <n v="10"/>
    <n v="1"/>
    <s v="Contratación directa / Prestación de servicios profesionales y de apoyo a la gestión"/>
    <s v="CCE-16"/>
    <n v="0"/>
    <s v="N.A."/>
    <s v="Francisco Guerrero"/>
    <n v="46000000"/>
    <n v="46000000"/>
    <n v="0"/>
    <n v="0"/>
    <s v="ASESORA JURIDICA"/>
    <s v="CO-DC-11001"/>
    <s v="Margarita Lucía Castañeda Vargas (Subdirección de Divulgación)"/>
    <s v="3550800"/>
    <s v="margarita.castaneda@idpc.gov.co"/>
    <s v="ME20181107"/>
    <s v="COMP1107"/>
    <s v="CONC1107"/>
    <s v="Ofrecer actividades que contribuyan a activar el patrimonio cultural"/>
    <s v="Activación del patrimonio"/>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46000000"/>
    <m/>
    <m/>
    <m/>
    <n v="46000000"/>
    <m/>
    <m/>
    <m/>
    <m/>
    <m/>
    <n v="46000000"/>
    <m/>
    <m/>
    <m/>
    <n v="0"/>
    <m/>
    <n v="1"/>
    <m/>
    <m/>
    <m/>
    <m/>
    <m/>
    <m/>
    <m/>
    <m/>
    <m/>
    <m/>
    <m/>
    <m/>
    <m/>
    <m/>
    <n v="0"/>
    <n v="0"/>
    <m/>
  </r>
  <r>
    <n v="53"/>
    <n v="53"/>
    <b v="0"/>
    <s v="Sí"/>
    <s v="1107. Divulgación y apropiación del patrimonio cultural del Distrito Capital"/>
    <s v="3-3-1-15-03-25-1107-158"/>
    <s v="80111600;"/>
    <s v="Prestar servicios profesionales al Instituto Distrital de Patrimonio Cultural para apoyar los procesos de investigación, estructuración y redacción de guiones museológicos requeridos por el Museo de Bogotá."/>
    <s v="(Cód. 53) Prestar servicios profesionales al Instituto Distrital de Patrimonio Cultural para apoyar los procesos de investigación, estructuración y redacción de guiones museológicos requeridos por el Museo de Bogotá."/>
    <d v="2019-01-15T00:00:00"/>
    <n v="10"/>
    <d v="2019-01-29T00:00:00"/>
    <x v="1"/>
    <n v="1"/>
    <n v="1"/>
    <n v="3"/>
    <n v="1"/>
    <s v="Contratación directa / Prestación de servicios profesionales y de apoyo a la gestión"/>
    <s v="CCE-16"/>
    <n v="0"/>
    <s v="N.A."/>
    <s v="Gina León"/>
    <n v="17880000"/>
    <n v="17880000"/>
    <n v="0"/>
    <n v="0"/>
    <s v="ASESORA JURIDICA"/>
    <s v="CO-DC-11001"/>
    <s v="Margarita Lucía Castañeda Vargas (Subdirección de Divulgación)"/>
    <s v="3550800"/>
    <s v="margarita.castaneda@idpc.gov.co"/>
    <s v="ME20181107"/>
    <s v="COMP1107"/>
    <s v="CONC1107"/>
    <s v="Lograr asistentes a la oferta generada por el Instituto en actividades de patrimonio cultural "/>
    <s v="Museo de Bogotá en operación"/>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17880000"/>
    <m/>
    <m/>
    <m/>
    <n v="17880000"/>
    <m/>
    <m/>
    <m/>
    <m/>
    <m/>
    <n v="17880000"/>
    <m/>
    <m/>
    <m/>
    <n v="0"/>
    <m/>
    <n v="1"/>
    <m/>
    <m/>
    <m/>
    <m/>
    <m/>
    <m/>
    <m/>
    <m/>
    <m/>
    <m/>
    <m/>
    <m/>
    <m/>
    <m/>
    <n v="0"/>
    <n v="0"/>
    <m/>
  </r>
  <r>
    <n v="54"/>
    <n v="54"/>
    <b v="0"/>
    <s v="Sí"/>
    <s v="1107. Divulgación y apropiación del patrimonio cultural del Distrito Capital"/>
    <s v="3-3-1-15-03-25-1107-158"/>
    <s v="80111600;"/>
    <s v="Prestar servicios de apoyo a la gestión al Instituto Distrital de Patrimonio Cultural en la ejecución de recorridos naturales realizados en el marco de la estrategia de apropiación social del patrimonio cultural."/>
    <s v="(Cód. 54) Prestar servicios de apoyo a la gestión al Instituto Distrital de Patrimonio Cultural en la ejecución de recorridos naturales realizados en el marco de la estrategia de apropiación social del patrimonio cultural."/>
    <d v="2019-01-15T00:00:00"/>
    <n v="10"/>
    <d v="2019-01-29T00:00:00"/>
    <x v="1"/>
    <n v="1"/>
    <n v="1"/>
    <n v="10"/>
    <n v="1"/>
    <s v="Contratación directa / Prestación de servicios profesionales y de apoyo a la gestión"/>
    <s v="CCE-16"/>
    <n v="0"/>
    <s v="N.A."/>
    <s v="Giovany Alfonso"/>
    <n v="10000000"/>
    <n v="10000000"/>
    <n v="0"/>
    <n v="0"/>
    <s v="ASESORA JURIDICA"/>
    <s v="CO-DC-11001"/>
    <s v="Margarita Lucía Castañeda Vargas (Subdirección de Divulgación)"/>
    <s v="3550800"/>
    <s v="margarita.castaneda@idpc.gov.co"/>
    <s v="ME20181107"/>
    <s v="COMP1107"/>
    <s v="CONC1107"/>
    <s v="Ofrecer actividades que contribuyan a activar el patrimonio cultural"/>
    <s v="Activación del patrimonio"/>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10000000"/>
    <m/>
    <m/>
    <m/>
    <n v="10000000"/>
    <m/>
    <m/>
    <m/>
    <m/>
    <m/>
    <n v="10000000"/>
    <m/>
    <m/>
    <m/>
    <n v="0"/>
    <m/>
    <n v="1"/>
    <m/>
    <m/>
    <m/>
    <m/>
    <m/>
    <m/>
    <m/>
    <m/>
    <m/>
    <m/>
    <m/>
    <m/>
    <m/>
    <m/>
    <n v="0"/>
    <n v="0"/>
    <m/>
  </r>
  <r>
    <n v="55"/>
    <n v="55"/>
    <b v="0"/>
    <s v="Sí"/>
    <s v="1107. Divulgación y apropiación del patrimonio cultural del Distrito Capital"/>
    <s v="3-3-1-15-03-25-1107-158"/>
    <s v="80111600;"/>
    <s v="Prestar servicios de apoyo a la gestión al Instituto Distrital de Patrimonio Cultural en los trámites administrativos y operativos generados en la operación del Museo de Bogotá."/>
    <s v="(Cód. 55) Prestar servicios de apoyo a la gestión al Instituto Distrital de Patrimonio Cultural en los trámites administrativos y operativos generados en la operación del Museo de Bogotá."/>
    <d v="2019-01-15T00:00:00"/>
    <n v="10"/>
    <d v="2019-01-29T00:00:00"/>
    <x v="1"/>
    <n v="1"/>
    <n v="1"/>
    <n v="11"/>
    <n v="1"/>
    <s v="Contratación directa / Prestación de servicios profesionales y de apoyo a la gestión"/>
    <s v="CCE-16"/>
    <n v="0"/>
    <s v="N.A."/>
    <s v="Gloria Carrillo"/>
    <n v="38280000"/>
    <n v="38280000"/>
    <n v="0"/>
    <n v="0"/>
    <s v="ASESORA JURIDICA"/>
    <s v="CO-DC-11001"/>
    <s v="Margarita Lucía Castañeda Vargas (Subdirección de Divulgación)"/>
    <s v="3550800"/>
    <s v="margarita.castaneda@idpc.gov.co"/>
    <s v="ME20181107"/>
    <s v="COMP1107"/>
    <s v="CONC1107"/>
    <s v="Lograr asistentes a la oferta generada por el Instituto en actividades de patrimonio cultural "/>
    <s v="Museo de Bogotá en operación"/>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38280000"/>
    <m/>
    <m/>
    <m/>
    <n v="38280000"/>
    <m/>
    <m/>
    <m/>
    <m/>
    <m/>
    <n v="38280000"/>
    <m/>
    <m/>
    <m/>
    <n v="0"/>
    <m/>
    <n v="1"/>
    <m/>
    <m/>
    <m/>
    <m/>
    <m/>
    <m/>
    <m/>
    <m/>
    <m/>
    <m/>
    <m/>
    <m/>
    <m/>
    <m/>
    <n v="0"/>
    <n v="0"/>
    <m/>
  </r>
  <r>
    <n v="56"/>
    <n v="56"/>
    <b v="0"/>
    <s v="Sí"/>
    <s v="1107. Divulgación y apropiación del patrimonio cultural del Distrito Capital"/>
    <s v="3-3-1-15-03-25-1107-158"/>
    <s v="80111600;"/>
    <s v="Prestar servicios de apoyo a la gestión al Instituto Distrital de Patrimonio Cultural en las actividades administrativas y operativas desarrollados por la Subdirección de Divulgación de los Valores del Patrimonio Cultural."/>
    <s v="(Cód. 56) Prestar servicios de apoyo a la gestión al Instituto Distrital de Patrimonio Cultural en las actividades administrativas y operativas desarrollados por la Subdirección de Divulgación de los Valores del Patrimonio Cultural."/>
    <d v="2019-01-15T00:00:00"/>
    <n v="10"/>
    <d v="2019-01-29T00:00:00"/>
    <x v="1"/>
    <n v="1"/>
    <n v="1"/>
    <n v="11"/>
    <n v="1"/>
    <s v="Contratación directa / Prestación de servicios profesionales y de apoyo a la gestión"/>
    <s v="CCE-16"/>
    <n v="0"/>
    <s v="N.A."/>
    <s v="Gloria Rodriguez"/>
    <n v="39600000"/>
    <n v="39600000"/>
    <n v="0"/>
    <n v="0"/>
    <s v="ASESORA JURIDICA"/>
    <s v="CO-DC-11001"/>
    <s v="Margarita Lucía Castañeda Vargas (Subdirección de Divulgación)"/>
    <s v="3550800"/>
    <s v="margarita.castaneda@idpc.gov.co"/>
    <s v="ME20181107"/>
    <s v="COMP1107"/>
    <s v="CONC1107"/>
    <s v="Ofrecer actividades que contribuyan a activar el patrimonio cultural"/>
    <s v="Activación del patrimonio"/>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39600000"/>
    <m/>
    <m/>
    <m/>
    <n v="39600000"/>
    <m/>
    <m/>
    <m/>
    <m/>
    <m/>
    <n v="39600000"/>
    <m/>
    <m/>
    <m/>
    <n v="0"/>
    <m/>
    <n v="1"/>
    <m/>
    <m/>
    <m/>
    <m/>
    <m/>
    <m/>
    <m/>
    <m/>
    <m/>
    <m/>
    <m/>
    <m/>
    <m/>
    <m/>
    <n v="0"/>
    <n v="0"/>
    <m/>
  </r>
  <r>
    <n v="57"/>
    <n v="57"/>
    <b v="0"/>
    <s v="Sí"/>
    <s v="1107. Divulgación y apropiación del patrimonio cultural del Distrito Capital"/>
    <s v="3-3-1-15-03-25-1107-158"/>
    <s v="80111600;"/>
    <s v="Prestar servicios profesionales al Instituto Distrital de Patrimonio Cultural para realizar el registro fotográfico y audiovisual requerido para la ejecución de la estrategia de comunicaciones de la entidad."/>
    <s v="(Cód. 57) Prestar servicios profesionales al Instituto Distrital de Patrimonio Cultural para realizar el registro fotográfico y audiovisual requerido para la ejecución de la estrategia de comunicaciones de la entidad."/>
    <d v="2019-01-15T00:00:00"/>
    <n v="10"/>
    <d v="2019-01-29T00:00:00"/>
    <x v="1"/>
    <n v="1"/>
    <n v="1"/>
    <n v="11"/>
    <n v="1"/>
    <s v="Contratación directa / Prestación de servicios profesionales y de apoyo a la gestión"/>
    <s v="CCE-16"/>
    <n v="0"/>
    <s v="N.A."/>
    <s v="Hanz Ripel"/>
    <n v="70620000"/>
    <n v="70620000"/>
    <n v="0"/>
    <n v="0"/>
    <s v="ASESORA JURIDICA"/>
    <s v="CO-DC-11001"/>
    <s v="Margarita Lucía Castañeda Vargas (Subdirección de Divulgación)"/>
    <s v="3550800"/>
    <s v="margarita.castaneda@idpc.gov.co"/>
    <s v="ME20181107"/>
    <s v="COMP1107"/>
    <s v="CONC1107"/>
    <s v="Ofrecer actividades que contribuyan a activar el patrimonio cultural"/>
    <s v="Activación del patrimonio"/>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70620000"/>
    <m/>
    <m/>
    <m/>
    <n v="70620000"/>
    <m/>
    <m/>
    <m/>
    <m/>
    <m/>
    <n v="70620000"/>
    <m/>
    <m/>
    <m/>
    <n v="0"/>
    <m/>
    <n v="1"/>
    <m/>
    <m/>
    <m/>
    <m/>
    <m/>
    <m/>
    <m/>
    <m/>
    <m/>
    <m/>
    <m/>
    <m/>
    <m/>
    <m/>
    <n v="0"/>
    <n v="0"/>
    <m/>
  </r>
  <r>
    <n v="58"/>
    <n v="58"/>
    <b v="0"/>
    <s v="Sí"/>
    <s v="1107. Divulgación y apropiación del patrimonio cultural del Distrito Capital"/>
    <s v="3-3-1-15-03-25-1107-158"/>
    <s v="81141504; 39111504; 39111522"/>
    <s v="Contratar la iluminación museográfica requerida para las salas de exposición del Museo de Bogotá del Instituto Distrital de Patrimonio Cultural."/>
    <s v="(Cód. 58) Contratar la iluminación museográfica requerida para las salas de exposición del Museo de Bogotá del Instituto Distrital de Patrimonio Cultural."/>
    <d v="2019-04-20T00:00:00"/>
    <n v="25"/>
    <d v="2019-05-24T00:00:00"/>
    <x v="3"/>
    <n v="4"/>
    <n v="4"/>
    <n v="3"/>
    <n v="1"/>
    <s v="Mínima cuantía"/>
    <s v="CCE-10"/>
    <n v="0"/>
    <s v="N.A."/>
    <s v="Iluminación"/>
    <n v="17000000"/>
    <n v="17000000"/>
    <n v="0"/>
    <n v="0"/>
    <s v="ASESORA JURIDICA"/>
    <s v="CO-DC-11001"/>
    <s v="Margarita Lucía Castañeda Vargas (Subdirección de Divulgación)"/>
    <s v="3550800"/>
    <s v="margarita.castaneda@idpc.gov.co"/>
    <s v="ME20181107"/>
    <s v="COMP1107"/>
    <s v="CONC1107"/>
    <s v="Lograr asistentes a la oferta generada por el Instituto en actividades de patrimonio cultural "/>
    <s v="Museo de Bogotá en operación"/>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17000000"/>
    <m/>
    <m/>
    <m/>
    <n v="17000000"/>
    <m/>
    <m/>
    <m/>
    <m/>
    <m/>
    <n v="17000000"/>
    <m/>
    <m/>
    <m/>
    <n v="0"/>
    <m/>
    <n v="1"/>
    <m/>
    <m/>
    <m/>
    <m/>
    <m/>
    <m/>
    <m/>
    <m/>
    <m/>
    <m/>
    <m/>
    <m/>
    <m/>
    <m/>
    <n v="0"/>
    <n v="0"/>
    <m/>
  </r>
  <r>
    <n v="59"/>
    <n v="59"/>
    <b v="0"/>
    <s v="Sí"/>
    <s v="1107. Divulgación y apropiación del patrimonio cultural del Distrito Capital"/>
    <s v="3-3-1-15-03-25-1107-158"/>
    <s v="80111600;"/>
    <s v="Prestar servicios profesionales al Instituto Distrital de Patrimonio Cultural para apoyar el desarrollo de los contenidos requeridos para la publicación sobre inmuebles de valor patrimonial en Bogotá."/>
    <s v="(Cód. 59) Prestar servicios profesionales al Instituto Distrital de Patrimonio Cultural para apoyar el desarrollo de los contenidos requeridos para la publicación sobre inmuebles de valor patrimonial en Bogotá."/>
    <d v="2019-02-15T00:00:00"/>
    <n v="10"/>
    <d v="2019-03-01T00:00:00"/>
    <x v="5"/>
    <n v="2"/>
    <n v="2"/>
    <n v="4"/>
    <n v="1"/>
    <s v="Contratación directa / Prestación de servicios profesionales y de apoyo a la gestión"/>
    <s v="CCE-16"/>
    <n v="0"/>
    <s v="N.A."/>
    <s v="Investigador inmuebles"/>
    <n v="20000000"/>
    <n v="20000000"/>
    <n v="0"/>
    <n v="0"/>
    <s v="ASESORA JURIDICA"/>
    <s v="CO-DC-11001"/>
    <s v="Margarita Lucía Castañeda Vargas (Subdirección de Divulgación)"/>
    <s v="3550800"/>
    <s v="margarita.castaneda@idpc.gov.co"/>
    <s v="ME20181107"/>
    <s v="COMP1107"/>
    <s v="CONC1107"/>
    <s v="Ofrecer actividades que contribuyan a activar el patrimonio cultural"/>
    <s v="Activación del patrimonio"/>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20000000"/>
    <m/>
    <m/>
    <m/>
    <n v="20000000"/>
    <m/>
    <m/>
    <m/>
    <m/>
    <m/>
    <n v="20000000"/>
    <m/>
    <m/>
    <m/>
    <n v="0"/>
    <m/>
    <n v="1"/>
    <m/>
    <m/>
    <m/>
    <m/>
    <m/>
    <m/>
    <m/>
    <m/>
    <m/>
    <m/>
    <m/>
    <m/>
    <m/>
    <m/>
    <n v="0"/>
    <n v="0"/>
    <m/>
  </r>
  <r>
    <n v="60"/>
    <n v="60"/>
    <b v="0"/>
    <s v="Sí"/>
    <s v="1107. Divulgación y apropiación del patrimonio cultural del Distrito Capital"/>
    <s v="3-3-1-15-03-25-1107-158"/>
    <s v="80111600;"/>
    <s v="Prestar servicios profesionales al Instituto Distrital de Patrimonio Cultural para orientar los procesos museográficos requeridos por el Museo de Bogotá."/>
    <s v="(Cód. 60) Prestar servicios profesionales al Instituto Distrital de Patrimonio Cultural para orientar los procesos museográficos requeridos por el Museo de Bogotá."/>
    <d v="2019-01-15T00:00:00"/>
    <n v="10"/>
    <d v="2019-01-29T00:00:00"/>
    <x v="1"/>
    <n v="1"/>
    <n v="1"/>
    <n v="11"/>
    <n v="1"/>
    <s v="Contratación directa / Prestación de servicios profesionales y de apoyo a la gestión"/>
    <s v="CCE-16"/>
    <n v="0"/>
    <s v="N.A."/>
    <s v="Irene Carolina Corredor"/>
    <n v="72820000"/>
    <n v="72820000"/>
    <n v="0"/>
    <n v="0"/>
    <s v="ASESORA JURIDICA"/>
    <s v="CO-DC-11001"/>
    <s v="Margarita Lucía Castañeda Vargas (Subdirección de Divulgación)"/>
    <s v="3550800"/>
    <s v="margarita.castaneda@idpc.gov.co"/>
    <s v="ME20181107"/>
    <s v="COMP1107"/>
    <s v="CONC1107"/>
    <s v="Lograr asistentes a la oferta generada por el Instituto en actividades de patrimonio cultural "/>
    <s v="Museo de Bogotá en operación"/>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72820000"/>
    <m/>
    <m/>
    <m/>
    <n v="72820000"/>
    <m/>
    <m/>
    <m/>
    <m/>
    <m/>
    <n v="72820000"/>
    <m/>
    <m/>
    <m/>
    <n v="0"/>
    <m/>
    <n v="1"/>
    <m/>
    <m/>
    <m/>
    <m/>
    <m/>
    <m/>
    <m/>
    <m/>
    <m/>
    <m/>
    <m/>
    <m/>
    <m/>
    <m/>
    <n v="0"/>
    <n v="0"/>
    <m/>
  </r>
  <r>
    <n v="61"/>
    <n v="61"/>
    <b v="0"/>
    <s v="Sí"/>
    <s v="1107. Divulgación y apropiación del patrimonio cultural del Distrito Capital"/>
    <s v="3-3-1-15-03-25-1107-158"/>
    <s v="80111600;"/>
    <s v="Prestar servicios profesionales al Instituto Distrital de Patrimonio Cultural para acompañar el componente pedagógico y didáctico del portafolio de servicios educativos y culturales del Museo de Bogotá."/>
    <s v="(Cód. 61) Prestar servicios profesionales al Instituto Distrital de Patrimonio Cultural para acompañar el componente pedagógico y didáctico del portafolio de servicios educativos y culturales del Museo de Bogotá."/>
    <d v="2019-01-15T00:00:00"/>
    <n v="10"/>
    <d v="2019-01-29T00:00:00"/>
    <x v="1"/>
    <n v="1"/>
    <n v="1"/>
    <n v="3"/>
    <n v="1"/>
    <s v="Contratación directa / Prestación de servicios profesionales y de apoyo a la gestión"/>
    <s v="CCE-16"/>
    <n v="0"/>
    <s v="N.A."/>
    <s v="Johana Galindo"/>
    <n v="16080000"/>
    <n v="16080000"/>
    <n v="0"/>
    <n v="0"/>
    <s v="ASESORA JURIDICA"/>
    <s v="CO-DC-11001"/>
    <s v="Margarita Lucía Castañeda Vargas (Subdirección de Divulgación)"/>
    <s v="3550800"/>
    <s v="margarita.castaneda@idpc.gov.co"/>
    <s v="ME20181107"/>
    <s v="COMP1107"/>
    <s v="CONC1107"/>
    <s v="Lograr asistentes a la oferta generada por el Instituto en actividades de patrimonio cultural "/>
    <s v="Museo de Bogotá en operación"/>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16080000"/>
    <m/>
    <m/>
    <m/>
    <n v="16080000"/>
    <m/>
    <m/>
    <m/>
    <m/>
    <m/>
    <n v="16080000"/>
    <m/>
    <m/>
    <m/>
    <n v="0"/>
    <m/>
    <n v="1"/>
    <m/>
    <m/>
    <m/>
    <m/>
    <m/>
    <m/>
    <m/>
    <m/>
    <m/>
    <m/>
    <m/>
    <m/>
    <m/>
    <m/>
    <n v="0"/>
    <n v="0"/>
    <m/>
  </r>
  <r>
    <n v="62"/>
    <n v="62"/>
    <b v="0"/>
    <s v="Sí"/>
    <s v="1107. Divulgación y apropiación del patrimonio cultural del Distrito Capital"/>
    <s v="3-3-1-15-03-25-1107-158"/>
    <s v="80111600;"/>
    <s v="Prestar servicios profesionales al Instituto Distrital de Patrimonio Cultural en la ejecución de los procesos de mediación y generación de contenidos pedagógicos del portafolio de servicios educativos y culturales del Museo de Bogotá."/>
    <s v="(Cód. 62) Prestar servicios profesionales al Instituto Distrital de Patrimonio Cultural en la ejecución de los procesos de mediación y generación de contenidos pedagógicos del portafolio de servicios educativos y culturales del Museo de Bogotá."/>
    <d v="2019-01-15T00:00:00"/>
    <n v="10"/>
    <d v="2019-01-29T00:00:00"/>
    <x v="1"/>
    <n v="1"/>
    <n v="1"/>
    <n v="3"/>
    <n v="1"/>
    <s v="Contratación directa / Prestación de servicios profesionales y de apoyo a la gestión"/>
    <s v="CCE-16"/>
    <n v="0"/>
    <s v="N.A."/>
    <s v="José Leonardo Cristancho"/>
    <n v="12060000"/>
    <n v="12060000"/>
    <n v="0"/>
    <n v="0"/>
    <s v="ASESORA JURIDICA"/>
    <s v="CO-DC-11001"/>
    <s v="Margarita Lucía Castañeda Vargas (Subdirección de Divulgación)"/>
    <s v="3550800"/>
    <s v="margarita.castaneda@idpc.gov.co"/>
    <s v="ME20181107"/>
    <s v="COMP1107"/>
    <s v="CONC1107"/>
    <s v="Lograr asistentes a la oferta generada por el Instituto en actividades de patrimonio cultural "/>
    <s v="Museo de Bogotá en operación"/>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12060000"/>
    <m/>
    <m/>
    <m/>
    <n v="12060000"/>
    <m/>
    <m/>
    <m/>
    <m/>
    <m/>
    <n v="12060000"/>
    <m/>
    <m/>
    <m/>
    <n v="0"/>
    <m/>
    <n v="1"/>
    <m/>
    <m/>
    <m/>
    <m/>
    <m/>
    <m/>
    <m/>
    <m/>
    <m/>
    <m/>
    <m/>
    <m/>
    <m/>
    <m/>
    <n v="0"/>
    <n v="0"/>
    <m/>
  </r>
  <r>
    <n v="63"/>
    <n v="63"/>
    <b v="0"/>
    <s v="Sí"/>
    <s v="1107. Divulgación y apropiación del patrimonio cultural del Distrito Capital"/>
    <s v="3-3-1-15-03-25-1107-158"/>
    <s v="80111600;"/>
    <s v=" Prestar servicios profesionales al Instituto Distrital de Patrimonio Cultural para apoyar las acciones de diseño gráfico del Museo de Bogotá ."/>
    <s v="(Cód. 63)  Prestar servicios profesionales al Instituto Distrital de Patrimonio Cultural para apoyar las acciones de diseño gráfico del Museo de Bogotá ."/>
    <d v="2019-01-15T00:00:00"/>
    <n v="10"/>
    <d v="2019-01-29T00:00:00"/>
    <x v="1"/>
    <n v="1"/>
    <n v="1"/>
    <n v="3"/>
    <n v="1"/>
    <s v="Contratación directa / Prestación de servicios profesionales y de apoyo a la gestión"/>
    <s v="CCE-16"/>
    <n v="0"/>
    <s v="N.A."/>
    <s v="Juan Felipe Espinosa"/>
    <n v="13320000"/>
    <n v="13320000"/>
    <n v="0"/>
    <n v="0"/>
    <s v="ASESORA JURIDICA"/>
    <s v="CO-DC-11001"/>
    <s v="Margarita Lucía Castañeda Vargas (Subdirección de Divulgación)"/>
    <s v="3550800"/>
    <s v="margarita.castaneda@idpc.gov.co"/>
    <s v="ME20181107"/>
    <s v="COMP1107"/>
    <s v="CONC1107"/>
    <s v="Lograr asistentes a la oferta generada por el Instituto en actividades de patrimonio cultural "/>
    <s v="Museo de Bogotá en operación"/>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13320000"/>
    <m/>
    <m/>
    <m/>
    <n v="13320000"/>
    <m/>
    <m/>
    <m/>
    <m/>
    <m/>
    <n v="13320000"/>
    <m/>
    <m/>
    <m/>
    <n v="0"/>
    <m/>
    <n v="1"/>
    <m/>
    <m/>
    <m/>
    <m/>
    <m/>
    <m/>
    <m/>
    <m/>
    <m/>
    <m/>
    <m/>
    <m/>
    <m/>
    <m/>
    <n v="0"/>
    <n v="0"/>
    <m/>
  </r>
  <r>
    <n v="64"/>
    <n v="64"/>
    <b v="0"/>
    <s v="Sí"/>
    <s v="1107. Divulgación y apropiación del patrimonio cultural del Distrito Capital"/>
    <s v="3-3-1-15-03-25-1107-158"/>
    <s v="80111600;"/>
    <s v="Prestar servicios profesionales al Instituto Distrital de Patrimonio Cultural para apoyar las estrategias relacionadas con la apropiación social del patrimonio cultural inmaterial de la ciudad, así como otras actividades y proyectos de la Subdirección de Divulgación de los Valores del Patrimonio Cultural."/>
    <s v="(Cód. 64) Prestar servicios profesionales al Instituto Distrital de Patrimonio Cultural para apoyar las estrategias relacionadas con la apropiación social del patrimonio cultural inmaterial de la ciudad, así como otras actividades y proyectos de la Subdirección de Divulgación de los Valores del Patrimonio Cultural."/>
    <d v="2019-01-15T00:00:00"/>
    <n v="10"/>
    <d v="2019-01-29T00:00:00"/>
    <x v="1"/>
    <n v="1"/>
    <n v="1"/>
    <n v="11"/>
    <n v="1"/>
    <s v="Contratación directa / Prestación de servicios profesionales y de apoyo a la gestión"/>
    <s v="CCE-16"/>
    <n v="0"/>
    <s v="N.A."/>
    <s v="Juan Pablo Henao"/>
    <n v="71500000"/>
    <n v="71500000"/>
    <n v="0"/>
    <n v="0"/>
    <s v="ASESORA JURIDICA"/>
    <s v="CO-DC-11001"/>
    <s v="Margarita Lucía Castañeda Vargas (Subdirección de Divulgación)"/>
    <s v="3550800"/>
    <s v="margarita.castaneda@idpc.gov.co"/>
    <s v="ME20181107"/>
    <s v="COMP1107"/>
    <s v="CONC1107"/>
    <s v="Ofrecer actividades que contribuyan a activar el patrimonio cultural"/>
    <s v="Activación del patrimonio"/>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71500000"/>
    <m/>
    <m/>
    <m/>
    <n v="71500000"/>
    <m/>
    <m/>
    <m/>
    <m/>
    <m/>
    <n v="71500000"/>
    <m/>
    <m/>
    <m/>
    <n v="0"/>
    <m/>
    <n v="1"/>
    <m/>
    <m/>
    <m/>
    <m/>
    <m/>
    <m/>
    <m/>
    <m/>
    <m/>
    <m/>
    <m/>
    <m/>
    <m/>
    <m/>
    <n v="0"/>
    <n v="0"/>
    <m/>
  </r>
  <r>
    <n v="65"/>
    <n v="65"/>
    <b v="0"/>
    <s v="Sí"/>
    <s v="1107. Divulgación y apropiación del patrimonio cultural del Distrito Capital"/>
    <s v="3-3-1-15-03-25-1107-158"/>
    <s v="80111600;"/>
    <s v="Prestar servicios profesionales al Instituto Distrital de Patrimonio Cultural para orientar la estrategia de apropiación social del patrimonio cultural."/>
    <s v="(Cód. 65) Prestar servicios profesionales al Instituto Distrital de Patrimonio Cultural para orientar la estrategia de apropiación social del patrimonio cultural."/>
    <d v="2019-01-15T00:00:00"/>
    <n v="10"/>
    <d v="2019-01-29T00:00:00"/>
    <x v="1"/>
    <n v="1"/>
    <n v="1"/>
    <n v="11"/>
    <n v="1"/>
    <s v="Contratación directa / Prestación de servicios profesionales y de apoyo a la gestión"/>
    <s v="CCE-16"/>
    <n v="0"/>
    <s v="N.A."/>
    <s v="Juan Ricardo Barragán"/>
    <n v="72820000"/>
    <n v="72820000"/>
    <n v="0"/>
    <n v="0"/>
    <s v="ASESORA JURIDICA"/>
    <s v="CO-DC-11001"/>
    <s v="Margarita Lucía Castañeda Vargas (Subdirección de Divulgación)"/>
    <s v="3550800"/>
    <s v="margarita.castaneda@idpc.gov.co"/>
    <s v="ME20181107"/>
    <s v="COMP1107"/>
    <s v="CONC1107"/>
    <s v="Ofrecer actividades que contribuyan a activar el patrimonio cultural"/>
    <s v="Activación del patrimonio"/>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72820000"/>
    <m/>
    <m/>
    <m/>
    <n v="72820000"/>
    <m/>
    <m/>
    <m/>
    <m/>
    <m/>
    <n v="72820000"/>
    <m/>
    <m/>
    <m/>
    <n v="0"/>
    <m/>
    <n v="1"/>
    <m/>
    <m/>
    <m/>
    <m/>
    <m/>
    <m/>
    <m/>
    <m/>
    <m/>
    <m/>
    <m/>
    <m/>
    <m/>
    <m/>
    <n v="0"/>
    <n v="0"/>
    <m/>
  </r>
  <r>
    <n v="66"/>
    <n v="66"/>
    <b v="0"/>
    <s v="Sí"/>
    <s v="1107. Divulgación y apropiación del patrimonio cultural del Distrito Capital"/>
    <s v="3-3-1-15-03-25-1107-158"/>
    <s v="80111600;"/>
    <s v="Prestar servicios profesionales al Instituto Distrital de Patrimonio Cultural en la ejecución de los procesos de mediación y generación de contenidos pedagógicos del portafolio de servicios educativos y culturales del Museo de Bogotá."/>
    <s v="(Cód. 66) Prestar servicios profesionales al Instituto Distrital de Patrimonio Cultural en la ejecución de los procesos de mediación y generación de contenidos pedagógicos del portafolio de servicios educativos y culturales del Museo de Bogotá."/>
    <d v="2019-01-15T00:00:00"/>
    <n v="10"/>
    <d v="2019-01-29T00:00:00"/>
    <x v="1"/>
    <n v="1"/>
    <n v="1"/>
    <n v="3"/>
    <n v="1"/>
    <s v="Contratación directa / Prestación de servicios profesionales y de apoyo a la gestión"/>
    <s v="CCE-16"/>
    <n v="0"/>
    <s v="N.A."/>
    <s v="Juan Sebastian Pinto"/>
    <n v="12060000"/>
    <n v="12060000"/>
    <n v="0"/>
    <n v="0"/>
    <s v="ASESORA JURIDICA"/>
    <s v="CO-DC-11001"/>
    <s v="Margarita Lucía Castañeda Vargas (Subdirección de Divulgación)"/>
    <s v="3550800"/>
    <s v="margarita.castaneda@idpc.gov.co"/>
    <s v="ME20181107"/>
    <s v="COMP1107"/>
    <s v="CONC1107"/>
    <s v="Lograr asistentes a la oferta generada por el Instituto en actividades de patrimonio cultural "/>
    <s v="Museo de Bogotá en operación"/>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12060000"/>
    <m/>
    <m/>
    <m/>
    <n v="12060000"/>
    <m/>
    <m/>
    <m/>
    <m/>
    <m/>
    <n v="12060000"/>
    <m/>
    <m/>
    <m/>
    <n v="0"/>
    <m/>
    <n v="1"/>
    <m/>
    <m/>
    <m/>
    <m/>
    <m/>
    <m/>
    <m/>
    <m/>
    <m/>
    <m/>
    <m/>
    <m/>
    <m/>
    <m/>
    <n v="0"/>
    <n v="0"/>
    <m/>
  </r>
  <r>
    <n v="67"/>
    <n v="67"/>
    <b v="0"/>
    <s v="Sí"/>
    <s v="1107. Divulgación y apropiación del patrimonio cultural del Distrito Capital"/>
    <s v="3-3-1-15-03-25-1107-158"/>
    <s v="80111600;"/>
    <s v="Prestar servicios profesionales al Instituto Distrital de Patrimonio Cultural para apoyar los procesos de inventario, catalogación y organización de los fondos documentales que conforman el Centro de Documentación. "/>
    <s v="(Cód. 67) Prestar servicios profesionales al Instituto Distrital de Patrimonio Cultural para apoyar los procesos de inventario, catalogación y organización de los fondos documentales que conforman el Centro de Documentación. "/>
    <d v="2019-01-15T00:00:00"/>
    <n v="10"/>
    <d v="2019-01-29T00:00:00"/>
    <x v="1"/>
    <n v="1"/>
    <n v="1"/>
    <n v="11"/>
    <n v="1"/>
    <s v="Contratación directa / Prestación de servicios profesionales y de apoyo a la gestión"/>
    <s v="CCE-16"/>
    <n v="0"/>
    <s v="N.A."/>
    <s v="Laura Mejia"/>
    <n v="49500000"/>
    <n v="49500000"/>
    <n v="0"/>
    <n v="0"/>
    <s v="ASESORA JURIDICA"/>
    <s v="CO-DC-11001"/>
    <s v="Margarita Lucía Castañeda Vargas (Subdirección de Divulgación)"/>
    <s v="3550800"/>
    <s v="margarita.castaneda@idpc.gov.co"/>
    <s v="ME20181107"/>
    <s v="COMP1107"/>
    <s v="CONC1107"/>
    <s v="Ofrecer actividades que contribuyan a activar el patrimonio cultural"/>
    <s v="Activación del patrimonio"/>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49500000"/>
    <m/>
    <m/>
    <m/>
    <n v="49500000"/>
    <m/>
    <m/>
    <m/>
    <m/>
    <m/>
    <n v="49500000"/>
    <m/>
    <m/>
    <m/>
    <n v="0"/>
    <m/>
    <n v="1"/>
    <m/>
    <m/>
    <m/>
    <m/>
    <m/>
    <m/>
    <m/>
    <m/>
    <m/>
    <m/>
    <m/>
    <m/>
    <m/>
    <m/>
    <n v="0"/>
    <n v="0"/>
    <m/>
  </r>
  <r>
    <n v="68"/>
    <n v="68"/>
    <b v="0"/>
    <s v="Sí"/>
    <s v="1107. Divulgación y apropiación del patrimonio cultural del Distrito Capital"/>
    <s v="3-3-1-15-03-25-1107-158"/>
    <s v="80111600;"/>
    <s v="Prestar servicios profesionales al Instituto Distrital de Patrimonio Cultural para apoyar el diseño de piezas gráficas y de comunicación requeridas para la ejecución de la estrategia de comunicaciones de la entidad y de apropiación social del patrimonio cultural."/>
    <s v="(Cód. 68) Prestar servicios profesionales al Instituto Distrital de Patrimonio Cultural para apoyar el diseño de piezas gráficas y de comunicación requeridas para la ejecución de la estrategia de comunicaciones de la entidad y de apropiación social del patrimonio cultural."/>
    <d v="2019-01-15T00:00:00"/>
    <n v="10"/>
    <d v="2019-01-29T00:00:00"/>
    <x v="1"/>
    <n v="1"/>
    <n v="1"/>
    <n v="11"/>
    <n v="1"/>
    <s v="Contratación directa / Prestación de servicios profesionales y de apoyo a la gestión"/>
    <s v="CCE-16"/>
    <n v="0"/>
    <s v="N.A."/>
    <s v="Leonardo Ochica"/>
    <n v="65560000"/>
    <n v="65560000"/>
    <n v="0"/>
    <n v="0"/>
    <s v="ASESORA JURIDICA"/>
    <s v="CO-DC-11001"/>
    <s v="Margarita Lucía Castañeda Vargas (Subdirección de Divulgación)"/>
    <s v="3550800"/>
    <s v="margarita.castaneda@idpc.gov.co"/>
    <s v="ME20181107"/>
    <s v="COMP1107"/>
    <s v="CONC1107"/>
    <s v="Ofrecer actividades que contribuyan a activar el patrimonio cultural"/>
    <s v="Activación del patrimonio"/>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65560000"/>
    <m/>
    <m/>
    <m/>
    <n v="65560000"/>
    <m/>
    <m/>
    <m/>
    <m/>
    <m/>
    <n v="65560000"/>
    <m/>
    <m/>
    <m/>
    <n v="0"/>
    <m/>
    <n v="1"/>
    <m/>
    <m/>
    <m/>
    <m/>
    <m/>
    <m/>
    <m/>
    <m/>
    <m/>
    <m/>
    <m/>
    <m/>
    <m/>
    <m/>
    <n v="0"/>
    <n v="0"/>
    <m/>
  </r>
  <r>
    <n v="69"/>
    <n v="69"/>
    <b v="0"/>
    <s v="Sí"/>
    <s v="1107. Divulgación y apropiación del patrimonio cultural del Distrito Capital"/>
    <s v="3-3-1-15-03-25-1107-158"/>
    <s v="55101500; 55101524"/>
    <s v="Adquisición de material bibliográfico requerido para el incremento de los fondos documentales del Centro de Dcumentación del Instituto Distrital de Patrimonio Cultural."/>
    <s v="(Cód. 69) Adquisición de material bibliográfico requerido para el incremento de los fondos documentales del Centro de Dcumentación del Instituto Distrital de Patrimonio Cultural."/>
    <d v="2019-03-11T00:00:00"/>
    <n v="10"/>
    <d v="2019-03-25T00:00:00"/>
    <x v="5"/>
    <n v="3"/>
    <n v="3"/>
    <n v="4"/>
    <n v="1"/>
    <s v="Contratación directa"/>
    <s v="CCE-16"/>
    <n v="0"/>
    <s v="N.A."/>
    <s v="Libros centro de docuemntación"/>
    <n v="10575000"/>
    <n v="10575000"/>
    <n v="0"/>
    <n v="0"/>
    <s v="ASESORA JURIDICA"/>
    <s v="CO-DC-11001"/>
    <s v="Margarita Lucía Castañeda Vargas (Subdirección de Divulgación)"/>
    <s v="3550800"/>
    <s v="margarita.castaneda@idpc.gov.co"/>
    <s v="ME20181107"/>
    <s v="COMP1107"/>
    <s v="CONC1107"/>
    <s v="Ofrecer actividades que contribuyan a activar el patrimonio cultural"/>
    <s v="Activación del patrimonio"/>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10575000"/>
    <m/>
    <m/>
    <m/>
    <n v="10575000"/>
    <m/>
    <m/>
    <m/>
    <m/>
    <m/>
    <n v="10575000"/>
    <m/>
    <m/>
    <m/>
    <n v="0"/>
    <m/>
    <n v="1"/>
    <m/>
    <m/>
    <m/>
    <m/>
    <m/>
    <m/>
    <m/>
    <m/>
    <m/>
    <m/>
    <m/>
    <m/>
    <m/>
    <m/>
    <n v="0"/>
    <n v="0"/>
    <m/>
  </r>
  <r>
    <n v="70"/>
    <n v="70"/>
    <b v="0"/>
    <s v="Sí"/>
    <s v="1107. Divulgación y apropiación del patrimonio cultural del Distrito Capital"/>
    <s v="3-3-1-15-03-25-1107-158"/>
    <s v="43231500;81111500;"/>
    <s v="Contratar la adquisición de licencias de software para los equipos de cómputo de Instituto Distrital de Patrimonio Cultural."/>
    <s v="(Cód. 70) Contratar la adquisición de licencias de software para los equipos de cómputo de Instituto Distrital de Patrimonio Cultural."/>
    <d v="2019-03-15T00:00:00"/>
    <n v="45"/>
    <d v="2019-05-17T00:00:00"/>
    <x v="3"/>
    <n v="3"/>
    <n v="3"/>
    <n v="1"/>
    <n v="1"/>
    <s v="Menor cuantía"/>
    <s v="CCE-06"/>
    <n v="0"/>
    <s v="Licencias de software"/>
    <s v="Licencias Museo"/>
    <n v="40000000"/>
    <n v="40000000"/>
    <n v="0"/>
    <n v="0"/>
    <s v="ASESORA JURIDICA"/>
    <s v="CO-DC-11001"/>
    <s v="Margarita Lucía Castañeda Vargas (Subdirección de Divulgación)"/>
    <s v="3550800"/>
    <s v="margarita.castaneda@idpc.gov.co"/>
    <s v="ME20181107"/>
    <s v="COMP1107"/>
    <s v="CONC1107"/>
    <s v="Lograr asistentes a la oferta generada por el Instituto en actividades de patrimonio cultural "/>
    <s v="Museo de Bogotá en operación"/>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40000000"/>
    <m/>
    <m/>
    <m/>
    <n v="40000000"/>
    <m/>
    <m/>
    <m/>
    <m/>
    <m/>
    <n v="40000000"/>
    <m/>
    <m/>
    <m/>
    <n v="0"/>
    <m/>
    <n v="1"/>
    <m/>
    <m/>
    <m/>
    <m/>
    <m/>
    <m/>
    <m/>
    <m/>
    <m/>
    <m/>
    <m/>
    <m/>
    <m/>
    <m/>
    <n v="0"/>
    <n v="0"/>
    <m/>
  </r>
  <r>
    <n v="71"/>
    <n v="71"/>
    <b v="0"/>
    <s v="Sí"/>
    <s v="1107. Divulgación y apropiación del patrimonio cultural del Distrito Capital"/>
    <s v="3-3-1-15-03-25-1107-158"/>
    <s v="80111600;"/>
    <s v="Prestar servicios profesionales al Instituto Distrital de Patrimonio Cultural para orientar la estructuración e implementación de las acciones de fomento a las prácticas del patrimonio cultural."/>
    <s v="(Cód. 71) Prestar servicios profesionales al Instituto Distrital de Patrimonio Cultural para orientar la estructuración e implementación de las acciones de fomento a las prácticas del patrimonio cultural."/>
    <d v="2019-01-15T00:00:00"/>
    <n v="10"/>
    <d v="2019-01-29T00:00:00"/>
    <x v="1"/>
    <n v="1"/>
    <n v="1"/>
    <n v="11"/>
    <n v="1"/>
    <s v="Contratación directa / Prestación de servicios profesionales y de apoyo a la gestión"/>
    <s v="CCE-16"/>
    <n v="0"/>
    <s v="N.A."/>
    <s v="Liliana Pamplona"/>
    <n v="73645000"/>
    <n v="73645000"/>
    <n v="0"/>
    <n v="0"/>
    <s v="ASESORA JURIDICA"/>
    <s v="CO-DC-11001"/>
    <s v="Margarita Lucía Castañeda Vargas (Subdirección de Divulgación)"/>
    <s v="3550800"/>
    <s v="margarita.castaneda@idpc.gov.co"/>
    <s v="ME20181107"/>
    <s v="COMP1107"/>
    <s v="CONC1107"/>
    <s v="Apoyar iniciativas de la ciudadanía en temas de patrimonio cultural."/>
    <s v="Estímulos a iniciativas de la ciudadanía en temas de patrimonio cultural"/>
    <s v="13. Oferta cultural para la valoración y divulgación del patrimonio material e  inmaterial de la ciud"/>
    <s v="FONT1107"/>
    <s v="12-Otros Distrito"/>
    <s v="04-INVESTIGACION Y ESTUDIOS"/>
    <s v="01-INVESTIGACIÓN BÁSICA APLICADA Y ESTUDIOS PROPIOS DEL SECTOR"/>
    <s v="0185-Actividades de investigación para la valoración, protección, conservación, sostenibilidad y apropiación del Patrimonio Cultural"/>
    <n v="0"/>
    <n v="73645000"/>
    <m/>
    <m/>
    <m/>
    <n v="73645000"/>
    <m/>
    <m/>
    <m/>
    <m/>
    <m/>
    <n v="73645000"/>
    <m/>
    <m/>
    <m/>
    <n v="0"/>
    <m/>
    <n v="1"/>
    <m/>
    <m/>
    <m/>
    <m/>
    <m/>
    <m/>
    <m/>
    <m/>
    <m/>
    <m/>
    <m/>
    <m/>
    <m/>
    <m/>
    <n v="0"/>
    <n v="0"/>
    <m/>
  </r>
  <r>
    <n v="72"/>
    <n v="72"/>
    <b v="0"/>
    <s v="Sí"/>
    <s v="1107. Divulgación y apropiación del patrimonio cultural del Distrito Capital"/>
    <s v="3-3-1-15-03-25-1107-158"/>
    <s v="80111600;"/>
    <s v="Prestar servicios profesionales al Instituto Distrital de Patrimonio Cultural como apoyo a la gestión en los procesos editoriales y de investigación desarrollados por la Subdirección de Divulgación de los Valores del Patrimonio Cultural."/>
    <s v="(Cód. 72) Prestar servicios profesionales al Instituto Distrital de Patrimonio Cultural como apoyo a la gestión en los procesos editoriales y de investigación desarrollados por la Subdirección de Divulgación de los Valores del Patrimonio Cultural."/>
    <d v="2019-02-15T00:00:00"/>
    <n v="10"/>
    <d v="2019-03-01T00:00:00"/>
    <x v="5"/>
    <n v="2"/>
    <n v="2"/>
    <n v="9"/>
    <n v="1"/>
    <s v="Contratación directa / Prestación de servicios profesionales y de apoyo a la gestión"/>
    <s v="CCE-16"/>
    <n v="0"/>
    <s v="N.A."/>
    <s v="Lorena Cantor"/>
    <n v="37800000"/>
    <n v="37800000"/>
    <n v="0"/>
    <n v="0"/>
    <s v="ASESORA JURIDICA"/>
    <s v="CO-DC-11001"/>
    <s v="Margarita Lucía Castañeda Vargas (Subdirección de Divulgación)"/>
    <s v="3550800"/>
    <s v="margarita.castaneda@idpc.gov.co"/>
    <s v="ME20181107"/>
    <s v="COMP1107"/>
    <s v="CONC1107"/>
    <s v="Ofrecer actividades que contribuyan a activar el patrimonio cultural"/>
    <s v="Activación del patrimonio"/>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37800000"/>
    <m/>
    <m/>
    <m/>
    <n v="37800000"/>
    <m/>
    <m/>
    <m/>
    <m/>
    <m/>
    <n v="37800000"/>
    <m/>
    <m/>
    <m/>
    <n v="0"/>
    <m/>
    <n v="1"/>
    <m/>
    <m/>
    <m/>
    <m/>
    <m/>
    <m/>
    <m/>
    <m/>
    <m/>
    <m/>
    <m/>
    <m/>
    <m/>
    <m/>
    <n v="0"/>
    <n v="0"/>
    <m/>
  </r>
  <r>
    <n v="73"/>
    <n v="73"/>
    <b v="0"/>
    <s v="Sí"/>
    <s v="1107. Divulgación y apropiación del patrimonio cultural del Distrito Capital"/>
    <s v="3-3-1-15-03-25-1107-158"/>
    <s v="80111600;"/>
    <s v="Prestar servicios profesionales al Instituto Distrital de Patrimonio Cultural para acompañar el desarrollo del componente histórico de la estrategia de apropiación social del patrimonio cultural."/>
    <s v="(Cód. 73) Prestar servicios profesionales al Instituto Distrital de Patrimonio Cultural para acompañar el desarrollo del componente histórico de la estrategia de apropiación social del patrimonio cultural."/>
    <d v="2019-01-15T00:00:00"/>
    <n v="10"/>
    <d v="2019-01-29T00:00:00"/>
    <x v="1"/>
    <n v="1"/>
    <n v="1"/>
    <n v="11"/>
    <n v="1"/>
    <s v="Contratación directa / Prestación de servicios profesionales y de apoyo a la gestión"/>
    <s v="CCE-16"/>
    <n v="0"/>
    <s v="N.A."/>
    <s v="Luis Alfredo Barón"/>
    <n v="65560000"/>
    <n v="65560000"/>
    <n v="0"/>
    <n v="0"/>
    <s v="ASESORA JURIDICA"/>
    <s v="CO-DC-11001"/>
    <s v="Margarita Lucía Castañeda Vargas (Subdirección de Divulgación)"/>
    <s v="3550800"/>
    <s v="margarita.castaneda@idpc.gov.co"/>
    <s v="ME20181107"/>
    <s v="COMP1107"/>
    <s v="CONC1107"/>
    <s v="Ofrecer actividades que contribuyan a activar el patrimonio cultural"/>
    <s v="Activación del patrimonio"/>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65560000"/>
    <m/>
    <m/>
    <m/>
    <n v="65560000"/>
    <m/>
    <m/>
    <m/>
    <m/>
    <m/>
    <n v="65560000"/>
    <m/>
    <m/>
    <m/>
    <n v="0"/>
    <m/>
    <n v="1"/>
    <m/>
    <m/>
    <m/>
    <m/>
    <m/>
    <m/>
    <m/>
    <m/>
    <m/>
    <m/>
    <m/>
    <m/>
    <m/>
    <m/>
    <n v="0"/>
    <n v="0"/>
    <m/>
  </r>
  <r>
    <n v="74"/>
    <n v="74"/>
    <b v="0"/>
    <s v="Sí"/>
    <s v="1107. Divulgación y apropiación del patrimonio cultural del Distrito Capital"/>
    <s v="3-3-1-15-03-25-1107-158"/>
    <s v="80111600;"/>
    <s v="Prestar servicios profesionales al Instituto Distrital de Patrimonio Cultural para orientar la planeación e implementación de la oferta de servicios educativos y culturales del Museo de Bogotá."/>
    <s v="(Cód. 74) Prestar servicios profesionales al Instituto Distrital de Patrimonio Cultural para orientar la planeación e implementación de la oferta de servicios educativos y culturales del Museo de Bogotá."/>
    <d v="2019-01-15T00:00:00"/>
    <n v="10"/>
    <d v="2019-01-29T00:00:00"/>
    <x v="1"/>
    <n v="1"/>
    <n v="1"/>
    <n v="11"/>
    <n v="1"/>
    <s v="Contratación directa / Prestación de servicios profesionales y de apoyo a la gestión"/>
    <s v="CCE-16"/>
    <n v="0"/>
    <s v="N.A."/>
    <s v="Marcela Tristancho"/>
    <n v="72820000"/>
    <n v="72820000"/>
    <n v="0"/>
    <n v="0"/>
    <s v="ASESORA JURIDICA"/>
    <s v="CO-DC-11001"/>
    <s v="Margarita Lucía Castañeda Vargas (Subdirección de Divulgación)"/>
    <s v="3550800"/>
    <s v="margarita.castaneda@idpc.gov.co"/>
    <s v="ME20181107"/>
    <s v="COMP1107"/>
    <s v="CONC1107"/>
    <s v="Lograr asistentes a la oferta generada por el Instituto en actividades de patrimonio cultural "/>
    <s v="Museo de Bogotá en operación"/>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72820000"/>
    <m/>
    <m/>
    <m/>
    <n v="72820000"/>
    <m/>
    <m/>
    <m/>
    <m/>
    <m/>
    <n v="72820000"/>
    <m/>
    <m/>
    <m/>
    <n v="0"/>
    <m/>
    <n v="1"/>
    <m/>
    <m/>
    <m/>
    <m/>
    <m/>
    <m/>
    <m/>
    <m/>
    <m/>
    <m/>
    <m/>
    <m/>
    <m/>
    <m/>
    <n v="0"/>
    <n v="0"/>
    <m/>
  </r>
  <r>
    <n v="75"/>
    <n v="75"/>
    <b v="0"/>
    <s v="Sí"/>
    <s v="1107. Divulgación y apropiación del patrimonio cultural del Distrito Capital"/>
    <s v="3-3-1-15-03-25-1107-158"/>
    <s v="80111600;"/>
    <s v="Prestar servicios profesionales al Instituto Distrital de Patrimonio Cultural para llevar a cabo las actividades de registro y catalogación de la colección del Museo de Bogotá."/>
    <s v="(Cód. 75) Prestar servicios profesionales al Instituto Distrital de Patrimonio Cultural para llevar a cabo las actividades de registro y catalogación de la colección del Museo de Bogotá."/>
    <d v="2019-01-15T00:00:00"/>
    <n v="10"/>
    <d v="2019-01-29T00:00:00"/>
    <x v="1"/>
    <n v="1"/>
    <n v="1"/>
    <n v="11"/>
    <n v="1"/>
    <s v="Contratación directa / Prestación de servicios profesionales y de apoyo a la gestión"/>
    <s v="CCE-16"/>
    <n v="0"/>
    <s v="N.A."/>
    <s v="Maria Antonieta García"/>
    <n v="60060000"/>
    <n v="60060000"/>
    <n v="0"/>
    <n v="0"/>
    <s v="ASESORA JURIDICA"/>
    <s v="CO-DC-11001"/>
    <s v="Margarita Lucía Castañeda Vargas (Subdirección de Divulgación)"/>
    <s v="3550800"/>
    <s v="margarita.castaneda@idpc.gov.co"/>
    <s v="ME20181107"/>
    <s v="COMP1107"/>
    <s v="CONC1107"/>
    <s v="Lograr asistentes a la oferta generada por el Instituto en actividades de patrimonio cultural "/>
    <s v="Museo de Bogotá en operación"/>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60060000"/>
    <m/>
    <m/>
    <m/>
    <n v="60060000"/>
    <m/>
    <m/>
    <m/>
    <m/>
    <m/>
    <n v="60060000"/>
    <m/>
    <m/>
    <m/>
    <n v="0"/>
    <m/>
    <n v="1"/>
    <m/>
    <m/>
    <m/>
    <m/>
    <m/>
    <m/>
    <m/>
    <m/>
    <m/>
    <m/>
    <m/>
    <m/>
    <m/>
    <m/>
    <n v="0"/>
    <n v="0"/>
    <m/>
  </r>
  <r>
    <n v="76"/>
    <n v="76"/>
    <b v="0"/>
    <s v="Sí"/>
    <s v="1107. Divulgación y apropiación del patrimonio cultural del Distrito Capital"/>
    <s v="3-3-1-15-03-25-1107-158"/>
    <s v="80111600;"/>
    <s v="Prestar servicios profesionales al Instituto Distrital de Patrimonio Cultural en la ejecución de los procesos de mediación y generación de contenidos pedagógicos del portafolio de servicios educativos y culturales del Museo de Bogotá."/>
    <s v="(Cód. 76) Prestar servicios profesionales al Instituto Distrital de Patrimonio Cultural en la ejecución de los procesos de mediación y generación de contenidos pedagógicos del portafolio de servicios educativos y culturales del Museo de Bogotá."/>
    <d v="2019-01-15T00:00:00"/>
    <n v="10"/>
    <d v="2019-01-29T00:00:00"/>
    <x v="1"/>
    <n v="1"/>
    <n v="1"/>
    <n v="3"/>
    <n v="1"/>
    <s v="Contratación directa / Prestación de servicios profesionales y de apoyo a la gestión"/>
    <s v="CCE-16"/>
    <n v="0"/>
    <s v="N.A."/>
    <s v="Maria Clara Mendez"/>
    <n v="6420000"/>
    <n v="6420000"/>
    <n v="0"/>
    <n v="0"/>
    <s v="ASESORA JURIDICA"/>
    <s v="CO-DC-11001"/>
    <s v="Margarita Lucía Castañeda Vargas (Subdirección de Divulgación)"/>
    <s v="3550800"/>
    <s v="margarita.castaneda@idpc.gov.co"/>
    <s v="ME20181107"/>
    <s v="COMP1107"/>
    <s v="CONC1107"/>
    <s v="Lograr asistentes a la oferta generada por el Instituto en actividades de patrimonio cultural "/>
    <s v="Museo de Bogotá en operación"/>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6420000"/>
    <m/>
    <m/>
    <m/>
    <n v="6420000"/>
    <m/>
    <m/>
    <m/>
    <m/>
    <m/>
    <n v="6420000"/>
    <m/>
    <m/>
    <m/>
    <n v="0"/>
    <m/>
    <n v="1"/>
    <m/>
    <m/>
    <m/>
    <m/>
    <m/>
    <m/>
    <m/>
    <m/>
    <m/>
    <m/>
    <m/>
    <m/>
    <m/>
    <m/>
    <n v="0"/>
    <n v="0"/>
    <m/>
  </r>
  <r>
    <n v="77"/>
    <n v="77"/>
    <b v="0"/>
    <s v="Sí"/>
    <s v="1107. Divulgación y apropiación del patrimonio cultural del Distrito Capital"/>
    <s v="3-3-1-15-03-25-1107-158"/>
    <s v="80111600;"/>
    <s v="Prestar servicios profesionales al Instituto Distrital de Patrimonio Cultural para apoyar las actividades de comunicación interna y organización de archivo fotográfico de la Subdirección de Divulgación de los Valores del Patrimonio Cultural."/>
    <s v="(Cód. 77) Prestar servicios profesionales al Instituto Distrital de Patrimonio Cultural para apoyar las actividades de comunicación interna y organización de archivo fotográfico de la Subdirección de Divulgación de los Valores del Patrimonio Cultural."/>
    <d v="2019-01-18T00:00:00"/>
    <n v="10"/>
    <d v="2019-02-01T00:00:00"/>
    <x v="0"/>
    <n v="1"/>
    <n v="1"/>
    <n v="11"/>
    <n v="1"/>
    <s v="Contratación directa / Prestación de servicios profesionales y de apoyo a la gestión"/>
    <s v="CCE-16"/>
    <n v="0"/>
    <s v="N.A."/>
    <s v="Maria Faride Pardo"/>
    <n v="42900000"/>
    <n v="42900000"/>
    <n v="0"/>
    <n v="0"/>
    <s v="ASESORA JURIDICA"/>
    <s v="CO-DC-11001"/>
    <s v="Margarita Lucía Castañeda Vargas (Subdirección de Divulgación)"/>
    <s v="3550800"/>
    <s v="margarita.castaneda@idpc.gov.co"/>
    <s v="ME20181107"/>
    <s v="COMP1107"/>
    <s v="CONC1107"/>
    <s v="Ofrecer actividades que contribuyan a activar el patrimonio cultural"/>
    <s v="Activación del patrimonio"/>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42900000"/>
    <m/>
    <m/>
    <m/>
    <n v="42900000"/>
    <m/>
    <m/>
    <m/>
    <m/>
    <m/>
    <n v="42900000"/>
    <m/>
    <m/>
    <m/>
    <n v="0"/>
    <m/>
    <n v="1"/>
    <m/>
    <m/>
    <m/>
    <m/>
    <m/>
    <m/>
    <m/>
    <m/>
    <m/>
    <m/>
    <m/>
    <m/>
    <m/>
    <m/>
    <n v="0"/>
    <n v="0"/>
    <m/>
  </r>
  <r>
    <n v="78"/>
    <n v="78"/>
    <b v="0"/>
    <s v="Sí"/>
    <s v="1107. Divulgación y apropiación del patrimonio cultural del Distrito Capital"/>
    <s v="3-3-1-15-03-25-1107-158"/>
    <s v="80111600;"/>
    <s v="Prestar servicios profesionales al Instituto Distrital de Patrimonio Cultural para acompañar el diseño, programación y desarrollo de las actividades del portafolio de servicios educativos y culturales del Museo de Bogotá."/>
    <s v="(Cód. 78) Prestar servicios profesionales al Instituto Distrital de Patrimonio Cultural para acompañar el diseño, programación y desarrollo de las actividades del portafolio de servicios educativos y culturales del Museo de Bogotá."/>
    <d v="2019-01-15T00:00:00"/>
    <n v="10"/>
    <d v="2019-01-29T00:00:00"/>
    <x v="1"/>
    <n v="1"/>
    <n v="1"/>
    <n v="3"/>
    <n v="1"/>
    <s v="Contratación directa / Prestación de servicios profesionales y de apoyo a la gestión"/>
    <s v="CCE-16"/>
    <n v="0"/>
    <s v="N.A."/>
    <s v="Mauricio Martinez"/>
    <n v="16080000"/>
    <n v="16080000"/>
    <n v="0"/>
    <n v="0"/>
    <s v="ASESORA JURIDICA"/>
    <s v="CO-DC-11001"/>
    <s v="Margarita Lucía Castañeda Vargas (Subdirección de Divulgación)"/>
    <s v="3550800"/>
    <s v="margarita.castaneda@idpc.gov.co"/>
    <s v="ME20181107"/>
    <s v="COMP1107"/>
    <s v="CONC1107"/>
    <s v="Lograr asistentes a la oferta generada por el Instituto en actividades de patrimonio cultural "/>
    <s v="Museo de Bogotá en operación"/>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16080000"/>
    <m/>
    <m/>
    <m/>
    <n v="16080000"/>
    <m/>
    <m/>
    <m/>
    <m/>
    <m/>
    <n v="16080000"/>
    <m/>
    <m/>
    <m/>
    <n v="0"/>
    <m/>
    <n v="1"/>
    <m/>
    <m/>
    <m/>
    <m/>
    <m/>
    <m/>
    <m/>
    <m/>
    <m/>
    <m/>
    <m/>
    <m/>
    <m/>
    <m/>
    <n v="0"/>
    <n v="0"/>
    <m/>
  </r>
  <r>
    <n v="79"/>
    <n v="79"/>
    <b v="0"/>
    <s v="Sí"/>
    <s v="1107. Divulgación y apropiación del patrimonio cultural del Distrito Capital"/>
    <s v="3-3-1-15-03-25-1107-158"/>
    <n v="81141504"/>
    <s v="Contratar el  saneamiento ambiental requerido para las las sedes del Museo de Bogotá del Instituto Distrital de Patrimonio Cultural."/>
    <s v="(Cód. 79) Contratar el  saneamiento ambiental requerido para las las sedes del Museo de Bogotá del Instituto Distrital de Patrimonio Cultural."/>
    <d v="2019-05-17T00:00:00"/>
    <n v="25"/>
    <d v="2019-06-21T00:00:00"/>
    <x v="4"/>
    <n v="5"/>
    <n v="5"/>
    <n v="3"/>
    <n v="1"/>
    <s v="Mínima cuantía"/>
    <s v="CCE-10"/>
    <n v="0"/>
    <s v="Saneamiento y control ambiental"/>
    <s v="Mediciones ambientales"/>
    <n v="7000000"/>
    <n v="7000000"/>
    <n v="0"/>
    <n v="0"/>
    <s v="ASESORA JURIDICA"/>
    <s v="CO-DC-11001"/>
    <s v="Margarita Lucía Castañeda Vargas (Subdirección de Divulgación)"/>
    <s v="3550800"/>
    <s v="margarita.castaneda@idpc.gov.co"/>
    <s v="ME20181107"/>
    <s v="COMP1107"/>
    <s v="CONC1107"/>
    <s v="Lograr asistentes a la oferta generada por el Instituto en actividades de patrimonio cultural "/>
    <s v="Museo de Bogotá en operación"/>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7000000"/>
    <m/>
    <m/>
    <m/>
    <n v="7000000"/>
    <m/>
    <m/>
    <m/>
    <m/>
    <m/>
    <n v="7000000"/>
    <m/>
    <m/>
    <m/>
    <n v="0"/>
    <m/>
    <n v="1"/>
    <m/>
    <m/>
    <m/>
    <m/>
    <m/>
    <m/>
    <m/>
    <m/>
    <m/>
    <m/>
    <m/>
    <m/>
    <m/>
    <m/>
    <n v="0"/>
    <n v="0"/>
    <m/>
  </r>
  <r>
    <n v="80"/>
    <n v="80"/>
    <b v="0"/>
    <s v="Sí"/>
    <s v="1107. Divulgación y apropiación del patrimonio cultural del Distrito Capital"/>
    <s v="3-3-1-15-03-25-1107-158"/>
    <s v="80111600;"/>
    <s v="Prestar servicios profesionales al Instituto Distrital de Patrimonio Cultural para orientar los procesos de gestión de la colección del Museo de Bogotá"/>
    <s v="(Cód. 80) Prestar servicios profesionales al Instituto Distrital de Patrimonio Cultural para orientar los procesos de gestión de la colección del Museo de Bogotá"/>
    <d v="2019-01-15T00:00:00"/>
    <n v="10"/>
    <d v="2019-01-29T00:00:00"/>
    <x v="1"/>
    <n v="1"/>
    <n v="1"/>
    <n v="11"/>
    <n v="1"/>
    <s v="Contratación directa / Prestación de servicios profesionales y de apoyo a la gestión"/>
    <s v="CCE-16"/>
    <n v="0"/>
    <s v="N.A."/>
    <s v="Melissa Solozano"/>
    <n v="65560000"/>
    <n v="65560000"/>
    <n v="0"/>
    <n v="0"/>
    <s v="ASESORA JURIDICA"/>
    <s v="CO-DC-11001"/>
    <s v="Margarita Lucía Castañeda Vargas (Subdirección de Divulgación)"/>
    <s v="3550800"/>
    <s v="margarita.castaneda@idpc.gov.co"/>
    <s v="ME20181107"/>
    <s v="COMP1107"/>
    <s v="CONC1107"/>
    <s v="Lograr asistentes a la oferta generada por el Instituto en actividades de patrimonio cultural "/>
    <s v="Museo de Bogotá en operación"/>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65560000"/>
    <m/>
    <m/>
    <m/>
    <n v="65560000"/>
    <m/>
    <m/>
    <m/>
    <m/>
    <m/>
    <n v="65560000"/>
    <m/>
    <m/>
    <m/>
    <n v="0"/>
    <m/>
    <n v="1"/>
    <m/>
    <m/>
    <m/>
    <m/>
    <m/>
    <m/>
    <m/>
    <m/>
    <m/>
    <m/>
    <m/>
    <m/>
    <m/>
    <m/>
    <n v="0"/>
    <n v="0"/>
    <m/>
  </r>
  <r>
    <n v="81"/>
    <n v="81"/>
    <b v="0"/>
    <s v="Sí"/>
    <s v="1107. Divulgación y apropiación del patrimonio cultural del Distrito Capital"/>
    <s v="3-3-1-15-03-25-1107-158"/>
    <s v="80111600;"/>
    <s v="Prestar servicios de apoyo a la gestión al Instituto Distrital de Patrimonio Cultural en los procesos de montaje y actividades logísticas requeridas por el Museo de Bogotá."/>
    <s v="(Cód. 81) Prestar servicios de apoyo a la gestión al Instituto Distrital de Patrimonio Cultural en los procesos de montaje y actividades logísticas requeridas por el Museo de Bogotá."/>
    <d v="2019-01-15T00:00:00"/>
    <n v="10"/>
    <d v="2019-01-29T00:00:00"/>
    <x v="1"/>
    <n v="1"/>
    <n v="1"/>
    <n v="11"/>
    <n v="1"/>
    <s v="Contratación directa / Prestación de servicios profesionales y de apoyo a la gestión"/>
    <s v="CCE-16"/>
    <n v="0"/>
    <s v="N.A."/>
    <s v="Miguel Rodriguez"/>
    <n v="27500000"/>
    <n v="27500000"/>
    <n v="0"/>
    <n v="0"/>
    <s v="ASESORA JURIDICA"/>
    <s v="CO-DC-11001"/>
    <s v="Margarita Lucía Castañeda Vargas (Subdirección de Divulgación)"/>
    <s v="3550800"/>
    <s v="margarita.castaneda@idpc.gov.co"/>
    <s v="ME20181107"/>
    <s v="COMP1107"/>
    <s v="CONC1107"/>
    <s v="Lograr asistentes a la oferta generada por el Instituto en actividades de patrimonio cultural "/>
    <s v="Museo de Bogotá en operación"/>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27500000"/>
    <m/>
    <m/>
    <m/>
    <n v="27500000"/>
    <m/>
    <m/>
    <m/>
    <m/>
    <m/>
    <n v="27500000"/>
    <m/>
    <m/>
    <m/>
    <n v="0"/>
    <m/>
    <n v="1"/>
    <m/>
    <m/>
    <m/>
    <m/>
    <m/>
    <m/>
    <m/>
    <m/>
    <m/>
    <m/>
    <m/>
    <m/>
    <m/>
    <m/>
    <n v="0"/>
    <n v="0"/>
    <m/>
  </r>
  <r>
    <n v="82"/>
    <n v="82"/>
    <b v="0"/>
    <s v="Sí"/>
    <s v="1107. Divulgación y apropiación del patrimonio cultural del Distrito Capital"/>
    <s v="3-3-1-15-03-25-1107-158"/>
    <s v="80111600;"/>
    <s v="Prestar servicios profesionales al Instituto Distrital de Patrimonio Cultural para apoyar el desarrollo del plan de exposiciones temporales del Museo de Bogotá y los requerimientos asociados a los planes y proyectos especiales de la entidad."/>
    <s v="(Cód. 82) Prestar servicios profesionales al Instituto Distrital de Patrimonio Cultural para apoyar el desarrollo del plan de exposiciones temporales del Museo de Bogotá y los requerimientos asociados a los planes y proyectos especiales de la entidad."/>
    <d v="2019-01-15T00:00:00"/>
    <n v="10"/>
    <d v="2019-01-29T00:00:00"/>
    <x v="1"/>
    <n v="1"/>
    <n v="1"/>
    <n v="11"/>
    <n v="1"/>
    <s v="Contratación directa / Prestación de servicios profesionales y de apoyo a la gestión"/>
    <s v="CCE-16"/>
    <n v="0"/>
    <s v="N.A."/>
    <s v="Monica Angela Lascar"/>
    <n v="42020000"/>
    <n v="42020000"/>
    <n v="0"/>
    <n v="0"/>
    <s v="ASESORA JURIDICA"/>
    <s v="CO-DC-11001"/>
    <s v="Margarita Lucía Castañeda Vargas (Subdirección de Divulgación)"/>
    <s v="3550800"/>
    <s v="margarita.castaneda@idpc.gov.co"/>
    <s v="ME20181107"/>
    <s v="COMP1107"/>
    <s v="CONC1107"/>
    <s v="Lograr asistentes a la oferta generada por el Instituto en actividades de patrimonio cultural "/>
    <s v="Museo de Bogotá en operación"/>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42020000"/>
    <m/>
    <m/>
    <m/>
    <n v="42020000"/>
    <m/>
    <m/>
    <m/>
    <m/>
    <m/>
    <n v="42020000"/>
    <m/>
    <m/>
    <m/>
    <n v="0"/>
    <m/>
    <n v="1"/>
    <m/>
    <m/>
    <m/>
    <m/>
    <m/>
    <m/>
    <m/>
    <m/>
    <m/>
    <m/>
    <m/>
    <m/>
    <m/>
    <m/>
    <n v="0"/>
    <n v="0"/>
    <m/>
  </r>
  <r>
    <n v="83"/>
    <n v="83"/>
    <b v="0"/>
    <s v="Sí"/>
    <s v="1107. Divulgación y apropiación del patrimonio cultural del Distrito Capital"/>
    <s v="3-3-1-15-03-25-1107-158"/>
    <s v="80111600;"/>
    <s v="Prestar servicios profesionales al Instituto Distrital de Patrimonio Cultural para orientar el Programa de Patrimonios Locales y otras iniciativas que contribuyan a la salvaguardia y apropiación social del Patrimonio Cultural Inmaterial. "/>
    <s v="(Cód. 83) Prestar servicios profesionales al Instituto Distrital de Patrimonio Cultural para orientar el Programa de Patrimonios Locales y otras iniciativas que contribuyan a la salvaguardia y apropiación social del Patrimonio Cultural Inmaterial. "/>
    <d v="2019-01-15T00:00:00"/>
    <n v="10"/>
    <d v="2019-01-29T00:00:00"/>
    <x v="1"/>
    <n v="1"/>
    <n v="1"/>
    <n v="11"/>
    <n v="1"/>
    <s v="Contratación directa / Prestación de servicios profesionales y de apoyo a la gestión"/>
    <s v="CCE-16"/>
    <n v="0"/>
    <s v="N.A."/>
    <s v="Mónica Sarmiento Rosa"/>
    <n v="50600000"/>
    <n v="50600000"/>
    <n v="0"/>
    <n v="0"/>
    <s v="ASESORA JURIDICA"/>
    <s v="CO-DC-11001"/>
    <s v="Margarita Lucía Castañeda Vargas (Subdirección de Divulgación)"/>
    <s v="3550800"/>
    <s v="margarita.castaneda@idpc.gov.co"/>
    <s v="ME20181107"/>
    <s v="COMP1107"/>
    <s v="CONC1107"/>
    <s v="Ofrecer actividades que contribuyan a activar el patrimonio cultural"/>
    <s v="Activación del patrimonio"/>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50600000"/>
    <m/>
    <m/>
    <m/>
    <n v="50600000"/>
    <m/>
    <m/>
    <m/>
    <m/>
    <m/>
    <n v="50600000"/>
    <m/>
    <m/>
    <m/>
    <n v="0"/>
    <m/>
    <n v="1"/>
    <m/>
    <m/>
    <m/>
    <m/>
    <m/>
    <m/>
    <m/>
    <m/>
    <m/>
    <m/>
    <m/>
    <m/>
    <m/>
    <m/>
    <n v="0"/>
    <n v="0"/>
    <m/>
  </r>
  <r>
    <n v="84"/>
    <n v="84"/>
    <b v="0"/>
    <s v="Sí"/>
    <s v="1107. Divulgación y apropiación del patrimonio cultural del Distrito Capital"/>
    <s v="3-3-1-15-03-25-1107-158"/>
    <n v="90151501"/>
    <s v="Museo de la ciudad autoconstruida"/>
    <s v="(Cód. 84) Museo de la ciudad autoconstruida"/>
    <d v="2019-08-10T00:00:00"/>
    <n v="50"/>
    <d v="2019-10-18T00:00:00"/>
    <x v="8"/>
    <n v="8"/>
    <n v="8"/>
    <n v="10"/>
    <n v="1"/>
    <s v="Licitación pública"/>
    <s v="CCE-02"/>
    <n v="0"/>
    <s v="Adecuación de la Sede del Museo de la Autocontrucción"/>
    <s v="Museo de la autoconstrucción"/>
    <n v="2000000000"/>
    <n v="2000000000"/>
    <n v="0"/>
    <n v="0"/>
    <s v="ASESORA JURIDICA"/>
    <s v="CO-DC-11001"/>
    <s v="Margarita Lucía Castañeda Vargas (Subdirección de Divulgación)"/>
    <s v="3550800"/>
    <s v="margarita.castaneda@idpc.gov.co"/>
    <s v="ME20181107"/>
    <s v="COMP1107"/>
    <s v="CONC1107"/>
    <s v="Lograr asistentes a la oferta generada por el Instituto en actividades de patrimonio cultural "/>
    <s v="Museo de Bogotá en operación"/>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2000000000"/>
    <m/>
    <m/>
    <m/>
    <n v="2000000000"/>
    <m/>
    <m/>
    <m/>
    <m/>
    <m/>
    <n v="2000000000"/>
    <m/>
    <m/>
    <m/>
    <n v="0"/>
    <m/>
    <n v="1"/>
    <m/>
    <m/>
    <m/>
    <m/>
    <m/>
    <m/>
    <m/>
    <m/>
    <m/>
    <m/>
    <m/>
    <m/>
    <m/>
    <m/>
    <n v="0"/>
    <n v="0"/>
    <m/>
  </r>
  <r>
    <n v="85"/>
    <n v="85"/>
    <b v="0"/>
    <s v="Sí"/>
    <s v="1107. Divulgación y apropiación del patrimonio cultural del Distrito Capital"/>
    <s v="3-3-1-15-03-25-1107-158"/>
    <s v="80111600;"/>
    <s v="Prestar servicios profesionales al Instituto Distrital de Patrimonio Cultural para apoyar la implementación de las acciones de fomento a las prácticas del patrimonio cultural."/>
    <s v="(Cód. 85) Prestar servicios profesionales al Instituto Distrital de Patrimonio Cultural para apoyar la implementación de las acciones de fomento a las prácticas del patrimonio cultural."/>
    <d v="2019-01-15T00:00:00"/>
    <n v="10"/>
    <d v="2019-01-29T00:00:00"/>
    <x v="1"/>
    <n v="1"/>
    <n v="1"/>
    <n v="11"/>
    <n v="1"/>
    <s v="Contratación directa / Prestación de servicios profesionales y de apoyo a la gestión"/>
    <s v="CCE-16"/>
    <n v="0"/>
    <s v="N.A."/>
    <s v="Nathaly Bonilla"/>
    <n v="51040000"/>
    <n v="51040000"/>
    <n v="0"/>
    <n v="0"/>
    <s v="ASESORA JURIDICA"/>
    <s v="CO-DC-11001"/>
    <s v="Margarita Lucía Castañeda Vargas (Subdirección de Divulgación)"/>
    <s v="3550800"/>
    <s v="margarita.castaneda@idpc.gov.co"/>
    <s v="ME20181107"/>
    <s v="COMP1107"/>
    <s v="CONC1107"/>
    <s v="Apoyar iniciativas de la ciudadanía en temas de patrimonio cultural."/>
    <s v="Estímulos a iniciativas de la ciudadanía en temas de patrimonio cultural"/>
    <s v="13. Oferta cultural para la valoración y divulgación del patrimonio material e  inmaterial de la ciud"/>
    <s v="FONT1107"/>
    <s v="12-Otros Distrito"/>
    <s v="04-INVESTIGACION Y ESTUDIOS"/>
    <s v="01-INVESTIGACIÓN BÁSICA APLICADA Y ESTUDIOS PROPIOS DEL SECTOR"/>
    <s v="0185-Actividades de investigación para la valoración, protección, conservación, sostenibilidad y apropiación del Patrimonio Cultural"/>
    <n v="0"/>
    <n v="51040000"/>
    <m/>
    <m/>
    <m/>
    <n v="51040000"/>
    <m/>
    <m/>
    <m/>
    <m/>
    <m/>
    <n v="51040000"/>
    <m/>
    <m/>
    <m/>
    <n v="0"/>
    <m/>
    <n v="1"/>
    <m/>
    <m/>
    <m/>
    <m/>
    <m/>
    <m/>
    <m/>
    <m/>
    <m/>
    <m/>
    <m/>
    <m/>
    <m/>
    <m/>
    <n v="0"/>
    <n v="0"/>
    <m/>
  </r>
  <r>
    <n v="86"/>
    <n v="86"/>
    <b v="0"/>
    <s v="Sí"/>
    <s v="1107. Divulgación y apropiación del patrimonio cultural del Distrito Capital"/>
    <s v="3-3-1-15-03-25-1107-158"/>
    <s v="80111600;"/>
    <s v="Prestar servicios profesionales al Instituto Distrital de Patrimonio Cultural en el seguimiento a la ejecución de los procesos de planeación presupuestal y contractual, realizados en el marco de los proyectos a cargo de la Subdirección de Divulgación de los Valores del Patrimonio Cultural."/>
    <s v="(Cód. 86) Prestar servicios profesionales al Instituto Distrital de Patrimonio Cultural en el seguimiento a la ejecución de los procesos de planeación presupuestal y contractual, realizados en el marco de los proyectos a cargo de la Subdirección de Divulgación de los Valores del Patrimonio Cultural."/>
    <d v="2019-01-15T00:00:00"/>
    <n v="10"/>
    <d v="2019-01-29T00:00:00"/>
    <x v="1"/>
    <n v="1"/>
    <n v="1"/>
    <n v="11"/>
    <n v="1"/>
    <s v="Contratación directa / Prestación de servicios profesionales y de apoyo a la gestión"/>
    <s v="CCE-16"/>
    <n v="0"/>
    <s v="N.A."/>
    <s v="Paola Gaitán"/>
    <n v="72820000"/>
    <n v="72820000"/>
    <n v="0"/>
    <n v="0"/>
    <s v="ASESORA JURIDICA"/>
    <s v="CO-DC-11001"/>
    <s v="Margarita Lucía Castañeda Vargas (Subdirección de Divulgación)"/>
    <s v="3550800"/>
    <s v="margarita.castaneda@idpc.gov.co"/>
    <s v="ME20181107"/>
    <s v="COMP1107"/>
    <s v="CONC1107"/>
    <s v="Ofrecer actividades que contribuyan a activar el patrimonio cultural"/>
    <s v="Activación del patrimonio"/>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72820000"/>
    <m/>
    <m/>
    <m/>
    <n v="72820000"/>
    <m/>
    <m/>
    <m/>
    <m/>
    <m/>
    <n v="72820000"/>
    <m/>
    <m/>
    <m/>
    <n v="0"/>
    <m/>
    <n v="1"/>
    <m/>
    <m/>
    <m/>
    <m/>
    <m/>
    <m/>
    <m/>
    <m/>
    <m/>
    <m/>
    <m/>
    <m/>
    <m/>
    <m/>
    <n v="0"/>
    <n v="0"/>
    <m/>
  </r>
  <r>
    <n v="87"/>
    <n v="87"/>
    <b v="0"/>
    <s v="Sí"/>
    <s v="1107. Divulgación y apropiación del patrimonio cultural del Distrito Capital"/>
    <s v="3-3-1-15-03-25-1107-158"/>
    <s v="80111600;"/>
    <s v="Prestar servicios profesionales al Instituto Distrital de Patrimonio Cultural para apoyar el desarrollo de los contenidos requeridos para la publicación sobre monumentos en espacio público de Bogotá."/>
    <s v="(Cód. 87) Prestar servicios profesionales al Instituto Distrital de Patrimonio Cultural para apoyar el desarrollo de los contenidos requeridos para la publicación sobre monumentos en espacio público de Bogotá."/>
    <d v="2019-02-15T00:00:00"/>
    <n v="10"/>
    <d v="2019-03-01T00:00:00"/>
    <x v="5"/>
    <n v="2"/>
    <n v="2"/>
    <n v="2"/>
    <n v="1"/>
    <s v="Contratación directa / Prestación de servicios profesionales y de apoyo a la gestión"/>
    <s v="CCE-16"/>
    <n v="0"/>
    <s v="N.A."/>
    <s v="Paula Matiz"/>
    <n v="12000000"/>
    <n v="12000000"/>
    <n v="0"/>
    <n v="0"/>
    <s v="ASESORA JURIDICA"/>
    <s v="CO-DC-11001"/>
    <s v="Margarita Lucía Castañeda Vargas (Subdirección de Divulgación)"/>
    <s v="3550800"/>
    <s v="margarita.castaneda@idpc.gov.co"/>
    <s v="ME20181107"/>
    <s v="COMP1107"/>
    <s v="CONC1107"/>
    <s v="Ofrecer actividades que contribuyan a activar el patrimonio cultural"/>
    <s v="Activación del patrimonio"/>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12000000"/>
    <m/>
    <m/>
    <m/>
    <n v="12000000"/>
    <m/>
    <m/>
    <m/>
    <m/>
    <m/>
    <n v="12000000"/>
    <m/>
    <m/>
    <m/>
    <n v="0"/>
    <m/>
    <n v="1"/>
    <m/>
    <m/>
    <m/>
    <m/>
    <m/>
    <m/>
    <m/>
    <m/>
    <m/>
    <m/>
    <m/>
    <m/>
    <m/>
    <m/>
    <n v="0"/>
    <n v="0"/>
    <m/>
  </r>
  <r>
    <n v="88"/>
    <n v="88"/>
    <b v="0"/>
    <s v="Sí"/>
    <s v="1107. Divulgación y apropiación del patrimonio cultural del Distrito Capital"/>
    <s v="3-3-1-15-03-25-1107-158"/>
    <s v="80111600;"/>
    <s v="Prestar servicios profesionales al Instituto Distrital de Patrimonio Cultural para apoyar el desarrollo de los contenidos requeridos para la publicación sobre el Plan Especial de Manejo y Protección PEMP del Centro Histórico de Bogotá."/>
    <s v="(Cód. 88) Prestar servicios profesionales al Instituto Distrital de Patrimonio Cultural para apoyar el desarrollo de los contenidos requeridos para la publicación sobre el Plan Especial de Manejo y Protección PEMP del Centro Histórico de Bogotá."/>
    <d v="2019-02-15T00:00:00"/>
    <n v="10"/>
    <d v="2019-03-01T00:00:00"/>
    <x v="5"/>
    <n v="2"/>
    <n v="2"/>
    <n v="4"/>
    <n v="1"/>
    <s v="Contratación directa / Prestación de servicios profesionales y de apoyo a la gestión"/>
    <s v="CCE-16"/>
    <n v="0"/>
    <s v="N.A."/>
    <s v="PEMP"/>
    <n v="20000000"/>
    <n v="20000000"/>
    <n v="0"/>
    <n v="0"/>
    <s v="ASESORA JURIDICA"/>
    <s v="CO-DC-11001"/>
    <s v="Margarita Lucía Castañeda Vargas (Subdirección de Divulgación)"/>
    <s v="3550800"/>
    <s v="margarita.castaneda@idpc.gov.co"/>
    <s v="ME20181107"/>
    <s v="COMP1107"/>
    <s v="CONC1107"/>
    <s v="Ofrecer actividades que contribuyan a activar el patrimonio cultural"/>
    <s v="Activación del patrimonio"/>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20000000"/>
    <m/>
    <m/>
    <m/>
    <n v="20000000"/>
    <m/>
    <m/>
    <m/>
    <m/>
    <m/>
    <n v="20000000"/>
    <m/>
    <m/>
    <m/>
    <n v="0"/>
    <m/>
    <n v="1"/>
    <m/>
    <m/>
    <m/>
    <m/>
    <m/>
    <m/>
    <m/>
    <m/>
    <m/>
    <m/>
    <m/>
    <m/>
    <m/>
    <m/>
    <n v="0"/>
    <n v="0"/>
    <m/>
  </r>
  <r>
    <n v="89"/>
    <n v="89"/>
    <b v="0"/>
    <s v="Sí"/>
    <s v="1107. Divulgación y apropiación del patrimonio cultural del Distrito Capital"/>
    <s v="3-3-1-15-03-25-1107-158"/>
    <s v="76111500;90101700;72102103;"/>
    <s v="Contratar la prestación del servicio integral de aseo, cafetería y fumigación, incluidos los insumos, para las sedes del Instituto Distrital de Patrimonio Cultural."/>
    <s v="(Cód. 89) Contratar la prestación del servicio integral de aseo, cafetería y fumigación, incluidos los insumos, para las sedes del Instituto Distrital de Patrimonio Cultural."/>
    <d v="2019-02-05T00:00:00"/>
    <n v="10"/>
    <d v="2019-02-19T00:00:00"/>
    <x v="0"/>
    <n v="2"/>
    <n v="2"/>
    <n v="10"/>
    <n v="1"/>
    <s v="Acuerdo marco de precios"/>
    <s v="CCE-99"/>
    <n v="0"/>
    <s v="Aseo y cafetería"/>
    <s v="Personal"/>
    <n v="25000000"/>
    <n v="25000000"/>
    <n v="0"/>
    <n v="0"/>
    <s v="ASESORA JURIDICA"/>
    <s v="CO-DC-11001"/>
    <s v="Margarita Lucía Castañeda Vargas (Subdirección de Divulgación)"/>
    <s v="3550800"/>
    <s v="margarita.castaneda@idpc.gov.co"/>
    <s v="ME20181107"/>
    <s v="COMP1107"/>
    <s v="CONC1107"/>
    <s v="Lograr asistentes a la oferta generada por el Instituto en actividades de patrimonio cultural "/>
    <s v="Museo de Bogotá en operación"/>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25000000"/>
    <m/>
    <m/>
    <m/>
    <n v="25000000"/>
    <m/>
    <m/>
    <m/>
    <m/>
    <m/>
    <n v="25000000"/>
    <m/>
    <m/>
    <m/>
    <n v="0"/>
    <m/>
    <n v="1"/>
    <m/>
    <m/>
    <m/>
    <m/>
    <m/>
    <m/>
    <m/>
    <m/>
    <m/>
    <m/>
    <m/>
    <m/>
    <m/>
    <m/>
    <n v="0"/>
    <n v="0"/>
    <m/>
  </r>
  <r>
    <n v="90"/>
    <n v="90"/>
    <b v="0"/>
    <s v="Sí"/>
    <s v="1107. Divulgación y apropiación del patrimonio cultural del Distrito Capital"/>
    <s v="3-3-1-15-03-25-1107-158"/>
    <s v="80111600;"/>
    <s v="Prestar servicios profesionales al Instituto Distrital de Patrimonio Cultural para apoyar las acciones de diseño gráfico y diagramación de las publicaciones y proyectos editoriales adelantados en el marco de la estrategia de apropiación social del patrimonio cultural"/>
    <s v="(Cód. 90) Prestar servicios profesionales al Instituto Distrital de Patrimonio Cultural para apoyar las acciones de diseño gráfico y diagramación de las publicaciones y proyectos editoriales adelantados en el marco de la estrategia de apropiación social del patrimonio cultural"/>
    <d v="2019-02-04T00:00:00"/>
    <n v="10"/>
    <d v="2019-02-18T00:00:00"/>
    <x v="0"/>
    <n v="2"/>
    <n v="2"/>
    <n v="9"/>
    <n v="1"/>
    <s v="Contratación directa / Prestación de servicios profesionales y de apoyo a la gestión"/>
    <s v="CCE-16"/>
    <n v="0"/>
    <s v="N.A."/>
    <s v="Por definir"/>
    <n v="49500000"/>
    <n v="49500000"/>
    <n v="0"/>
    <n v="0"/>
    <s v="ASESORA JURIDICA"/>
    <s v="CO-DC-11001"/>
    <s v="Margarita Lucía Castañeda Vargas (Subdirección de Divulgación)"/>
    <s v="3550800"/>
    <s v="margarita.castaneda@idpc.gov.co"/>
    <s v="ME20181107"/>
    <s v="COMP1107"/>
    <s v="CONC1107"/>
    <s v="Ofrecer actividades que contribuyan a activar el patrimonio cultural"/>
    <s v="Activación del patrimonio"/>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49500000"/>
    <m/>
    <m/>
    <m/>
    <n v="49500000"/>
    <m/>
    <m/>
    <m/>
    <m/>
    <m/>
    <n v="49500000"/>
    <m/>
    <m/>
    <m/>
    <n v="0"/>
    <m/>
    <n v="1"/>
    <m/>
    <m/>
    <m/>
    <m/>
    <m/>
    <m/>
    <m/>
    <m/>
    <m/>
    <m/>
    <m/>
    <m/>
    <m/>
    <m/>
    <n v="0"/>
    <n v="0"/>
    <m/>
  </r>
  <r>
    <n v="91"/>
    <n v="91"/>
    <b v="0"/>
    <s v="Sí"/>
    <s v="1107. Divulgación y apropiación del patrimonio cultural del Distrito Capital"/>
    <s v="3-3-1-15-03-25-1107-158"/>
    <s v="80111600;"/>
    <s v="Prestar servicios profesionales al Instituto Distrital de Patrimonio Cultural para llevar a cabo las actividades periodísticas requeridas en la estrategia de apropiación social del patrimonio cultural."/>
    <s v="(Cód. 91) Prestar servicios profesionales al Instituto Distrital de Patrimonio Cultural para llevar a cabo las actividades periodísticas requeridas en la estrategia de apropiación social del patrimonio cultural."/>
    <d v="2019-01-20T00:00:00"/>
    <n v="10"/>
    <d v="2019-02-01T00:00:00"/>
    <x v="0"/>
    <n v="1"/>
    <n v="1"/>
    <n v="11"/>
    <n v="1"/>
    <s v="Contratación directa / Prestación de servicios profesionales y de apoyo a la gestión"/>
    <s v="CCE-16"/>
    <n v="0"/>
    <s v="N.A."/>
    <s v="Por definir"/>
    <n v="66000000"/>
    <n v="66000000"/>
    <n v="0"/>
    <n v="0"/>
    <s v="ASESORA JURIDICA"/>
    <s v="CO-DC-11001"/>
    <s v="Margarita Lucía Castañeda Vargas (Subdirección de Divulgación)"/>
    <s v="3550800"/>
    <s v="margarita.castaneda@idpc.gov.co"/>
    <s v="ME20181107"/>
    <s v="COMP1107"/>
    <s v="CONC1107"/>
    <s v="Ofrecer actividades que contribuyan a activar el patrimonio cultural"/>
    <s v="Activación del patrimonio"/>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66000000"/>
    <m/>
    <m/>
    <m/>
    <n v="66000000"/>
    <m/>
    <m/>
    <m/>
    <m/>
    <m/>
    <n v="66000000"/>
    <m/>
    <m/>
    <m/>
    <n v="0"/>
    <m/>
    <n v="1"/>
    <m/>
    <m/>
    <m/>
    <m/>
    <m/>
    <m/>
    <m/>
    <m/>
    <m/>
    <m/>
    <m/>
    <m/>
    <m/>
    <m/>
    <n v="0"/>
    <n v="0"/>
    <m/>
  </r>
  <r>
    <n v="92"/>
    <n v="92"/>
    <b v="0"/>
    <s v="Sí"/>
    <s v="1107. Divulgación y apropiación del patrimonio cultural del Distrito Capital"/>
    <s v="3-3-1-15-03-25-1107-158"/>
    <s v="80111600;"/>
    <s v="Prestar servicios profesionales al Instituto Distrital de Patrimonio Cultural para apoyar la gestión de prensa generada en el marco de la estrategia de comunicaciones del IDPC."/>
    <s v="(Cód. 92) Prestar servicios profesionales al Instituto Distrital de Patrimonio Cultural para apoyar la gestión de prensa generada en el marco de la estrategia de comunicaciones del IDPC."/>
    <d v="2019-01-20T00:00:00"/>
    <n v="10"/>
    <d v="2019-02-01T00:00:00"/>
    <x v="0"/>
    <n v="1"/>
    <n v="1"/>
    <n v="11"/>
    <n v="1"/>
    <s v="Contratación directa / Prestación de servicios profesionales y de apoyo a la gestión"/>
    <s v="CCE-16"/>
    <n v="0"/>
    <s v="N.A."/>
    <s v="Por definir"/>
    <n v="55000000"/>
    <n v="55000000"/>
    <n v="0"/>
    <n v="0"/>
    <s v="ASESORA JURIDICA"/>
    <s v="CO-DC-11001"/>
    <s v="Margarita Lucía Castañeda Vargas (Subdirección de Divulgación)"/>
    <s v="3550800"/>
    <s v="margarita.castaneda@idpc.gov.co"/>
    <s v="ME20181107"/>
    <s v="COMP1107"/>
    <s v="CONC1107"/>
    <s v="Ofrecer actividades que contribuyan a activar el patrimonio cultural"/>
    <s v="Activación del patrimonio"/>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55000000"/>
    <m/>
    <m/>
    <m/>
    <n v="55000000"/>
    <m/>
    <m/>
    <m/>
    <m/>
    <m/>
    <n v="55000000"/>
    <m/>
    <m/>
    <m/>
    <n v="0"/>
    <m/>
    <n v="1"/>
    <m/>
    <m/>
    <m/>
    <m/>
    <m/>
    <m/>
    <m/>
    <m/>
    <m/>
    <m/>
    <m/>
    <m/>
    <m/>
    <m/>
    <n v="0"/>
    <n v="0"/>
    <m/>
  </r>
  <r>
    <n v="93"/>
    <n v="93"/>
    <b v="0"/>
    <s v="Sí"/>
    <s v="1107. Divulgación y apropiación del patrimonio cultural del Distrito Capital"/>
    <s v="3-3-1-15-03-25-1107-158"/>
    <s v="80111600;"/>
    <s v="Prestar servicios profesionales al Instituto Distrital de Patrimonio Cultural para apoyar el desarrollo de los contenidos requeridos para la publicación sobre los proyectos evaluados y aprobados por el IDPC en contextos patrimoniales."/>
    <s v="(Cód. 93) Prestar servicios profesionales al Instituto Distrital de Patrimonio Cultural para apoyar el desarrollo de los contenidos requeridos para la publicación sobre los proyectos evaluados y aprobados por el IDPC en contextos patrimoniales."/>
    <d v="2019-01-15T00:00:00"/>
    <n v="10"/>
    <d v="2019-01-29T00:00:00"/>
    <x v="1"/>
    <n v="1"/>
    <n v="1"/>
    <n v="4"/>
    <n v="1"/>
    <s v="Contratación directa / Prestación de servicios profesionales y de apoyo a la gestión"/>
    <s v="CCE-16"/>
    <n v="0"/>
    <s v="N.A."/>
    <s v="Proyectos"/>
    <n v="20000000"/>
    <n v="20000000"/>
    <n v="0"/>
    <n v="0"/>
    <s v="ASESORA JURIDICA"/>
    <s v="CO-DC-11001"/>
    <s v="Margarita Lucía Castañeda Vargas (Subdirección de Divulgación)"/>
    <s v="3550800"/>
    <s v="margarita.castaneda@idpc.gov.co"/>
    <s v="ME20181107"/>
    <s v="COMP1107"/>
    <s v="CONC1107"/>
    <s v="Ofrecer actividades que contribuyan a activar el patrimonio cultural"/>
    <s v="Activación del patrimonio"/>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20000000"/>
    <m/>
    <m/>
    <m/>
    <n v="20000000"/>
    <m/>
    <m/>
    <m/>
    <m/>
    <m/>
    <n v="20000000"/>
    <m/>
    <m/>
    <m/>
    <n v="0"/>
    <m/>
    <n v="1"/>
    <m/>
    <m/>
    <m/>
    <m/>
    <m/>
    <m/>
    <m/>
    <m/>
    <m/>
    <m/>
    <m/>
    <m/>
    <m/>
    <m/>
    <n v="0"/>
    <n v="0"/>
    <m/>
  </r>
  <r>
    <n v="94"/>
    <n v="94"/>
    <b v="0"/>
    <s v="Sí"/>
    <s v="1107. Divulgación y apropiación del patrimonio cultural del Distrito Capital"/>
    <s v="3-3-1-15-03-25-1107-158"/>
    <s v="82121801;82121506;"/>
    <s v="Contratar el proceso de impresión, encuadernación y acabados de los impresos y publicaciones requeridos para el desarrollo de los proyectos misionales adelantados por la Subdirección de Divulgación del Instituto Distrital de Patrimonio Cultural."/>
    <s v="(Cód. 94) Contratar el proceso de impresión, encuadernación y acabados de los impresos y publicaciones requeridos para el desarrollo de los proyectos misionales adelantados por la Subdirección de Divulgación del Instituto Distrital de Patrimonio Cultural."/>
    <d v="2019-03-20T00:00:00"/>
    <n v="50"/>
    <d v="2019-05-29T00:00:00"/>
    <x v="3"/>
    <n v="3"/>
    <n v="3"/>
    <n v="8"/>
    <n v="1"/>
    <s v="Licitación pública"/>
    <s v="CCE-02"/>
    <n v="0"/>
    <s v="Impresos y publicaciones"/>
    <s v="Publicaciones"/>
    <n v="63000000"/>
    <n v="63000000"/>
    <n v="0"/>
    <n v="0"/>
    <s v="ASESORA JURIDICA"/>
    <s v="CO-DC-11001"/>
    <s v="Margarita Lucía Castañeda Vargas (Subdirección de Divulgación)"/>
    <s v="3550800"/>
    <s v="margarita.castaneda@idpc.gov.co"/>
    <s v="ME20181107"/>
    <s v="COMP1107"/>
    <s v="CONC1107"/>
    <s v="Ofrecer actividades que contribuyan a activar el patrimonio cultural"/>
    <s v="Activación del patrimonio"/>
    <s v="13. Oferta cultural para la valoración y divulgación del patrimonio material e  inmaterial de la ciud"/>
    <s v="FONT1107"/>
    <s v="21-Administrados de Libre Destinación"/>
    <s v="03-RECURSO HUMANO"/>
    <s v="01-DIVULGACION, ASISTENCIA TECNICA Y CAPACITACION DE LA POBLACION"/>
    <s v="0066-Fomento, apoyo y divulgación de eventos y expresiones artísticas, culturales y del patrimonio"/>
    <n v="0"/>
    <n v="63000000"/>
    <m/>
    <m/>
    <m/>
    <n v="63000000"/>
    <m/>
    <m/>
    <m/>
    <m/>
    <m/>
    <n v="63000000"/>
    <m/>
    <m/>
    <m/>
    <n v="0"/>
    <m/>
    <n v="1"/>
    <m/>
    <m/>
    <m/>
    <m/>
    <m/>
    <m/>
    <m/>
    <m/>
    <m/>
    <m/>
    <m/>
    <m/>
    <m/>
    <m/>
    <n v="0"/>
    <n v="0"/>
    <m/>
  </r>
  <r>
    <n v="94"/>
    <n v="94"/>
    <b v="1"/>
    <s v="Sí"/>
    <s v="1107. Divulgación y apropiación del patrimonio cultural del Distrito Capital"/>
    <s v="3-3-1-15-03-25-1107-158"/>
    <s v="82121801;82121506;"/>
    <s v="Contratar el proceso de impresión, encuadernación y acabados de los impresos y publicaciones requeridos para el desarrollo de los proyectos misionales adelantados por la Subdirección de Divulgación del Instituto Distrital de Patrimonio Cultural."/>
    <s v="(Cód. 94) Contratar el proceso de impresión, encuadernación y acabados de los impresos y publicaciones requeridos para el desarrollo de los proyectos misionales adelantados por la Subdirección de Divulgación del Instituto Distrital de Patrimonio Cultural."/>
    <d v="2019-03-20T00:00:00"/>
    <n v="50"/>
    <d v="2019-05-29T00:00:00"/>
    <x v="3"/>
    <n v="3"/>
    <n v="3"/>
    <n v="8"/>
    <n v="1"/>
    <s v="Licitación pública"/>
    <s v="CCE-02"/>
    <n v="0"/>
    <s v="Impresos y publicaciones"/>
    <s v="Publicaciones: 367000000_x000a_Material educativo MdB: 30 mill_x000a_Material divulgativo (PCI): 50 mill"/>
    <n v="447000000"/>
    <n v="447000000"/>
    <n v="0"/>
    <n v="0"/>
    <s v="ASESORA JURIDICA"/>
    <s v="CO-DC-11001"/>
    <s v="Margarita Lucía Castañeda Vargas (Subdirección de Divulgación)"/>
    <s v="3550800"/>
    <s v="margarita.castaneda@idpc.gov.co"/>
    <s v="ME20181107"/>
    <s v="COMP1107"/>
    <s v="CONC1107"/>
    <s v="Ofrecer actividades que contribuyan a activar el patrimonio cultural"/>
    <s v="Activación del patrimonio"/>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447000000"/>
    <m/>
    <m/>
    <m/>
    <n v="447000000"/>
    <m/>
    <m/>
    <m/>
    <m/>
    <m/>
    <n v="447000000"/>
    <m/>
    <m/>
    <m/>
    <n v="0"/>
    <m/>
    <n v="1"/>
    <m/>
    <m/>
    <m/>
    <m/>
    <m/>
    <m/>
    <m/>
    <m/>
    <m/>
    <m/>
    <m/>
    <m/>
    <m/>
    <m/>
    <n v="0"/>
    <n v="0"/>
    <m/>
  </r>
  <r>
    <n v="95"/>
    <n v="95"/>
    <b v="0"/>
    <s v="Sí"/>
    <s v="1107. Divulgación y apropiación del patrimonio cultural del Distrito Capital"/>
    <s v="3-3-1-15-03-25-1107-158"/>
    <s v="80111600;"/>
    <s v="Prestar servicios de apoyo a la gestión al Instituto Distrital de Patrimonio Cultural en los procesos de digitalización de la Colección del Museo de Bogotá."/>
    <s v="(Cód. 95) Prestar servicios de apoyo a la gestión al Instituto Distrital de Patrimonio Cultural en los procesos de digitalización de la Colección del Museo de Bogotá."/>
    <d v="2019-01-25T00:00:00"/>
    <n v="10"/>
    <d v="2019-02-08T00:00:00"/>
    <x v="0"/>
    <n v="1"/>
    <n v="1"/>
    <n v="10"/>
    <n v="1"/>
    <s v="Contratación directa / Prestación de servicios profesionales y de apoyo a la gestión"/>
    <s v="CCE-16"/>
    <n v="0"/>
    <s v="N.A."/>
    <s v="Reemplazo de Juan David Angarita"/>
    <n v="22400000"/>
    <n v="22400000"/>
    <n v="0"/>
    <n v="0"/>
    <s v="ASESORA JURIDICA"/>
    <s v="CO-DC-11001"/>
    <s v="Margarita Lucía Castañeda Vargas (Subdirección de Divulgación)"/>
    <s v="3550800"/>
    <s v="margarita.castaneda@idpc.gov.co"/>
    <s v="ME20181107"/>
    <s v="COMP1107"/>
    <s v="CONC1107"/>
    <s v="Lograr asistentes a la oferta generada por el Instituto en actividades de patrimonio cultural "/>
    <s v="Museo de Bogotá en operación"/>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22400000"/>
    <m/>
    <m/>
    <m/>
    <n v="22400000"/>
    <m/>
    <m/>
    <m/>
    <m/>
    <m/>
    <n v="22400000"/>
    <m/>
    <m/>
    <m/>
    <n v="0"/>
    <m/>
    <n v="1"/>
    <m/>
    <m/>
    <m/>
    <m/>
    <m/>
    <m/>
    <m/>
    <m/>
    <m/>
    <m/>
    <m/>
    <m/>
    <m/>
    <m/>
    <n v="0"/>
    <n v="0"/>
    <m/>
  </r>
  <r>
    <n v="96"/>
    <n v="96"/>
    <b v="0"/>
    <s v="Sí"/>
    <s v="1107. Divulgación y apropiación del patrimonio cultural del Distrito Capital"/>
    <s v="3-3-1-15-03-25-1107-158"/>
    <s v="80111600;"/>
    <s v="Prestar servicios profesionales al Instituto Distrital de Patrimonio Cultural para llevar a cabo la restauración de piezas pertenecientes a la Colección del Museo de Bogotá."/>
    <s v="(Cód. 96) Prestar servicios profesionales al Instituto Distrital de Patrimonio Cultural para llevar a cabo la restauración de piezas pertenecientes a la Colección del Museo de Bogotá."/>
    <d v="2019-01-20T00:00:00"/>
    <n v="10"/>
    <d v="2019-02-01T00:00:00"/>
    <x v="0"/>
    <n v="1"/>
    <n v="1"/>
    <n v="6"/>
    <n v="1"/>
    <s v="Contratación directa / Prestación de servicios profesionales y de apoyo a la gestión"/>
    <s v="CCE-16"/>
    <n v="0"/>
    <s v="N.A."/>
    <s v="Restaurador (a)"/>
    <n v="8000000"/>
    <n v="8000000"/>
    <n v="0"/>
    <n v="0"/>
    <s v="ASESORA JURIDICA"/>
    <s v="CO-DC-11001"/>
    <s v="Margarita Lucía Castañeda Vargas (Subdirección de Divulgación)"/>
    <s v="3550800"/>
    <s v="margarita.castaneda@idpc.gov.co"/>
    <s v="ME20181107"/>
    <s v="COMP1107"/>
    <s v="CONC1107"/>
    <s v="Lograr asistentes a la oferta generada por el Instituto en actividades de patrimonio cultural "/>
    <s v="Museo de Bogotá en operación"/>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8000000"/>
    <m/>
    <m/>
    <m/>
    <n v="8000000"/>
    <m/>
    <m/>
    <m/>
    <m/>
    <m/>
    <n v="8000000"/>
    <m/>
    <m/>
    <m/>
    <n v="0"/>
    <m/>
    <n v="1"/>
    <m/>
    <m/>
    <m/>
    <m/>
    <m/>
    <m/>
    <m/>
    <m/>
    <m/>
    <m/>
    <m/>
    <m/>
    <m/>
    <m/>
    <n v="0"/>
    <n v="0"/>
    <m/>
  </r>
  <r>
    <n v="97"/>
    <n v="97"/>
    <b v="0"/>
    <s v="Sí"/>
    <s v="1107. Divulgación y apropiación del patrimonio cultural del Distrito Capital"/>
    <s v="3-3-1-15-03-25-1107-158"/>
    <s v="80111600;"/>
    <s v="Prestar servicios profesionales al Instituto Distrital de Patrimonio Cultural para acompañar el componente histórico de los procesos curatoriales desarrollados por el Museo de Bogotá. "/>
    <s v="(Cód. 97) Prestar servicios profesionales al Instituto Distrital de Patrimonio Cultural para acompañar el componente histórico de los procesos curatoriales desarrollados por el Museo de Bogotá. "/>
    <d v="2019-01-15T00:00:00"/>
    <n v="10"/>
    <d v="2019-01-29T00:00:00"/>
    <x v="1"/>
    <n v="1"/>
    <n v="1"/>
    <n v="3"/>
    <n v="1"/>
    <s v="Contratación directa / Prestación de servicios profesionales y de apoyo a la gestión"/>
    <s v="CCE-16"/>
    <n v="0"/>
    <s v="N.A."/>
    <s v="Sandra Mendoza"/>
    <n v="17880000"/>
    <n v="17880000"/>
    <n v="0"/>
    <n v="0"/>
    <s v="ASESORA JURIDICA"/>
    <s v="CO-DC-11001"/>
    <s v="Margarita Lucía Castañeda Vargas (Subdirección de Divulgación)"/>
    <s v="3550800"/>
    <s v="margarita.castaneda@idpc.gov.co"/>
    <s v="ME20181107"/>
    <s v="COMP1107"/>
    <s v="CONC1107"/>
    <s v="Lograr asistentes a la oferta generada por el Instituto en actividades de patrimonio cultural "/>
    <s v="Museo de Bogotá en operación"/>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17880000"/>
    <m/>
    <m/>
    <m/>
    <n v="17880000"/>
    <m/>
    <m/>
    <m/>
    <m/>
    <m/>
    <n v="17880000"/>
    <m/>
    <m/>
    <m/>
    <n v="0"/>
    <m/>
    <n v="1"/>
    <m/>
    <m/>
    <m/>
    <m/>
    <m/>
    <m/>
    <m/>
    <m/>
    <m/>
    <m/>
    <m/>
    <m/>
    <m/>
    <m/>
    <n v="0"/>
    <n v="0"/>
    <m/>
  </r>
  <r>
    <n v="98"/>
    <n v="98"/>
    <b v="0"/>
    <s v="Sí"/>
    <s v="1107. Divulgación y apropiación del patrimonio cultural del Distrito Capital"/>
    <s v="3-3-1-15-03-25-1107-158"/>
    <n v="56112101"/>
    <s v="Adquisición de mobiliario requerido para la operación del Museo de Bogotá del Instituto Distrital de Patrimonio Cultural."/>
    <s v="(Cód. 98) Adquisición de mobiliario requerido para la operación del Museo de Bogotá del Instituto Distrital de Patrimonio Cultural."/>
    <d v="2019-02-05T00:00:00"/>
    <n v="45"/>
    <d v="2019-04-09T00:00:00"/>
    <x v="7"/>
    <n v="2"/>
    <n v="2"/>
    <n v="4"/>
    <n v="1"/>
    <s v="Menor cuantía"/>
    <s v="CCE-06"/>
    <n v="0"/>
    <s v="Mobiliario"/>
    <s v="Siillas y atril/Sala educativa"/>
    <n v="40000000"/>
    <n v="40000000"/>
    <n v="0"/>
    <n v="0"/>
    <s v="ASESORA JURIDICA"/>
    <s v="CO-DC-11001"/>
    <s v="Margarita Lucía Castañeda Vargas (Subdirección de Divulgación)"/>
    <s v="3550800"/>
    <s v="margarita.castaneda@idpc.gov.co"/>
    <s v="ME20181107"/>
    <s v="COMP1107"/>
    <s v="CONC1107"/>
    <s v="Lograr asistentes a la oferta generada por el Instituto en actividades de patrimonio cultural "/>
    <s v="Museo de Bogotá en operación"/>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40000000"/>
    <m/>
    <m/>
    <m/>
    <n v="40000000"/>
    <m/>
    <m/>
    <m/>
    <m/>
    <m/>
    <n v="40000000"/>
    <m/>
    <m/>
    <m/>
    <n v="0"/>
    <m/>
    <n v="1"/>
    <m/>
    <m/>
    <m/>
    <m/>
    <m/>
    <m/>
    <m/>
    <m/>
    <m/>
    <m/>
    <m/>
    <m/>
    <m/>
    <m/>
    <n v="0"/>
    <n v="0"/>
    <m/>
  </r>
  <r>
    <n v="99"/>
    <n v="99"/>
    <b v="0"/>
    <s v="Sí"/>
    <s v="1107. Divulgación y apropiación del patrimonio cultural del Distrito Capital"/>
    <s v="3-3-1-15-03-25-1107-158"/>
    <s v="81111500;43232100;43232400;81112100;"/>
    <s v="Contratar el desarrollo y diseño de la página web, así como las herramientas digitales conexas requeridas por el Instituto Distrital de Patrimonio Cultural para la formación y divulgación del patrimonio cultural del Distrito Capital."/>
    <s v="(Cód. 99) Contratar el desarrollo y diseño de la página web, así como las herramientas digitales conexas requeridas por el Instituto Distrital de Patrimonio Cultural para la formación y divulgación del patrimonio cultural del Distrito Capital."/>
    <d v="2019-03-01T00:00:00"/>
    <n v="45"/>
    <d v="2019-05-03T00:00:00"/>
    <x v="3"/>
    <n v="3"/>
    <n v="3"/>
    <n v="6"/>
    <n v="1"/>
    <s v="Menor cuantía"/>
    <s v="CCE-06"/>
    <n v="0"/>
    <s v="Desarrollo web"/>
    <s v="Sitio web IDPC"/>
    <n v="25000000"/>
    <n v="25000000"/>
    <n v="0"/>
    <n v="0"/>
    <s v="ASESORA JURIDICA"/>
    <s v="CO-DC-11001"/>
    <s v="Margarita Lucía Castañeda Vargas (Subdirección de Divulgación)"/>
    <s v="3550800"/>
    <s v="margarita.castaneda@idpc.gov.co"/>
    <s v="ME20181107"/>
    <s v="COMP1107"/>
    <s v="CONC1107"/>
    <s v="Ofrecer actividades que contribuyan a activar el patrimonio cultural"/>
    <s v="Activación del patrimonio"/>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25000000"/>
    <m/>
    <m/>
    <m/>
    <n v="25000000"/>
    <m/>
    <m/>
    <m/>
    <m/>
    <m/>
    <n v="25000000"/>
    <m/>
    <m/>
    <m/>
    <n v="0"/>
    <m/>
    <n v="1"/>
    <m/>
    <m/>
    <m/>
    <m/>
    <m/>
    <m/>
    <m/>
    <m/>
    <m/>
    <m/>
    <m/>
    <m/>
    <m/>
    <m/>
    <n v="0"/>
    <n v="0"/>
    <m/>
  </r>
  <r>
    <n v="100"/>
    <n v="100"/>
    <b v="0"/>
    <s v="Sí"/>
    <s v="1107. Divulgación y apropiación del patrimonio cultural del Distrito Capital"/>
    <s v="3-3-1-15-03-25-1107-158"/>
    <s v="80111600;"/>
    <s v="Prestar servicios de apoyo a la gestión al Instituto Distrital de Patrimonio Cultural como guía de los recorridos urbanos realizados en el marco de la estrategia de apropiación social del patrimonio cultural."/>
    <s v="(Cód. 100) Prestar servicios de apoyo a la gestión al Instituto Distrital de Patrimonio Cultural como guía de los recorridos urbanos realizados en el marco de la estrategia de apropiación social del patrimonio cultural."/>
    <d v="2019-01-15T00:00:00"/>
    <n v="10"/>
    <d v="2019-01-29T00:00:00"/>
    <x v="1"/>
    <n v="1"/>
    <n v="1"/>
    <n v="10"/>
    <n v="1"/>
    <s v="Contratación directa / Prestación de servicios profesionales y de apoyo a la gestión"/>
    <s v="CCE-16"/>
    <n v="0"/>
    <s v="N.A."/>
    <s v="Sonia Cuartas"/>
    <n v="15000000"/>
    <n v="15000000"/>
    <n v="0"/>
    <n v="0"/>
    <s v="ASESORA JURIDICA"/>
    <s v="CO-DC-11001"/>
    <s v="Margarita Lucía Castañeda Vargas (Subdirección de Divulgación)"/>
    <s v="3550800"/>
    <s v="margarita.castaneda@idpc.gov.co"/>
    <s v="ME20181107"/>
    <s v="COMP1107"/>
    <s v="CONC1107"/>
    <s v="Ofrecer actividades que contribuyan a activar el patrimonio cultural"/>
    <s v="Activación del patrimonio"/>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15000000"/>
    <m/>
    <m/>
    <m/>
    <n v="15000000"/>
    <m/>
    <m/>
    <m/>
    <m/>
    <m/>
    <n v="15000000"/>
    <m/>
    <m/>
    <m/>
    <n v="0"/>
    <m/>
    <n v="1"/>
    <m/>
    <m/>
    <m/>
    <m/>
    <m/>
    <m/>
    <m/>
    <m/>
    <m/>
    <m/>
    <m/>
    <m/>
    <m/>
    <m/>
    <n v="0"/>
    <n v="0"/>
    <m/>
  </r>
  <r>
    <n v="101"/>
    <n v="101"/>
    <b v="0"/>
    <s v="Sí"/>
    <s v="1107. Divulgación y apropiación del patrimonio cultural del Distrito Capital"/>
    <s v="3-3-1-15-03-25-1107-158"/>
    <s v="76111500;90101700;72102103;"/>
    <s v="Contratar la prestación del servicio integral de aseo, cafetería y fumigación, incluidos los insumos, para las sedes del Instituto Distrital de Patrimonio Cultural."/>
    <s v="(Cód. 101) Contratar la prestación del servicio integral de aseo, cafetería y fumigación, incluidos los insumos, para las sedes del Instituto Distrital de Patrimonio Cultural."/>
    <d v="2019-02-05T00:00:00"/>
    <n v="10"/>
    <d v="2019-02-19T00:00:00"/>
    <x v="0"/>
    <n v="2"/>
    <n v="2"/>
    <n v="10"/>
    <n v="1"/>
    <s v="Acuerdo marco de precios"/>
    <s v="CCE-99"/>
    <n v="0"/>
    <s v="Aseo y cafetería"/>
    <s v="Suministros"/>
    <n v="10000000"/>
    <n v="10000000"/>
    <n v="0"/>
    <n v="0"/>
    <s v="ASESORA JURIDICA"/>
    <s v="CO-DC-11001"/>
    <s v="Margarita Lucía Castañeda Vargas (Subdirección de Divulgación)"/>
    <s v="3550800"/>
    <s v="margarita.castaneda@idpc.gov.co"/>
    <s v="ME20181107"/>
    <s v="COMP1107"/>
    <s v="CONC1107"/>
    <s v="Lograr asistentes a la oferta generada por el Instituto en actividades de patrimonio cultural "/>
    <s v="Museo de Bogotá en operación"/>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10000000"/>
    <m/>
    <m/>
    <m/>
    <n v="10000000"/>
    <m/>
    <m/>
    <m/>
    <m/>
    <m/>
    <n v="10000000"/>
    <m/>
    <m/>
    <m/>
    <n v="0"/>
    <m/>
    <n v="1"/>
    <m/>
    <m/>
    <m/>
    <m/>
    <m/>
    <m/>
    <m/>
    <m/>
    <m/>
    <m/>
    <m/>
    <m/>
    <m/>
    <m/>
    <n v="0"/>
    <n v="0"/>
    <m/>
  </r>
  <r>
    <n v="102"/>
    <n v="102"/>
    <b v="0"/>
    <s v="Sí"/>
    <s v="1107. Divulgación y apropiación del patrimonio cultural del Distrito Capital"/>
    <s v="3-3-1-15-03-25-1107-158"/>
    <s v="80111600;"/>
    <s v="Prestar servicios profesionales al Instituto Distrital de Patrimonio Cultural para apoyar las actividades de implementación del proyecto de apropiación social del Patrimonio Cultural Inmaterial &quot;Patrimonios Locales&quot;. "/>
    <s v="(Cód. 102) Prestar servicios profesionales al Instituto Distrital de Patrimonio Cultural para apoyar las actividades de implementación del proyecto de apropiación social del Patrimonio Cultural Inmaterial &quot;Patrimonios Locales&quot;. "/>
    <d v="2019-05-30T00:00:00"/>
    <n v="10"/>
    <d v="2019-06-13T00:00:00"/>
    <x v="4"/>
    <n v="5"/>
    <n v="5"/>
    <n v="3"/>
    <n v="1"/>
    <s v="Contratación directa / Prestación de servicios profesionales y de apoyo a la gestión"/>
    <s v="CCE-16"/>
    <n v="0"/>
    <s v="N.A."/>
    <s v="Tallerista Patrimonios Locales 1"/>
    <n v="8400000"/>
    <n v="8400000"/>
    <n v="0"/>
    <n v="0"/>
    <s v="ASESORA JURIDICA"/>
    <s v="CO-DC-11001"/>
    <s v="Margarita Lucía Castañeda Vargas (Subdirección de Divulgación)"/>
    <s v="3550800"/>
    <s v="margarita.castaneda@idpc.gov.co"/>
    <s v="ME20181107"/>
    <s v="COMP1107"/>
    <s v="CONC1107"/>
    <s v="Ofrecer actividades que contribuyan a activar el patrimonio cultural"/>
    <s v="Activación del patrimonio"/>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8400000"/>
    <m/>
    <m/>
    <m/>
    <n v="8400000"/>
    <m/>
    <m/>
    <m/>
    <m/>
    <m/>
    <n v="8400000"/>
    <m/>
    <m/>
    <m/>
    <n v="0"/>
    <m/>
    <n v="1"/>
    <m/>
    <m/>
    <m/>
    <m/>
    <m/>
    <m/>
    <m/>
    <m/>
    <m/>
    <m/>
    <m/>
    <m/>
    <m/>
    <m/>
    <n v="0"/>
    <n v="0"/>
    <m/>
  </r>
  <r>
    <n v="103"/>
    <n v="103"/>
    <b v="0"/>
    <s v="Sí"/>
    <s v="1107. Divulgación y apropiación del patrimonio cultural del Distrito Capital"/>
    <s v="3-3-1-15-03-25-1107-158"/>
    <s v="80111600;"/>
    <s v="Prestar servicios profesionales al Instituto Distrital de Patrimonio Cultural para apoyar las actividades de implementación del proyecto de apropiación social del Patrimonio Cultural Inmaterial &quot;Patrimonios Locales&quot;.  "/>
    <s v="(Cód. 103) Prestar servicios profesionales al Instituto Distrital de Patrimonio Cultural para apoyar las actividades de implementación del proyecto de apropiación social del Patrimonio Cultural Inmaterial &quot;Patrimonios Locales&quot;.  "/>
    <d v="2019-05-30T00:00:00"/>
    <n v="10"/>
    <d v="2019-06-13T00:00:00"/>
    <x v="4"/>
    <n v="5"/>
    <n v="5"/>
    <n v="3"/>
    <n v="1"/>
    <s v="Contratación directa / Prestación de servicios profesionales y de apoyo a la gestión"/>
    <s v="CCE-16"/>
    <n v="0"/>
    <s v="N.A."/>
    <s v="Tallerista Patrimonios Locales 2"/>
    <n v="8400000"/>
    <n v="8400000"/>
    <n v="0"/>
    <n v="0"/>
    <s v="ASESORA JURIDICA"/>
    <s v="CO-DC-11001"/>
    <s v="Margarita Lucía Castañeda Vargas (Subdirección de Divulgación)"/>
    <s v="3550800"/>
    <s v="margarita.castaneda@idpc.gov.co"/>
    <s v="ME20181107"/>
    <s v="COMP1107"/>
    <s v="CONC1107"/>
    <s v="Ofrecer actividades que contribuyan a activar el patrimonio cultural"/>
    <s v="Activación del patrimonio"/>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8400000"/>
    <m/>
    <m/>
    <m/>
    <n v="8400000"/>
    <m/>
    <m/>
    <m/>
    <m/>
    <m/>
    <n v="8400000"/>
    <m/>
    <m/>
    <m/>
    <n v="0"/>
    <m/>
    <n v="1"/>
    <m/>
    <m/>
    <m/>
    <m/>
    <m/>
    <m/>
    <m/>
    <m/>
    <m/>
    <m/>
    <m/>
    <m/>
    <m/>
    <m/>
    <n v="0"/>
    <n v="0"/>
    <m/>
  </r>
  <r>
    <n v="104"/>
    <n v="104"/>
    <b v="0"/>
    <s v="Sí"/>
    <s v="1107. Divulgación y apropiación del patrimonio cultural del Distrito Capital"/>
    <s v="3-3-1-15-03-25-1107-158"/>
    <s v="80111600;"/>
    <s v="Prestar servicios profesionales al Instituto Distrital de Patrimonio Cultural para apoyar las actividades de implementación del proyecto de apropiación social del Patrimonio Cultural Inmaterial &quot;Patrimonios Locales&quot;.  "/>
    <s v="(Cód. 104) Prestar servicios profesionales al Instituto Distrital de Patrimonio Cultural para apoyar las actividades de implementación del proyecto de apropiación social del Patrimonio Cultural Inmaterial &quot;Patrimonios Locales&quot;.  "/>
    <d v="2019-05-30T00:00:00"/>
    <n v="10"/>
    <d v="2019-06-13T00:00:00"/>
    <x v="4"/>
    <n v="5"/>
    <n v="5"/>
    <n v="3"/>
    <n v="1"/>
    <s v="Contratación directa / Prestación de servicios profesionales y de apoyo a la gestión"/>
    <s v="CCE-16"/>
    <n v="0"/>
    <s v="N.A."/>
    <s v="Tallerista Patrimonios Locales 3"/>
    <n v="8400000"/>
    <n v="8400000"/>
    <n v="0"/>
    <n v="0"/>
    <s v="ASESORA JURIDICA"/>
    <s v="CO-DC-11001"/>
    <s v="Margarita Lucía Castañeda Vargas (Subdirección de Divulgación)"/>
    <s v="3550800"/>
    <s v="margarita.castaneda@idpc.gov.co"/>
    <s v="ME20181107"/>
    <s v="COMP1107"/>
    <s v="CONC1107"/>
    <s v="Ofrecer actividades que contribuyan a activar el patrimonio cultural"/>
    <s v="Activación del patrimonio"/>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8400000"/>
    <m/>
    <m/>
    <m/>
    <n v="8400000"/>
    <m/>
    <m/>
    <m/>
    <m/>
    <m/>
    <n v="8400000"/>
    <m/>
    <m/>
    <m/>
    <n v="0"/>
    <m/>
    <n v="1"/>
    <m/>
    <m/>
    <m/>
    <m/>
    <m/>
    <m/>
    <m/>
    <m/>
    <m/>
    <m/>
    <m/>
    <m/>
    <m/>
    <m/>
    <n v="0"/>
    <n v="0"/>
    <m/>
  </r>
  <r>
    <n v="105"/>
    <n v="105"/>
    <b v="0"/>
    <s v="Sí"/>
    <s v="1107. Divulgación y apropiación del patrimonio cultural del Distrito Capital"/>
    <s v="3-3-1-15-03-25-1107-158"/>
    <n v="78101801"/>
    <s v="Contratar el servicio de transporte para el traslado de piezas de carácter museal o de valor patrimonial requerido para los proyectos museológicos adelantados por el Museo de Bogotá del Instituto distrital de Patrimonio Cultural."/>
    <s v="(Cód. 105) Contratar el servicio de transporte para el traslado de piezas de carácter museal o de valor patrimonial requerido para los proyectos museológicos adelantados por el Museo de Bogotá del Instituto distrital de Patrimonio Cultural."/>
    <d v="2019-02-15T00:00:00"/>
    <n v="25"/>
    <d v="2019-03-22T00:00:00"/>
    <x v="5"/>
    <n v="2"/>
    <n v="2"/>
    <n v="11"/>
    <n v="1"/>
    <s v="Mínima cuantía"/>
    <s v="CCE-10"/>
    <n v="0"/>
    <s v="Transporte carga especial"/>
    <s v="Transporte"/>
    <n v="8000000"/>
    <n v="8000000"/>
    <n v="0"/>
    <n v="0"/>
    <s v="ASESORA JURIDICA"/>
    <s v="CO-DC-11001"/>
    <s v="Margarita Lucía Castañeda Vargas (Subdirección de Divulgación)"/>
    <s v="3550800"/>
    <s v="margarita.castaneda@idpc.gov.co"/>
    <s v="ME20181107"/>
    <s v="COMP1107"/>
    <s v="CONC1107"/>
    <s v="Lograr asistentes a la oferta generada por el Instituto en actividades de patrimonio cultural "/>
    <s v="Museo de Bogotá en operación"/>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8000000"/>
    <m/>
    <m/>
    <m/>
    <n v="8000000"/>
    <m/>
    <m/>
    <m/>
    <m/>
    <m/>
    <n v="8000000"/>
    <m/>
    <m/>
    <m/>
    <n v="0"/>
    <m/>
    <n v="1"/>
    <m/>
    <m/>
    <m/>
    <m/>
    <m/>
    <m/>
    <m/>
    <m/>
    <m/>
    <m/>
    <m/>
    <m/>
    <m/>
    <m/>
    <n v="0"/>
    <n v="0"/>
    <m/>
  </r>
  <r>
    <n v="106"/>
    <n v="106"/>
    <b v="0"/>
    <s v="Sí"/>
    <s v="1107. Divulgación y apropiación del patrimonio cultural del Distrito Capital"/>
    <s v="3-3-1-15-03-25-1107-158"/>
    <s v="80111600;"/>
    <s v="Prestar servicios al Instituto Distrital de Patrimonio Cultural para llevar a cabo el proceso de desarme, traslado y armado del tranvía de mulas, pieza museográfica central de la sala: &quot;Sobre rieles, el tranvía en Bogotá&quot; del Museo de Bogotá."/>
    <s v="(Cód. 106) Prestar servicios al Instituto Distrital de Patrimonio Cultural para llevar a cabo el proceso de desarme, traslado y armado del tranvía de mulas, pieza museográfica central de la sala: &quot;Sobre rieles, el tranvía en Bogotá&quot; del Museo de Bogotá."/>
    <d v="2019-02-20T00:00:00"/>
    <n v="10"/>
    <d v="2019-03-06T00:00:00"/>
    <x v="5"/>
    <n v="2"/>
    <n v="2"/>
    <n v="4"/>
    <n v="1"/>
    <s v="Contratación directa"/>
    <s v="CCE-16"/>
    <n v="0"/>
    <s v="N.A."/>
    <s v="Traslado Tranvía"/>
    <n v="40000000"/>
    <n v="40000000"/>
    <n v="0"/>
    <n v="0"/>
    <s v="ASESORA JURIDICA"/>
    <s v="CO-DC-11001"/>
    <s v="Margarita Lucía Castañeda Vargas (Subdirección de Divulgación)"/>
    <s v="3550800"/>
    <s v="margarita.castaneda@idpc.gov.co"/>
    <s v="ME20181107"/>
    <s v="COMP1107"/>
    <s v="CONC1107"/>
    <s v="Lograr asistentes a la oferta generada por el Instituto en actividades de patrimonio cultural "/>
    <s v="Museo de Bogotá en operación"/>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40000000"/>
    <m/>
    <m/>
    <m/>
    <n v="40000000"/>
    <m/>
    <m/>
    <m/>
    <m/>
    <m/>
    <n v="40000000"/>
    <m/>
    <m/>
    <m/>
    <n v="0"/>
    <m/>
    <n v="1"/>
    <m/>
    <m/>
    <m/>
    <m/>
    <m/>
    <m/>
    <m/>
    <m/>
    <m/>
    <m/>
    <m/>
    <m/>
    <m/>
    <m/>
    <n v="0"/>
    <n v="0"/>
    <m/>
  </r>
  <r>
    <n v="107"/>
    <n v="107"/>
    <b v="0"/>
    <s v="Sí"/>
    <s v="1107. Divulgación y apropiación del patrimonio cultural del Distrito Capital"/>
    <s v="3-3-1-15-03-25-1107-158"/>
    <s v="80111600;92121500;92121700;92121701;"/>
    <s v="Prestación de los servicios de vigilancia y seguridad privada, en la modalidad de vigilancia fija armada, con medios técnicos y tecnológicos, a los bienes muebles e inmuebles que conforman el patrimonio de la entidad y de los cuales es o llegare a ser legalmente responsable."/>
    <s v="(Cód. 107) Prestación de los servicios de vigilancia y seguridad privada, en la modalidad de vigilancia fija armada, con medios técnicos y tecnológicos, a los bienes muebles e inmuebles que conforman el patrimonio de la entidad y de los cuales es o llegare a ser legalmente responsable."/>
    <d v="2019-03-15T00:00:00"/>
    <n v="50"/>
    <d v="2019-05-24T00:00:00"/>
    <x v="3"/>
    <n v="3"/>
    <n v="3"/>
    <n v="7"/>
    <n v="1"/>
    <s v="Licitación pública"/>
    <s v="CCE-02"/>
    <n v="0"/>
    <s v="Vigilancia"/>
    <s v="Vigilancia"/>
    <n v="30000000"/>
    <n v="30000000"/>
    <n v="0"/>
    <n v="0"/>
    <s v="ASESORA JURIDICA"/>
    <s v="CO-DC-11001"/>
    <s v="Margarita Lucía Castañeda Vargas (Subdirección de Divulgación)"/>
    <s v="3550800"/>
    <s v="margarita.castaneda@idpc.gov.co"/>
    <s v="ME20181107"/>
    <s v="COMP1107"/>
    <s v="CONC1107"/>
    <s v="Lograr asistentes a la oferta generada por el Instituto en actividades de patrimonio cultural "/>
    <s v="Museo de Bogotá en operación"/>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30000000"/>
    <m/>
    <m/>
    <m/>
    <n v="30000000"/>
    <m/>
    <m/>
    <m/>
    <m/>
    <m/>
    <n v="30000000"/>
    <m/>
    <m/>
    <m/>
    <n v="0"/>
    <m/>
    <n v="1"/>
    <m/>
    <m/>
    <m/>
    <m/>
    <m/>
    <m/>
    <m/>
    <m/>
    <m/>
    <m/>
    <m/>
    <m/>
    <m/>
    <m/>
    <n v="0"/>
    <n v="0"/>
    <m/>
  </r>
  <r>
    <n v="108"/>
    <n v="108"/>
    <b v="0"/>
    <s v="Sí"/>
    <s v="1107. Divulgación y apropiación del patrimonio cultural del Distrito Capital"/>
    <s v="3-3-1-15-03-25-1107-158"/>
    <s v="80111600;"/>
    <s v="Prestar servicios de apoyo a la gestión al Instituto Distrital de Patrimonio Cultural como guía de los recorridos urbanos realizados en el marco de la estrategia de apropiación social del patrimonio cultural."/>
    <s v="(Cód. 108) Prestar servicios de apoyo a la gestión al Instituto Distrital de Patrimonio Cultural como guía de los recorridos urbanos realizados en el marco de la estrategia de apropiación social del patrimonio cultural."/>
    <d v="2019-01-15T00:00:00"/>
    <n v="10"/>
    <d v="2019-01-29T00:00:00"/>
    <x v="1"/>
    <n v="1"/>
    <n v="1"/>
    <n v="10"/>
    <n v="1"/>
    <s v="Contratación directa / Prestación de servicios profesionales y de apoyo a la gestión"/>
    <s v="CCE-16"/>
    <n v="0"/>
    <s v="N.A."/>
    <s v="Wilson Pacheco"/>
    <n v="15000000"/>
    <n v="15000000"/>
    <n v="0"/>
    <n v="0"/>
    <s v="ASESORA JURIDICA"/>
    <s v="CO-DC-11001"/>
    <s v="Margarita Lucía Castañeda Vargas (Subdirección de Divulgación)"/>
    <s v="3550800"/>
    <s v="margarita.castaneda@idpc.gov.co"/>
    <s v="ME20181107"/>
    <s v="COMP1107"/>
    <s v="CONC1107"/>
    <s v="Ofrecer actividades que contribuyan a activar el patrimonio cultural"/>
    <s v="Activación del patrimonio"/>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15000000"/>
    <m/>
    <m/>
    <m/>
    <n v="15000000"/>
    <m/>
    <m/>
    <m/>
    <m/>
    <m/>
    <n v="15000000"/>
    <m/>
    <m/>
    <m/>
    <n v="0"/>
    <m/>
    <n v="1"/>
    <m/>
    <m/>
    <m/>
    <m/>
    <m/>
    <m/>
    <m/>
    <m/>
    <m/>
    <m/>
    <m/>
    <m/>
    <m/>
    <m/>
    <n v="0"/>
    <n v="0"/>
    <m/>
  </r>
  <r>
    <n v="109"/>
    <n v="109"/>
    <b v="0"/>
    <s v="Sí"/>
    <s v="1107. Divulgación y apropiación del patrimonio cultural del Distrito Capital"/>
    <s v="3-3-1-15-03-25-1107-158"/>
    <s v="80111600;"/>
    <s v="Prestar servicios profesionales al Instituto Distrital de Patrimonio Cultural para orientar la ejecución de los proyectos editoriales y de investigación desarrollados en el marco de la estrategia de apropiación social del patrimonio cultural."/>
    <s v="(Cód. 109) Prestar servicios profesionales al Instituto Distrital de Patrimonio Cultural para orientar la ejecución de los proyectos editoriales y de investigación desarrollados en el marco de la estrategia de apropiación social del patrimonio cultural."/>
    <d v="2019-01-15T00:00:00"/>
    <n v="10"/>
    <d v="2019-01-29T00:00:00"/>
    <x v="1"/>
    <n v="1"/>
    <n v="1"/>
    <n v="11"/>
    <n v="1"/>
    <s v="Contratación directa / Prestación de servicios profesionales y de apoyo a la gestión"/>
    <s v="CCE-16"/>
    <n v="0"/>
    <s v="N.A."/>
    <s v="Ximena Bernal"/>
    <n v="88000000"/>
    <n v="88000000"/>
    <n v="0"/>
    <n v="0"/>
    <s v="ASESORA JURIDICA"/>
    <s v="CO-DC-11001"/>
    <s v="Margarita Lucía Castañeda Vargas (Subdirección de Divulgación)"/>
    <s v="3550800"/>
    <s v="margarita.castaneda@idpc.gov.co"/>
    <s v="ME20181107"/>
    <s v="COMP1107"/>
    <s v="CONC1107"/>
    <s v="Ofrecer actividades que contribuyan a activar el patrimonio cultural"/>
    <s v="Activación del patrimonio"/>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88000000"/>
    <m/>
    <m/>
    <m/>
    <n v="88000000"/>
    <m/>
    <m/>
    <m/>
    <m/>
    <m/>
    <n v="88000000"/>
    <m/>
    <m/>
    <m/>
    <n v="0"/>
    <m/>
    <n v="1"/>
    <m/>
    <m/>
    <m/>
    <m/>
    <m/>
    <m/>
    <m/>
    <m/>
    <m/>
    <m/>
    <m/>
    <m/>
    <m/>
    <m/>
    <n v="0"/>
    <n v="0"/>
    <m/>
  </r>
  <r>
    <n v="110"/>
    <n v="110"/>
    <b v="0"/>
    <s v="Sí"/>
    <s v="1107. Divulgación y apropiación del patrimonio cultural del Distrito Capital"/>
    <s v="3-3-1-15-03-25-1107-158"/>
    <s v="80111600;"/>
    <s v="Prestar servicios profesionales al Instituto Distrital de Patrimonio Cultural para apoyar las actividades relacionadas con el diseño gráfico y diagramación de las publicaciones y proyectos editoriales adelantados en el marco de la estrategia de apropiación social del patrimonio cultural."/>
    <s v="(Cód. 110) Prestar servicios profesionales al Instituto Distrital de Patrimonio Cultural para apoyar las actividades relacionadas con el diseño gráfico y diagramación de las publicaciones y proyectos editoriales adelantados en el marco de la estrategia de apropiación social del patrimonio cultural."/>
    <d v="2019-01-15T00:00:00"/>
    <n v="10"/>
    <d v="2019-01-29T00:00:00"/>
    <x v="1"/>
    <n v="1"/>
    <n v="1"/>
    <n v="11"/>
    <n v="1"/>
    <s v="Contratación directa / Prestación de servicios profesionales y de apoyo a la gestión"/>
    <s v="CCE-16"/>
    <n v="0"/>
    <s v="N.A."/>
    <s v="Yesica Milena Acosta"/>
    <n v="72820176"/>
    <n v="72820176"/>
    <n v="0"/>
    <n v="0"/>
    <s v="ASESORA JURIDICA"/>
    <s v="CO-DC-11001"/>
    <s v="Margarita Lucía Castañeda Vargas (Subdirección de Divulgación)"/>
    <s v="3550800"/>
    <s v="margarita.castaneda@idpc.gov.co"/>
    <s v="ME20181107"/>
    <s v="COMP1107"/>
    <s v="CONC1107"/>
    <s v="Ofrecer actividades que contribuyan a activar el patrimonio cultural"/>
    <s v="Activación del patrimonio"/>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72820176"/>
    <m/>
    <m/>
    <m/>
    <n v="72820176"/>
    <m/>
    <m/>
    <m/>
    <m/>
    <m/>
    <n v="72820176"/>
    <m/>
    <m/>
    <m/>
    <n v="0"/>
    <m/>
    <n v="1"/>
    <m/>
    <m/>
    <m/>
    <m/>
    <m/>
    <m/>
    <m/>
    <m/>
    <m/>
    <m/>
    <m/>
    <m/>
    <m/>
    <m/>
    <n v="0"/>
    <n v="0"/>
    <m/>
  </r>
  <r>
    <n v="111"/>
    <n v="111"/>
    <b v="0"/>
    <s v="Sí"/>
    <s v="1107. Divulgación y apropiación del patrimonio cultural del Distrito Capital"/>
    <s v="3-3-1-15-03-25-1107-158"/>
    <s v="80111600;"/>
    <s v="Prestar servicios profesionales al Instituto Distrital de Patrimonio Cultural para acompañar el desarrollo de publicaciones generadas en el marco de la estrategia de apropiación social del patrimonio cultural."/>
    <s v="(Cód. 111) Prestar servicios profesionales al Instituto Distrital de Patrimonio Cultural para acompañar el desarrollo de publicaciones generadas en el marco de la estrategia de apropiación social del patrimonio cultural."/>
    <d v="2019-01-15T00:00:00"/>
    <n v="10"/>
    <d v="2019-01-29T00:00:00"/>
    <x v="1"/>
    <n v="1"/>
    <n v="1"/>
    <n v="11"/>
    <n v="1"/>
    <s v="Contratación directa / Prestación de servicios profesionales y de apoyo a la gestión"/>
    <s v="CCE-16"/>
    <n v="0"/>
    <s v="N.A."/>
    <s v="Yolanda López"/>
    <n v="77000000"/>
    <n v="77000000"/>
    <n v="0"/>
    <n v="0"/>
    <s v="ASESORA JURIDICA"/>
    <s v="CO-DC-11001"/>
    <s v="Margarita Lucía Castañeda Vargas (Subdirección de Divulgación)"/>
    <s v="3550800"/>
    <s v="margarita.castaneda@idpc.gov.co"/>
    <s v="ME20181107"/>
    <s v="COMP1107"/>
    <s v="CONC1107"/>
    <s v="Ofrecer actividades que contribuyan a activar el patrimonio cultural"/>
    <s v="Activación del patrimonio"/>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77000000"/>
    <m/>
    <m/>
    <m/>
    <n v="77000000"/>
    <m/>
    <m/>
    <m/>
    <m/>
    <m/>
    <n v="77000000"/>
    <m/>
    <m/>
    <m/>
    <n v="0"/>
    <m/>
    <n v="1"/>
    <m/>
    <m/>
    <m/>
    <m/>
    <m/>
    <m/>
    <m/>
    <m/>
    <m/>
    <m/>
    <m/>
    <m/>
    <m/>
    <m/>
    <n v="0"/>
    <n v="0"/>
    <m/>
  </r>
  <r>
    <s v="N.A."/>
    <s v="N.A."/>
    <b v="0"/>
    <s v="No"/>
    <s v="1107. Divulgación y apropiación del patrimonio cultural del Distrito Capital"/>
    <s v="3-3-1-15-03-25-1107-158"/>
    <s v="N.A."/>
    <s v="SALDO DEL COMPONENTE MUSEO EN OPERACIÓN"/>
    <s v="(Cód. N.A.) SALDO DEL COMPONENTE MUSEO EN OPERACIÓN"/>
    <d v="2019-05-15T00:00:00"/>
    <n v="0"/>
    <d v="2019-05-15T00:00:00"/>
    <x v="3"/>
    <n v="5"/>
    <n v="5"/>
    <m/>
    <m/>
    <s v="No aplica"/>
    <s v="No aplica"/>
    <n v="0"/>
    <s v="N.A."/>
    <m/>
    <n v="40000000"/>
    <n v="40000000"/>
    <n v="0"/>
    <n v="0"/>
    <s v="ASESORA JURIDICA"/>
    <s v="CO-DC-11001"/>
    <s v="Margarita Lucía Castañeda Vargas (Subdirección de Divulgación)"/>
    <s v="3550800"/>
    <s v="margarita.castaneda@idpc.gov.co"/>
    <s v="ME20181107"/>
    <s v="COMP1107"/>
    <s v="CONC1107"/>
    <s v="Lograr asistentes a la oferta generada por el Instituto en actividades de patrimonio cultural "/>
    <s v="Museo de Bogotá en operación"/>
    <s v="13. Oferta cultural para la valoración y divulgación del patrimonio material e  inmaterial de la ciud"/>
    <s v="FONT1107"/>
    <s v="147-Otros Recursos del balance de destinación específica"/>
    <s v="03-RECURSO HUMANO"/>
    <s v="01-DIVULGACION, ASISTENCIA TECNICA Y CAPACITACION DE LA POBLACION"/>
    <s v="0066-Fomento, apoyo y divulgación de eventos y expresiones artísticas, culturales y del patrimonio"/>
    <n v="0"/>
    <n v="40000000"/>
    <m/>
    <m/>
    <m/>
    <n v="40000000"/>
    <m/>
    <m/>
    <m/>
    <m/>
    <m/>
    <n v="40000000"/>
    <m/>
    <m/>
    <m/>
    <n v="0"/>
    <m/>
    <n v="1"/>
    <m/>
    <m/>
    <m/>
    <m/>
    <m/>
    <m/>
    <m/>
    <m/>
    <m/>
    <m/>
    <m/>
    <m/>
    <m/>
    <m/>
    <n v="0"/>
    <n v="0"/>
    <m/>
  </r>
  <r>
    <s v="N.A."/>
    <s v="N.A."/>
    <b v="1"/>
    <s v="No"/>
    <s v="1107. Divulgación y apropiación del patrimonio cultural del Distrito Capital"/>
    <s v="3-3-1-15-03-25-1107-158"/>
    <s v="N.A."/>
    <s v="Becas"/>
    <s v="(Cód. N.A.) Becas"/>
    <d v="2019-05-15T00:00:00"/>
    <n v="10"/>
    <d v="2019-05-29T00:00:00"/>
    <x v="3"/>
    <n v="5"/>
    <n v="5"/>
    <n v="8"/>
    <n v="1"/>
    <s v="Contratación directa"/>
    <s v="CCE-16"/>
    <n v="0"/>
    <s v="N.A."/>
    <m/>
    <n v="130000000"/>
    <n v="130000000"/>
    <n v="0"/>
    <n v="0"/>
    <s v="ASESORA JURIDICA"/>
    <s v="CO-DC-11001"/>
    <s v="Margarita Lucía Castañeda Vargas (Subdirección de Divulgación)"/>
    <s v="3550800"/>
    <s v="margarita.castaneda@idpc.gov.co"/>
    <s v="ME20181107"/>
    <s v="COMP1107"/>
    <s v="CONC1107"/>
    <s v="Apoyar iniciativas de la ciudadanía en temas de patrimonio cultural."/>
    <s v="Estímulos a iniciativas de la ciudadanía en temas de patrimonio cultural"/>
    <s v="13. Oferta cultural para la valoración y divulgación del patrimonio material e  inmaterial de la ciud"/>
    <s v="FONT1107"/>
    <s v="12-Otros Distrito"/>
    <s v="04-INVESTIGACION Y ESTUDIOS"/>
    <s v="01-INVESTIGACIÓN BÁSICA APLICADA Y ESTUDIOS PROPIOS DEL SECTOR"/>
    <s v="0185-Actividades de investigación para la valoración, protección, conservación, sostenibilidad y apropiación del Patrimonio Cultural"/>
    <n v="0"/>
    <n v="130000000"/>
    <m/>
    <m/>
    <m/>
    <n v="130000000"/>
    <m/>
    <m/>
    <m/>
    <m/>
    <m/>
    <n v="130000000"/>
    <m/>
    <m/>
    <m/>
    <n v="0"/>
    <m/>
    <n v="1"/>
    <m/>
    <m/>
    <m/>
    <m/>
    <m/>
    <m/>
    <m/>
    <m/>
    <m/>
    <m/>
    <m/>
    <m/>
    <m/>
    <m/>
    <n v="0"/>
    <n v="0"/>
    <m/>
  </r>
  <r>
    <s v="N.A."/>
    <s v="N.A."/>
    <b v="1"/>
    <s v="No"/>
    <s v="1107. Divulgación y apropiación del patrimonio cultural del Distrito Capital"/>
    <s v="3-3-1-15-03-25-1107-158"/>
    <s v="N.A."/>
    <s v="Premios "/>
    <s v="(Cód. N.A.) Premios "/>
    <d v="2019-05-15T00:00:00"/>
    <n v="10"/>
    <d v="2019-05-29T00:00:00"/>
    <x v="3"/>
    <n v="5"/>
    <n v="5"/>
    <n v="8"/>
    <n v="1"/>
    <s v="Contratación directa"/>
    <s v="CCE-16"/>
    <n v="0"/>
    <s v="N.A."/>
    <m/>
    <n v="50000000"/>
    <n v="50000000"/>
    <n v="0"/>
    <n v="0"/>
    <s v="ASESORA JURIDICA"/>
    <s v="CO-DC-11001"/>
    <s v="Margarita Lucía Castañeda Vargas (Subdirección de Divulgación)"/>
    <s v="3550800"/>
    <s v="margarita.castaneda@idpc.gov.co"/>
    <s v="ME20181107"/>
    <s v="COMP1107"/>
    <s v="CONC1107"/>
    <s v="Apoyar iniciativas de la ciudadanía en temas de patrimonio cultural."/>
    <s v="Estímulos a iniciativas de la ciudadanía en temas de patrimonio cultural"/>
    <s v="13. Oferta cultural para la valoración y divulgación del patrimonio material e  inmaterial de la ciud"/>
    <s v="FONT1107"/>
    <s v="12-Otros Distrito"/>
    <s v="04-INVESTIGACION Y ESTUDIOS"/>
    <s v="01-INVESTIGACIÓN BÁSICA APLICADA Y ESTUDIOS PROPIOS DEL SECTOR"/>
    <s v="0185-Actividades de investigación para la valoración, protección, conservación, sostenibilidad y apropiación del Patrimonio Cultural"/>
    <n v="0"/>
    <n v="50000000"/>
    <m/>
    <m/>
    <m/>
    <n v="50000000"/>
    <m/>
    <m/>
    <m/>
    <m/>
    <m/>
    <n v="50000000"/>
    <m/>
    <m/>
    <m/>
    <n v="0"/>
    <m/>
    <n v="1"/>
    <m/>
    <m/>
    <m/>
    <m/>
    <m/>
    <m/>
    <m/>
    <m/>
    <m/>
    <m/>
    <m/>
    <m/>
    <m/>
    <m/>
    <n v="0"/>
    <n v="0"/>
    <m/>
  </r>
  <r>
    <s v="N.A."/>
    <s v="N.A."/>
    <b v="1"/>
    <s v="No"/>
    <s v="1107. Divulgación y apropiación del patrimonio cultural del Distrito Capital"/>
    <s v="3-3-1-15-03-25-1107-158"/>
    <s v="N.A."/>
    <s v="Convocatoria dirigida a grupos étnicos"/>
    <s v="(Cód. N.A.) Convocatoria dirigida a grupos étnicos"/>
    <d v="2019-05-15T00:00:00"/>
    <n v="10"/>
    <d v="2019-05-29T00:00:00"/>
    <x v="3"/>
    <n v="5"/>
    <n v="5"/>
    <n v="8"/>
    <n v="1"/>
    <s v="Contratación directa"/>
    <s v="CCE-16"/>
    <n v="0"/>
    <s v="N.A."/>
    <m/>
    <n v="80000000"/>
    <n v="80000000"/>
    <n v="0"/>
    <n v="0"/>
    <s v="ASESORA JURIDICA"/>
    <s v="CO-DC-11001"/>
    <s v="Margarita Lucía Castañeda Vargas (Subdirección de Divulgación)"/>
    <s v="3550800"/>
    <s v="margarita.castaneda@idpc.gov.co"/>
    <s v="ME20181107"/>
    <s v="COMP1107"/>
    <s v="CONC1107"/>
    <s v="Apoyar iniciativas de la ciudadanía en temas de patrimonio cultural."/>
    <s v="Estímulos a iniciativas de la ciudadanía en temas de patrimonio cultural"/>
    <s v="13. Oferta cultural para la valoración y divulgación del patrimonio material e  inmaterial de la ciud"/>
    <s v="FONT1107"/>
    <s v="12-Otros Distrito"/>
    <s v="04-INVESTIGACION Y ESTUDIOS"/>
    <s v="01-INVESTIGACIÓN BÁSICA APLICADA Y ESTUDIOS PROPIOS DEL SECTOR"/>
    <s v="0185-Actividades de investigación para la valoración, protección, conservación, sostenibilidad y apropiación del Patrimonio Cultural"/>
    <n v="0"/>
    <n v="80000000"/>
    <m/>
    <m/>
    <m/>
    <n v="80000000"/>
    <m/>
    <m/>
    <m/>
    <m/>
    <m/>
    <n v="80000000"/>
    <m/>
    <m/>
    <m/>
    <n v="0"/>
    <m/>
    <n v="1"/>
    <m/>
    <m/>
    <m/>
    <m/>
    <m/>
    <m/>
    <m/>
    <m/>
    <m/>
    <m/>
    <m/>
    <m/>
    <m/>
    <m/>
    <n v="0"/>
    <n v="0"/>
    <m/>
  </r>
  <r>
    <s v="N.A."/>
    <s v="N.A."/>
    <b v="1"/>
    <s v="No"/>
    <s v="1107. Divulgación y apropiación del patrimonio cultural del Distrito Capital"/>
    <s v="3-3-1-15-03-25-1107-158"/>
    <s v="N.A."/>
    <s v="Amparar jurados que evaluarán las propuestas del Programa Distrital de Estímulos 2019."/>
    <s v="(Cód. N.A.) Amparar jurados que evaluarán las propuestas del Programa Distrital de Estímulos 2019."/>
    <d v="2019-05-15T00:00:00"/>
    <n v="10"/>
    <d v="2019-05-29T00:00:00"/>
    <x v="3"/>
    <n v="5"/>
    <n v="5"/>
    <n v="8"/>
    <n v="1"/>
    <s v="Contratación directa"/>
    <s v="CCE-16"/>
    <n v="0"/>
    <s v="N.A."/>
    <m/>
    <n v="118445000"/>
    <n v="118445000"/>
    <n v="0"/>
    <n v="0"/>
    <s v="ASESORA JURIDICA"/>
    <s v="CO-DC-11001"/>
    <s v="Margarita Lucía Castañeda Vargas (Subdirección de Divulgación)"/>
    <s v="3550800"/>
    <s v="margarita.castaneda@idpc.gov.co"/>
    <s v="ME20181107"/>
    <s v="COMP1107"/>
    <s v="CONC1107"/>
    <s v="Apoyar iniciativas de la ciudadanía en temas de patrimonio cultural."/>
    <s v="Estímulos a iniciativas de la ciudadanía en temas de patrimonio cultural"/>
    <s v="13. Oferta cultural para la valoración y divulgación del patrimonio material e  inmaterial de la ciud"/>
    <s v="FONT1107"/>
    <s v="12-Otros Distrito"/>
    <s v="04-INVESTIGACION Y ESTUDIOS"/>
    <s v="01-INVESTIGACIÓN BÁSICA APLICADA Y ESTUDIOS PROPIOS DEL SECTOR"/>
    <s v="0185-Actividades de investigación para la valoración, protección, conservación, sostenibilidad y apropiación del Patrimonio Cultural"/>
    <n v="0"/>
    <n v="118445000"/>
    <m/>
    <m/>
    <m/>
    <n v="118445000"/>
    <m/>
    <m/>
    <m/>
    <m/>
    <m/>
    <n v="118445000"/>
    <m/>
    <m/>
    <m/>
    <n v="0"/>
    <m/>
    <n v="1"/>
    <m/>
    <m/>
    <m/>
    <m/>
    <m/>
    <m/>
    <m/>
    <m/>
    <m/>
    <m/>
    <m/>
    <m/>
    <m/>
    <m/>
    <n v="0"/>
    <n v="0"/>
    <m/>
  </r>
  <r>
    <s v="N.A."/>
    <s v="N.A."/>
    <b v="1"/>
    <s v="No"/>
    <s v="1107. Divulgación y apropiación del patrimonio cultural del Distrito Capital"/>
    <s v="3-3-1-15-03-25-1107-158"/>
    <s v="N.A."/>
    <s v="Programa Distrital de Apoyos Concertados - 2019"/>
    <s v="(Cód. N.A.) Programa Distrital de Apoyos Concertados - 2019"/>
    <d v="2019-05-15T00:00:00"/>
    <n v="10"/>
    <d v="2019-05-29T00:00:00"/>
    <x v="3"/>
    <n v="5"/>
    <n v="5"/>
    <n v="8"/>
    <n v="1"/>
    <s v="Contratación directa"/>
    <s v="CCE-16"/>
    <n v="0"/>
    <s v="N.A."/>
    <m/>
    <n v="116870000"/>
    <n v="116870000"/>
    <n v="0"/>
    <n v="0"/>
    <s v="ASESORA JURIDICA"/>
    <s v="CO-DC-11001"/>
    <s v="Margarita Lucía Castañeda Vargas (Subdirección de Divulgación)"/>
    <s v="3550800"/>
    <s v="margarita.castaneda@idpc.gov.co"/>
    <s v="ME20181107"/>
    <s v="COMP1107"/>
    <s v="CONC1107"/>
    <s v="Apoyar iniciativas de la ciudadanía en temas de patrimonio cultural."/>
    <s v="Estímulos a iniciativas de la ciudadanía en temas de patrimonio cultural"/>
    <s v="13. Oferta cultural para la valoración y divulgación del patrimonio material e  inmaterial de la ciud"/>
    <s v="FONT1107"/>
    <s v="12-Otros Distrito"/>
    <s v="04-INVESTIGACION Y ESTUDIOS"/>
    <s v="01-INVESTIGACIÓN BÁSICA APLICADA Y ESTUDIOS PROPIOS DEL SECTOR"/>
    <s v="0185-Actividades de investigación para la valoración, protección, conservación, sostenibilidad y apropiación del Patrimonio Cultural"/>
    <n v="0"/>
    <n v="116870000"/>
    <m/>
    <m/>
    <m/>
    <n v="116870000"/>
    <m/>
    <m/>
    <m/>
    <m/>
    <m/>
    <n v="116870000"/>
    <m/>
    <m/>
    <m/>
    <n v="0"/>
    <m/>
    <n v="1"/>
    <m/>
    <m/>
    <m/>
    <m/>
    <m/>
    <m/>
    <m/>
    <m/>
    <m/>
    <m/>
    <m/>
    <m/>
    <m/>
    <m/>
    <n v="0"/>
    <n v="0"/>
    <m/>
  </r>
  <r>
    <n v="112"/>
    <n v="112"/>
    <b v="0"/>
    <s v="Sí"/>
    <s v="1107. Divulgación y apropiación del patrimonio cultural del Distrito Capital"/>
    <s v="3-3-1-15-03-25-1107-158"/>
    <s v="81141504;41112305;41112306;41111966;41114408;"/>
    <s v="Contratar el mantenimiento de equipos de medición ambiental de propiedad del Instituto Distrital de Patrimonio Cultural."/>
    <s v="(Cód. 112) Contratar el mantenimiento de equipos de medición ambiental de propiedad del Instituto Distrital de Patrimonio Cultural."/>
    <d v="2019-01-20T00:00:00"/>
    <n v="10"/>
    <d v="2019-02-01T00:00:00"/>
    <x v="0"/>
    <n v="1"/>
    <n v="1"/>
    <n v="10"/>
    <n v="1"/>
    <s v="Contratación directa"/>
    <s v="CCE-16"/>
    <n v="0"/>
    <s v="Saneamiento y control ambiental"/>
    <m/>
    <n v="9000000"/>
    <n v="9000000"/>
    <n v="0"/>
    <n v="0"/>
    <s v="ASESORA JURIDICA"/>
    <s v="CO-DC-11001"/>
    <s v="Margarita Lucía Castañeda Vargas (Subdirección de Divulgación)"/>
    <s v="3550800"/>
    <s v="margarita.castaneda@idpc.gov.co"/>
    <s v="ME20181107"/>
    <s v="COMP1107"/>
    <s v="CONC1107"/>
    <s v="Lograr asistentes a la oferta generada por el Instituto en actividades de patrimonio cultural "/>
    <s v="Museo de Bogotá en operación"/>
    <s v="13. Oferta cultural para la valoración y divulgación del patrimonio material e  inmaterial de la ciud"/>
    <s v="FONT1107"/>
    <s v="12-Otros Distrito"/>
    <s v="03-RECURSO HUMANO"/>
    <s v="01-DIVULGACION, ASISTENCIA TECNICA Y CAPACITACION DE LA POBLACION"/>
    <s v="0066-Fomento, apoyo y divulgación de eventos y expresiones artísticas, culturales y del patrimonio"/>
    <n v="0"/>
    <n v="9000000"/>
    <m/>
    <m/>
    <m/>
    <n v="9000000"/>
    <m/>
    <m/>
    <m/>
    <m/>
    <m/>
    <n v="9000000"/>
    <m/>
    <m/>
    <m/>
    <n v="0"/>
    <m/>
    <n v="1"/>
    <m/>
    <m/>
    <m/>
    <m/>
    <m/>
    <m/>
    <m/>
    <m/>
    <m/>
    <m/>
    <m/>
    <m/>
    <m/>
    <m/>
    <n v="0"/>
    <n v="0"/>
    <m/>
  </r>
  <r>
    <n v="113"/>
    <n v="113"/>
    <b v="0"/>
    <s v="Sí"/>
    <s v="1110. Fortalecimiento y desarrollo de la gestión institucional"/>
    <s v="3-3-1-15-07-42-1110-185"/>
    <n v="80111600"/>
    <s v="Prestar servicios profesionales jurídicos al Instituto Distrital de Patrimonio Cultural, para adelantar acciones jurídicas y de seguimiento contractual y administrativo relacionadas con los procesos liderados por la Subdirección General o quien haga sus veces."/>
    <s v="(Cód. 113) Prestar servicios profesionales jurídicos al Instituto Distrital de Patrimonio Cultural, para adelantar acciones jurídicas y de seguimiento contractual y administrativo relacionadas con los procesos liderados por la Subdirección General o quien haga sus veces."/>
    <d v="2019-01-15T00:00:00"/>
    <n v="10"/>
    <d v="2019-01-29T00:00:00"/>
    <x v="1"/>
    <n v="1"/>
    <n v="1"/>
    <n v="11"/>
    <n v="1"/>
    <s v="Contratación directa / Prestación de servicios profesionales y de apoyo a la gestión"/>
    <s v="CCE-16"/>
    <n v="0"/>
    <s v="N.A."/>
    <s v="ADRIANA BERNAO ( PROF. MAS DE 5AÑOS)"/>
    <n v="68200000"/>
    <n v="68200000"/>
    <n v="0"/>
    <n v="0"/>
    <s v="ASESORA JURIDICA"/>
    <s v="CO-DC-11001"/>
    <s v="María Victoria Villamil Páez (Subdirección General)"/>
    <s v="3550800"/>
    <s v="maria.villamil@idpc.gov.co"/>
    <s v="ME20181110"/>
    <s v="COMP1110"/>
    <s v="CONC1110"/>
    <s v="Incrementar la sostenibilidad del sistema integrado de gestión, para prestar un mejor servicio en la atención a la ciudadanía."/>
    <s v="Personal de apoyo transversal a la gestión institucional"/>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68200000"/>
    <m/>
    <m/>
    <m/>
    <n v="68200000"/>
    <m/>
    <m/>
    <m/>
    <m/>
    <m/>
    <n v="68200000"/>
    <m/>
    <m/>
    <m/>
    <n v="0"/>
    <m/>
    <n v="1"/>
    <m/>
    <m/>
    <m/>
    <m/>
    <m/>
    <m/>
    <m/>
    <m/>
    <m/>
    <m/>
    <m/>
    <m/>
    <m/>
    <m/>
    <n v="0"/>
    <n v="0"/>
    <m/>
  </r>
  <r>
    <n v="114"/>
    <n v="114"/>
    <b v="0"/>
    <s v="Sí"/>
    <s v="1110. Fortalecimiento y desarrollo de la gestión institucional"/>
    <s v="3-3-1-15-07-42-1110-185"/>
    <n v="80111600"/>
    <s v="Prestar servicios de apoyo a la gestión al Instituto Distrital de Patrimonio Cultural en las actividades administrativas de la Dirección General de la entidad."/>
    <s v="(Cód. 114) Prestar servicios de apoyo a la gestión al Instituto Distrital de Patrimonio Cultural en las actividades administrativas de la Dirección General de la entidad."/>
    <d v="2019-01-15T00:00:00"/>
    <n v="10"/>
    <d v="2019-01-29T00:00:00"/>
    <x v="1"/>
    <n v="1"/>
    <n v="1"/>
    <n v="11"/>
    <n v="1"/>
    <s v="Contratación directa / Prestación de servicios profesionales y de apoyo a la gestión"/>
    <s v="CCE-16"/>
    <n v="0"/>
    <s v="N.A."/>
    <s v="Alejandra Quintero"/>
    <n v="36190000"/>
    <n v="36190000"/>
    <n v="0"/>
    <n v="0"/>
    <s v="ASESORA JURIDICA"/>
    <s v="CO-DC-11001"/>
    <s v="Juan Fernando Acosta Mirkow (Dirección General)"/>
    <s v="3550800"/>
    <s v="juan.acosta@idpc.gov.co"/>
    <s v="ME20181110"/>
    <s v="COMP1110"/>
    <s v="CONC1110"/>
    <s v="Incrementar la sostenibilidad del sistema integrado de gestión, para prestar un mejor servicio en la atención a la ciudadanía."/>
    <s v="Personal de apoyo transversal a la gestión institucional"/>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36190000"/>
    <m/>
    <m/>
    <m/>
    <n v="36190000"/>
    <m/>
    <m/>
    <m/>
    <m/>
    <m/>
    <n v="36190000"/>
    <m/>
    <m/>
    <m/>
    <n v="0"/>
    <m/>
    <n v="1"/>
    <m/>
    <m/>
    <m/>
    <m/>
    <m/>
    <m/>
    <m/>
    <m/>
    <m/>
    <m/>
    <m/>
    <m/>
    <m/>
    <m/>
    <n v="0"/>
    <n v="0"/>
    <m/>
  </r>
  <r>
    <n v="115"/>
    <n v="115"/>
    <b v="0"/>
    <s v="Sí"/>
    <s v="1110. Fortalecimiento y desarrollo de la gestión institucional"/>
    <s v="3-3-1-15-07-42-1110-185"/>
    <n v="80111600"/>
    <s v="Prestar servicios profesionales especializados a la Dirección General del Instituto Distrital de Patrimonio Cultural, relacionados con el acompañamiento de las acciones estratégicas de mejoramiento y seguimiento institucional, para el normal funcionamiento de la entidad."/>
    <s v="(Cód. 115) Prestar servicios profesionales especializados a la Dirección General del Instituto Distrital de Patrimonio Cultural, relacionados con el acompañamiento de las acciones estratégicas de mejoramiento y seguimiento institucional, para el normal funcionamiento de la entidad."/>
    <d v="2019-01-15T00:00:00"/>
    <n v="10"/>
    <d v="2019-01-29T00:00:00"/>
    <x v="1"/>
    <n v="1"/>
    <n v="1"/>
    <n v="11"/>
    <n v="1"/>
    <s v="Contratación directa / Prestación de servicios profesionales y de apoyo a la gestión"/>
    <s v="CCE-16"/>
    <n v="0"/>
    <s v="N.A."/>
    <s v="Alexander  Morales"/>
    <n v="94820000"/>
    <n v="94820000"/>
    <n v="0"/>
    <n v="0"/>
    <s v="ASESORA JURIDICA"/>
    <s v="CO-DC-11001"/>
    <s v="Juan Fernando Acosta Mirkow (Dirección General)"/>
    <s v="3550800"/>
    <s v="juan.acosta@idpc.gov.co"/>
    <s v="ME20181110"/>
    <s v="COMP1110"/>
    <s v="CONC1110"/>
    <s v="Incrementar la sostenibilidad del sistema integrado de gestión, para prestar un mejor servicio en la atención a la ciudadanía."/>
    <s v="Personal de apoyo transversal a la gestión institucional"/>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94820000"/>
    <m/>
    <m/>
    <m/>
    <n v="94820000"/>
    <m/>
    <m/>
    <m/>
    <m/>
    <m/>
    <n v="94820000"/>
    <m/>
    <m/>
    <m/>
    <n v="0"/>
    <m/>
    <n v="1"/>
    <m/>
    <m/>
    <m/>
    <m/>
    <m/>
    <m/>
    <m/>
    <m/>
    <m/>
    <m/>
    <m/>
    <m/>
    <m/>
    <m/>
    <n v="0"/>
    <n v="0"/>
    <m/>
  </r>
  <r>
    <n v="116"/>
    <n v="116"/>
    <b v="0"/>
    <s v="Sí"/>
    <s v="1110. Fortalecimiento y desarrollo de la gestión institucional"/>
    <s v="3-3-1-15-07-42-1110-185"/>
    <n v="80111600"/>
    <s v="Prestar servicios de apoyo a la gestión al Instituto Distrital de Patrimonio Cultural para apoyar las actividades logisticas de divulgación, participación ciudadana y control social. "/>
    <s v="(Cód. 116) Prestar servicios de apoyo a la gestión al Instituto Distrital de Patrimonio Cultural para apoyar las actividades logisticas de divulgación, participación ciudadana y control social. "/>
    <d v="2019-01-15T00:00:00"/>
    <n v="10"/>
    <d v="2019-01-29T00:00:00"/>
    <x v="1"/>
    <n v="1"/>
    <n v="1"/>
    <n v="3"/>
    <n v="1"/>
    <s v="Contratación directa / Prestación de servicios profesionales y de apoyo a la gestión"/>
    <s v="CCE-16"/>
    <n v="0"/>
    <s v="N.A."/>
    <s v="ANA MILENA PRADA "/>
    <n v="6180000"/>
    <n v="6180000"/>
    <n v="0"/>
    <n v="0"/>
    <s v="ASESORA JURIDICA"/>
    <s v="CO-DC-11001"/>
    <s v="María Victoria Villamil Páez (Subdirección General)"/>
    <s v="3550800"/>
    <s v="maria.villamil@idpc.gov.co"/>
    <s v="ME20181110"/>
    <s v="COMP1110"/>
    <s v="CONC1110"/>
    <s v="Incrementar la sostenibilidad del sistema integrado de gestión, para prestar un mejor servicio en la atención a la ciudadanía."/>
    <s v="Personal de apoyo transversal a la gestión institucional"/>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6180000"/>
    <m/>
    <m/>
    <m/>
    <n v="6180000"/>
    <m/>
    <m/>
    <m/>
    <m/>
    <m/>
    <n v="6180000"/>
    <m/>
    <m/>
    <m/>
    <n v="0"/>
    <m/>
    <n v="1"/>
    <m/>
    <m/>
    <m/>
    <m/>
    <m/>
    <m/>
    <m/>
    <m/>
    <m/>
    <m/>
    <m/>
    <m/>
    <m/>
    <m/>
    <n v="0"/>
    <n v="0"/>
    <m/>
  </r>
  <r>
    <n v="116"/>
    <n v="116"/>
    <b v="1"/>
    <s v="Sí"/>
    <s v="1110. Fortalecimiento y desarrollo de la gestión institucional"/>
    <s v="3-3-1-15-07-42-1110-185"/>
    <n v="80111600"/>
    <s v="Prestar servicios profesionales al Instituto Distrital de Patrimonio Cultural para apoyar las actividades logísticas requeridas en la implementación del modelo de participacion y control social. "/>
    <s v="(Cód. 116) Prestar servicios profesionales al Instituto Distrital de Patrimonio Cultural para apoyar las actividades logísticas requeridas en la implementación del modelo de participacion y control social. "/>
    <d v="2019-03-09T00:00:00"/>
    <n v="10"/>
    <d v="2019-03-22T00:00:00"/>
    <x v="5"/>
    <n v="3"/>
    <n v="3"/>
    <n v="8"/>
    <n v="1"/>
    <s v="Contratación directa / Prestación de servicios profesionales y de apoyo a la gestión"/>
    <s v="CCE-16"/>
    <n v="0"/>
    <s v="N.A."/>
    <s v="ANA MILENA PRADA "/>
    <n v="29600000"/>
    <n v="29600000"/>
    <n v="0"/>
    <n v="0"/>
    <s v="ASESORA JURIDICA"/>
    <s v="CO-DC-11001"/>
    <s v="María Victoria Villamil Páez (Subdirección General)"/>
    <s v="3550800"/>
    <s v="maria.villamil@idpc.gov.co"/>
    <s v="ME20181110"/>
    <s v="COMP1110"/>
    <s v="CONC1110"/>
    <s v="Incrementar la sostenibilidad del sistema integrado de gestión, para prestar un mejor servicio en la atención a la ciudadanía."/>
    <s v="Personal de apoyo transversal a la gestión institucional"/>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29600000"/>
    <m/>
    <m/>
    <m/>
    <n v="29600000"/>
    <m/>
    <m/>
    <m/>
    <m/>
    <m/>
    <n v="29600000"/>
    <m/>
    <m/>
    <m/>
    <n v="0"/>
    <m/>
    <n v="1"/>
    <m/>
    <m/>
    <m/>
    <m/>
    <m/>
    <m/>
    <m/>
    <m/>
    <m/>
    <m/>
    <m/>
    <m/>
    <m/>
    <m/>
    <n v="0"/>
    <n v="0"/>
    <m/>
  </r>
  <r>
    <n v="117"/>
    <n v="117"/>
    <b v="0"/>
    <s v="Sí"/>
    <s v="1110. Fortalecimiento y desarrollo de la gestión institucional"/>
    <s v="3-3-1-15-07-42-1110-185"/>
    <n v="80111600"/>
    <s v="Prestar servicios profesionales al Instituto Distrital de Patrimonio Cultural en el apoyo jurídico que requiera la entidad en las etapas precontractual, contractual y post-contractual."/>
    <s v="(Cód. 117) Prestar servicios profesionales al Instituto Distrital de Patrimonio Cultural en el apoyo jurídico que requiera la entidad en las etapas precontractual, contractual y post-contractual."/>
    <d v="2019-01-15T00:00:00"/>
    <n v="10"/>
    <d v="2019-01-29T00:00:00"/>
    <x v="1"/>
    <n v="1"/>
    <n v="1"/>
    <n v="11"/>
    <n v="1"/>
    <s v="Contratación directa / Prestación de servicios profesionales y de apoyo a la gestión"/>
    <s v="CCE-16"/>
    <n v="0"/>
    <s v="N.A."/>
    <s v="ANDERSON JURIDÍCA"/>
    <n v="60060000"/>
    <n v="60060000"/>
    <n v="0"/>
    <n v="0"/>
    <s v="ASESORA JURIDICA"/>
    <s v="CO-DC-11001"/>
    <s v="Juan Fernando Acosta Mirkow (Subdirección de Gestión Corporativa)"/>
    <s v="3550800"/>
    <s v="juan.acosta@idpc.gov.co"/>
    <s v="ME20181110"/>
    <s v="COMP1110"/>
    <s v="CONC1110"/>
    <s v="Incrementar la sostenibilidad del sistema integrado de gestión, para prestar un mejor servicio en la atención a la ciudadanía."/>
    <s v="Personal de apoyo transversal a la gestión institucional"/>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60060000"/>
    <m/>
    <m/>
    <m/>
    <n v="60060000"/>
    <m/>
    <m/>
    <m/>
    <m/>
    <m/>
    <n v="60060000"/>
    <m/>
    <m/>
    <m/>
    <n v="0"/>
    <m/>
    <n v="1"/>
    <m/>
    <m/>
    <m/>
    <m/>
    <m/>
    <m/>
    <m/>
    <m/>
    <m/>
    <m/>
    <m/>
    <m/>
    <m/>
    <m/>
    <n v="0"/>
    <n v="0"/>
    <m/>
  </r>
  <r>
    <n v="118"/>
    <n v="118"/>
    <b v="0"/>
    <s v="Sí"/>
    <s v="1110. Fortalecimiento y desarrollo de la gestión institucional"/>
    <s v="3-3-1-15-07-42-1110-185"/>
    <n v="80111600"/>
    <s v="Prestar servicios de apoyo a la gestión al Instituto Distrital de Patrimonio Cultural, en el desarrollo de las actividades relacionadas con la liquidación de prestaciones sociales y demás temas de la gestión del talento humano de la entidad."/>
    <s v="(Cód. 118) Prestar servicios de apoyo a la gestión al Instituto Distrital de Patrimonio Cultural, en el desarrollo de las actividades relacionadas con la liquidación de prestaciones sociales y demás temas de la gestión del talento humano de la entidad."/>
    <d v="2019-01-15T00:00:00"/>
    <n v="10"/>
    <d v="2019-01-29T00:00:00"/>
    <x v="1"/>
    <n v="1"/>
    <n v="1"/>
    <n v="11"/>
    <n v="1"/>
    <s v="Contratación directa / Prestación de servicios profesionales y de apoyo a la gestión"/>
    <s v="CCE-16"/>
    <n v="0"/>
    <s v="N.A."/>
    <s v="Andrea rincon"/>
    <n v="38280000"/>
    <n v="38280000"/>
    <n v="0"/>
    <n v="0"/>
    <s v="ASESORA JURIDICA"/>
    <s v="CO-DC-11001"/>
    <s v="Juan Fernando Acosta Mirkow (Subdirección de Gestión Corporativa)"/>
    <s v="3550800"/>
    <s v="juan.acosta@idpc.gov.co"/>
    <s v="ME20181110"/>
    <s v="COMP1110"/>
    <s v="CONC1110"/>
    <s v="Incrementar la sostenibilidad del sistema integrado de gestión, para prestar un mejor servicio en la atención a la ciudadanía."/>
    <s v="Personal de apoyo transversal a la gestión institucional"/>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38280000"/>
    <m/>
    <m/>
    <m/>
    <n v="38280000"/>
    <m/>
    <m/>
    <m/>
    <m/>
    <m/>
    <n v="38280000"/>
    <m/>
    <m/>
    <m/>
    <n v="0"/>
    <m/>
    <n v="1"/>
    <m/>
    <m/>
    <m/>
    <m/>
    <m/>
    <m/>
    <m/>
    <m/>
    <m/>
    <m/>
    <m/>
    <m/>
    <m/>
    <m/>
    <n v="0"/>
    <n v="0"/>
    <m/>
  </r>
  <r>
    <n v="119"/>
    <n v="119"/>
    <b v="0"/>
    <s v="Sí"/>
    <s v="1110. Fortalecimiento y desarrollo de la gestión institucional"/>
    <s v="3-3-1-15-07-42-1110-185"/>
    <n v="80111600"/>
    <s v="Prestar servicios profesionales al Instituto Distrital de Patrimonio Cultural para apoyar a la Asesoría Jurídica o quien haga sus veces, en la emisión de conceptos jurídicos, así como en la proyección y revisión de los documentos de índole jurídico que le sean asignados, y   apoyando los procesos de selección en todas las etapas de la gestión contractual, especialmente las relacionadas con la etapa post-contractual."/>
    <s v="(Cód. 119) Prestar servicios profesionales al Instituto Distrital de Patrimonio Cultural para apoyar a la Asesoría Jurídica o quien haga sus veces, en la emisión de conceptos jurídicos, así como en la proyección y revisión de los documentos de índole jurídico que le sean asignados, y   apoyando los procesos de selección en todas las etapas de la gestión contractual, especialmente las relacionadas con la etapa post-contractual."/>
    <d v="2019-01-15T00:00:00"/>
    <n v="10"/>
    <d v="2019-01-29T00:00:00"/>
    <x v="1"/>
    <n v="1"/>
    <n v="1"/>
    <n v="11"/>
    <n v="1"/>
    <s v="Contratación directa / Prestación de servicios profesionales y de apoyo a la gestión"/>
    <s v="CCE-16"/>
    <n v="0"/>
    <s v="N.A."/>
    <s v="ANDRÉS CÁRDENAS "/>
    <n v="74800000"/>
    <n v="74800000"/>
    <n v="0"/>
    <n v="0"/>
    <s v="ASESORA JURIDICA"/>
    <s v="CO-DC-11001"/>
    <s v="Juan Fernando Acosta Mirkow (Subdirección de Gestión Corporativa)"/>
    <s v="3550800"/>
    <s v="juan.acosta@idpc.gov.co"/>
    <s v="ME20181110"/>
    <s v="COMP1110"/>
    <s v="CONC1110"/>
    <s v="Incrementar la sostenibilidad del sistema integrado de gestión, para prestar un mejor servicio en la atención a la ciudadanía."/>
    <s v="Personal de apoyo transversal a la gestión institucional"/>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74800000"/>
    <m/>
    <m/>
    <m/>
    <n v="74800000"/>
    <m/>
    <m/>
    <m/>
    <m/>
    <m/>
    <n v="74800000"/>
    <m/>
    <m/>
    <m/>
    <n v="0"/>
    <m/>
    <n v="1"/>
    <m/>
    <m/>
    <m/>
    <m/>
    <m/>
    <m/>
    <m/>
    <m/>
    <m/>
    <m/>
    <m/>
    <m/>
    <m/>
    <m/>
    <n v="0"/>
    <n v="0"/>
    <m/>
  </r>
  <r>
    <n v="120"/>
    <n v="120"/>
    <b v="0"/>
    <s v="Sí"/>
    <s v="1110. Fortalecimiento y desarrollo de la gestión institucional"/>
    <s v="3-3-1-15-07-42-1110-185"/>
    <n v="80111600"/>
    <s v="Prestar servicios de apoyo a la gestión  al Instituto Distrital de Patrimonio Cultural para ejecutar las actividades relacionadas con el Programa de gestión Documental - PGD  y el Plan Institucional de Archivos PINAR."/>
    <s v="(Cód. 120) Prestar servicios de apoyo a la gestión  al Instituto Distrital de Patrimonio Cultural para ejecutar las actividades relacionadas con el Programa de gestión Documental - PGD  y el Plan Institucional de Archivos PINAR."/>
    <d v="2019-01-15T00:00:00"/>
    <n v="10"/>
    <d v="2019-01-29T00:00:00"/>
    <x v="1"/>
    <n v="1"/>
    <n v="1"/>
    <n v="11"/>
    <n v="1"/>
    <s v="Contratación directa / Prestación de servicios profesionales y de apoyo a la gestión"/>
    <s v="CCE-16"/>
    <n v="0"/>
    <s v="N.A."/>
    <s v="Andres Moncada"/>
    <n v="29700000"/>
    <n v="29700000"/>
    <n v="0"/>
    <n v="0"/>
    <s v="ASESORA JURIDICA"/>
    <s v="CO-DC-11001"/>
    <s v="María Victoria Villamil Páez (Subdirección General)"/>
    <s v="3550800"/>
    <s v="maria.villamil@idpc.gov.co"/>
    <s v="ME20181110"/>
    <s v="COMP1110"/>
    <s v="CONC1110"/>
    <s v="Incrementar la sostenibilidad del sistema integrado de gestión, para prestar un mejor servicio en la atención a la ciudadanía."/>
    <s v="Fortalecimiento de los subsistemas del sistema integrado de gestión"/>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29700000"/>
    <m/>
    <m/>
    <m/>
    <n v="29700000"/>
    <m/>
    <m/>
    <m/>
    <m/>
    <m/>
    <n v="29700000"/>
    <m/>
    <m/>
    <m/>
    <n v="0"/>
    <m/>
    <n v="1"/>
    <m/>
    <m/>
    <m/>
    <m/>
    <m/>
    <m/>
    <m/>
    <m/>
    <m/>
    <m/>
    <m/>
    <m/>
    <m/>
    <m/>
    <n v="0"/>
    <n v="0"/>
    <m/>
  </r>
  <r>
    <n v="121"/>
    <n v="121"/>
    <b v="0"/>
    <s v="Sí"/>
    <s v="1110. Fortalecimiento y desarrollo de la gestión institucional"/>
    <s v="3-3-1-15-07-42-1110-185"/>
    <n v="80111600"/>
    <s v="Prestar servicios profesionales al Instituto Distrital de Patrimonio Cultural apoyando la aplicación de los lineamientos enmarcados en la Ley de Transparencia  y del Derecho de Acceso a la Información Pública."/>
    <s v="(Cód. 121) Prestar servicios profesionales al Instituto Distrital de Patrimonio Cultural apoyando la aplicación de los lineamientos enmarcados en la Ley de Transparencia  y del Derecho de Acceso a la Información Pública."/>
    <d v="2019-01-15T00:00:00"/>
    <n v="10"/>
    <d v="2019-01-29T00:00:00"/>
    <x v="1"/>
    <n v="1"/>
    <n v="1"/>
    <n v="11"/>
    <n v="1"/>
    <s v="Contratación directa / Prestación de servicios profesionales y de apoyo a la gestión"/>
    <s v="CCE-16"/>
    <n v="0"/>
    <s v="N.A."/>
    <s v="Angela Castro"/>
    <n v="55000000"/>
    <n v="55000000"/>
    <n v="0"/>
    <n v="0"/>
    <s v="ASESORA JURIDICA"/>
    <s v="CO-DC-11001"/>
    <s v="Juan Fernando Acosta Mirkow (Subdirección de Gestión Corporativa)"/>
    <s v="3550800"/>
    <s v="juan.acosta@idpc.gov.co"/>
    <s v="ME20181110"/>
    <s v="COMP1110"/>
    <s v="CONC1110"/>
    <s v="Incrementar la sostenibilidad del sistema integrado de gestión, para prestar un mejor servicio en la atención a la ciudadanía."/>
    <s v="Transparencia y atención a la ciudadanía"/>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55000000"/>
    <m/>
    <m/>
    <m/>
    <n v="55000000"/>
    <m/>
    <m/>
    <m/>
    <m/>
    <m/>
    <n v="55000000"/>
    <m/>
    <m/>
    <m/>
    <n v="0"/>
    <m/>
    <n v="1"/>
    <m/>
    <m/>
    <m/>
    <m/>
    <m/>
    <m/>
    <m/>
    <m/>
    <m/>
    <m/>
    <m/>
    <m/>
    <m/>
    <m/>
    <n v="0"/>
    <n v="0"/>
    <m/>
  </r>
  <r>
    <n v="122"/>
    <n v="122"/>
    <b v="0"/>
    <s v="Sí"/>
    <s v="1110. Fortalecimiento y desarrollo de la gestión institucional"/>
    <s v="3-3-1-15-07-42-1110-185"/>
    <n v="80111600"/>
    <s v="Prestar servicios profesionales al Instituto de Patrimonio Cultural para realizar acciones de soporte relacionadas con la gestión documental de la entidad y el aplicativo ORFEO. "/>
    <s v="(Cód. 122) Prestar servicios profesionales al Instituto de Patrimonio Cultural para realizar acciones de soporte relacionadas con la gestión documental de la entidad y el aplicativo ORFEO. "/>
    <d v="2019-01-15T00:00:00"/>
    <n v="10"/>
    <d v="2019-01-29T00:00:00"/>
    <x v="1"/>
    <n v="1"/>
    <n v="1"/>
    <n v="11"/>
    <n v="1"/>
    <s v="Contratación directa / Prestación de servicios profesionales y de apoyo a la gestión"/>
    <s v="CCE-16"/>
    <n v="0"/>
    <s v="N.A."/>
    <s v="ANGELICA ESPERANZA ACUÑA HERNANDEZ  (Profesional en archivistica)"/>
    <n v="40700000"/>
    <n v="40700000"/>
    <n v="0"/>
    <n v="0"/>
    <s v="ASESORA JURIDICA"/>
    <s v="CO-DC-11001"/>
    <s v="María Victoria Villamil Páez (Subdirección General)"/>
    <s v="3550800"/>
    <s v="maria.villamil@idpc.gov.co"/>
    <s v="ME20181110"/>
    <s v="COMP1110"/>
    <s v="CONC1110"/>
    <s v="Incrementar la sostenibilidad del sistema integrado de gestión, para prestar un mejor servicio en la atención a la ciudadanía."/>
    <s v="Fortalecimiento de los subsistemas del sistema integrado de gestión"/>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40700000"/>
    <m/>
    <m/>
    <m/>
    <n v="40700000"/>
    <m/>
    <m/>
    <m/>
    <m/>
    <m/>
    <n v="40700000"/>
    <m/>
    <m/>
    <m/>
    <n v="0"/>
    <m/>
    <n v="1"/>
    <m/>
    <m/>
    <m/>
    <m/>
    <m/>
    <m/>
    <m/>
    <m/>
    <m/>
    <m/>
    <m/>
    <m/>
    <m/>
    <m/>
    <n v="0"/>
    <n v="0"/>
    <m/>
  </r>
  <r>
    <n v="123"/>
    <n v="123"/>
    <b v="0"/>
    <s v="Sí"/>
    <s v="1110. Fortalecimiento y desarrollo de la gestión institucional"/>
    <s v="3-3-1-15-07-42-1110-185"/>
    <n v="80111600"/>
    <s v="Prestar servicios profesionales al Instituto Distrital de Patrimonio Cultural en las actividades de soporte técnico y los trámites precontractuales para la adquisición de bienes y servicios relacionados con el sistema de información y tecnología de la entidad."/>
    <s v="(Cód. 123) Prestar servicios profesionales al Instituto Distrital de Patrimonio Cultural en las actividades de soporte técnico y los trámites precontractuales para la adquisición de bienes y servicios relacionados con el sistema de información y tecnología de la entidad."/>
    <d v="2019-01-15T00:00:00"/>
    <n v="10"/>
    <d v="2019-01-29T00:00:00"/>
    <x v="1"/>
    <n v="1"/>
    <n v="1"/>
    <n v="11"/>
    <n v="1"/>
    <s v="Contratación directa / Prestación de servicios profesionales y de apoyo a la gestión"/>
    <s v="CCE-16"/>
    <n v="0"/>
    <s v="N.A."/>
    <s v="Angie Morales "/>
    <n v="45320000"/>
    <n v="45320000"/>
    <n v="0"/>
    <n v="0"/>
    <s v="ASESORA JURIDICA"/>
    <s v="CO-DC-11001"/>
    <s v="Juan Fernando Acosta Mirkow (Subdirección de Gestión Corporativa)"/>
    <s v="3550800"/>
    <s v="juan.acosta@idpc.gov.co"/>
    <s v="ME20181110"/>
    <s v="COMP1110"/>
    <s v="CONC1110"/>
    <s v="Incrementar la sostenibilidad del sistema integrado de gestión, para prestar un mejor servicio en la atención a la ciudadanía."/>
    <s v="Desarrollar actividades de comunicación e información"/>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45320000"/>
    <m/>
    <m/>
    <m/>
    <n v="45320000"/>
    <m/>
    <m/>
    <m/>
    <m/>
    <m/>
    <n v="45320000"/>
    <m/>
    <m/>
    <m/>
    <n v="0"/>
    <m/>
    <n v="1"/>
    <m/>
    <m/>
    <m/>
    <m/>
    <m/>
    <m/>
    <m/>
    <m/>
    <m/>
    <m/>
    <m/>
    <m/>
    <m/>
    <m/>
    <n v="0"/>
    <n v="0"/>
    <m/>
  </r>
  <r>
    <n v="124"/>
    <n v="124"/>
    <b v="0"/>
    <s v="Sí"/>
    <s v="1110. Fortalecimiento y desarrollo de la gestión institucional"/>
    <s v="3-3-1-15-07-42-1110-185"/>
    <n v="80111600"/>
    <s v="Prestar servicios de profesionales al Instituto Distrital de Patrimonio Cultural en las actividades relacionadas con la publicación y seguimiento de la actividad contractual en los portales de contratación."/>
    <s v="(Cód. 124) Prestar servicios de profesionales al Instituto Distrital de Patrimonio Cultural en las actividades relacionadas con la publicación y seguimiento de la actividad contractual en los portales de contratación."/>
    <d v="2019-01-15T00:00:00"/>
    <n v="10"/>
    <d v="2019-01-29T00:00:00"/>
    <x v="1"/>
    <n v="1"/>
    <n v="1"/>
    <n v="11"/>
    <n v="1"/>
    <s v="Contratación directa / Prestación de servicios profesionales y de apoyo a la gestión"/>
    <s v="CCE-16"/>
    <n v="0"/>
    <s v="N.A."/>
    <s v="Apoyo secop"/>
    <n v="40700000"/>
    <n v="40700000"/>
    <n v="0"/>
    <n v="0"/>
    <s v="ASESORA JURIDICA"/>
    <s v="CO-DC-11001"/>
    <s v="Juan Fernando Acosta Mirkow (Subdirección de Gestión Corporativa)"/>
    <s v="3550800"/>
    <s v="juan.acosta@idpc.gov.co"/>
    <s v="ME20181110"/>
    <s v="COMP1110"/>
    <s v="CONC1110"/>
    <s v="Incrementar la sostenibilidad del sistema integrado de gestión, para prestar un mejor servicio en la atención a la ciudadanía."/>
    <s v="Personal de apoyo transversal a la gestión institucional"/>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40700000"/>
    <m/>
    <m/>
    <m/>
    <n v="40700000"/>
    <m/>
    <m/>
    <m/>
    <m/>
    <m/>
    <n v="40700000"/>
    <m/>
    <m/>
    <m/>
    <n v="0"/>
    <m/>
    <n v="1"/>
    <m/>
    <m/>
    <m/>
    <m/>
    <m/>
    <m/>
    <m/>
    <m/>
    <m/>
    <m/>
    <m/>
    <m/>
    <m/>
    <m/>
    <n v="0"/>
    <n v="0"/>
    <m/>
  </r>
  <r>
    <n v="125"/>
    <n v="125"/>
    <b v="0"/>
    <s v="Sí"/>
    <s v="1110. Fortalecimiento y desarrollo de la gestión institucional"/>
    <s v="3-3-1-15-07-42-1110-185"/>
    <s v="76111500;90101700;72102103;"/>
    <s v="Contratar la prestación del servicio integral de aseo, cafetería y fumigación, incluidos los insumos, para las sedes del Instituto Distrital de Patrimonio Cultural."/>
    <s v="(Cód. 125) Contratar la prestación del servicio integral de aseo, cafetería y fumigación, incluidos los insumos, para las sedes del Instituto Distrital de Patrimonio Cultural."/>
    <d v="2019-02-05T00:00:00"/>
    <n v="10"/>
    <d v="2019-02-19T00:00:00"/>
    <x v="0"/>
    <n v="2"/>
    <n v="2"/>
    <n v="10"/>
    <n v="1"/>
    <s v="Acuerdo marco de precios"/>
    <s v="CCE-99"/>
    <n v="0"/>
    <s v="Aseo y cafetería"/>
    <s v="aseo "/>
    <n v="170000000"/>
    <n v="170000000"/>
    <n v="0"/>
    <n v="0"/>
    <s v="ASESORA JURIDICA"/>
    <s v="CO-DC-11001"/>
    <s v="Juan Fernando Acosta Mirkow (Subdirección de Gestión Corporativa)"/>
    <s v="3550800"/>
    <s v="juan.acosta@idpc.gov.co"/>
    <s v="ME20181110"/>
    <s v="COMP1110"/>
    <s v="CONC1110"/>
    <s v="Mantener las sedes misionales a cargo de la entidad"/>
    <s v="Administración y mantenimiento de escenarios culturales"/>
    <s v="10. Procesos articulados dentro del sistema integrado de gestión."/>
    <s v="FONT1110"/>
    <s v="12-Otros Distrito"/>
    <s v="01-INFRAESTRUCTURA"/>
    <s v="03-MEJORAMIENTO Y MANTENIMIENTO DE INFRAESTRUCTURA PROPIA DEL SECTOR"/>
    <s v="0020-Mantenimiento y mejoramiento de la infraestructura cultural"/>
    <n v="1"/>
    <n v="170000000"/>
    <m/>
    <m/>
    <m/>
    <n v="170000000"/>
    <m/>
    <m/>
    <m/>
    <m/>
    <m/>
    <n v="170000000"/>
    <m/>
    <m/>
    <m/>
    <n v="0"/>
    <m/>
    <n v="1"/>
    <m/>
    <m/>
    <m/>
    <m/>
    <m/>
    <m/>
    <m/>
    <m/>
    <m/>
    <m/>
    <m/>
    <m/>
    <m/>
    <m/>
    <n v="0"/>
    <n v="0"/>
    <m/>
  </r>
  <r>
    <n v="126"/>
    <n v="126"/>
    <b v="0"/>
    <s v="Sí"/>
    <s v="1110. Fortalecimiento y desarrollo de la gestión institucional"/>
    <s v="3-3-1-15-07-42-1110-185"/>
    <n v="80111600"/>
    <s v="Prestar servicios de apoyo a la gestión al Instituto Distrital de Patrimonio Cultural brindando atención al público en temas relacionados con los trámites de solicitudes requeridas a la entidad."/>
    <s v="(Cód. 126) Prestar servicios de apoyo a la gestión al Instituto Distrital de Patrimonio Cultural brindando atención al público en temas relacionados con los trámites de solicitudes requeridas a la entidad."/>
    <d v="2019-01-15T00:00:00"/>
    <n v="10"/>
    <d v="2019-01-29T00:00:00"/>
    <x v="1"/>
    <n v="1"/>
    <n v="1"/>
    <n v="11"/>
    <n v="1"/>
    <s v="Contratación directa / Prestación de servicios profesionales y de apoyo a la gestión"/>
    <s v="CCE-16"/>
    <n v="0"/>
    <s v="N.A."/>
    <s v="atención palomar"/>
    <n v="30800000"/>
    <n v="30800000"/>
    <n v="0"/>
    <n v="0"/>
    <s v="ASESORA JURIDICA"/>
    <s v="CO-DC-11001"/>
    <s v="Juan Fernando Acosta Mirkow (Subdirección de Gestión Corporativa)"/>
    <s v="3550800"/>
    <s v="juan.acosta@idpc.gov.co"/>
    <s v="ME20181110"/>
    <s v="COMP1110"/>
    <s v="CONC1110"/>
    <s v="Incrementar la sostenibilidad del sistema integrado de gestión, para prestar un mejor servicio en la atención a la ciudadanía."/>
    <s v="Transparencia y atención a la ciudadanía"/>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30800000"/>
    <m/>
    <m/>
    <m/>
    <n v="30800000"/>
    <m/>
    <m/>
    <m/>
    <m/>
    <m/>
    <n v="30800000"/>
    <m/>
    <m/>
    <m/>
    <n v="0"/>
    <m/>
    <n v="1"/>
    <m/>
    <m/>
    <m/>
    <m/>
    <m/>
    <m/>
    <m/>
    <m/>
    <m/>
    <m/>
    <m/>
    <m/>
    <m/>
    <m/>
    <n v="0"/>
    <n v="0"/>
    <m/>
  </r>
  <r>
    <n v="127"/>
    <n v="127"/>
    <b v="0"/>
    <s v="Sí"/>
    <s v="1110. Fortalecimiento y desarrollo de la gestión institucional"/>
    <s v="3-3-1-15-07-42-1110-185"/>
    <n v="80111600"/>
    <s v="Prestar servicios profesionales al Instituto Distrital de Patrimonio Cultural apoyando la aplicación de la Política Pública Distrital de Servicio a la Ciudadanía y la implementación del Modelo de atención a la ciudadanía de la entidad."/>
    <s v="(Cód. 127) Prestar servicios profesionales al Instituto Distrital de Patrimonio Cultural apoyando la aplicación de la Política Pública Distrital de Servicio a la Ciudadanía y la implementación del Modelo de atención a la ciudadanía de la entidad."/>
    <d v="2019-01-15T00:00:00"/>
    <n v="10"/>
    <d v="2019-01-29T00:00:00"/>
    <x v="1"/>
    <n v="1"/>
    <n v="1"/>
    <n v="11"/>
    <n v="1"/>
    <s v="Contratación directa / Prestación de servicios profesionales y de apoyo a la gestión"/>
    <s v="CCE-16"/>
    <n v="0"/>
    <s v="N.A."/>
    <s v="Camila Acero"/>
    <n v="40700000"/>
    <n v="40700000"/>
    <n v="0"/>
    <n v="0"/>
    <s v="ASESORA JURIDICA"/>
    <s v="CO-DC-11001"/>
    <s v="Juan Fernando Acosta Mirkow (Subdirección de Gestión Corporativa)"/>
    <s v="3550800"/>
    <s v="juan.acosta@idpc.gov.co"/>
    <s v="ME20181110"/>
    <s v="COMP1110"/>
    <s v="CONC1110"/>
    <s v="Incrementar la sostenibilidad del sistema integrado de gestión, para prestar un mejor servicio en la atención a la ciudadanía."/>
    <s v="Transparencia y atención a la ciudadanía"/>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40700000"/>
    <m/>
    <m/>
    <m/>
    <n v="40700000"/>
    <m/>
    <m/>
    <m/>
    <m/>
    <m/>
    <n v="40700000"/>
    <m/>
    <m/>
    <m/>
    <n v="0"/>
    <m/>
    <n v="1"/>
    <m/>
    <m/>
    <m/>
    <m/>
    <m/>
    <m/>
    <m/>
    <m/>
    <m/>
    <m/>
    <m/>
    <m/>
    <m/>
    <m/>
    <n v="0"/>
    <n v="0"/>
    <m/>
  </r>
  <r>
    <n v="128"/>
    <n v="128"/>
    <b v="0"/>
    <s v="Sí"/>
    <s v="1110. Fortalecimiento y desarrollo de la gestión institucional"/>
    <s v="3-3-1-15-07-42-1110-185"/>
    <n v="80111600"/>
    <s v="Prestar servicios de apoyo a la gestión al Instituto Distrital de Patrimonio Cultural en la realización de las actividades de comunicación de la Subdirección de Gestión Corporativa."/>
    <s v="(Cód. 128) Prestar servicios de apoyo a la gestión al Instituto Distrital de Patrimonio Cultural en la realización de las actividades de comunicación de la Subdirección de Gestión Corporativa."/>
    <d v="2019-01-15T00:00:00"/>
    <n v="10"/>
    <d v="2019-01-29T00:00:00"/>
    <x v="1"/>
    <n v="1"/>
    <n v="1"/>
    <n v="11"/>
    <n v="1"/>
    <s v="Contratación directa / Prestación de servicios profesionales y de apoyo a la gestión"/>
    <s v="CCE-16"/>
    <n v="0"/>
    <s v="N.A."/>
    <s v="Camilo Moreno "/>
    <n v="29480000"/>
    <n v="29480000"/>
    <n v="0"/>
    <n v="0"/>
    <s v="ASESORA JURIDICA"/>
    <s v="CO-DC-11001"/>
    <s v="Juan Fernando Acosta Mirkow (Subdirección de Gestión Corporativa)"/>
    <s v="3550800"/>
    <s v="juan.acosta@idpc.gov.co"/>
    <s v="ME20181110"/>
    <s v="COMP1110"/>
    <s v="CONC1110"/>
    <s v="Incrementar la sostenibilidad del sistema integrado de gestión, para prestar un mejor servicio en la atención a la ciudadanía."/>
    <s v="Personal de apoyo transversal a la gestión institucional"/>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29480000"/>
    <m/>
    <m/>
    <m/>
    <n v="29480000"/>
    <m/>
    <m/>
    <m/>
    <m/>
    <m/>
    <n v="29480000"/>
    <m/>
    <m/>
    <m/>
    <n v="0"/>
    <m/>
    <n v="1"/>
    <m/>
    <m/>
    <m/>
    <m/>
    <m/>
    <m/>
    <m/>
    <m/>
    <m/>
    <m/>
    <m/>
    <m/>
    <m/>
    <m/>
    <n v="0"/>
    <n v="0"/>
    <m/>
  </r>
  <r>
    <n v="129"/>
    <n v="129"/>
    <b v="0"/>
    <s v="Sí"/>
    <s v="1110. Fortalecimiento y desarrollo de la gestión institucional"/>
    <s v="3-3-1-15-07-42-1110-185"/>
    <n v="80111600"/>
    <s v="Prestar servicios profesionales al Instituto Distrital de Patrimonio Cultural para apoyar la implementación de políticas y acciones para el mantenimiento y mejora del Sistema Integrado de Gestión en el marco del Modelo Integrado de Planeación y Gestión - MIPG."/>
    <s v="(Cód. 129) Prestar servicios profesionales al Instituto Distrital de Patrimonio Cultural para apoyar la implementación de políticas y acciones para el mantenimiento y mejora del Sistema Integrado de Gestión en el marco del Modelo Integrado de Planeación y Gestión - MIPG."/>
    <d v="2019-01-15T00:00:00"/>
    <n v="10"/>
    <d v="2019-01-29T00:00:00"/>
    <x v="1"/>
    <n v="1"/>
    <n v="1"/>
    <n v="3"/>
    <n v="1"/>
    <s v="Contratación directa / Prestación de servicios profesionales y de apoyo a la gestión"/>
    <s v="CCE-16"/>
    <n v="0"/>
    <s v="N.A."/>
    <s v="CARLOS HERNANDO SANDOVAL MORA"/>
    <n v="14640000"/>
    <n v="14640000"/>
    <n v="0"/>
    <n v="0"/>
    <s v="ASESORA JURIDICA"/>
    <s v="CO-DC-11001"/>
    <s v="María Victoria Villamil Páez (Subdirección General)"/>
    <s v="3550800"/>
    <s v="maria.villamil@idpc.gov.co"/>
    <s v="ME20181110"/>
    <s v="COMP1110"/>
    <s v="CONC1110"/>
    <s v="Incrementar la sostenibilidad del sistema integrado de gestión, para prestar un mejor servicio en la atención a la ciudadanía."/>
    <s v="Fortalecimiento de los subsistemas del sistema integrado de gestión"/>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14640000"/>
    <m/>
    <m/>
    <m/>
    <n v="14640000"/>
    <m/>
    <m/>
    <m/>
    <m/>
    <m/>
    <n v="14640000"/>
    <m/>
    <m/>
    <m/>
    <n v="0"/>
    <m/>
    <n v="1"/>
    <m/>
    <m/>
    <m/>
    <m/>
    <m/>
    <m/>
    <m/>
    <m/>
    <m/>
    <m/>
    <m/>
    <m/>
    <m/>
    <m/>
    <n v="0"/>
    <n v="0"/>
    <m/>
  </r>
  <r>
    <n v="130"/>
    <n v="130"/>
    <b v="0"/>
    <s v="Sí"/>
    <s v="1110. Fortalecimiento y desarrollo de la gestión institucional"/>
    <s v="3-3-1-15-07-42-1110-185"/>
    <n v="80111600"/>
    <s v="Prestar servicios profesionales al Instituto Distrital de Patrimonio Cultural para apoyar la implementación de políticas y acciones para el mantenimiento y mejora del Sistema Integrado de Gestión en el marco del Modelo Integrado de Planeación y Gestión - MIPG."/>
    <s v="(Cód. 130) Prestar servicios profesionales al Instituto Distrital de Patrimonio Cultural para apoyar la implementación de políticas y acciones para el mantenimiento y mejora del Sistema Integrado de Gestión en el marco del Modelo Integrado de Planeación y Gestión - MIPG."/>
    <d v="2019-03-09T00:00:00"/>
    <n v="10"/>
    <d v="2019-03-22T00:00:00"/>
    <x v="5"/>
    <n v="3"/>
    <n v="3"/>
    <n v="8"/>
    <n v="1"/>
    <s v="Contratación directa / Prestación de servicios profesionales y de apoyo a la gestión"/>
    <s v="CCE-16"/>
    <n v="0"/>
    <s v="N.A."/>
    <s v="CARLOS HERNANDO SANDOVAL MORA"/>
    <n v="39040000"/>
    <n v="39040000"/>
    <n v="0"/>
    <n v="0"/>
    <s v="ASESORA JURIDICA"/>
    <s v="CO-DC-11001"/>
    <s v="María Victoria Villamil Páez (Subdirección General)"/>
    <s v="3550800"/>
    <s v="maria.villamil@idpc.gov.co"/>
    <s v="ME20181110"/>
    <s v="COMP1110"/>
    <s v="CONC1110"/>
    <s v="Incrementar la sostenibilidad del sistema integrado de gestión, para prestar un mejor servicio en la atención a la ciudadanía."/>
    <s v="Fortalecimiento de los subsistemas del sistema integrado de gestión"/>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39040000"/>
    <m/>
    <m/>
    <m/>
    <n v="39040000"/>
    <m/>
    <m/>
    <m/>
    <m/>
    <m/>
    <n v="39040000"/>
    <m/>
    <m/>
    <m/>
    <n v="0"/>
    <m/>
    <n v="1"/>
    <m/>
    <m/>
    <m/>
    <m/>
    <m/>
    <m/>
    <m/>
    <m/>
    <m/>
    <m/>
    <m/>
    <m/>
    <m/>
    <m/>
    <n v="0"/>
    <n v="0"/>
    <m/>
  </r>
  <r>
    <n v="131"/>
    <n v="131"/>
    <b v="0"/>
    <s v="Sí"/>
    <s v="1110. Fortalecimiento y desarrollo de la gestión institucional"/>
    <s v="3-3-1-15-07-42-1110-185"/>
    <n v="80111600"/>
    <s v="Prestar servicios profesionales al Instituto Distrital de Patrimonio Cultural para apoyar las actividades relacionadas con la adquisición, actualización y mantenimiento de los sistemas de información e infraestructura tecnológica y las acciones de fortalecimiento e implementación de la estrategia de Gobierno en Línea. "/>
    <s v="(Cód. 131) Prestar servicios profesionales al Instituto Distrital de Patrimonio Cultural para apoyar las actividades relacionadas con la adquisición, actualización y mantenimiento de los sistemas de información e infraestructura tecnológica y las acciones de fortalecimiento e implementación de la estrategia de Gobierno en Línea. "/>
    <d v="2019-01-15T00:00:00"/>
    <n v="10"/>
    <d v="2019-01-29T00:00:00"/>
    <x v="1"/>
    <n v="1"/>
    <n v="1"/>
    <n v="11"/>
    <n v="1"/>
    <s v="Contratación directa / Prestación de servicios profesionales y de apoyo a la gestión"/>
    <s v="CCE-16"/>
    <n v="0"/>
    <s v="N.A."/>
    <s v="Carlos Yusty"/>
    <n v="62370000"/>
    <n v="62370000"/>
    <n v="0"/>
    <n v="0"/>
    <s v="ASESORA JURIDICA"/>
    <s v="CO-DC-11001"/>
    <s v="Juan Fernando Acosta Mirkow (Subdirección de Gestión Corporativa)"/>
    <s v="3550800"/>
    <s v="juan.acosta@idpc.gov.co"/>
    <s v="ME20181110"/>
    <s v="COMP1110"/>
    <s v="CONC1110"/>
    <s v="Incrementar la sostenibilidad del sistema integrado de gestión, para prestar un mejor servicio en la atención a la ciudadanía."/>
    <s v="Desarrollar actividades de comunicación e información"/>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62370000"/>
    <m/>
    <m/>
    <m/>
    <n v="62370000"/>
    <m/>
    <m/>
    <m/>
    <m/>
    <m/>
    <n v="62370000"/>
    <m/>
    <m/>
    <m/>
    <n v="0"/>
    <m/>
    <n v="1"/>
    <m/>
    <m/>
    <m/>
    <m/>
    <m/>
    <m/>
    <m/>
    <m/>
    <m/>
    <m/>
    <m/>
    <m/>
    <m/>
    <m/>
    <n v="0"/>
    <n v="0"/>
    <m/>
  </r>
  <r>
    <n v="132"/>
    <n v="132"/>
    <b v="0"/>
    <s v="Sí"/>
    <s v="1110. Fortalecimiento y desarrollo de la gestión institucional"/>
    <s v="3-3-1-15-07-42-1110-185"/>
    <s v="44121600;44121700;44110000;44122000;"/>
    <s v="Suministro de papelería, elementos de oficina, útiles escolares y material fungible requeridos para el desarrollo administrativo y misional del Instituto Distrital de Patrimonio Cultural."/>
    <s v="(Cód. 132) Suministro de papelería, elementos de oficina, útiles escolares y material fungible requeridos para el desarrollo administrativo y misional del Instituto Distrital de Patrimonio Cultural."/>
    <d v="2019-03-15T00:00:00"/>
    <n v="45"/>
    <d v="2019-05-17T00:00:00"/>
    <x v="3"/>
    <n v="3"/>
    <n v="3"/>
    <n v="10"/>
    <n v="1"/>
    <s v="Subasta inversa"/>
    <s v="CCE-07"/>
    <n v="0"/>
    <s v="Papelería"/>
    <s v="CARPETAS "/>
    <n v="6000000"/>
    <n v="6000000"/>
    <n v="0"/>
    <n v="0"/>
    <s v="ASESORA JURIDICA"/>
    <s v="CO-DC-11001"/>
    <s v="María Victoria Villamil Páez (Subdirección General)"/>
    <s v="3550800"/>
    <s v="maria.villamil@idpc.gov.co"/>
    <s v="ME20181110"/>
    <s v="COMP1110"/>
    <s v="CONC1110"/>
    <s v="Incrementar la sostenibilidad del sistema integrado de gestión, para prestar un mejor servicio en la atención a la ciudadanía."/>
    <s v="Adquisición de equipos, materiales y suministros"/>
    <s v="10. Procesos articulados dentro del sistema integrado de gestión."/>
    <s v="FONT1110"/>
    <s v="12-Otros Distrito"/>
    <s v="02-DOTACION"/>
    <s v="03-ADQUISICIÓN DE EQUIPOS, MATERIALES, SUMINISTROS Y SERVICIOS ADMISTRATIVOS"/>
    <s v="0114-Adquisición de Equipos, materiales, suministros"/>
    <n v="0"/>
    <n v="6000000"/>
    <m/>
    <m/>
    <m/>
    <n v="6000000"/>
    <m/>
    <m/>
    <m/>
    <m/>
    <m/>
    <n v="6000000"/>
    <m/>
    <m/>
    <m/>
    <n v="0"/>
    <m/>
    <n v="1"/>
    <m/>
    <m/>
    <m/>
    <m/>
    <m/>
    <m/>
    <m/>
    <m/>
    <m/>
    <m/>
    <m/>
    <m/>
    <m/>
    <m/>
    <n v="0"/>
    <n v="0"/>
    <m/>
  </r>
  <r>
    <n v="133"/>
    <n v="133"/>
    <b v="0"/>
    <s v="Sí"/>
    <s v="1110. Fortalecimiento y desarrollo de la gestión institucional"/>
    <s v="3-3-1-15-07-42-1110-185"/>
    <n v="80111600"/>
    <s v="Prestar servicios profesionales al Instituto Distrital de Patrimonio Cultural orientando la implementación de la Ley de Transparencia y del Derecho de Acceso a la Información Pública y la Política Pública Distrital de Servicio a la Ciudadanía."/>
    <s v="(Cód. 133) Prestar servicios profesionales al Instituto Distrital de Patrimonio Cultural orientando la implementación de la Ley de Transparencia y del Derecho de Acceso a la Información Pública y la Política Pública Distrital de Servicio a la Ciudadanía."/>
    <d v="2019-01-15T00:00:00"/>
    <n v="10"/>
    <d v="2019-01-29T00:00:00"/>
    <x v="1"/>
    <n v="1"/>
    <n v="1"/>
    <n v="11"/>
    <n v="1"/>
    <s v="Contratación directa / Prestación de servicios profesionales y de apoyo a la gestión"/>
    <s v="CCE-16"/>
    <n v="0"/>
    <s v="N.A."/>
    <s v="Catalina Nagy"/>
    <n v="94820000"/>
    <n v="94820000"/>
    <n v="0"/>
    <n v="0"/>
    <s v="ASESORA JURIDICA"/>
    <s v="CO-DC-11001"/>
    <s v="Juan Fernando Acosta Mirkow (Subdirección de Gestión Corporativa)"/>
    <s v="3550800"/>
    <s v="juan.acosta@idpc.gov.co"/>
    <s v="ME20181110"/>
    <s v="COMP1110"/>
    <s v="CONC1110"/>
    <s v="Incrementar la sostenibilidad del sistema integrado de gestión, para prestar un mejor servicio en la atención a la ciudadanía."/>
    <s v="Transparencia y atención a la ciudadanía"/>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94820000"/>
    <m/>
    <m/>
    <m/>
    <n v="94820000"/>
    <m/>
    <m/>
    <m/>
    <m/>
    <m/>
    <n v="94820000"/>
    <m/>
    <m/>
    <m/>
    <n v="0"/>
    <m/>
    <n v="1"/>
    <m/>
    <m/>
    <m/>
    <m/>
    <m/>
    <m/>
    <m/>
    <m/>
    <m/>
    <m/>
    <m/>
    <m/>
    <m/>
    <m/>
    <n v="0"/>
    <n v="0"/>
    <m/>
  </r>
  <r>
    <n v="134"/>
    <n v="134"/>
    <b v="0"/>
    <s v="Sí"/>
    <s v="1110. Fortalecimiento y desarrollo de la gestión institucional"/>
    <s v="3-3-1-15-07-42-1110-185"/>
    <n v="80111600"/>
    <s v="Prestar servicios profesionales al Instituto Distrital de Patrimonio Cultural para dar lineamientos y orientación en la implementación, sostenibilidad y mejora del Sistema Integrado de Gestión en el marco del Modelo Integrado de Planeación y Gestión - MIPG."/>
    <s v="(Cód. 134) Prestar servicios profesionales al Instituto Distrital de Patrimonio Cultural para dar lineamientos y orientación en la implementación, sostenibilidad y mejora del Sistema Integrado de Gestión en el marco del Modelo Integrado de Planeación y Gestión - MIPG."/>
    <d v="2019-01-15T00:00:00"/>
    <n v="10"/>
    <d v="2019-01-29T00:00:00"/>
    <x v="1"/>
    <n v="1"/>
    <n v="1"/>
    <n v="11"/>
    <n v="1"/>
    <s v="Contratación directa / Prestación de servicios profesionales y de apoyo a la gestión"/>
    <s v="CCE-16"/>
    <n v="0"/>
    <s v="N.A."/>
    <s v="CHARLY ALEXANDER ROCIASCO "/>
    <n v="77000000"/>
    <n v="77000000"/>
    <n v="0"/>
    <n v="0"/>
    <s v="ASESORA JURIDICA"/>
    <s v="CO-DC-11001"/>
    <s v="María Victoria Villamil Páez (Subdirección General)"/>
    <s v="3550800"/>
    <s v="maria.villamil@idpc.gov.co"/>
    <s v="ME20181110"/>
    <s v="COMP1110"/>
    <s v="CONC1110"/>
    <s v="Incrementar la sostenibilidad del sistema integrado de gestión, para prestar un mejor servicio en la atención a la ciudadanía."/>
    <s v="Fortalecimiento de los subsistemas del sistema integrado de gestión"/>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77000000"/>
    <m/>
    <m/>
    <m/>
    <n v="77000000"/>
    <m/>
    <m/>
    <m/>
    <m/>
    <m/>
    <n v="77000000"/>
    <m/>
    <m/>
    <m/>
    <n v="0"/>
    <m/>
    <n v="1"/>
    <m/>
    <m/>
    <m/>
    <m/>
    <m/>
    <m/>
    <m/>
    <m/>
    <m/>
    <m/>
    <m/>
    <m/>
    <m/>
    <m/>
    <n v="0"/>
    <n v="0"/>
    <m/>
  </r>
  <r>
    <n v="135"/>
    <n v="135"/>
    <b v="0"/>
    <s v="Sí"/>
    <s v="1110. Fortalecimiento y desarrollo de la gestión institucional"/>
    <s v="3-3-1-15-07-42-1110-185"/>
    <n v="80111600"/>
    <s v="Prestar servicios profesionales al Instituto Distrital de Patrimonio Cultural para apoyar las actividades relacionadas con el SDQS y la atención de PQRS de la entidad."/>
    <s v="(Cód. 135) Prestar servicios profesionales al Instituto Distrital de Patrimonio Cultural para apoyar las actividades relacionadas con el SDQS y la atención de PQRS de la entidad."/>
    <d v="2019-01-15T00:00:00"/>
    <n v="10"/>
    <d v="2019-01-29T00:00:00"/>
    <x v="1"/>
    <n v="1"/>
    <n v="1"/>
    <n v="10"/>
    <n v="1"/>
    <s v="Contratación directa / Prestación de servicios profesionales y de apoyo a la gestión"/>
    <s v="CCE-16"/>
    <n v="0"/>
    <s v="N.A."/>
    <s v="Cindy Orjuela"/>
    <n v="46500000"/>
    <n v="46500000"/>
    <n v="0"/>
    <n v="0"/>
    <s v="ASESORA JURIDICA"/>
    <s v="CO-DC-11001"/>
    <s v="Juan Fernando Acosta Mirkow (Subdirección de Gestión Corporativa)"/>
    <s v="3550800"/>
    <s v="juan.acosta@idpc.gov.co"/>
    <s v="ME20181110"/>
    <s v="COMP1110"/>
    <s v="CONC1110"/>
    <s v="Incrementar la sostenibilidad del sistema integrado de gestión, para prestar un mejor servicio en la atención a la ciudadanía."/>
    <s v="Transparencia y atención a la ciudadanía"/>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46500000"/>
    <m/>
    <m/>
    <m/>
    <n v="46500000"/>
    <m/>
    <m/>
    <m/>
    <m/>
    <m/>
    <n v="46500000"/>
    <m/>
    <m/>
    <m/>
    <n v="0"/>
    <m/>
    <n v="1"/>
    <m/>
    <m/>
    <m/>
    <m/>
    <m/>
    <m/>
    <m/>
    <m/>
    <m/>
    <m/>
    <m/>
    <m/>
    <m/>
    <m/>
    <n v="0"/>
    <n v="0"/>
    <m/>
  </r>
  <r>
    <n v="136"/>
    <n v="136"/>
    <b v="0"/>
    <s v="Sí"/>
    <s v="1110. Fortalecimiento y desarrollo de la gestión institucional"/>
    <s v="3-3-1-15-07-42-1110-185"/>
    <s v="24101508;"/>
    <s v="Compra de estantes rodantes para las cajas de archivo  requeridas para la organización del archivo de gestión  del Instituto Distrital de Patrimonio Cultural"/>
    <s v="(Cód. 136) Compra de estantes rodantes para las cajas de archivo  requeridas para la organización del archivo de gestión  del Instituto Distrital de Patrimonio Cultural"/>
    <d v="2019-01-18T00:00:00"/>
    <n v="45"/>
    <d v="2019-03-22T00:00:00"/>
    <x v="5"/>
    <n v="1"/>
    <n v="1"/>
    <n v="1"/>
    <n v="1"/>
    <s v="Subasta inversa"/>
    <s v="CCE-07"/>
    <n v="0"/>
    <s v="N.A."/>
    <s v="COMPRA ARCHIVADORES "/>
    <n v="50000000"/>
    <n v="50000000"/>
    <n v="0"/>
    <n v="0"/>
    <s v="ASESORA JURIDICA"/>
    <s v="CO-DC-11001"/>
    <s v="María Victoria Villamil Páez (Subdirección General)"/>
    <s v="3550800"/>
    <s v="maria.villamil@idpc.gov.co"/>
    <s v="ME20181110"/>
    <s v="COMP1110"/>
    <s v="CONC1110"/>
    <s v="Mantener las sedes misionales a cargo de la entidad"/>
    <s v="Adquisición de equipos, materiales y suministros"/>
    <s v="10. Procesos articulados dentro del sistema integrado de gestión."/>
    <s v="FONT1110"/>
    <s v="12-Otros Distrito"/>
    <s v="02-DOTACION"/>
    <s v="03-ADQUISICIÓN DE EQUIPOS, MATERIALES, SUMINISTROS Y SERVICIOS ADMISTRATIVOS"/>
    <s v="0114-Adquisición de Equipos, materiales, suministros"/>
    <n v="0"/>
    <n v="50000000"/>
    <m/>
    <m/>
    <m/>
    <n v="50000000"/>
    <m/>
    <m/>
    <m/>
    <m/>
    <m/>
    <n v="50000000"/>
    <m/>
    <m/>
    <m/>
    <n v="0"/>
    <m/>
    <n v="1"/>
    <m/>
    <m/>
    <m/>
    <m/>
    <m/>
    <m/>
    <m/>
    <m/>
    <m/>
    <m/>
    <m/>
    <m/>
    <m/>
    <m/>
    <n v="0"/>
    <n v="0"/>
    <m/>
  </r>
  <r>
    <n v="137"/>
    <n v="137"/>
    <b v="0"/>
    <s v="Sí"/>
    <s v="1110. Fortalecimiento y desarrollo de la gestión institucional"/>
    <s v="3-3-1-15-07-42-1110-185"/>
    <n v="80111600"/>
    <s v="Prestar servicios profesionales al Instituto Distrital de Patrimonio Cultural para la ejecución de las actividades relacionados con el Sistema Integrado de Conservación  en concordancia con la normatividad vigente."/>
    <s v="(Cód. 137) Prestar servicios profesionales al Instituto Distrital de Patrimonio Cultural para la ejecución de las actividades relacionados con el Sistema Integrado de Conservación  en concordancia con la normatividad vigente."/>
    <d v="2019-01-15T00:00:00"/>
    <n v="10"/>
    <d v="2019-01-29T00:00:00"/>
    <x v="1"/>
    <n v="1"/>
    <n v="1"/>
    <n v="7"/>
    <n v="1"/>
    <s v="Contratación directa / Prestación de servicios profesionales y de apoyo a la gestión"/>
    <s v="CCE-16"/>
    <n v="0"/>
    <s v="N.A."/>
    <s v="CONSERVADOR "/>
    <n v="32480000"/>
    <n v="32480000"/>
    <n v="0"/>
    <n v="0"/>
    <s v="ASESORA JURIDICA"/>
    <s v="CO-DC-11001"/>
    <s v="María Victoria Villamil Páez (Subdirección General)"/>
    <s v="3550800"/>
    <s v="maria.villamil@idpc.gov.co"/>
    <s v="ME20181110"/>
    <s v="COMP1110"/>
    <s v="CONC1110"/>
    <s v="Incrementar la sostenibilidad del sistema integrado de gestión, para prestar un mejor servicio en la atención a la ciudadanía."/>
    <s v="Fortalecimiento de los subsistemas del sistema integrado de gestión"/>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32480000"/>
    <m/>
    <m/>
    <m/>
    <n v="32480000"/>
    <m/>
    <m/>
    <m/>
    <m/>
    <m/>
    <n v="32480000"/>
    <m/>
    <m/>
    <m/>
    <n v="0"/>
    <m/>
    <n v="1"/>
    <m/>
    <m/>
    <m/>
    <m/>
    <m/>
    <m/>
    <m/>
    <m/>
    <m/>
    <m/>
    <m/>
    <m/>
    <m/>
    <m/>
    <n v="0"/>
    <n v="0"/>
    <m/>
  </r>
  <r>
    <n v="138"/>
    <n v="138"/>
    <b v="0"/>
    <s v="Sí"/>
    <s v="1110. Fortalecimiento y desarrollo de la gestión institucional"/>
    <s v="3-3-1-15-07-42-1110-185"/>
    <n v="80111600"/>
    <s v="Prestar servicios profesionales al Instituto Distrital de Patrimonio Cultural para apoyar la formulación e implementación de políticas y acciones que promuevan la sostenibilidad del Sistema Integrado de Gestión en el marco del Modelo Integrado de Planeación y Gestión - MIPG."/>
    <s v="(Cód. 138) Prestar servicios profesionales al Instituto Distrital de Patrimonio Cultural para apoyar la formulación e implementación de políticas y acciones que promuevan la sostenibilidad del Sistema Integrado de Gestión en el marco del Modelo Integrado de Planeación y Gestión - MIPG."/>
    <d v="2019-01-15T00:00:00"/>
    <n v="10"/>
    <d v="2019-01-29T00:00:00"/>
    <x v="1"/>
    <n v="1"/>
    <n v="1"/>
    <n v="3"/>
    <n v="1"/>
    <s v="Contratación directa / Prestación de servicios profesionales y de apoyo a la gestión"/>
    <s v="CCE-16"/>
    <n v="0"/>
    <s v="N.A."/>
    <s v="CRISTIAN STEPH VELASQUEZ ALEJO"/>
    <n v="15720000"/>
    <n v="15720000"/>
    <n v="0"/>
    <n v="0"/>
    <s v="ASESORA JURIDICA"/>
    <s v="CO-DC-11001"/>
    <s v="María Victoria Villamil Páez (Subdirección General)"/>
    <s v="3550800"/>
    <s v="maria.villamil@idpc.gov.co"/>
    <s v="ME20181110"/>
    <s v="COMP1110"/>
    <s v="CONC1110"/>
    <s v="Incrementar la sostenibilidad del sistema integrado de gestión, para prestar un mejor servicio en la atención a la ciudadanía."/>
    <s v="Fortalecimiento de los subsistemas del sistema integrado de gestión"/>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15720000"/>
    <m/>
    <m/>
    <m/>
    <n v="15720000"/>
    <m/>
    <m/>
    <m/>
    <m/>
    <m/>
    <n v="15720000"/>
    <m/>
    <m/>
    <m/>
    <n v="0"/>
    <m/>
    <n v="1"/>
    <m/>
    <m/>
    <m/>
    <m/>
    <m/>
    <m/>
    <m/>
    <m/>
    <m/>
    <m/>
    <m/>
    <m/>
    <m/>
    <m/>
    <n v="0"/>
    <n v="0"/>
    <m/>
  </r>
  <r>
    <n v="139"/>
    <n v="139"/>
    <b v="0"/>
    <s v="Sí"/>
    <s v="1110. Fortalecimiento y desarrollo de la gestión institucional"/>
    <s v="3-3-1-15-07-42-1110-185"/>
    <n v="80111600"/>
    <s v="Prestar servicios profesionales al Instituto Distrital de Patrimonio Cultural para apoyar la formulación e implementación de políticas y acciones que promuevan la sostenibilidad del Sistema Integrado de Gestión en el marco del Modelo Integrado de Planeación y Gestión - MIPG."/>
    <s v="(Cód. 139) Prestar servicios profesionales al Instituto Distrital de Patrimonio Cultural para apoyar la formulación e implementación de políticas y acciones que promuevan la sostenibilidad del Sistema Integrado de Gestión en el marco del Modelo Integrado de Planeación y Gestión - MIPG."/>
    <d v="2019-03-09T00:00:00"/>
    <n v="10"/>
    <d v="2019-03-22T00:00:00"/>
    <x v="5"/>
    <n v="3"/>
    <n v="3"/>
    <n v="8"/>
    <n v="1"/>
    <s v="Contratación directa / Prestación de servicios profesionales y de apoyo a la gestión"/>
    <s v="CCE-16"/>
    <n v="0"/>
    <s v="N.A."/>
    <s v="CRISTIAN STEPH VELASQUEZ ALEJO"/>
    <n v="41920000"/>
    <n v="41920000"/>
    <n v="0"/>
    <n v="0"/>
    <s v="ASESORA JURIDICA"/>
    <s v="CO-DC-11001"/>
    <s v="María Victoria Villamil Páez (Subdirección General)"/>
    <s v="3550800"/>
    <s v="maria.villamil@idpc.gov.co"/>
    <s v="ME20181110"/>
    <s v="COMP1110"/>
    <s v="CONC1110"/>
    <s v="Incrementar la sostenibilidad del sistema integrado de gestión, para prestar un mejor servicio en la atención a la ciudadanía."/>
    <s v="Fortalecimiento de los subsistemas del sistema integrado de gestión"/>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41920000"/>
    <m/>
    <m/>
    <m/>
    <n v="41920000"/>
    <m/>
    <m/>
    <m/>
    <m/>
    <m/>
    <n v="41920000"/>
    <m/>
    <m/>
    <m/>
    <n v="0"/>
    <m/>
    <n v="1"/>
    <m/>
    <m/>
    <m/>
    <m/>
    <m/>
    <m/>
    <m/>
    <m/>
    <m/>
    <m/>
    <m/>
    <m/>
    <m/>
    <m/>
    <n v="0"/>
    <n v="0"/>
    <m/>
  </r>
  <r>
    <n v="140"/>
    <n v="140"/>
    <b v="0"/>
    <s v="Sí"/>
    <s v="1110. Fortalecimiento y desarrollo de la gestión institucional"/>
    <s v="3-3-1-15-07-42-1110-185"/>
    <n v="80111600"/>
    <s v="Prestación de servicios profesionales especializados al Instituto Distrital de Patrimonio Cultural para apoyar el cumplimiento de las actividades relacionadas con las responsabilidades financieras, presupuestales, contables, tributarias, contractuales y de control de la entidad."/>
    <s v="(Cód. 140) Prestación de servicios profesionales especializados al Instituto Distrital de Patrimonio Cultural para apoyar el cumplimiento de las actividades relacionadas con las responsabilidades financieras, presupuestales, contables, tributarias, contractuales y de control de la entidad."/>
    <d v="2019-01-15T00:00:00"/>
    <n v="10"/>
    <d v="2019-01-29T00:00:00"/>
    <x v="1"/>
    <n v="1"/>
    <n v="1"/>
    <n v="11"/>
    <n v="1"/>
    <s v="Contratación directa / Prestación de servicios profesionales y de apoyo a la gestión"/>
    <s v="CCE-16"/>
    <n v="0"/>
    <s v="N.A."/>
    <s v="Cristina Salinas"/>
    <n v="56650000"/>
    <n v="56650000"/>
    <n v="0"/>
    <n v="0"/>
    <s v="ASESORA JURIDICA"/>
    <s v="CO-DC-11001"/>
    <s v="Juan Fernando Acosta Mirkow (Subdirección de Gestión Corporativa)"/>
    <s v="3550800"/>
    <s v="juan.acosta@idpc.gov.co"/>
    <s v="ME20181110"/>
    <s v="COMP1110"/>
    <s v="CONC1110"/>
    <s v="Incrementar la sostenibilidad del sistema integrado de gestión, para prestar un mejor servicio en la atención a la ciudadanía."/>
    <s v="Personal de apoyo transversal a la gestión institucional"/>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56650000"/>
    <m/>
    <m/>
    <m/>
    <n v="56650000"/>
    <m/>
    <m/>
    <m/>
    <m/>
    <m/>
    <n v="56650000"/>
    <m/>
    <m/>
    <m/>
    <n v="0"/>
    <m/>
    <n v="1"/>
    <m/>
    <m/>
    <m/>
    <m/>
    <m/>
    <m/>
    <m/>
    <m/>
    <m/>
    <m/>
    <m/>
    <m/>
    <m/>
    <m/>
    <n v="0"/>
    <n v="0"/>
    <m/>
  </r>
  <r>
    <n v="141"/>
    <n v="141"/>
    <b v="0"/>
    <s v="Sí"/>
    <s v="1110. Fortalecimiento y desarrollo de la gestión institucional"/>
    <s v="3-3-1-15-07-42-1110-185"/>
    <n v="80111600"/>
    <s v="Prestar servicios profesionales al Instituto Distrital de Patrimonio Cultural para apoyar a la Asesoría Jurídica o quien haga sus veces, en los procesos de selección sin límite de cuantía, en las etapas precontractual, contractual y post-contractual."/>
    <s v="(Cód. 141) Prestar servicios profesionales al Instituto Distrital de Patrimonio Cultural para apoyar a la Asesoría Jurídica o quien haga sus veces, en los procesos de selección sin límite de cuantía, en las etapas precontractual, contractual y post-contractual."/>
    <d v="2019-01-15T00:00:00"/>
    <n v="10"/>
    <d v="2019-01-29T00:00:00"/>
    <x v="1"/>
    <n v="1"/>
    <n v="1"/>
    <n v="11"/>
    <n v="1"/>
    <s v="Contratación directa / Prestación de servicios profesionales y de apoyo a la gestión"/>
    <s v="CCE-16"/>
    <n v="0"/>
    <s v="N.A."/>
    <s v="DANIEL ROJAS"/>
    <n v="71390000"/>
    <n v="71390000"/>
    <n v="0"/>
    <n v="0"/>
    <s v="ASESORA JURIDICA"/>
    <s v="CO-DC-11001"/>
    <s v="Juan Fernando Acosta Mirkow (Subdirección de Gestión Corporativa)"/>
    <s v="3550800"/>
    <s v="juan.acosta@idpc.gov.co"/>
    <s v="ME20181110"/>
    <s v="COMP1110"/>
    <s v="CONC1110"/>
    <s v="Incrementar la sostenibilidad del sistema integrado de gestión, para prestar un mejor servicio en la atención a la ciudadanía."/>
    <s v="Personal de apoyo transversal a la gestión institucional"/>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71390000"/>
    <m/>
    <m/>
    <m/>
    <n v="71390000"/>
    <m/>
    <m/>
    <m/>
    <m/>
    <m/>
    <n v="71390000"/>
    <m/>
    <m/>
    <m/>
    <n v="0"/>
    <m/>
    <n v="1"/>
    <m/>
    <m/>
    <m/>
    <m/>
    <m/>
    <m/>
    <m/>
    <m/>
    <m/>
    <m/>
    <m/>
    <m/>
    <m/>
    <m/>
    <n v="0"/>
    <n v="0"/>
    <m/>
  </r>
  <r>
    <n v="142"/>
    <n v="142"/>
    <b v="0"/>
    <s v="Sí"/>
    <s v="1110. Fortalecimiento y desarrollo de la gestión institucional"/>
    <s v="3-3-1-15-07-42-1110-185"/>
    <n v="80111600"/>
    <s v="Prestar servicios de apoyo a la gestión al Instituto Distrital de Patrimonio Cultural en las actividades operativas relacionadas con la recepción, organización documental y de correspondencia de la entidad."/>
    <s v="(Cód. 142) Prestar servicios de apoyo a la gestión al Instituto Distrital de Patrimonio Cultural en las actividades operativas relacionadas con la recepción, organización documental y de correspondencia de la entidad."/>
    <d v="2019-01-15T00:00:00"/>
    <n v="10"/>
    <d v="2019-01-29T00:00:00"/>
    <x v="1"/>
    <n v="1"/>
    <n v="1"/>
    <n v="11"/>
    <n v="1"/>
    <s v="Contratación directa / Prestación de servicios profesionales y de apoyo a la gestión"/>
    <s v="CCE-16"/>
    <n v="0"/>
    <s v="N.A."/>
    <s v="Danilo Sanchez"/>
    <n v="33990000"/>
    <n v="33990000"/>
    <n v="0"/>
    <n v="0"/>
    <s v="ASESORA JURIDICA"/>
    <s v="CO-DC-11001"/>
    <s v="Juan Fernando Acosta Mirkow (Subdirección de Gestión Corporativa)"/>
    <s v="3550800"/>
    <s v="juan.acosta@idpc.gov.co"/>
    <s v="ME20181110"/>
    <s v="COMP1110"/>
    <s v="CONC1110"/>
    <s v="Incrementar la sostenibilidad del sistema integrado de gestión, para prestar un mejor servicio en la atención a la ciudadanía."/>
    <s v="Personal de apoyo transversal a la gestión institucional"/>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33990000"/>
    <m/>
    <m/>
    <m/>
    <n v="33990000"/>
    <m/>
    <m/>
    <m/>
    <m/>
    <m/>
    <n v="33990000"/>
    <m/>
    <m/>
    <m/>
    <n v="0"/>
    <m/>
    <n v="1"/>
    <m/>
    <m/>
    <m/>
    <m/>
    <m/>
    <m/>
    <m/>
    <m/>
    <m/>
    <m/>
    <m/>
    <m/>
    <m/>
    <m/>
    <n v="0"/>
    <n v="0"/>
    <m/>
  </r>
  <r>
    <n v="143"/>
    <n v="143"/>
    <b v="0"/>
    <s v="Sí"/>
    <s v="1110. Fortalecimiento y desarrollo de la gestión institucional"/>
    <s v="3-3-1-15-07-42-1110-185"/>
    <n v="80111600"/>
    <s v="Prestar servicios de apoyo a la gestión al Instituto Distrital de Patrimonio Cultural para orientar las acciones de préstamos, consultas y organización de los archivos de la entidad. "/>
    <s v="(Cód. 143) Prestar servicios de apoyo a la gestión al Instituto Distrital de Patrimonio Cultural para orientar las acciones de préstamos, consultas y organización de los archivos de la entidad. "/>
    <d v="2019-01-15T00:00:00"/>
    <n v="10"/>
    <d v="2019-01-29T00:00:00"/>
    <x v="1"/>
    <n v="1"/>
    <n v="1"/>
    <n v="11"/>
    <n v="1"/>
    <s v="Contratación directa / Prestación de servicios profesionales y de apoyo a la gestión"/>
    <s v="CCE-16"/>
    <n v="0"/>
    <s v="N.A."/>
    <s v="DARIO FERDEY YAIMA TOCANCIPA"/>
    <n v="31020000"/>
    <n v="31020000"/>
    <n v="0"/>
    <n v="0"/>
    <s v="ASESORA JURIDICA"/>
    <s v="CO-DC-11001"/>
    <s v="María Victoria Villamil Páez (Subdirección General)"/>
    <s v="3550800"/>
    <s v="maria.villamil@idpc.gov.co"/>
    <s v="ME20181110"/>
    <s v="COMP1110"/>
    <s v="CONC1110"/>
    <s v="Incrementar la sostenibilidad del sistema integrado de gestión, para prestar un mejor servicio en la atención a la ciudadanía."/>
    <s v="Fortalecimiento de los subsistemas del sistema integrado de gestión"/>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31020000"/>
    <m/>
    <m/>
    <m/>
    <n v="31020000"/>
    <m/>
    <m/>
    <m/>
    <m/>
    <m/>
    <n v="31020000"/>
    <m/>
    <m/>
    <m/>
    <n v="0"/>
    <m/>
    <n v="1"/>
    <m/>
    <m/>
    <m/>
    <m/>
    <m/>
    <m/>
    <m/>
    <m/>
    <m/>
    <m/>
    <m/>
    <m/>
    <m/>
    <m/>
    <n v="0"/>
    <n v="0"/>
    <m/>
  </r>
  <r>
    <n v="144"/>
    <n v="144"/>
    <b v="0"/>
    <s v="Sí"/>
    <s v="1110. Fortalecimiento y desarrollo de la gestión institucional"/>
    <s v="3-3-1-15-07-42-1110-185"/>
    <n v="80111600"/>
    <s v="Prestar servicios profesionales al Instituto Distrital de Patrimonio Cultural para el apoyo jurídico que requiera la entidad en las etapas precontractual, contractual y post-contractual."/>
    <s v="(Cód. 144) Prestar servicios profesionales al Instituto Distrital de Patrimonio Cultural para el apoyo jurídico que requiera la entidad en las etapas precontractual, contractual y post-contractual."/>
    <d v="2019-01-15T00:00:00"/>
    <n v="10"/>
    <d v="2019-01-29T00:00:00"/>
    <x v="1"/>
    <n v="1"/>
    <n v="1"/>
    <n v="11"/>
    <n v="1"/>
    <s v="Contratación directa / Prestación de servicios profesionales y de apoyo a la gestión"/>
    <s v="CCE-16"/>
    <n v="0"/>
    <s v="N.A."/>
    <s v="David Wilches"/>
    <n v="60060000"/>
    <n v="60060000"/>
    <n v="0"/>
    <n v="0"/>
    <s v="ASESORA JURIDICA"/>
    <s v="CO-DC-11001"/>
    <s v="Juan Fernando Acosta Mirkow (Subdirección de Gestión Corporativa)"/>
    <s v="3550800"/>
    <s v="juan.acosta@idpc.gov.co"/>
    <s v="ME20181110"/>
    <s v="COMP1110"/>
    <s v="CONC1110"/>
    <s v="Incrementar la sostenibilidad del sistema integrado de gestión, para prestar un mejor servicio en la atención a la ciudadanía."/>
    <s v="Personal de apoyo transversal a la gestión institucional"/>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60060000"/>
    <m/>
    <m/>
    <m/>
    <n v="60060000"/>
    <m/>
    <m/>
    <m/>
    <m/>
    <m/>
    <n v="60060000"/>
    <m/>
    <m/>
    <m/>
    <n v="0"/>
    <m/>
    <n v="1"/>
    <m/>
    <m/>
    <m/>
    <m/>
    <m/>
    <m/>
    <m/>
    <m/>
    <m/>
    <m/>
    <m/>
    <m/>
    <m/>
    <m/>
    <n v="0"/>
    <n v="0"/>
    <m/>
  </r>
  <r>
    <n v="145"/>
    <n v="145"/>
    <b v="0"/>
    <s v="Sí"/>
    <s v="1110. Fortalecimiento y desarrollo de la gestión institucional"/>
    <s v="3-3-1-15-07-42-1110-185"/>
    <n v="80111600"/>
    <s v="Prestar servicios profesionales al Instituto Distrital de Patrimonio Cultural para apoyar a la Asesoría Jurídica o quien haga sus veces, en las actividades propias de sus funciones, especialmente las relacionadas con la etapa post-contractual."/>
    <s v="(Cód. 145) Prestar servicios profesionales al Instituto Distrital de Patrimonio Cultural para apoyar a la Asesoría Jurídica o quien haga sus veces, en las actividades propias de sus funciones, especialmente las relacionadas con la etapa post-contractual."/>
    <d v="2019-01-15T00:00:00"/>
    <n v="10"/>
    <d v="2019-01-29T00:00:00"/>
    <x v="1"/>
    <n v="1"/>
    <n v="1"/>
    <n v="11"/>
    <n v="1"/>
    <s v="Contratación directa / Prestación de servicios profesionales y de apoyo a la gestión"/>
    <s v="CCE-16"/>
    <n v="0"/>
    <s v="N.A."/>
    <s v="David wilchez"/>
    <n v="60060000"/>
    <n v="60060000"/>
    <n v="0"/>
    <n v="0"/>
    <s v="ASESORA JURIDICA"/>
    <s v="CO-DC-11001"/>
    <s v="Juan Fernando Acosta Mirkow (Subdirección de Gestión Corporativa)"/>
    <s v="3550800"/>
    <s v="juan.acosta@idpc.gov.co"/>
    <s v="ME20181110"/>
    <s v="COMP1110"/>
    <s v="CONC1110"/>
    <s v="Incrementar la sostenibilidad del sistema integrado de gestión, para prestar un mejor servicio en la atención a la ciudadanía."/>
    <s v="Personal de apoyo transversal a la gestión institucional"/>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60060000"/>
    <m/>
    <m/>
    <m/>
    <n v="60060000"/>
    <m/>
    <m/>
    <m/>
    <m/>
    <m/>
    <n v="60060000"/>
    <m/>
    <m/>
    <m/>
    <n v="0"/>
    <m/>
    <n v="1"/>
    <m/>
    <m/>
    <m/>
    <m/>
    <m/>
    <m/>
    <m/>
    <m/>
    <m/>
    <m/>
    <m/>
    <m/>
    <m/>
    <m/>
    <n v="0"/>
    <n v="0"/>
    <m/>
  </r>
  <r>
    <n v="146"/>
    <n v="146"/>
    <b v="0"/>
    <s v="Sí"/>
    <s v="1110. Fortalecimiento y desarrollo de la gestión institucional"/>
    <s v="3-3-1-15-07-42-1110-185"/>
    <n v="80111600"/>
    <s v="Prestar servicios profesionales al Instituto Distrital de Patrimonio Cultural para apoyar las actividades técnicas requeridas en aplicación del Sistema de Información Geográfica -SIG_PC-."/>
    <s v="(Cód. 146) Prestar servicios profesionales al Instituto Distrital de Patrimonio Cultural para apoyar las actividades técnicas requeridas en aplicación del Sistema de Información Geográfica -SIG_PC-."/>
    <d v="2019-01-15T00:00:00"/>
    <n v="10"/>
    <d v="2019-01-29T00:00:00"/>
    <x v="1"/>
    <n v="1"/>
    <n v="1"/>
    <n v="11"/>
    <n v="1"/>
    <s v="Contratación directa / Prestación de servicios profesionales y de apoyo a la gestión"/>
    <s v="CCE-16"/>
    <n v="0"/>
    <s v="N.A."/>
    <s v="DEBORATH GASCÓN "/>
    <n v="58960000"/>
    <n v="58960000"/>
    <n v="0"/>
    <n v="0"/>
    <s v="ASESORA JURIDICA"/>
    <s v="CO-DC-11001"/>
    <s v="María Victoria Villamil Páez (Subdirección General)"/>
    <s v="3550800"/>
    <s v="maria.villamil@idpc.gov.co"/>
    <s v="ME20181110"/>
    <s v="COMP1110"/>
    <s v="CONC1110"/>
    <s v="Incrementar la sostenibilidad del sistema integrado de gestión, para prestar un mejor servicio en la atención a la ciudadanía."/>
    <s v="Desarrollar actividades de comunicación e información"/>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58960000"/>
    <m/>
    <m/>
    <m/>
    <n v="58960000"/>
    <m/>
    <m/>
    <m/>
    <m/>
    <m/>
    <n v="58960000"/>
    <m/>
    <m/>
    <m/>
    <n v="0"/>
    <m/>
    <n v="1"/>
    <m/>
    <m/>
    <m/>
    <m/>
    <m/>
    <m/>
    <m/>
    <m/>
    <m/>
    <m/>
    <m/>
    <m/>
    <m/>
    <m/>
    <n v="0"/>
    <n v="0"/>
    <m/>
  </r>
  <r>
    <n v="147"/>
    <n v="147"/>
    <b v="0"/>
    <s v="Sí"/>
    <s v="1110. Fortalecimiento y desarrollo de la gestión institucional"/>
    <s v="3-3-1-15-07-42-1110-185"/>
    <n v="80111600"/>
    <s v="Prestar servicios de apoyo a la gestión al Instituto Distrital de Patrimonio Cultural, en las actividades operativas y de mantenimiento requeridas por la entidad."/>
    <s v="(Cód. 147) Prestar servicios de apoyo a la gestión al Instituto Distrital de Patrimonio Cultural, en las actividades operativas y de mantenimiento requeridas por la entidad."/>
    <d v="2019-01-15T00:00:00"/>
    <n v="10"/>
    <d v="2019-01-29T00:00:00"/>
    <x v="1"/>
    <n v="1"/>
    <n v="1"/>
    <n v="11"/>
    <n v="1"/>
    <s v="Contratación directa / Prestación de servicios profesionales y de apoyo a la gestión"/>
    <s v="CCE-16"/>
    <n v="0"/>
    <s v="N.A."/>
    <s v="Edicson Sanchez "/>
    <n v="25542000"/>
    <n v="25542000"/>
    <n v="0"/>
    <n v="0"/>
    <s v="ASESORA JURIDICA"/>
    <s v="CO-DC-11001"/>
    <s v="Juan Fernando Acosta Mirkow (Subdirección de Gestión Corporativa)"/>
    <s v="3550800"/>
    <s v="juan.acosta@idpc.gov.co"/>
    <s v="ME20181110"/>
    <s v="COMP1110"/>
    <s v="CONC1110"/>
    <s v="Incrementar la sostenibilidad del sistema integrado de gestión, para prestar un mejor servicio en la atención a la ciudadanía."/>
    <s v="Personal de apoyo transversal a la gestión institucional"/>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25542000"/>
    <m/>
    <m/>
    <m/>
    <n v="25542000"/>
    <m/>
    <m/>
    <m/>
    <m/>
    <m/>
    <n v="25542000"/>
    <m/>
    <m/>
    <m/>
    <n v="0"/>
    <m/>
    <n v="1"/>
    <m/>
    <m/>
    <m/>
    <m/>
    <m/>
    <m/>
    <m/>
    <m/>
    <m/>
    <m/>
    <m/>
    <m/>
    <m/>
    <m/>
    <n v="0"/>
    <n v="0"/>
    <m/>
  </r>
  <r>
    <n v="148"/>
    <n v="148"/>
    <b v="0"/>
    <s v="Sí"/>
    <s v="1110. Fortalecimiento y desarrollo de la gestión institucional"/>
    <s v="3-3-1-15-07-42-1110-185"/>
    <n v="80111600"/>
    <s v="Prestar servicios de apoyo a la gestión al Instituto Distrital de Patrimonio Cultural para apoyar a la Asesoría Jurídica o quien haga sus veces, en las actividades relacionadas con la organización y administración del archivo documental."/>
    <s v="(Cód. 148) Prestar servicios de apoyo a la gestión al Instituto Distrital de Patrimonio Cultural para apoyar a la Asesoría Jurídica o quien haga sus veces, en las actividades relacionadas con la organización y administración del archivo documental."/>
    <d v="2019-01-15T00:00:00"/>
    <n v="10"/>
    <d v="2019-01-29T00:00:00"/>
    <x v="1"/>
    <n v="1"/>
    <n v="1"/>
    <n v="11"/>
    <n v="1"/>
    <s v="Contratación directa / Prestación de servicios profesionales y de apoyo a la gestión"/>
    <s v="CCE-16"/>
    <n v="0"/>
    <s v="N.A."/>
    <s v="edwin alexander leon gonzalez"/>
    <n v="31570000"/>
    <n v="31570000"/>
    <n v="0"/>
    <n v="0"/>
    <s v="ASESORA JURIDICA"/>
    <s v="CO-DC-11001"/>
    <s v="Juan Fernando Acosta Mirkow (Subdirección de Gestión Corporativa)"/>
    <s v="3550800"/>
    <s v="juan.acosta@idpc.gov.co"/>
    <s v="ME20181110"/>
    <s v="COMP1110"/>
    <s v="CONC1110"/>
    <s v="Incrementar la sostenibilidad del sistema integrado de gestión, para prestar un mejor servicio en la atención a la ciudadanía."/>
    <s v="Personal de apoyo transversal a la gestión institucional"/>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31570000"/>
    <m/>
    <m/>
    <m/>
    <n v="31570000"/>
    <m/>
    <m/>
    <m/>
    <m/>
    <m/>
    <n v="31570000"/>
    <m/>
    <m/>
    <m/>
    <n v="0"/>
    <m/>
    <n v="1"/>
    <m/>
    <m/>
    <m/>
    <m/>
    <m/>
    <m/>
    <m/>
    <m/>
    <m/>
    <m/>
    <m/>
    <m/>
    <m/>
    <m/>
    <n v="0"/>
    <n v="0"/>
    <m/>
  </r>
  <r>
    <n v="149"/>
    <n v="149"/>
    <b v="0"/>
    <s v="Sí"/>
    <s v="1110. Fortalecimiento y desarrollo de la gestión institucional"/>
    <s v="3-3-1-15-07-42-1110-185"/>
    <n v="80111600"/>
    <s v="Prestar servicios profesionales al Instituto Distrital de Patrimonio Cultural para apoyar el proceso de modernización del Instituto, repuesta a peticiones, requerimientos de entes de control, y demás temas relacionados con la Gestión del Talento Humano de la entidad."/>
    <s v="(Cód. 149) Prestar servicios profesionales al Instituto Distrital de Patrimonio Cultural para apoyar el proceso de modernización del Instituto, repuesta a peticiones, requerimientos de entes de control, y demás temas relacionados con la Gestión del Talento Humano de la entidad."/>
    <d v="2019-01-15T00:00:00"/>
    <n v="10"/>
    <d v="2019-01-29T00:00:00"/>
    <x v="1"/>
    <n v="1"/>
    <n v="1"/>
    <n v="11"/>
    <n v="1"/>
    <s v="Contratación directa / Prestación de servicios profesionales y de apoyo a la gestión"/>
    <s v="CCE-16"/>
    <n v="0"/>
    <s v="N.A."/>
    <s v="Edwin Ruiz"/>
    <n v="88330000"/>
    <n v="88330000"/>
    <n v="0"/>
    <n v="0"/>
    <s v="ASESORA JURIDICA"/>
    <s v="CO-DC-11001"/>
    <s v="Juan Fernando Acosta Mirkow (Subdirección de Gestión Corporativa)"/>
    <s v="3550800"/>
    <s v="juan.acosta@idpc.gov.co"/>
    <s v="ME20181110"/>
    <s v="COMP1110"/>
    <s v="CONC1110"/>
    <s v="Incrementar la sostenibilidad del sistema integrado de gestión, para prestar un mejor servicio en la atención a la ciudadanía."/>
    <s v="Personal de apoyo transversal a la gestión institucional"/>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88330000"/>
    <m/>
    <m/>
    <m/>
    <n v="88330000"/>
    <m/>
    <m/>
    <m/>
    <m/>
    <m/>
    <n v="88330000"/>
    <m/>
    <m/>
    <m/>
    <n v="0"/>
    <m/>
    <n v="1"/>
    <m/>
    <m/>
    <m/>
    <m/>
    <m/>
    <m/>
    <m/>
    <m/>
    <m/>
    <m/>
    <m/>
    <m/>
    <m/>
    <m/>
    <n v="0"/>
    <n v="0"/>
    <m/>
  </r>
  <r>
    <n v="150"/>
    <n v="150"/>
    <b v="0"/>
    <s v="Sí"/>
    <s v="1110. Fortalecimiento y desarrollo de la gestión institucional"/>
    <s v="3-3-1-15-07-42-1110-185"/>
    <n v="80111600"/>
    <s v="Prestar servicios de apoyo a la gestión al Instituto Distrital de Patrimonio Cultural en el seguimiento a los planes de mejoramiento, metas, indicadores y actividades relacionadas con los procesos de contratación de la Subdirección de Gestión Corporativa."/>
    <s v="(Cód. 150) Prestar servicios de apoyo a la gestión al Instituto Distrital de Patrimonio Cultural en el seguimiento a los planes de mejoramiento, metas, indicadores y actividades relacionadas con los procesos de contratación de la Subdirección de Gestión Corporativa."/>
    <d v="2019-01-15T00:00:00"/>
    <n v="10"/>
    <d v="2019-01-29T00:00:00"/>
    <x v="1"/>
    <n v="1"/>
    <n v="1"/>
    <n v="11"/>
    <n v="1"/>
    <s v="Contratación directa / Prestación de servicios profesionales y de apoyo a la gestión"/>
    <s v="CCE-16"/>
    <n v="0"/>
    <s v="N.A."/>
    <s v="Elena Sánchez"/>
    <n v="38280000"/>
    <n v="38280000"/>
    <n v="0"/>
    <n v="0"/>
    <s v="ASESORA JURIDICA"/>
    <s v="CO-DC-11001"/>
    <s v="Juan Fernando Acosta Mirkow (Subdirección de Gestión Corporativa)"/>
    <s v="3550800"/>
    <s v="juan.acosta@idpc.gov.co"/>
    <s v="ME20181110"/>
    <s v="COMP1110"/>
    <s v="CONC1110"/>
    <s v="Incrementar la sostenibilidad del sistema integrado de gestión, para prestar un mejor servicio en la atención a la ciudadanía."/>
    <s v="Personal de apoyo transversal a la gestión institucional"/>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38280000"/>
    <m/>
    <m/>
    <m/>
    <n v="38280000"/>
    <m/>
    <m/>
    <m/>
    <m/>
    <m/>
    <n v="38280000"/>
    <m/>
    <m/>
    <m/>
    <n v="0"/>
    <m/>
    <n v="1"/>
    <m/>
    <m/>
    <m/>
    <m/>
    <m/>
    <m/>
    <m/>
    <m/>
    <m/>
    <m/>
    <m/>
    <m/>
    <m/>
    <m/>
    <n v="0"/>
    <n v="0"/>
    <m/>
  </r>
  <r>
    <n v="151"/>
    <n v="151"/>
    <b v="0"/>
    <s v="Sí"/>
    <s v="1110. Fortalecimiento y desarrollo de la gestión institucional"/>
    <s v="3-3-1-15-07-42-1110-185"/>
    <n v="82121700"/>
    <s v="Contratar el arrendamiento de equipos de impresión para el Instituto Distrital de Patrimonio Cultural, incluido el mantenimiento y soporte técnico preventivo y correctivo programado con suministro de tóner permanente, así como el soporte técnico extraordinario cada vez que se requiera."/>
    <s v="(Cód. 151) Contratar el arrendamiento de equipos de impresión para el Instituto Distrital de Patrimonio Cultural, incluido el mantenimiento y soporte técnico preventivo y correctivo programado con suministro de tóner permanente, así como el soporte técnico extraordinario cada vez que se requiera."/>
    <d v="2019-05-20T00:00:00"/>
    <n v="25"/>
    <d v="2019-06-24T00:00:00"/>
    <x v="4"/>
    <n v="5"/>
    <n v="5"/>
    <n v="7"/>
    <n v="1"/>
    <s v="Mínima cuantía"/>
    <s v="CCE-10"/>
    <n v="0"/>
    <s v="N.A."/>
    <s v="fotocopiado"/>
    <n v="15000000"/>
    <n v="15000000"/>
    <n v="0"/>
    <n v="0"/>
    <s v="ASESORA JURIDICA"/>
    <s v="CO-DC-11001"/>
    <s v="Juan Fernando Acosta Mirkow (Subdirección de Gestión Corporativa)"/>
    <s v="3550800"/>
    <s v="juan.acosta@idpc.gov.co"/>
    <s v="ME20181110"/>
    <s v="COMP1110"/>
    <s v="CONC1110"/>
    <s v="Incrementar la sostenibilidad del sistema integrado de gestión, para prestar un mejor servicio en la atención a la ciudadanía."/>
    <s v="Adquisición de equipos, materiales y suministros"/>
    <s v="10. Procesos articulados dentro del sistema integrado de gestión."/>
    <s v="FONT1110"/>
    <s v="12-Otros Distrito"/>
    <s v="02-DOTACION"/>
    <s v="03-ADQUISICIÓN DE EQUIPOS, MATERIALES, SUMINISTROS Y SERVICIOS ADMISTRATIVOS"/>
    <s v="0114-Adquisición de Equipos, materiales, suministros"/>
    <n v="0"/>
    <n v="15000000"/>
    <m/>
    <m/>
    <m/>
    <n v="15000000"/>
    <m/>
    <m/>
    <m/>
    <m/>
    <m/>
    <n v="15000000"/>
    <m/>
    <m/>
    <m/>
    <n v="0"/>
    <m/>
    <n v="1"/>
    <m/>
    <m/>
    <m/>
    <m/>
    <m/>
    <m/>
    <m/>
    <m/>
    <m/>
    <m/>
    <m/>
    <m/>
    <m/>
    <m/>
    <n v="0"/>
    <n v="0"/>
    <m/>
  </r>
  <r>
    <n v="152"/>
    <n v="152"/>
    <b v="0"/>
    <s v="Sí"/>
    <s v="1110. Fortalecimiento y desarrollo de la gestión institucional"/>
    <s v="3-3-1-15-07-42-1110-185"/>
    <n v="80111600"/>
    <s v="Prestar servicios profesionales al Instituto Distrital de Patrimonio Cultural, en las actividades de la asesoría de Control Interno incluidas en el Plan Anual de Auditorias."/>
    <s v="(Cód. 152) Prestar servicios profesionales al Instituto Distrital de Patrimonio Cultural, en las actividades de la asesoría de Control Interno incluidas en el Plan Anual de Auditorias."/>
    <d v="2019-01-15T00:00:00"/>
    <n v="10"/>
    <d v="2019-01-29T00:00:00"/>
    <x v="1"/>
    <n v="1"/>
    <n v="1"/>
    <n v="11"/>
    <n v="1"/>
    <s v="Contratación directa / Prestación de servicios profesionales y de apoyo a la gestión"/>
    <s v="CCE-16"/>
    <n v="0"/>
    <s v="N.A."/>
    <s v="Giovana morales"/>
    <n v="74800000"/>
    <n v="74800000"/>
    <n v="0"/>
    <n v="0"/>
    <s v="ASESORA JURIDICA"/>
    <s v="CO-DC-11001"/>
    <s v="Juan Fernando Acosta Mirkow (Subdirección de Gestión Corporativa)"/>
    <s v="3550800"/>
    <s v="juan.acosta@idpc.gov.co"/>
    <s v="ME20181110"/>
    <s v="COMP1110"/>
    <s v="CONC1110"/>
    <s v="Incrementar la sostenibilidad del sistema integrado de gestión, para prestar un mejor servicio en la atención a la ciudadanía."/>
    <s v="Personal de apoyo transversal a la gestión institucional"/>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74800000"/>
    <m/>
    <m/>
    <m/>
    <n v="74800000"/>
    <m/>
    <m/>
    <m/>
    <m/>
    <m/>
    <n v="74800000"/>
    <m/>
    <m/>
    <m/>
    <n v="0"/>
    <m/>
    <n v="1"/>
    <m/>
    <m/>
    <m/>
    <m/>
    <m/>
    <m/>
    <m/>
    <m/>
    <m/>
    <m/>
    <m/>
    <m/>
    <m/>
    <m/>
    <n v="0"/>
    <n v="0"/>
    <m/>
  </r>
  <r>
    <n v="153"/>
    <n v="153"/>
    <b v="0"/>
    <s v="Sí"/>
    <s v="1110. Fortalecimiento y desarrollo de la gestión institucional"/>
    <s v="3-3-1-15-07-42-1110-185"/>
    <n v="80111600"/>
    <s v="Prestar servicios profesionales al Instituto Distrital de Patrimonio Cultural para apoyar jurídicamente la proyección y trámites de documentos precontractuales requeridos por la Subdirección de Gestión Corporativa."/>
    <s v="(Cód. 153) Prestar servicios profesionales al Instituto Distrital de Patrimonio Cultural para apoyar jurídicamente la proyección y trámites de documentos precontractuales requeridos por la Subdirección de Gestión Corporativa."/>
    <d v="2019-01-15T00:00:00"/>
    <n v="10"/>
    <d v="2019-01-29T00:00:00"/>
    <x v="1"/>
    <n v="1"/>
    <n v="1"/>
    <n v="11"/>
    <n v="1"/>
    <s v="Contratación directa / Prestación de servicios profesionales y de apoyo a la gestión"/>
    <s v="CCE-16"/>
    <n v="0"/>
    <s v="N.A."/>
    <s v="Helbert  Mauricio Guzman "/>
    <n v="41030000"/>
    <n v="41030000"/>
    <n v="0"/>
    <n v="0"/>
    <s v="ASESORA JURIDICA"/>
    <s v="CO-DC-11001"/>
    <s v="Juan Fernando Acosta Mirkow (Subdirección de Gestión Corporativa)"/>
    <s v="3550800"/>
    <s v="juan.acosta@idpc.gov.co"/>
    <s v="ME20181110"/>
    <s v="COMP1110"/>
    <s v="CONC1110"/>
    <s v="Incrementar la sostenibilidad del sistema integrado de gestión, para prestar un mejor servicio en la atención a la ciudadanía."/>
    <s v="Personal de apoyo transversal a la gestión institucional"/>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41030000"/>
    <m/>
    <m/>
    <m/>
    <n v="41030000"/>
    <m/>
    <m/>
    <m/>
    <m/>
    <m/>
    <n v="41030000"/>
    <m/>
    <m/>
    <m/>
    <n v="0"/>
    <m/>
    <n v="1"/>
    <m/>
    <m/>
    <m/>
    <m/>
    <m/>
    <m/>
    <m/>
    <m/>
    <m/>
    <m/>
    <m/>
    <m/>
    <m/>
    <m/>
    <n v="0"/>
    <n v="0"/>
    <m/>
  </r>
  <r>
    <n v="154"/>
    <n v="154"/>
    <b v="0"/>
    <s v="Sí"/>
    <s v="1110. Fortalecimiento y desarrollo de la gestión institucional"/>
    <s v="3-3-1-15-07-42-1110-185"/>
    <n v="80111600"/>
    <s v="Prestar servicios profesionales al Instituto Distrital de Patrimonio Cultural en las actividades relacionadas con la gestión financiera y presupuestal de la entidad."/>
    <s v="(Cód. 154) Prestar servicios profesionales al Instituto Distrital de Patrimonio Cultural en las actividades relacionadas con la gestión financiera y presupuestal de la entidad."/>
    <d v="2019-01-15T00:00:00"/>
    <n v="10"/>
    <d v="2019-01-29T00:00:00"/>
    <x v="1"/>
    <n v="1"/>
    <n v="1"/>
    <n v="11"/>
    <n v="1"/>
    <s v="Contratación directa / Prestación de servicios profesionales y de apoyo a la gestión"/>
    <s v="CCE-16"/>
    <n v="0"/>
    <s v="N.A."/>
    <s v="Helbert  Silva"/>
    <n v="40700000"/>
    <n v="40700000"/>
    <n v="0"/>
    <n v="0"/>
    <s v="ASESORA JURIDICA"/>
    <s v="CO-DC-11001"/>
    <s v="Juan Fernando Acosta Mirkow (Subdirección de Gestión Corporativa)"/>
    <s v="3550800"/>
    <s v="juan.acosta@idpc.gov.co"/>
    <s v="ME20181110"/>
    <s v="COMP1110"/>
    <s v="CONC1110"/>
    <s v="Incrementar la sostenibilidad del sistema integrado de gestión, para prestar un mejor servicio en la atención a la ciudadanía."/>
    <s v="Personal de apoyo transversal a la gestión institucional"/>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40700000"/>
    <m/>
    <m/>
    <m/>
    <n v="40700000"/>
    <m/>
    <m/>
    <m/>
    <m/>
    <m/>
    <n v="40700000"/>
    <m/>
    <m/>
    <m/>
    <n v="0"/>
    <m/>
    <n v="1"/>
    <m/>
    <m/>
    <m/>
    <m/>
    <m/>
    <m/>
    <m/>
    <m/>
    <m/>
    <m/>
    <m/>
    <m/>
    <m/>
    <m/>
    <n v="0"/>
    <n v="0"/>
    <m/>
  </r>
  <r>
    <n v="155"/>
    <n v="155"/>
    <b v="0"/>
    <s v="Sí"/>
    <s v="1110. Fortalecimiento y desarrollo de la gestión institucional"/>
    <s v="3-3-1-15-07-42-1110-185"/>
    <n v="80111600"/>
    <s v="Prestar servicios profesionales al Instituto Distrital de Patrimonio Cultural para realizar el soporte, mantenimiento, actualización y desarrollo de la plataforma del sistema de gestión ORFEO."/>
    <s v="(Cód. 155) Prestar servicios profesionales al Instituto Distrital de Patrimonio Cultural para realizar el soporte, mantenimiento, actualización y desarrollo de la plataforma del sistema de gestión ORFEO."/>
    <d v="2019-01-15T00:00:00"/>
    <n v="10"/>
    <d v="2019-01-29T00:00:00"/>
    <x v="1"/>
    <n v="1"/>
    <n v="1"/>
    <n v="11"/>
    <n v="1"/>
    <s v="Contratación directa / Prestación de servicios profesionales y de apoyo a la gestión"/>
    <s v="CCE-16"/>
    <n v="0"/>
    <s v="N.A."/>
    <s v="idelber"/>
    <n v="55000000"/>
    <n v="55000000"/>
    <n v="0"/>
    <n v="0"/>
    <s v="ASESORA JURIDICA"/>
    <s v="CO-DC-11001"/>
    <s v="Juan Fernando Acosta Mirkow (Subdirección de Gestión Corporativa)"/>
    <s v="3550800"/>
    <s v="juan.acosta@idpc.gov.co"/>
    <s v="ME20181110"/>
    <s v="COMP1110"/>
    <s v="CONC1110"/>
    <s v="Incrementar la sostenibilidad del sistema integrado de gestión, para prestar un mejor servicio en la atención a la ciudadanía."/>
    <s v="Personal de apoyo transversal a la gestión institucional"/>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55000000"/>
    <m/>
    <m/>
    <m/>
    <n v="55000000"/>
    <m/>
    <m/>
    <m/>
    <m/>
    <m/>
    <n v="55000000"/>
    <m/>
    <m/>
    <m/>
    <n v="0"/>
    <m/>
    <n v="1"/>
    <m/>
    <m/>
    <m/>
    <m/>
    <m/>
    <m/>
    <m/>
    <m/>
    <m/>
    <m/>
    <m/>
    <m/>
    <m/>
    <m/>
    <n v="0"/>
    <n v="0"/>
    <m/>
  </r>
  <r>
    <n v="156"/>
    <n v="156"/>
    <b v="0"/>
    <s v="Sí"/>
    <s v="1110. Fortalecimiento y desarrollo de la gestión institucional"/>
    <s v="3-3-1-15-07-42-1110-185"/>
    <n v="80111600"/>
    <s v="Prestar servicios profesionales al Instituto Distrital de Patrimonio Cultural para brindar el apoyo jurídico requerido en las actuaciones disciplinarias que se adelanten dentro de los procesos de competencia de la entidad."/>
    <s v="(Cód. 156) Prestar servicios profesionales al Instituto Distrital de Patrimonio Cultural para brindar el apoyo jurídico requerido en las actuaciones disciplinarias que se adelanten dentro de los procesos de competencia de la entidad."/>
    <d v="2019-01-15T00:00:00"/>
    <n v="10"/>
    <d v="2019-01-29T00:00:00"/>
    <x v="1"/>
    <n v="1"/>
    <n v="1"/>
    <n v="11"/>
    <n v="1"/>
    <s v="Contratación directa / Prestación de servicios profesionales y de apoyo a la gestión"/>
    <s v="CCE-16"/>
    <n v="0"/>
    <s v="N.A."/>
    <s v="Irma Castañeda"/>
    <n v="55220000"/>
    <n v="55220000"/>
    <n v="0"/>
    <n v="0"/>
    <s v="ASESORA JURIDICA"/>
    <s v="CO-DC-11001"/>
    <s v="Juan Fernando Acosta Mirkow (Subdirección de Gestión Corporativa)"/>
    <s v="3550800"/>
    <s v="juan.acosta@idpc.gov.co"/>
    <s v="ME20181110"/>
    <s v="COMP1110"/>
    <s v="CONC1110"/>
    <s v="Incrementar la sostenibilidad del sistema integrado de gestión, para prestar un mejor servicio en la atención a la ciudadanía."/>
    <s v="Personal de apoyo transversal a la gestión institucional"/>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55220000"/>
    <m/>
    <m/>
    <m/>
    <n v="55220000"/>
    <m/>
    <m/>
    <m/>
    <m/>
    <m/>
    <n v="55220000"/>
    <m/>
    <m/>
    <m/>
    <n v="0"/>
    <m/>
    <n v="1"/>
    <m/>
    <m/>
    <m/>
    <m/>
    <m/>
    <m/>
    <m/>
    <m/>
    <m/>
    <m/>
    <m/>
    <m/>
    <m/>
    <m/>
    <n v="0"/>
    <n v="0"/>
    <m/>
  </r>
  <r>
    <n v="157"/>
    <n v="157"/>
    <b v="0"/>
    <s v="Sí"/>
    <s v="1110. Fortalecimiento y desarrollo de la gestión institucional"/>
    <s v="3-3-1-15-07-42-1110-185"/>
    <n v="80111600"/>
    <s v="Prestar servicios de apoyo a la gestión al Instituto Distrital de Patrimonio Cultural en las actividades de soporte técnico del sistema de  información y tecnología de la entidad."/>
    <s v="(Cód. 157) Prestar servicios de apoyo a la gestión al Instituto Distrital de Patrimonio Cultural en las actividades de soporte técnico del sistema de  información y tecnología de la entidad."/>
    <d v="2019-01-15T00:00:00"/>
    <n v="10"/>
    <d v="2019-01-29T00:00:00"/>
    <x v="1"/>
    <n v="1"/>
    <n v="1"/>
    <n v="11"/>
    <n v="1"/>
    <s v="Contratación directa / Prestación de servicios profesionales y de apoyo a la gestión"/>
    <s v="CCE-16"/>
    <n v="0"/>
    <s v="N.A."/>
    <s v="Jaiber Sarmiento"/>
    <n v="38280000"/>
    <n v="38280000"/>
    <n v="0"/>
    <n v="0"/>
    <s v="ASESORA JURIDICA"/>
    <s v="CO-DC-11001"/>
    <s v="Juan Fernando Acosta Mirkow (Subdirección de Gestión Corporativa)"/>
    <s v="3550800"/>
    <s v="juan.acosta@idpc.gov.co"/>
    <s v="ME20181110"/>
    <s v="COMP1110"/>
    <s v="CONC1110"/>
    <s v="Incrementar la sostenibilidad del sistema integrado de gestión, para prestar un mejor servicio en la atención a la ciudadanía."/>
    <s v="Desarrollar actividades de comunicación e información"/>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38280000"/>
    <m/>
    <m/>
    <m/>
    <n v="38280000"/>
    <m/>
    <m/>
    <m/>
    <m/>
    <m/>
    <n v="38280000"/>
    <m/>
    <m/>
    <m/>
    <n v="0"/>
    <m/>
    <n v="1"/>
    <m/>
    <m/>
    <m/>
    <m/>
    <m/>
    <m/>
    <m/>
    <m/>
    <m/>
    <m/>
    <m/>
    <m/>
    <m/>
    <m/>
    <n v="0"/>
    <n v="0"/>
    <m/>
  </r>
  <r>
    <n v="158"/>
    <n v="158"/>
    <b v="0"/>
    <s v="Sí"/>
    <s v="1110. Fortalecimiento y desarrollo de la gestión institucional"/>
    <s v="3-3-1-15-07-42-1110-185"/>
    <n v="80111600"/>
    <s v="Prestar servicios de apoyo a la gestión al Instituto Distrital de Patrimonio Cultural para acompañar a la Asesoría Jurídica o quien haga sus veces, en temas judiciales y de cartera de la entidad."/>
    <s v="(Cód. 158) Prestar servicios de apoyo a la gestión al Instituto Distrital de Patrimonio Cultural para acompañar a la Asesoría Jurídica o quien haga sus veces, en temas judiciales y de cartera de la entidad."/>
    <d v="2019-01-15T00:00:00"/>
    <n v="10"/>
    <d v="2019-01-29T00:00:00"/>
    <x v="1"/>
    <n v="1"/>
    <n v="1"/>
    <n v="11"/>
    <n v="1"/>
    <s v="Contratación directa / Prestación de servicios profesionales y de apoyo a la gestión"/>
    <s v="CCE-16"/>
    <n v="0"/>
    <s v="N.A."/>
    <s v="Jeimmy Quiroga"/>
    <n v="40700000"/>
    <n v="40700000"/>
    <n v="0"/>
    <n v="0"/>
    <s v="ASESORA JURIDICA"/>
    <s v="CO-DC-11001"/>
    <s v="Juan Fernando Acosta Mirkow (Subdirección de Gestión Corporativa)"/>
    <s v="3550800"/>
    <s v="juan.acosta@idpc.gov.co"/>
    <s v="ME20181110"/>
    <s v="COMP1110"/>
    <s v="CONC1110"/>
    <s v="Incrementar la sostenibilidad del sistema integrado de gestión, para prestar un mejor servicio en la atención a la ciudadanía."/>
    <s v="Personal de apoyo transversal a la gestión institucional"/>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40700000"/>
    <m/>
    <m/>
    <m/>
    <n v="40700000"/>
    <m/>
    <m/>
    <m/>
    <m/>
    <m/>
    <n v="40700000"/>
    <m/>
    <m/>
    <m/>
    <n v="0"/>
    <m/>
    <n v="1"/>
    <m/>
    <m/>
    <m/>
    <m/>
    <m/>
    <m/>
    <m/>
    <m/>
    <m/>
    <m/>
    <m/>
    <m/>
    <m/>
    <m/>
    <n v="0"/>
    <n v="0"/>
    <m/>
  </r>
  <r>
    <n v="159"/>
    <n v="159"/>
    <b v="0"/>
    <s v="Sí"/>
    <s v="1110. Fortalecimiento y desarrollo de la gestión institucional"/>
    <s v="3-3-1-15-07-42-1110-185"/>
    <n v="80111600"/>
    <s v="Prestar servicios profesionales al Instituto Distrital de Patrimonio Cultural apoyando la proyección y trámite de los documentos precontractuales, seguimiento, control y modificaciones al plan de adquisiciones de la Subdirección de Gestión Corporativa."/>
    <s v="(Cód. 159) Prestar servicios profesionales al Instituto Distrital de Patrimonio Cultural apoyando la proyección y trámite de los documentos precontractuales, seguimiento, control y modificaciones al plan de adquisiciones de la Subdirección de Gestión Corporativa."/>
    <d v="2019-01-15T00:00:00"/>
    <n v="10"/>
    <d v="2019-01-29T00:00:00"/>
    <x v="1"/>
    <n v="1"/>
    <n v="1"/>
    <n v="11"/>
    <n v="1"/>
    <s v="Contratación directa / Prestación de servicios profesionales y de apoyo a la gestión"/>
    <s v="CCE-16"/>
    <n v="0"/>
    <s v="N.A."/>
    <s v="Jenny Quevedo"/>
    <n v="49500000"/>
    <n v="49500000"/>
    <n v="0"/>
    <n v="0"/>
    <s v="ASESORA JURIDICA"/>
    <s v="CO-DC-11001"/>
    <s v="Juan Fernando Acosta Mirkow (Subdirección de Gestión Corporativa)"/>
    <s v="3550800"/>
    <s v="juan.acosta@idpc.gov.co"/>
    <s v="ME20181110"/>
    <s v="COMP1110"/>
    <s v="CONC1110"/>
    <s v="Incrementar la sostenibilidad del sistema integrado de gestión, para prestar un mejor servicio en la atención a la ciudadanía."/>
    <s v="Personal de apoyo transversal a la gestión institucional"/>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49500000"/>
    <m/>
    <m/>
    <m/>
    <n v="49500000"/>
    <m/>
    <m/>
    <m/>
    <m/>
    <m/>
    <n v="49500000"/>
    <m/>
    <m/>
    <m/>
    <n v="0"/>
    <m/>
    <n v="1"/>
    <m/>
    <m/>
    <m/>
    <m/>
    <m/>
    <m/>
    <m/>
    <m/>
    <m/>
    <m/>
    <m/>
    <m/>
    <m/>
    <m/>
    <n v="0"/>
    <n v="0"/>
    <m/>
  </r>
  <r>
    <n v="160"/>
    <n v="160"/>
    <b v="0"/>
    <s v="Sí"/>
    <s v="1110. Fortalecimiento y desarrollo de la gestión institucional"/>
    <s v="3-3-1-15-07-42-1110-185"/>
    <n v="80111600"/>
    <s v="Prestar servicios profesionales al Instituto Distrital de Patrimonio Cultural para apoyar la Implementacion del modelo de participación ciudadana y control social."/>
    <s v="(Cód. 160) Prestar servicios profesionales al Instituto Distrital de Patrimonio Cultural para apoyar la Implementacion del modelo de participación ciudadana y control social."/>
    <d v="2019-01-15T00:00:00"/>
    <n v="10"/>
    <d v="2019-01-29T00:00:00"/>
    <x v="1"/>
    <n v="1"/>
    <n v="1"/>
    <n v="11"/>
    <n v="1"/>
    <s v="Contratación directa / Prestación de servicios profesionales y de apoyo a la gestión"/>
    <s v="CCE-16"/>
    <n v="0"/>
    <s v="N.A."/>
    <s v="JOSE ANTONIO SOCIAL "/>
    <n v="66000000"/>
    <n v="66000000"/>
    <n v="0"/>
    <n v="0"/>
    <s v="ASESORA JURIDICA"/>
    <s v="CO-DC-11001"/>
    <s v="María Victoria Villamil Páez (Subdirección General)"/>
    <s v="3550800"/>
    <s v="maria.villamil@idpc.gov.co"/>
    <s v="ME20181110"/>
    <s v="COMP1110"/>
    <s v="CONC1110"/>
    <s v="Incrementar la sostenibilidad del sistema integrado de gestión, para prestar un mejor servicio en la atención a la ciudadanía."/>
    <s v="Personal de apoyo transversal a la gestión institucional"/>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66000000"/>
    <m/>
    <m/>
    <m/>
    <n v="66000000"/>
    <m/>
    <m/>
    <m/>
    <m/>
    <m/>
    <n v="66000000"/>
    <m/>
    <m/>
    <m/>
    <n v="0"/>
    <m/>
    <n v="1"/>
    <m/>
    <m/>
    <m/>
    <m/>
    <m/>
    <m/>
    <m/>
    <m/>
    <m/>
    <m/>
    <m/>
    <m/>
    <m/>
    <m/>
    <n v="0"/>
    <n v="0"/>
    <m/>
  </r>
  <r>
    <n v="161"/>
    <n v="161"/>
    <b v="0"/>
    <s v="Sí"/>
    <s v="1110. Fortalecimiento y desarrollo de la gestión institucional"/>
    <s v="3-3-1-15-07-42-1110-185"/>
    <n v="80111600"/>
    <s v="Prestar servicios profesionales al Instituto Distrital de Patrimonio Cultural para apoyar las actividades relacionadas con el proceso de Direccionamiento Estratégico."/>
    <s v="(Cód. 161) Prestar servicios profesionales al Instituto Distrital de Patrimonio Cultural para apoyar las actividades relacionadas con el proceso de Direccionamiento Estratégico."/>
    <d v="2019-01-15T00:00:00"/>
    <n v="10"/>
    <d v="2019-01-29T00:00:00"/>
    <x v="1"/>
    <n v="1"/>
    <n v="1"/>
    <n v="2"/>
    <n v="1"/>
    <s v="Contratación directa / Prestación de servicios profesionales y de apoyo a la gestión"/>
    <s v="CCE-16"/>
    <n v="0"/>
    <s v="N.A."/>
    <s v="JOSÉ FRANCISCO RORIGUEZ TELLEZ "/>
    <n v="12000000"/>
    <n v="12000000"/>
    <n v="0"/>
    <n v="0"/>
    <s v="ASESORA JURIDICA"/>
    <s v="CO-DC-11001"/>
    <s v="María Victoria Villamil Páez (Subdirección General)"/>
    <s v="3550800"/>
    <s v="maria.villamil@idpc.gov.co"/>
    <s v="ME20181110"/>
    <s v="COMP1110"/>
    <s v="CONC1110"/>
    <s v="Incrementar la sostenibilidad del sistema integrado de gestión, para prestar un mejor servicio en la atención a la ciudadanía."/>
    <s v="Personal de apoyo transversal a la gestión institucional"/>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12000000"/>
    <m/>
    <m/>
    <m/>
    <n v="12000000"/>
    <m/>
    <m/>
    <m/>
    <m/>
    <m/>
    <n v="12000000"/>
    <m/>
    <m/>
    <m/>
    <n v="0"/>
    <m/>
    <n v="1"/>
    <m/>
    <m/>
    <m/>
    <m/>
    <m/>
    <m/>
    <m/>
    <m/>
    <m/>
    <m/>
    <m/>
    <m/>
    <m/>
    <m/>
    <n v="0"/>
    <n v="0"/>
    <m/>
  </r>
  <r>
    <n v="162"/>
    <n v="162"/>
    <b v="0"/>
    <s v="Sí"/>
    <s v="1110. Fortalecimiento y desarrollo de la gestión institucional"/>
    <s v="3-3-1-15-07-42-1110-185"/>
    <n v="80111600"/>
    <s v="Prestar servicios de apoyo a la gestión al Instituto Distrital de Patrimonio Cultural en las actividades operativas requeridas en el área de almacén e inventarios."/>
    <s v="(Cód. 162) Prestar servicios de apoyo a la gestión al Instituto Distrital de Patrimonio Cultural en las actividades operativas requeridas en el área de almacén e inventarios."/>
    <d v="2019-01-15T00:00:00"/>
    <n v="10"/>
    <d v="2019-01-29T00:00:00"/>
    <x v="1"/>
    <n v="1"/>
    <n v="1"/>
    <n v="11"/>
    <n v="1"/>
    <s v="Contratación directa / Prestación de servicios profesionales y de apoyo a la gestión"/>
    <s v="CCE-16"/>
    <n v="0"/>
    <s v="N.A."/>
    <s v="Juan Alvarado"/>
    <n v="33990000"/>
    <n v="33990000"/>
    <n v="0"/>
    <n v="0"/>
    <s v="ASESORA JURIDICA"/>
    <s v="CO-DC-11001"/>
    <s v="Juan Fernando Acosta Mirkow (Subdirección de Gestión Corporativa)"/>
    <s v="3550800"/>
    <s v="juan.acosta@idpc.gov.co"/>
    <s v="ME20181110"/>
    <s v="COMP1110"/>
    <s v="CONC1110"/>
    <s v="Incrementar la sostenibilidad del sistema integrado de gestión, para prestar un mejor servicio en la atención a la ciudadanía."/>
    <s v="Personal de apoyo transversal a la gestión institucional"/>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33990000"/>
    <m/>
    <m/>
    <m/>
    <n v="33990000"/>
    <m/>
    <m/>
    <m/>
    <m/>
    <m/>
    <n v="33990000"/>
    <m/>
    <m/>
    <m/>
    <n v="0"/>
    <m/>
    <n v="1"/>
    <m/>
    <m/>
    <m/>
    <m/>
    <m/>
    <m/>
    <m/>
    <m/>
    <m/>
    <m/>
    <m/>
    <m/>
    <m/>
    <m/>
    <n v="0"/>
    <n v="0"/>
    <m/>
  </r>
  <r>
    <n v="163"/>
    <n v="163"/>
    <b v="0"/>
    <s v="Sí"/>
    <s v="1110. Fortalecimiento y desarrollo de la gestión institucional"/>
    <s v="3-3-1-15-07-42-1110-185"/>
    <n v="80111600"/>
    <s v="Prestar servicios profesionales al Instituto Distrital de Patrimonio Cultural para apoyar los procesos de planeación relacionados con los programas, planes y proyectos del Instituto."/>
    <s v="(Cód. 163) Prestar servicios profesionales al Instituto Distrital de Patrimonio Cultural para apoyar los procesos de planeación relacionados con los programas, planes y proyectos del Instituto."/>
    <d v="2019-01-15T00:00:00"/>
    <n v="10"/>
    <d v="2019-01-29T00:00:00"/>
    <x v="1"/>
    <n v="1"/>
    <n v="1"/>
    <n v="2"/>
    <n v="1"/>
    <s v="Contratación directa / Prestación de servicios profesionales y de apoyo a la gestión"/>
    <s v="CCE-16"/>
    <n v="0"/>
    <s v="N.A."/>
    <s v="JUAN CARLOS TARAPUEZ ROA"/>
    <n v="12000000"/>
    <n v="12000000"/>
    <n v="0"/>
    <n v="0"/>
    <s v="ASESORA JURIDICA"/>
    <s v="CO-DC-11001"/>
    <s v="María Victoria Villamil Páez (Subdirección General)"/>
    <s v="3550800"/>
    <s v="maria.villamil@idpc.gov.co"/>
    <s v="ME20181110"/>
    <s v="COMP1110"/>
    <s v="CONC1110"/>
    <s v="Incrementar la sostenibilidad del sistema integrado de gestión, para prestar un mejor servicio en la atención a la ciudadanía."/>
    <s v="Personal de apoyo transversal a la gestión institucional"/>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12000000"/>
    <m/>
    <m/>
    <m/>
    <n v="12000000"/>
    <m/>
    <m/>
    <m/>
    <m/>
    <m/>
    <n v="12000000"/>
    <m/>
    <m/>
    <m/>
    <n v="0"/>
    <m/>
    <n v="1"/>
    <m/>
    <m/>
    <m/>
    <m/>
    <m/>
    <m/>
    <m/>
    <m/>
    <m/>
    <m/>
    <m/>
    <m/>
    <m/>
    <m/>
    <n v="0"/>
    <n v="0"/>
    <m/>
  </r>
  <r>
    <n v="164"/>
    <n v="164"/>
    <b v="0"/>
    <s v="Sí"/>
    <s v="1110. Fortalecimiento y desarrollo de la gestión institucional"/>
    <s v="3-3-1-15-07-42-1110-185"/>
    <n v="80111600"/>
    <s v="Prestar servicios profesionales al Instituto Distrital de Patrimonio Cultural para desarrollar actividades de apoyo al proceso de operación del Subsistema Interno de Gestión Documental y Archivos -SIGA."/>
    <s v="(Cód. 164) Prestar servicios profesionales al Instituto Distrital de Patrimonio Cultural para desarrollar actividades de apoyo al proceso de operación del Subsistema Interno de Gestión Documental y Archivos -SIGA."/>
    <d v="2019-01-15T00:00:00"/>
    <n v="10"/>
    <d v="2019-01-29T00:00:00"/>
    <x v="1"/>
    <n v="1"/>
    <n v="1"/>
    <n v="11"/>
    <n v="1"/>
    <s v="Contratación directa / Prestación de servicios profesionales y de apoyo a la gestión"/>
    <s v="CCE-16"/>
    <n v="0"/>
    <s v="N.A."/>
    <s v="JULIO CESAR CARRILLO SILVA"/>
    <n v="47300000"/>
    <n v="47300000"/>
    <n v="0"/>
    <n v="0"/>
    <s v="ASESORA JURIDICA"/>
    <s v="CO-DC-11001"/>
    <s v="María Victoria Villamil Páez (Subdirección General)"/>
    <s v="3550800"/>
    <s v="maria.villamil@idpc.gov.co"/>
    <s v="ME20181110"/>
    <s v="COMP1110"/>
    <s v="CONC1110"/>
    <s v="Incrementar la sostenibilidad del sistema integrado de gestión, para prestar un mejor servicio en la atención a la ciudadanía."/>
    <s v="Fortalecimiento de los subsistemas del sistema integrado de gestión"/>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47300000"/>
    <m/>
    <m/>
    <m/>
    <n v="47300000"/>
    <m/>
    <m/>
    <m/>
    <m/>
    <m/>
    <n v="47300000"/>
    <m/>
    <m/>
    <m/>
    <n v="0"/>
    <m/>
    <n v="1"/>
    <m/>
    <m/>
    <m/>
    <m/>
    <m/>
    <m/>
    <m/>
    <m/>
    <m/>
    <m/>
    <m/>
    <m/>
    <m/>
    <m/>
    <n v="0"/>
    <n v="0"/>
    <m/>
  </r>
  <r>
    <n v="165"/>
    <n v="165"/>
    <b v="0"/>
    <s v="Sí"/>
    <s v="1110. Fortalecimiento y desarrollo de la gestión institucional"/>
    <s v="3-3-1-15-07-42-1110-185"/>
    <n v="80111600"/>
    <s v="Prestar servicios de apoyo a la gestión al Instituto Distrital de Patrimonio Cultural para ejecutar actividades operativas requeridas por la Subdirección General o quien haga sus veces. "/>
    <s v="(Cód. 165) Prestar servicios de apoyo a la gestión al Instituto Distrital de Patrimonio Cultural para ejecutar actividades operativas requeridas por la Subdirección General o quien haga sus veces. "/>
    <d v="2019-01-15T00:00:00"/>
    <n v="10"/>
    <d v="2019-01-29T00:00:00"/>
    <x v="1"/>
    <n v="1"/>
    <n v="1"/>
    <n v="11"/>
    <n v="1"/>
    <s v="Contratación directa / Prestación de servicios profesionales y de apoyo a la gestión"/>
    <s v="CCE-16"/>
    <n v="0"/>
    <s v="N.A."/>
    <s v="KRISTHIAM ANDRES CARRIZOSA "/>
    <n v="25520000"/>
    <n v="25520000"/>
    <n v="0"/>
    <n v="0"/>
    <s v="ASESORA JURIDICA"/>
    <s v="CO-DC-11001"/>
    <s v="María Victoria Villamil Páez (Subdirección General)"/>
    <s v="3550800"/>
    <s v="maria.villamil@idpc.gov.co"/>
    <s v="ME20181110"/>
    <s v="COMP1110"/>
    <s v="CONC1110"/>
    <s v="Incrementar la sostenibilidad del sistema integrado de gestión, para prestar un mejor servicio en la atención a la ciudadanía."/>
    <s v="Personal de apoyo transversal a la gestión institucional"/>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25520000"/>
    <m/>
    <m/>
    <m/>
    <n v="25520000"/>
    <m/>
    <m/>
    <m/>
    <m/>
    <m/>
    <n v="25520000"/>
    <m/>
    <m/>
    <m/>
    <n v="0"/>
    <m/>
    <n v="1"/>
    <m/>
    <m/>
    <m/>
    <m/>
    <m/>
    <m/>
    <m/>
    <m/>
    <m/>
    <m/>
    <m/>
    <m/>
    <m/>
    <m/>
    <n v="0"/>
    <n v="0"/>
    <m/>
  </r>
  <r>
    <n v="166"/>
    <n v="166"/>
    <b v="0"/>
    <s v="Sí"/>
    <s v="1110. Fortalecimiento y desarrollo de la gestión institucional"/>
    <s v="3-3-1-15-07-42-1110-185"/>
    <n v="80111600"/>
    <s v="Prestar servicios profesionales al Instituto Distrital de Patrimonio Cultural para orientar, consolidar e implementar el modelo de participación ciudadana y control social."/>
    <s v="(Cód. 166) Prestar servicios profesionales al Instituto Distrital de Patrimonio Cultural para orientar, consolidar e implementar el modelo de participación ciudadana y control social."/>
    <d v="2019-01-15T00:00:00"/>
    <n v="10"/>
    <d v="2019-01-29T00:00:00"/>
    <x v="1"/>
    <n v="1"/>
    <n v="1"/>
    <n v="11"/>
    <n v="1"/>
    <s v="Contratación directa / Prestación de servicios profesionales y de apoyo a la gestión"/>
    <s v="CCE-16"/>
    <n v="0"/>
    <s v="N.A."/>
    <s v="LAURA ZIMERMMANN "/>
    <n v="93500000"/>
    <n v="93500000"/>
    <n v="0"/>
    <n v="0"/>
    <s v="ASESORA JURIDICA"/>
    <s v="CO-DC-11001"/>
    <s v="María Victoria Villamil Páez (Subdirección General)"/>
    <s v="3550800"/>
    <s v="maria.villamil@idpc.gov.co"/>
    <s v="ME20181110"/>
    <s v="COMP1110"/>
    <s v="CONC1110"/>
    <s v="Incrementar la sostenibilidad del sistema integrado de gestión, para prestar un mejor servicio en la atención a la ciudadanía."/>
    <s v="Personal de apoyo transversal a la gestión institucional"/>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93500000"/>
    <m/>
    <m/>
    <m/>
    <n v="93500000"/>
    <m/>
    <m/>
    <m/>
    <m/>
    <m/>
    <n v="93500000"/>
    <m/>
    <m/>
    <m/>
    <n v="0"/>
    <m/>
    <n v="1"/>
    <m/>
    <m/>
    <m/>
    <m/>
    <m/>
    <m/>
    <m/>
    <m/>
    <m/>
    <m/>
    <m/>
    <m/>
    <m/>
    <m/>
    <n v="0"/>
    <n v="0"/>
    <m/>
  </r>
  <r>
    <n v="167"/>
    <n v="167"/>
    <b v="0"/>
    <s v="Sí"/>
    <s v="1110. Fortalecimiento y desarrollo de la gestión institucional"/>
    <s v="3-3-1-15-07-42-1110-185"/>
    <s v="43231500;81111500;"/>
    <s v="Adquisición de licencias de software especializados para los equipos de cómputo del IDPC"/>
    <s v="(Cód. 167) Adquisición de licencias de software especializados para los equipos de cómputo del IDPC"/>
    <d v="2019-02-08T00:00:00"/>
    <n v="10"/>
    <d v="2019-02-22T00:00:00"/>
    <x v="0"/>
    <n v="2"/>
    <n v="2"/>
    <n v="1"/>
    <n v="1"/>
    <s v="Acuerdo marco de precios"/>
    <s v="CCE-99"/>
    <n v="0"/>
    <s v="Licencias de software"/>
    <s v="LICENCIAS "/>
    <n v="50000000"/>
    <n v="50000000"/>
    <n v="0"/>
    <n v="0"/>
    <s v="ASESORA JURIDICA"/>
    <s v="CO-DC-11001"/>
    <s v="María Victoria Villamil Páez (Subdirección General)"/>
    <s v="3550800"/>
    <s v="maria.villamil@idpc.gov.co"/>
    <s v="ME20181110"/>
    <s v="COMP1110"/>
    <s v="CONC1110"/>
    <s v="Incrementar la sostenibilidad del sistema integrado de gestión, para prestar un mejor servicio en la atención a la ciudadanía."/>
    <s v="Adquisición de equipos, materiales y suministros"/>
    <s v="10. Procesos articulados dentro del sistema integrado de gestión."/>
    <s v="FONT1110"/>
    <s v="12-Otros Distrito"/>
    <s v="05-ADMINISTRACION INSTITUCIONAL"/>
    <s v="02-ADMINISTRACIÓN, CONTROL Y ORGANIZACIÓN INSTITUCIONAL PARA APOYO A LA GESTIÓN DEL DISTRITO"/>
    <s v="0152-Adquisición de equipos y software para el mejoramiento de la gestión institucional"/>
    <n v="0"/>
    <n v="50000000"/>
    <m/>
    <m/>
    <m/>
    <n v="50000000"/>
    <m/>
    <m/>
    <m/>
    <m/>
    <m/>
    <n v="50000000"/>
    <m/>
    <m/>
    <m/>
    <n v="0"/>
    <m/>
    <n v="1"/>
    <m/>
    <m/>
    <m/>
    <m/>
    <m/>
    <m/>
    <m/>
    <m/>
    <m/>
    <m/>
    <m/>
    <m/>
    <m/>
    <m/>
    <n v="0"/>
    <n v="0"/>
    <m/>
  </r>
  <r>
    <n v="168"/>
    <n v="168"/>
    <b v="0"/>
    <s v="Sí"/>
    <s v="1110. Fortalecimiento y desarrollo de la gestión institucional"/>
    <s v="3-3-1-15-07-42-1110-185"/>
    <n v="80111600"/>
    <s v="Prestar servicios profesionales al Instituto Distrital de Patrimonio Cultural para asesorar a la Dirección General en el manejo de las relaciones interinstitucionales e internacionales, a través del acompañamiento y gestión de estrategias, planes y proyectos, para el fomento y apropiación del patrimonio cultural en el Distrito Capital."/>
    <s v="(Cód. 168) Prestar servicios profesionales al Instituto Distrital de Patrimonio Cultural para asesorar a la Dirección General en el manejo de las relaciones interinstitucionales e internacionales, a través del acompañamiento y gestión de estrategias, planes y proyectos, para el fomento y apropiación del patrimonio cultural en el Distrito Capital."/>
    <d v="2019-01-15T00:00:00"/>
    <n v="10"/>
    <d v="2019-01-29T00:00:00"/>
    <x v="1"/>
    <n v="1"/>
    <n v="1"/>
    <n v="11"/>
    <n v="1"/>
    <s v="Contratación directa / Prestación de servicios profesionales y de apoyo a la gestión"/>
    <s v="CCE-16"/>
    <n v="0"/>
    <s v="N.A."/>
    <s v="Luz Marina Serna"/>
    <n v="94820000"/>
    <n v="94820000"/>
    <n v="0"/>
    <n v="0"/>
    <s v="ASESORA JURIDICA"/>
    <s v="CO-DC-11001"/>
    <s v="Juan Fernando Acosta Mirkow (Dirección General)"/>
    <s v="3550800"/>
    <s v="juan.acosta@idpc.gov.co"/>
    <s v="ME20181110"/>
    <s v="COMP1110"/>
    <s v="CONC1110"/>
    <s v="Incrementar la sostenibilidad del sistema integrado de gestión, para prestar un mejor servicio en la atención a la ciudadanía."/>
    <s v="Personal de apoyo transversal a la gestión institucional"/>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94820000"/>
    <m/>
    <m/>
    <m/>
    <n v="94820000"/>
    <m/>
    <m/>
    <m/>
    <m/>
    <m/>
    <n v="94820000"/>
    <m/>
    <m/>
    <m/>
    <n v="0"/>
    <m/>
    <n v="1"/>
    <m/>
    <m/>
    <m/>
    <m/>
    <m/>
    <m/>
    <m/>
    <m/>
    <m/>
    <m/>
    <m/>
    <m/>
    <m/>
    <m/>
    <n v="0"/>
    <n v="0"/>
    <m/>
  </r>
  <r>
    <n v="169"/>
    <n v="169"/>
    <b v="0"/>
    <s v="Sí"/>
    <s v="1110. Fortalecimiento y desarrollo de la gestión institucional"/>
    <s v="3-3-1-15-07-42-1110-185"/>
    <n v="80111600"/>
    <s v="Prestar servicios asistenciales al Instituto Distrital de Patrimonio Cultural para apoyar la gestión requerida en la digitalización y organización de archivos relacionada con el Subsistema Interno de Gestión Documental y Archivos -SIGA."/>
    <s v="(Cód. 169) Prestar servicios asistenciales al Instituto Distrital de Patrimonio Cultural para apoyar la gestión requerida en la digitalización y organización de archivos relacionada con el Subsistema Interno de Gestión Documental y Archivos -SIGA."/>
    <d v="2019-01-15T00:00:00"/>
    <n v="10"/>
    <d v="2019-01-29T00:00:00"/>
    <x v="1"/>
    <n v="1"/>
    <n v="1"/>
    <n v="11"/>
    <n v="1"/>
    <s v="Contratación directa / Prestación de servicios profesionales y de apoyo a la gestión"/>
    <s v="CCE-16"/>
    <n v="0"/>
    <s v="N.A."/>
    <s v="LUZ MARINA ZAPATA "/>
    <n v="29700000"/>
    <n v="29700000"/>
    <n v="0"/>
    <n v="0"/>
    <s v="ASESORA JURIDICA"/>
    <s v="CO-DC-11001"/>
    <s v="María Victoria Villamil Páez (Subdirección General)"/>
    <s v="3550800"/>
    <s v="maria.villamil@idpc.gov.co"/>
    <s v="ME20181110"/>
    <s v="COMP1110"/>
    <s v="CONC1110"/>
    <s v="Incrementar la sostenibilidad del sistema integrado de gestión, para prestar un mejor servicio en la atención a la ciudadanía."/>
    <s v="Fortalecimiento de los subsistemas del sistema integrado de gestión"/>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29700000"/>
    <m/>
    <m/>
    <m/>
    <n v="29700000"/>
    <m/>
    <m/>
    <m/>
    <m/>
    <m/>
    <n v="29700000"/>
    <m/>
    <m/>
    <m/>
    <n v="0"/>
    <m/>
    <n v="1"/>
    <m/>
    <m/>
    <m/>
    <m/>
    <m/>
    <m/>
    <m/>
    <m/>
    <m/>
    <m/>
    <m/>
    <m/>
    <m/>
    <m/>
    <n v="0"/>
    <n v="0"/>
    <m/>
  </r>
  <r>
    <n v="170"/>
    <n v="170"/>
    <b v="0"/>
    <s v="Sí"/>
    <s v="1110. Fortalecimiento y desarrollo de la gestión institucional"/>
    <s v="3-3-1-15-07-42-1110-185"/>
    <n v="80111600"/>
    <s v="Prestar servicios profesionales al Instituto Distrital de Patrimonio Cultural para dar lineamientos en la Planeación Estratégica Institucional. "/>
    <s v="(Cód. 170) Prestar servicios profesionales al Instituto Distrital de Patrimonio Cultural para dar lineamientos en la Planeación Estratégica Institucional. "/>
    <d v="2019-01-15T00:00:00"/>
    <n v="10"/>
    <d v="2019-01-29T00:00:00"/>
    <x v="1"/>
    <n v="1"/>
    <n v="1"/>
    <n v="2"/>
    <n v="1"/>
    <s v="Contratación directa / Prestación de servicios profesionales y de apoyo a la gestión"/>
    <s v="CCE-16"/>
    <n v="0"/>
    <s v="N.A."/>
    <s v="LUZ PATRICIA QUINTANILLA PARRA"/>
    <n v="18540000"/>
    <n v="18540000"/>
    <n v="0"/>
    <n v="0"/>
    <s v="ASESORA JURIDICA"/>
    <s v="CO-DC-11001"/>
    <s v="María Victoria Villamil Páez (Subdirección General)"/>
    <s v="3550800"/>
    <s v="maria.villamil@idpc.gov.co"/>
    <s v="ME20181110"/>
    <s v="COMP1110"/>
    <s v="CONC1110"/>
    <s v="Incrementar la sostenibilidad del sistema integrado de gestión, para prestar un mejor servicio en la atención a la ciudadanía."/>
    <s v="Personal de apoyo transversal a la gestión institucional"/>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18540000"/>
    <m/>
    <m/>
    <m/>
    <n v="18540000"/>
    <m/>
    <m/>
    <m/>
    <m/>
    <m/>
    <n v="18540000"/>
    <m/>
    <m/>
    <m/>
    <n v="0"/>
    <m/>
    <n v="1"/>
    <m/>
    <m/>
    <m/>
    <m/>
    <m/>
    <m/>
    <m/>
    <m/>
    <m/>
    <m/>
    <m/>
    <m/>
    <m/>
    <m/>
    <n v="0"/>
    <n v="0"/>
    <m/>
  </r>
  <r>
    <n v="171"/>
    <n v="171"/>
    <b v="0"/>
    <s v="Sí"/>
    <s v="1110. Fortalecimiento y desarrollo de la gestión institucional"/>
    <s v="3-3-1-15-07-42-1110-185"/>
    <n v="80111600"/>
    <s v="Prestar servicios de apoyo a la gestión al Instituto Distrital de Patrimonio Cultural en las actividades operativas relacionadas con la recepción, organización documental y de correspondencia de la entidad."/>
    <s v="(Cód. 171) Prestar servicios de apoyo a la gestión al Instituto Distrital de Patrimonio Cultural en las actividades operativas relacionadas con la recepción, organización documental y de correspondencia de la entidad."/>
    <d v="2019-01-15T00:00:00"/>
    <n v="10"/>
    <d v="2019-01-29T00:00:00"/>
    <x v="1"/>
    <n v="1"/>
    <n v="1"/>
    <n v="11"/>
    <n v="1"/>
    <s v="Contratación directa / Prestación de servicios profesionales y de apoyo a la gestión"/>
    <s v="CCE-16"/>
    <n v="0"/>
    <s v="N.A."/>
    <s v="Magally morea"/>
    <n v="33990000"/>
    <n v="33990000"/>
    <n v="0"/>
    <n v="0"/>
    <s v="ASESORA JURIDICA"/>
    <s v="CO-DC-11001"/>
    <s v="Juan Fernando Acosta Mirkow (Subdirección de Gestión Corporativa)"/>
    <s v="3550800"/>
    <s v="juan.acosta@idpc.gov.co"/>
    <s v="ME20181110"/>
    <s v="COMP1110"/>
    <s v="CONC1110"/>
    <s v="Incrementar la sostenibilidad del sistema integrado de gestión, para prestar un mejor servicio en la atención a la ciudadanía."/>
    <s v="Personal de apoyo transversal a la gestión institucional"/>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33990000"/>
    <m/>
    <m/>
    <m/>
    <n v="33990000"/>
    <m/>
    <m/>
    <m/>
    <m/>
    <m/>
    <n v="33990000"/>
    <m/>
    <m/>
    <m/>
    <n v="0"/>
    <m/>
    <n v="1"/>
    <m/>
    <m/>
    <m/>
    <m/>
    <m/>
    <m/>
    <m/>
    <m/>
    <m/>
    <m/>
    <m/>
    <m/>
    <m/>
    <m/>
    <n v="0"/>
    <n v="0"/>
    <m/>
  </r>
  <r>
    <n v="172"/>
    <n v="172"/>
    <b v="0"/>
    <s v="Sí"/>
    <s v="1110. Fortalecimiento y desarrollo de la gestión institucional"/>
    <s v="3-3-1-15-07-42-1110-185"/>
    <n v="80111600"/>
    <s v="Prestar servicios profesionales al Instituto Distrital de Patrimonio Cultural para apoyar jurídicamente en la realización de las actividades de la gestión del Talento Humano de la entidad."/>
    <s v="(Cód. 172) Prestar servicios profesionales al Instituto Distrital de Patrimonio Cultural para apoyar jurídicamente en la realización de las actividades de la gestión del Talento Humano de la entidad."/>
    <d v="2019-01-15T00:00:00"/>
    <n v="10"/>
    <d v="2019-01-29T00:00:00"/>
    <x v="1"/>
    <n v="1"/>
    <n v="1"/>
    <n v="11"/>
    <n v="1"/>
    <s v="Contratación directa / Prestación de servicios profesionales y de apoyo a la gestión"/>
    <s v="CCE-16"/>
    <n v="0"/>
    <s v="N.A."/>
    <s v="Marcela Ramírez"/>
    <n v="44000000"/>
    <n v="44000000"/>
    <n v="0"/>
    <n v="0"/>
    <s v="ASESORA JURIDICA"/>
    <s v="CO-DC-11001"/>
    <s v="Juan Fernando Acosta Mirkow (Subdirección de Gestión Corporativa)"/>
    <s v="3550800"/>
    <s v="juan.acosta@idpc.gov.co"/>
    <s v="ME20181110"/>
    <s v="COMP1110"/>
    <s v="CONC1110"/>
    <s v="Incrementar la sostenibilidad del sistema integrado de gestión, para prestar un mejor servicio en la atención a la ciudadanía."/>
    <s v="Personal de apoyo transversal a la gestión institucional"/>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44000000"/>
    <m/>
    <m/>
    <m/>
    <n v="44000000"/>
    <m/>
    <m/>
    <m/>
    <m/>
    <m/>
    <n v="44000000"/>
    <m/>
    <m/>
    <m/>
    <n v="0"/>
    <m/>
    <n v="1"/>
    <m/>
    <m/>
    <m/>
    <m/>
    <m/>
    <m/>
    <m/>
    <m/>
    <m/>
    <m/>
    <m/>
    <m/>
    <m/>
    <m/>
    <n v="0"/>
    <n v="0"/>
    <m/>
  </r>
  <r>
    <n v="173"/>
    <n v="173"/>
    <b v="0"/>
    <s v="Sí"/>
    <s v="1110. Fortalecimiento y desarrollo de la gestión institucional"/>
    <s v="3-3-1-15-07-42-1110-185"/>
    <n v="80111600"/>
    <s v="Prestar servicios profesionales al Instituto Distrital de Patrimonio Cultural para realizar acciones relacionadas con la implementación y consolidación del Sistema de Información Geográfica -SIG_PC-."/>
    <s v="(Cód. 173) Prestar servicios profesionales al Instituto Distrital de Patrimonio Cultural para realizar acciones relacionadas con la implementación y consolidación del Sistema de Información Geográfica -SIG_PC-."/>
    <d v="2019-01-15T00:00:00"/>
    <n v="10"/>
    <d v="2019-01-29T00:00:00"/>
    <x v="1"/>
    <n v="1"/>
    <n v="1"/>
    <n v="11"/>
    <n v="1"/>
    <s v="Contratación directa / Prestación de servicios profesionales y de apoyo a la gestión"/>
    <s v="CCE-16"/>
    <n v="0"/>
    <s v="N.A."/>
    <s v="MARIA ISABEL VANEGAS "/>
    <n v="62480000"/>
    <n v="62480000"/>
    <n v="0"/>
    <n v="0"/>
    <s v="ASESORA JURIDICA"/>
    <s v="CO-DC-11001"/>
    <s v="María Victoria Villamil Páez (Subdirección General)"/>
    <s v="3550800"/>
    <s v="maria.villamil@idpc.gov.co"/>
    <s v="ME20181110"/>
    <s v="COMP1110"/>
    <s v="CONC1110"/>
    <s v="Incrementar la sostenibilidad del sistema integrado de gestión, para prestar un mejor servicio en la atención a la ciudadanía."/>
    <s v="Desarrollar actividades de comunicación e información"/>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62480000"/>
    <m/>
    <m/>
    <m/>
    <n v="62480000"/>
    <m/>
    <m/>
    <m/>
    <m/>
    <m/>
    <n v="62480000"/>
    <m/>
    <m/>
    <m/>
    <n v="0"/>
    <m/>
    <n v="1"/>
    <m/>
    <m/>
    <m/>
    <m/>
    <m/>
    <m/>
    <m/>
    <m/>
    <m/>
    <m/>
    <m/>
    <m/>
    <m/>
    <m/>
    <n v="0"/>
    <n v="0"/>
    <m/>
  </r>
  <r>
    <n v="174"/>
    <n v="174"/>
    <b v="0"/>
    <s v="Sí"/>
    <s v="1110. Fortalecimiento y desarrollo de la gestión institucional"/>
    <s v="3-3-1-15-07-42-1110-185"/>
    <n v="80111600"/>
    <s v="Prestar servicios de apoyo a la gestión al Instituto Distrital de Patrimonio Cultural en el desarrollo de actividades administrativas de la Subdirección de Gestión Corporativa."/>
    <s v="(Cód. 174) Prestar servicios de apoyo a la gestión al Instituto Distrital de Patrimonio Cultural en el desarrollo de actividades administrativas de la Subdirección de Gestión Corporativa."/>
    <d v="2019-01-15T00:00:00"/>
    <n v="10"/>
    <d v="2019-01-29T00:00:00"/>
    <x v="1"/>
    <n v="1"/>
    <n v="1"/>
    <n v="11"/>
    <n v="1"/>
    <s v="Contratación directa / Prestación de servicios profesionales y de apoyo a la gestión"/>
    <s v="CCE-16"/>
    <n v="0"/>
    <s v="N.A."/>
    <s v="Mariela Cajamarca"/>
    <n v="38280000"/>
    <n v="38280000"/>
    <n v="0"/>
    <n v="0"/>
    <s v="ASESORA JURIDICA"/>
    <s v="CO-DC-11001"/>
    <s v="Juan Fernando Acosta Mirkow (Subdirección de Gestión Corporativa)"/>
    <s v="3550800"/>
    <s v="juan.acosta@idpc.gov.co"/>
    <s v="ME20181110"/>
    <s v="COMP1110"/>
    <s v="CONC1110"/>
    <s v="Incrementar la sostenibilidad del sistema integrado de gestión, para prestar un mejor servicio en la atención a la ciudadanía."/>
    <s v="Personal de apoyo transversal a la gestión institucional"/>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38280000"/>
    <m/>
    <m/>
    <m/>
    <n v="38280000"/>
    <m/>
    <m/>
    <m/>
    <m/>
    <m/>
    <n v="38280000"/>
    <m/>
    <m/>
    <m/>
    <n v="0"/>
    <m/>
    <n v="1"/>
    <m/>
    <m/>
    <m/>
    <m/>
    <m/>
    <m/>
    <m/>
    <m/>
    <m/>
    <m/>
    <m/>
    <m/>
    <m/>
    <m/>
    <n v="0"/>
    <n v="0"/>
    <m/>
  </r>
  <r>
    <n v="175"/>
    <n v="175"/>
    <b v="0"/>
    <s v="Sí"/>
    <s v="1110. Fortalecimiento y desarrollo de la gestión institucional"/>
    <s v="3-3-1-15-07-42-1110-185"/>
    <n v="80111600"/>
    <s v="Prestar servicios profesionales al Instituto Distrital de Patrimonio Cultural para dar lineamientos, formular y orientar las acciones para la sostenibilidad del Subsistema Interno de Gestión Documental y Archivos -SIGA."/>
    <s v="(Cód. 175) Prestar servicios profesionales al Instituto Distrital de Patrimonio Cultural para dar lineamientos, formular y orientar las acciones para la sostenibilidad del Subsistema Interno de Gestión Documental y Archivos -SIGA."/>
    <d v="2019-01-15T00:00:00"/>
    <n v="10"/>
    <d v="2019-01-29T00:00:00"/>
    <x v="1"/>
    <n v="1"/>
    <n v="1"/>
    <n v="11"/>
    <n v="1"/>
    <s v="Contratación directa / Prestación de servicios profesionales y de apoyo a la gestión"/>
    <s v="CCE-16"/>
    <n v="0"/>
    <s v="N.A."/>
    <s v="MAURICIO DE JESUS ARAQUE TEJADA"/>
    <n v="56100000"/>
    <n v="56100000"/>
    <n v="0"/>
    <n v="0"/>
    <s v="ASESORA JURIDICA"/>
    <s v="CO-DC-11001"/>
    <s v="María Victoria Villamil Páez (Subdirección General)"/>
    <s v="3550800"/>
    <s v="maria.villamil@idpc.gov.co"/>
    <s v="ME20181110"/>
    <s v="COMP1110"/>
    <s v="CONC1110"/>
    <s v="Incrementar la sostenibilidad del sistema integrado de gestión, para prestar un mejor servicio en la atención a la ciudadanía."/>
    <s v="Fortalecimiento de los subsistemas del sistema integrado de gestión"/>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56100000"/>
    <m/>
    <m/>
    <m/>
    <n v="56100000"/>
    <m/>
    <m/>
    <m/>
    <m/>
    <m/>
    <n v="56100000"/>
    <m/>
    <m/>
    <m/>
    <n v="0"/>
    <m/>
    <n v="1"/>
    <m/>
    <m/>
    <m/>
    <m/>
    <m/>
    <m/>
    <m/>
    <m/>
    <m/>
    <m/>
    <m/>
    <m/>
    <m/>
    <m/>
    <n v="0"/>
    <n v="0"/>
    <m/>
  </r>
  <r>
    <n v="176"/>
    <n v="176"/>
    <b v="0"/>
    <s v="Sí"/>
    <s v="1110. Fortalecimiento y desarrollo de la gestión institucional"/>
    <s v="3-3-1-15-07-42-1110-185"/>
    <n v="81141504"/>
    <s v="Adquisición de equipos de control ambiental para las salas de exposición del Museo de Bogotá y para el archivo de gestión del Instituto Distrital de Patrimonio Cultural."/>
    <s v="(Cód. 176) Adquisición de equipos de control ambiental para las salas de exposición del Museo de Bogotá y para el archivo de gestión del Instituto Distrital de Patrimonio Cultural."/>
    <d v="2019-01-31T00:00:00"/>
    <n v="25"/>
    <d v="2019-03-07T00:00:00"/>
    <x v="5"/>
    <n v="1"/>
    <n v="1"/>
    <n v="3"/>
    <n v="1"/>
    <s v="Mínima cuantía"/>
    <s v="CCE-10"/>
    <n v="0"/>
    <s v="Saneamiento y control ambiental"/>
    <s v="MEDIDORES DE CONTROL AMBIENTAL ESPACIOS ARCHIVO (Bodegas de Almacenamiento) - Datalogger; Luxómetro ; Medidor de CO2"/>
    <n v="5718016"/>
    <n v="5718016"/>
    <n v="0"/>
    <n v="0"/>
    <s v="ASESORA JURIDICA"/>
    <s v="CO-DC-11001"/>
    <s v="María Victoria Villamil Páez (Subdirección General)"/>
    <s v="3550800"/>
    <s v="maria.villamil@idpc.gov.co"/>
    <s v="ME20181110"/>
    <s v="COMP1110"/>
    <s v="CONC1110"/>
    <s v="Mantener las sedes misionales a cargo de la entidad"/>
    <s v="Adquisición de equipos, materiales y suministros"/>
    <s v="10. Procesos articulados dentro del sistema integrado de gestión."/>
    <s v="FONT1110"/>
    <s v="12-Otros Distrito"/>
    <s v="02-DOTACION"/>
    <s v="03-ADQUISICIÓN DE EQUIPOS, MATERIALES, SUMINISTROS Y SERVICIOS ADMISTRATIVOS"/>
    <s v="0114-Adquisición de Equipos, materiales, suministros"/>
    <n v="0"/>
    <n v="5718016"/>
    <m/>
    <m/>
    <m/>
    <n v="5718016"/>
    <m/>
    <m/>
    <m/>
    <m/>
    <m/>
    <n v="5718016"/>
    <m/>
    <m/>
    <m/>
    <n v="0"/>
    <m/>
    <n v="1"/>
    <m/>
    <m/>
    <m/>
    <m/>
    <m/>
    <m/>
    <m/>
    <m/>
    <m/>
    <m/>
    <m/>
    <m/>
    <m/>
    <m/>
    <n v="0"/>
    <n v="0"/>
    <m/>
  </r>
  <r>
    <n v="177"/>
    <n v="177"/>
    <b v="0"/>
    <s v="Sí"/>
    <s v="1110. Fortalecimiento y desarrollo de la gestión institucional"/>
    <s v="3-3-1-15-07-42-1110-185"/>
    <n v="80111600"/>
    <s v="Prestar servicios profesionales al Instituto Distrital de Patrimonio Cultural para orientar y formular acciones para el fortalecimiento y mantenimiento del Subsistema de Gestión Ambiental en el marco del Sistema Integrado de Gestión."/>
    <s v="(Cód. 177) Prestar servicios profesionales al Instituto Distrital de Patrimonio Cultural para orientar y formular acciones para el fortalecimiento y mantenimiento del Subsistema de Gestión Ambiental en el marco del Sistema Integrado de Gestión."/>
    <d v="2019-01-15T00:00:00"/>
    <n v="10"/>
    <d v="2019-01-29T00:00:00"/>
    <x v="1"/>
    <n v="1"/>
    <n v="1"/>
    <n v="11"/>
    <n v="1"/>
    <s v="Contratación directa / Prestación de servicios profesionales y de apoyo a la gestión"/>
    <s v="CCE-16"/>
    <n v="0"/>
    <s v="N.A."/>
    <s v="MILLER ALEJANDRO CASTRO PEREZ"/>
    <n v="57640000"/>
    <n v="57640000"/>
    <n v="0"/>
    <n v="0"/>
    <s v="ASESORA JURIDICA"/>
    <s v="CO-DC-11001"/>
    <s v="María Victoria Villamil Páez (Subdirección General)"/>
    <s v="3550800"/>
    <s v="maria.villamil@idpc.gov.co"/>
    <s v="ME20181110"/>
    <s v="COMP1110"/>
    <s v="CONC1110"/>
    <s v="Incrementar la sostenibilidad del sistema integrado de gestión, para prestar un mejor servicio en la atención a la ciudadanía."/>
    <s v="Fortalecimiento de los subsistemas del sistema integrado de gestión"/>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57640000"/>
    <m/>
    <m/>
    <m/>
    <n v="57640000"/>
    <m/>
    <m/>
    <m/>
    <m/>
    <m/>
    <n v="57640000"/>
    <m/>
    <m/>
    <m/>
    <n v="0"/>
    <m/>
    <n v="1"/>
    <m/>
    <m/>
    <m/>
    <m/>
    <m/>
    <m/>
    <m/>
    <m/>
    <m/>
    <m/>
    <m/>
    <m/>
    <m/>
    <m/>
    <n v="0"/>
    <n v="0"/>
    <m/>
  </r>
  <r>
    <n v="178"/>
    <n v="178"/>
    <b v="0"/>
    <s v="Sí"/>
    <s v="1110. Fortalecimiento y desarrollo de la gestión institucional"/>
    <s v="3-3-1-15-07-42-1110-185"/>
    <s v="56101700;56101703"/>
    <s v="Adquisición de mobiliario para la sede administrativa del Instituto Distrital de Patrimonio Cultural."/>
    <s v="(Cód. 178) Adquisición de mobiliario para la sede administrativa del Instituto Distrital de Patrimonio Cultural."/>
    <d v="2019-06-15T00:00:00"/>
    <n v="45"/>
    <d v="2019-08-16T00:00:00"/>
    <x v="9"/>
    <n v="6"/>
    <n v="6"/>
    <n v="2"/>
    <n v="1"/>
    <s v="Menor cuantía"/>
    <s v="CCE-06"/>
    <n v="0"/>
    <s v="Mobiliario"/>
    <s v="muebles casa sede"/>
    <n v="113341984"/>
    <n v="113341984"/>
    <n v="0"/>
    <n v="0"/>
    <s v="ASESORA JURIDICA"/>
    <s v="CO-DC-11001"/>
    <s v="Juan Fernando Acosta Mirkow (Subdirección de Gestión Corporativa)"/>
    <s v="3550800"/>
    <s v="juan.acosta@idpc.gov.co"/>
    <s v="ME20181110"/>
    <s v="COMP1110"/>
    <s v="CONC1110"/>
    <s v="Incrementar la sostenibilidad del sistema integrado de gestión, para prestar un mejor servicio en la atención a la ciudadanía."/>
    <s v="Adquisición de equipos, materiales y suministros"/>
    <s v="10. Procesos articulados dentro del sistema integrado de gestión."/>
    <s v="FONT1110"/>
    <s v="12-Otros Distrito"/>
    <s v="02-DOTACION"/>
    <s v="03-ADQUISICIÓN DE EQUIPOS, MATERIALES, SUMINISTROS Y SERVICIOS ADMISTRATIVOS"/>
    <s v="0114-Adquisición de Equipos, materiales, suministros"/>
    <n v="0"/>
    <n v="113341984"/>
    <m/>
    <m/>
    <m/>
    <n v="113341984"/>
    <m/>
    <m/>
    <m/>
    <m/>
    <m/>
    <n v="113341984"/>
    <m/>
    <m/>
    <m/>
    <n v="0"/>
    <m/>
    <n v="1"/>
    <m/>
    <m/>
    <m/>
    <m/>
    <m/>
    <m/>
    <m/>
    <m/>
    <m/>
    <m/>
    <m/>
    <m/>
    <m/>
    <m/>
    <n v="0"/>
    <n v="0"/>
    <m/>
  </r>
  <r>
    <n v="179"/>
    <n v="179"/>
    <b v="0"/>
    <s v="Sí"/>
    <s v="1110. Fortalecimiento y desarrollo de la gestión institucional"/>
    <s v="3-3-1-15-07-42-1110-185"/>
    <n v="80111600"/>
    <s v="Prestar servicios de apoyo a la gestión  al Instituto Distrital de Patrimonio Cultural para ejecutar las actividades relacionadas con el Programa de gestión Documental - PGD  y el Plan Institucional de Archivos PINAR."/>
    <s v="(Cód. 179) Prestar servicios de apoyo a la gestión  al Instituto Distrital de Patrimonio Cultural para ejecutar las actividades relacionadas con el Programa de gestión Documental - PGD  y el Plan Institucional de Archivos PINAR."/>
    <d v="2019-01-15T00:00:00"/>
    <n v="10"/>
    <d v="2019-01-29T00:00:00"/>
    <x v="1"/>
    <n v="1"/>
    <n v="1"/>
    <n v="11"/>
    <n v="1"/>
    <s v="Contratación directa / Prestación de servicios profesionales y de apoyo a la gestión"/>
    <s v="CCE-16"/>
    <n v="0"/>
    <s v="N.A."/>
    <s v="NANCY ZAMORA "/>
    <n v="36300000"/>
    <n v="36300000"/>
    <n v="0"/>
    <n v="0"/>
    <s v="ASESORA JURIDICA"/>
    <s v="CO-DC-11001"/>
    <s v="María Victoria Villamil Páez (Subdirección General)"/>
    <s v="3550800"/>
    <s v="maria.villamil@idpc.gov.co"/>
    <s v="ME20181110"/>
    <s v="COMP1110"/>
    <s v="CONC1110"/>
    <s v="Incrementar la sostenibilidad del sistema integrado de gestión, para prestar un mejor servicio en la atención a la ciudadanía."/>
    <s v="Fortalecimiento de los subsistemas del sistema integrado de gestión"/>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36300000"/>
    <m/>
    <m/>
    <m/>
    <n v="36300000"/>
    <m/>
    <m/>
    <m/>
    <m/>
    <m/>
    <n v="36300000"/>
    <m/>
    <m/>
    <m/>
    <n v="0"/>
    <m/>
    <n v="1"/>
    <m/>
    <m/>
    <m/>
    <m/>
    <m/>
    <m/>
    <m/>
    <m/>
    <m/>
    <m/>
    <m/>
    <m/>
    <m/>
    <m/>
    <n v="0"/>
    <n v="0"/>
    <m/>
  </r>
  <r>
    <n v="180"/>
    <n v="180"/>
    <b v="0"/>
    <s v="Sí"/>
    <s v="1110. Fortalecimiento y desarrollo de la gestión institucional"/>
    <s v="3-3-1-15-07-42-1110-185"/>
    <n v="80111600"/>
    <s v="Prestar servicios profesionales al Instituto Distrital de Patrimonio Cultural en las actividades relacionadas con la vinculación, permanencia, retiro de los servidores públicos y demás temas relacionados con la gestión del talento humano de la entidad."/>
    <s v="(Cód. 180) Prestar servicios profesionales al Instituto Distrital de Patrimonio Cultural en las actividades relacionadas con la vinculación, permanencia, retiro de los servidores públicos y demás temas relacionados con la gestión del talento humano de la entidad."/>
    <d v="2019-01-15T00:00:00"/>
    <n v="10"/>
    <d v="2019-01-29T00:00:00"/>
    <x v="1"/>
    <n v="1"/>
    <n v="1"/>
    <n v="11"/>
    <n v="1"/>
    <s v="Contratación directa / Prestación de servicios profesionales y de apoyo a la gestión"/>
    <s v="CCE-16"/>
    <n v="0"/>
    <s v="N.A."/>
    <s v="Natalia Torres"/>
    <n v="40700000"/>
    <n v="40700000"/>
    <n v="0"/>
    <n v="0"/>
    <s v="ASESORA JURIDICA"/>
    <s v="CO-DC-11001"/>
    <s v="Juan Fernando Acosta Mirkow (Subdirección de Gestión Corporativa)"/>
    <s v="3550800"/>
    <s v="juan.acosta@idpc.gov.co"/>
    <s v="ME20181110"/>
    <s v="COMP1110"/>
    <s v="CONC1110"/>
    <s v="Incrementar la sostenibilidad del sistema integrado de gestión, para prestar un mejor servicio en la atención a la ciudadanía."/>
    <s v="Personal de apoyo transversal a la gestión institucional"/>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40700000"/>
    <m/>
    <m/>
    <m/>
    <n v="40700000"/>
    <m/>
    <m/>
    <m/>
    <m/>
    <m/>
    <n v="40700000"/>
    <m/>
    <m/>
    <m/>
    <n v="0"/>
    <m/>
    <n v="1"/>
    <m/>
    <m/>
    <m/>
    <m/>
    <m/>
    <m/>
    <m/>
    <m/>
    <m/>
    <m/>
    <m/>
    <m/>
    <m/>
    <m/>
    <n v="0"/>
    <n v="0"/>
    <m/>
  </r>
  <r>
    <n v="181"/>
    <n v="181"/>
    <b v="0"/>
    <s v="Sí"/>
    <s v="1110. Fortalecimiento y desarrollo de la gestión institucional"/>
    <s v="3-3-1-15-07-42-1110-185"/>
    <n v="80111600"/>
    <s v="Prestar servicios profesionales al Instituto Distrital de Patrimonio Cultural para apoyar las actividades relacionadas con el procesamiento de datos que permita la obtención de información confiable y oportuna de carácter financiero, contable y tributario de la entidad."/>
    <s v="(Cód. 181) Prestar servicios profesionales al Instituto Distrital de Patrimonio Cultural para apoyar las actividades relacionadas con el procesamiento de datos que permita la obtención de información confiable y oportuna de carácter financiero, contable y tributario de la entidad."/>
    <d v="2019-01-15T00:00:00"/>
    <n v="10"/>
    <d v="2019-01-29T00:00:00"/>
    <x v="1"/>
    <n v="1"/>
    <n v="1"/>
    <n v="11"/>
    <n v="1"/>
    <s v="Contratación directa / Prestación de servicios profesionales y de apoyo a la gestión"/>
    <s v="CCE-16"/>
    <n v="0"/>
    <s v="N.A."/>
    <s v="Nubia  Lizarazo"/>
    <n v="40700000"/>
    <n v="40700000"/>
    <n v="0"/>
    <n v="0"/>
    <s v="ASESORA JURIDICA"/>
    <s v="CO-DC-11001"/>
    <s v="Juan Fernando Acosta Mirkow (Subdirección de Gestión Corporativa)"/>
    <s v="3550800"/>
    <s v="juan.acosta@idpc.gov.co"/>
    <s v="ME20181110"/>
    <s v="COMP1110"/>
    <s v="CONC1110"/>
    <s v="Incrementar la sostenibilidad del sistema integrado de gestión, para prestar un mejor servicio en la atención a la ciudadanía."/>
    <s v="Personal de apoyo transversal a la gestión institucional"/>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40700000"/>
    <m/>
    <m/>
    <m/>
    <n v="40700000"/>
    <m/>
    <m/>
    <m/>
    <m/>
    <m/>
    <n v="40700000"/>
    <m/>
    <m/>
    <m/>
    <n v="0"/>
    <m/>
    <n v="1"/>
    <m/>
    <m/>
    <m/>
    <m/>
    <m/>
    <m/>
    <m/>
    <m/>
    <m/>
    <m/>
    <m/>
    <m/>
    <m/>
    <m/>
    <n v="0"/>
    <n v="0"/>
    <m/>
  </r>
  <r>
    <n v="182"/>
    <n v="182"/>
    <b v="0"/>
    <s v="Sí"/>
    <s v="1110. Fortalecimiento y desarrollo de la gestión institucional"/>
    <s v="3-3-1-15-07-42-1110-185"/>
    <n v="80111600"/>
    <s v="Prestar servicios profesionales al Instituto Distrital de Patrimonio Cultural para apoyar los procesos   administrativos de la Subdirección General o quien haga sus veces. "/>
    <s v="(Cód. 182) Prestar servicios profesionales al Instituto Distrital de Patrimonio Cultural para apoyar los procesos   administrativos de la Subdirección General o quien haga sus veces. "/>
    <d v="2019-01-15T00:00:00"/>
    <n v="10"/>
    <d v="2019-01-29T00:00:00"/>
    <x v="1"/>
    <n v="1"/>
    <n v="1"/>
    <n v="11"/>
    <n v="1"/>
    <s v="Contratación directa / Prestación de servicios profesionales y de apoyo a la gestión"/>
    <s v="CCE-16"/>
    <n v="0"/>
    <s v="N.A."/>
    <s v="OLGA LUCIA VERGARA ARENAS"/>
    <n v="47520000"/>
    <n v="47520000"/>
    <n v="0"/>
    <n v="0"/>
    <s v="ASESORA JURIDICA"/>
    <s v="CO-DC-11001"/>
    <s v="María Victoria Villamil Páez (Subdirección General)"/>
    <s v="3550800"/>
    <s v="maria.villamil@idpc.gov.co"/>
    <s v="ME20181110"/>
    <s v="COMP1110"/>
    <s v="CONC1110"/>
    <s v="Incrementar la sostenibilidad del sistema integrado de gestión, para prestar un mejor servicio en la atención a la ciudadanía."/>
    <s v="Personal de apoyo transversal a la gestión institucional"/>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47520000"/>
    <m/>
    <m/>
    <m/>
    <n v="47520000"/>
    <m/>
    <m/>
    <m/>
    <m/>
    <m/>
    <n v="47520000"/>
    <m/>
    <m/>
    <m/>
    <n v="0"/>
    <m/>
    <n v="1"/>
    <m/>
    <m/>
    <m/>
    <m/>
    <m/>
    <m/>
    <m/>
    <m/>
    <m/>
    <m/>
    <m/>
    <m/>
    <m/>
    <m/>
    <n v="0"/>
    <n v="0"/>
    <m/>
  </r>
  <r>
    <n v="183"/>
    <n v="183"/>
    <b v="0"/>
    <s v="Sí"/>
    <s v="1110. Fortalecimiento y desarrollo de la gestión institucional"/>
    <s v="3-3-1-15-07-42-1110-185"/>
    <n v="80111600"/>
    <s v="Prestar servicios de apoyo a la gestión al Instituto Distrital de Patrimonio Cultural para la organización de los archivos de la Entidad. "/>
    <s v="(Cód. 183) Prestar servicios de apoyo a la gestión al Instituto Distrital de Patrimonio Cultural para la organización de los archivos de la Entidad. "/>
    <d v="2019-01-15T00:00:00"/>
    <n v="10"/>
    <d v="2019-01-29T00:00:00"/>
    <x v="1"/>
    <n v="1"/>
    <n v="1"/>
    <n v="11"/>
    <n v="1"/>
    <s v="Contratación directa / Prestación de servicios profesionales y de apoyo a la gestión"/>
    <s v="CCE-16"/>
    <n v="0"/>
    <s v="N.A."/>
    <s v="OMAR ALEXANDER PATIÑO PINEDA"/>
    <n v="25520000"/>
    <n v="25520000"/>
    <n v="0"/>
    <n v="0"/>
    <s v="ASESORA JURIDICA"/>
    <s v="CO-DC-11001"/>
    <s v="María Victoria Villamil Páez (Subdirección General)"/>
    <s v="3550800"/>
    <s v="maria.villamil@idpc.gov.co"/>
    <s v="ME20181110"/>
    <s v="COMP1110"/>
    <s v="CONC1110"/>
    <s v="Incrementar la sostenibilidad del sistema integrado de gestión, para prestar un mejor servicio en la atención a la ciudadanía."/>
    <s v="Fortalecimiento de los subsistemas del sistema integrado de gestión"/>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25520000"/>
    <m/>
    <m/>
    <m/>
    <n v="25520000"/>
    <m/>
    <m/>
    <m/>
    <m/>
    <m/>
    <n v="25520000"/>
    <m/>
    <m/>
    <m/>
    <n v="0"/>
    <m/>
    <n v="1"/>
    <m/>
    <m/>
    <m/>
    <m/>
    <m/>
    <m/>
    <m/>
    <m/>
    <m/>
    <m/>
    <m/>
    <m/>
    <m/>
    <m/>
    <n v="0"/>
    <n v="0"/>
    <m/>
  </r>
  <r>
    <n v="184"/>
    <n v="184"/>
    <b v="0"/>
    <s v="Sí"/>
    <s v="1110. Fortalecimiento y desarrollo de la gestión institucional"/>
    <s v="3-3-1-15-07-42-1110-185"/>
    <n v="80111600"/>
    <s v="_x000a_Prestar servicios profesionales al Instituto Distrital de Patrimonio Cultural para apoyar las actividades requeridas en el seguimiento a la ejecución presupuestal de inversión y a las metas de los proyectos de inversión del Instituto._x000a_"/>
    <s v="(Cód. 184) _x000a_Prestar servicios profesionales al Instituto Distrital de Patrimonio Cultural para apoyar las actividades requeridas en el seguimiento a la ejecución presupuestal de inversión y a las metas de los proyectos de inversión del Instituto._x000a_"/>
    <d v="2019-01-15T00:00:00"/>
    <n v="10"/>
    <d v="2019-01-29T00:00:00"/>
    <x v="1"/>
    <n v="1"/>
    <n v="1"/>
    <n v="11"/>
    <n v="1"/>
    <s v="Contratación directa / Prestación de servicios profesionales y de apoyo a la gestión"/>
    <s v="CCE-16"/>
    <n v="0"/>
    <s v="N.A."/>
    <s v="ORLANDO ARIAS CAICEDO "/>
    <n v="46200000"/>
    <n v="46200000"/>
    <n v="0"/>
    <n v="0"/>
    <s v="ASESORA JURIDICA"/>
    <s v="CO-DC-11001"/>
    <s v="María Victoria Villamil Páez (Subdirección General)"/>
    <s v="3550800"/>
    <s v="maria.villamil@idpc.gov.co"/>
    <s v="ME20181110"/>
    <s v="COMP1110"/>
    <s v="CONC1110"/>
    <s v="Incrementar la sostenibilidad del sistema integrado de gestión, para prestar un mejor servicio en la atención a la ciudadanía."/>
    <s v="Personal de apoyo transversal a la gestión institucional"/>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46200000"/>
    <m/>
    <m/>
    <m/>
    <n v="46200000"/>
    <m/>
    <m/>
    <m/>
    <m/>
    <m/>
    <n v="46200000"/>
    <m/>
    <m/>
    <m/>
    <n v="0"/>
    <m/>
    <n v="1"/>
    <m/>
    <m/>
    <m/>
    <m/>
    <m/>
    <m/>
    <m/>
    <m/>
    <m/>
    <m/>
    <m/>
    <m/>
    <m/>
    <m/>
    <n v="0"/>
    <n v="0"/>
    <m/>
  </r>
  <r>
    <n v="185"/>
    <n v="185"/>
    <b v="0"/>
    <s v="Sí"/>
    <s v="1110. Fortalecimiento y desarrollo de la gestión institucional"/>
    <s v="3-3-1-15-07-42-1110-185"/>
    <n v="80111600"/>
    <s v="Prestar servicios de apoyo a la gestión al Instituto Distrital de Patrimonio Cultural para la organización de los archivos de la Entidad. "/>
    <s v="(Cód. 185) Prestar servicios de apoyo a la gestión al Instituto Distrital de Patrimonio Cultural para la organización de los archivos de la Entidad. "/>
    <d v="2019-01-15T00:00:00"/>
    <n v="10"/>
    <d v="2019-01-29T00:00:00"/>
    <x v="1"/>
    <n v="1"/>
    <n v="1"/>
    <n v="11"/>
    <n v="1"/>
    <s v="Contratación directa / Prestación de servicios profesionales y de apoyo a la gestión"/>
    <s v="CCE-16"/>
    <n v="0"/>
    <s v="N.A."/>
    <s v="OSCAR FABIAN UYABAN DUEÑAS"/>
    <n v="25520000"/>
    <n v="25520000"/>
    <n v="0"/>
    <n v="0"/>
    <s v="ASESORA JURIDICA"/>
    <s v="CO-DC-11001"/>
    <s v="María Victoria Villamil Páez (Subdirección General)"/>
    <s v="3550800"/>
    <s v="maria.villamil@idpc.gov.co"/>
    <s v="ME20181110"/>
    <s v="COMP1110"/>
    <s v="CONC1110"/>
    <s v="Incrementar la sostenibilidad del sistema integrado de gestión, para prestar un mejor servicio en la atención a la ciudadanía."/>
    <s v="Fortalecimiento de los subsistemas del sistema integrado de gestión"/>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25520000"/>
    <m/>
    <m/>
    <m/>
    <n v="25520000"/>
    <m/>
    <m/>
    <m/>
    <m/>
    <m/>
    <n v="25520000"/>
    <m/>
    <m/>
    <m/>
    <n v="0"/>
    <m/>
    <n v="1"/>
    <m/>
    <m/>
    <m/>
    <m/>
    <m/>
    <m/>
    <m/>
    <m/>
    <m/>
    <m/>
    <m/>
    <m/>
    <m/>
    <m/>
    <n v="0"/>
    <n v="0"/>
    <m/>
  </r>
  <r>
    <n v="186"/>
    <n v="186"/>
    <b v="0"/>
    <s v="Sí"/>
    <s v="1110. Fortalecimiento y desarrollo de la gestión institucional"/>
    <s v="3-3-1-15-07-42-1110-185"/>
    <n v="80111600"/>
    <s v="Prestar servicios de apoyo a la gestión al Instituto Distrital de Patrimonio Cultural en las actividades relacionadas con los préstamos, consultas y organización de los archivos de la Asesoría Jurídica o quien haga sus veces, en el marco del Subsistema Interno de Gestión Documental y Archivos (SIGA)."/>
    <s v="(Cód. 186) Prestar servicios de apoyo a la gestión al Instituto Distrital de Patrimonio Cultural en las actividades relacionadas con los préstamos, consultas y organización de los archivos de la Asesoría Jurídica o quien haga sus veces, en el marco del Subsistema Interno de Gestión Documental y Archivos (SIGA)."/>
    <d v="2019-01-15T00:00:00"/>
    <n v="10"/>
    <d v="2019-01-29T00:00:00"/>
    <x v="1"/>
    <n v="1"/>
    <n v="1"/>
    <n v="11"/>
    <n v="1"/>
    <s v="Contratación directa / Prestación de servicios profesionales y de apoyo a la gestión"/>
    <s v="CCE-16"/>
    <n v="0"/>
    <s v="N.A."/>
    <s v="Paola Andrea Gonzáles Armero"/>
    <n v="31570000"/>
    <n v="31570000"/>
    <n v="0"/>
    <n v="0"/>
    <s v="ASESORA JURIDICA"/>
    <s v="CO-DC-11001"/>
    <s v="Juan Fernando Acosta Mirkow (Subdirección de Gestión Corporativa)"/>
    <s v="3550800"/>
    <s v="juan.acosta@idpc.gov.co"/>
    <s v="ME20181110"/>
    <s v="COMP1110"/>
    <s v="CONC1110"/>
    <s v="Incrementar la sostenibilidad del sistema integrado de gestión, para prestar un mejor servicio en la atención a la ciudadanía."/>
    <s v="Personal de apoyo transversal a la gestión institucional"/>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31570000"/>
    <m/>
    <m/>
    <m/>
    <n v="31570000"/>
    <m/>
    <m/>
    <m/>
    <m/>
    <m/>
    <n v="31570000"/>
    <m/>
    <m/>
    <m/>
    <n v="0"/>
    <m/>
    <n v="1"/>
    <m/>
    <m/>
    <m/>
    <m/>
    <m/>
    <m/>
    <m/>
    <m/>
    <m/>
    <m/>
    <m/>
    <m/>
    <m/>
    <m/>
    <n v="0"/>
    <n v="0"/>
    <m/>
  </r>
  <r>
    <n v="187"/>
    <n v="187"/>
    <b v="0"/>
    <s v="Sí"/>
    <s v="1110. Fortalecimiento y desarrollo de la gestión institucional"/>
    <s v="3-3-1-15-07-42-1110-185"/>
    <n v="80111600"/>
    <s v="Prestar servicios profesionales al Instituto Distrital de Patrimonio Cultural para adelantar acciones relacionadas con los procesos de planeación, seguimiento y control de los programas, planes y proyectos del Instituto."/>
    <s v="(Cód. 187) Prestar servicios profesionales al Instituto Distrital de Patrimonio Cultural para adelantar acciones relacionadas con los procesos de planeación, seguimiento y control de los programas, planes y proyectos del Instituto."/>
    <d v="2019-02-15T00:00:00"/>
    <n v="10"/>
    <d v="2019-03-01T00:00:00"/>
    <x v="5"/>
    <n v="2"/>
    <n v="2"/>
    <n v="9"/>
    <n v="1"/>
    <s v="Contratación directa / Prestación de servicios profesionales y de apoyo a la gestión"/>
    <s v="CCE-16"/>
    <n v="0"/>
    <s v="N.A."/>
    <s v="PLANEACIÓN "/>
    <n v="45000000"/>
    <n v="45000000"/>
    <n v="0"/>
    <n v="0"/>
    <s v="ASESORA JURIDICA"/>
    <s v="CO-DC-11001"/>
    <s v="María Victoria Villamil Páez (Subdirección General)"/>
    <s v="3550800"/>
    <s v="maria.villamil@idpc.gov.co"/>
    <s v="ME20181110"/>
    <s v="COMP1110"/>
    <s v="CONC1110"/>
    <s v="Incrementar la sostenibilidad del sistema integrado de gestión, para prestar un mejor servicio en la atención a la ciudadanía."/>
    <s v="Personal de apoyo transversal a la gestión institucional"/>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45000000"/>
    <m/>
    <m/>
    <m/>
    <n v="45000000"/>
    <m/>
    <m/>
    <m/>
    <m/>
    <m/>
    <n v="45000000"/>
    <m/>
    <m/>
    <m/>
    <n v="0"/>
    <m/>
    <n v="1"/>
    <m/>
    <m/>
    <m/>
    <m/>
    <m/>
    <m/>
    <m/>
    <m/>
    <m/>
    <m/>
    <m/>
    <m/>
    <m/>
    <m/>
    <n v="0"/>
    <n v="0"/>
    <m/>
  </r>
  <r>
    <n v="188"/>
    <n v="188"/>
    <b v="0"/>
    <s v="Sí"/>
    <s v="1110. Fortalecimiento y desarrollo de la gestión institucional"/>
    <s v="3-3-1-15-07-42-1110-185"/>
    <n v="80111600"/>
    <s v="Prestar servicios profesionales al Instituto Distrital de Patrimonio Cultural para apoyar el control y seguimiento a presupuesto, metas e indicadores y  Sistema Integrado de Gestión requerido. "/>
    <s v="(Cód. 188) Prestar servicios profesionales al Instituto Distrital de Patrimonio Cultural para apoyar el control y seguimiento a presupuesto, metas e indicadores y  Sistema Integrado de Gestión requerido. "/>
    <d v="2019-02-09T00:00:00"/>
    <n v="10"/>
    <d v="2019-02-22T00:00:00"/>
    <x v="0"/>
    <n v="2"/>
    <n v="2"/>
    <n v="10"/>
    <n v="1"/>
    <s v="Contratación directa / Prestación de servicios profesionales y de apoyo a la gestión"/>
    <s v="CCE-16"/>
    <n v="0"/>
    <s v="N.A."/>
    <s v="Profesional seguimiento "/>
    <n v="56000000"/>
    <n v="56000000"/>
    <n v="0"/>
    <n v="0"/>
    <s v="ASESORA JURIDICA"/>
    <s v="CO-DC-11001"/>
    <s v="María Victoria Villamil Páez (Subdirección General)"/>
    <s v="3550800"/>
    <s v="maria.villamil@idpc.gov.co"/>
    <s v="ME20181110"/>
    <s v="COMP1110"/>
    <s v="CONC1110"/>
    <s v="Incrementar la sostenibilidad del sistema integrado de gestión, para prestar un mejor servicio en la atención a la ciudadanía."/>
    <s v="Personal de apoyo transversal a la gestión institucional"/>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56000000"/>
    <m/>
    <m/>
    <m/>
    <n v="56000000"/>
    <m/>
    <m/>
    <m/>
    <m/>
    <m/>
    <n v="56000000"/>
    <m/>
    <m/>
    <m/>
    <n v="0"/>
    <m/>
    <n v="1"/>
    <m/>
    <m/>
    <m/>
    <m/>
    <m/>
    <m/>
    <m/>
    <m/>
    <m/>
    <m/>
    <m/>
    <m/>
    <m/>
    <m/>
    <n v="0"/>
    <n v="0"/>
    <m/>
  </r>
  <r>
    <n v="189"/>
    <n v="189"/>
    <b v="0"/>
    <s v="Sí"/>
    <s v="1110. Fortalecimiento y desarrollo de la gestión institucional"/>
    <s v="3-3-1-15-07-42-1110-185"/>
    <n v="80111600"/>
    <s v="Prestar servicios de apoyo a la gestión al Instituto Distrital de Patrimonio Cultural en las actividades operativas relacionadas con la recepción, organización documental y de correspondencia de la entidad."/>
    <s v="(Cód. 189) Prestar servicios de apoyo a la gestión al Instituto Distrital de Patrimonio Cultural en las actividades operativas relacionadas con la recepción, organización documental y de correspondencia de la entidad."/>
    <d v="2019-01-15T00:00:00"/>
    <n v="10"/>
    <d v="2019-01-29T00:00:00"/>
    <x v="1"/>
    <n v="1"/>
    <n v="1"/>
    <n v="11"/>
    <n v="1"/>
    <s v="Contratación directa / Prestación de servicios profesionales y de apoyo a la gestión"/>
    <s v="CCE-16"/>
    <n v="0"/>
    <s v="N.A."/>
    <s v="Ronald Morera"/>
    <n v="33990000"/>
    <n v="33990000"/>
    <n v="0"/>
    <n v="0"/>
    <s v="ASESORA JURIDICA"/>
    <s v="CO-DC-11001"/>
    <s v="Juan Fernando Acosta Mirkow (Subdirección de Gestión Corporativa)"/>
    <s v="3550800"/>
    <s v="juan.acosta@idpc.gov.co"/>
    <s v="ME20181110"/>
    <s v="COMP1110"/>
    <s v="CONC1110"/>
    <s v="Incrementar la sostenibilidad del sistema integrado de gestión, para prestar un mejor servicio en la atención a la ciudadanía."/>
    <s v="Personal de apoyo transversal a la gestión institucional"/>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33990000"/>
    <m/>
    <m/>
    <m/>
    <n v="33990000"/>
    <m/>
    <m/>
    <m/>
    <m/>
    <m/>
    <n v="33990000"/>
    <m/>
    <m/>
    <m/>
    <n v="0"/>
    <m/>
    <n v="1"/>
    <m/>
    <m/>
    <m/>
    <m/>
    <m/>
    <m/>
    <m/>
    <m/>
    <m/>
    <m/>
    <m/>
    <m/>
    <m/>
    <m/>
    <n v="0"/>
    <n v="0"/>
    <m/>
  </r>
  <r>
    <n v="190"/>
    <n v="190"/>
    <b v="0"/>
    <s v="Sí"/>
    <s v="1110. Fortalecimiento y desarrollo de la gestión institucional"/>
    <s v="3-3-1-15-07-42-1110-185"/>
    <n v="80111600"/>
    <s v="Prestar servicios profesionales al Instituto Distrital de Patrimonio Cultural para apoyar el diseño, formulación, actualización, seguimiento y mejoramiento del Sistema de Gestión de Seguridad y Salud en el Trabajo de la entidad."/>
    <s v="(Cód. 190) Prestar servicios profesionales al Instituto Distrital de Patrimonio Cultural para apoyar el diseño, formulación, actualización, seguimiento y mejoramiento del Sistema de Gestión de Seguridad y Salud en el Trabajo de la entidad."/>
    <d v="2019-02-05T00:00:00"/>
    <n v="10"/>
    <d v="2019-02-19T00:00:00"/>
    <x v="0"/>
    <n v="2"/>
    <n v="2"/>
    <n v="9"/>
    <n v="1"/>
    <s v="Contratación directa / Prestación de servicios profesionales y de apoyo a la gestión"/>
    <s v="CCE-16"/>
    <n v="0"/>
    <s v="N.A."/>
    <s v="Salud ocupacional"/>
    <n v="33300000"/>
    <n v="33300000"/>
    <n v="0"/>
    <n v="0"/>
    <s v="ASESORA JURIDICA"/>
    <s v="CO-DC-11001"/>
    <s v="Juan Fernando Acosta Mirkow (Subdirección de Gestión Corporativa)"/>
    <s v="3550800"/>
    <s v="juan.acosta@idpc.gov.co"/>
    <s v="ME20181110"/>
    <s v="COMP1110"/>
    <s v="CONC1110"/>
    <s v="Incrementar la sostenibilidad del sistema integrado de gestión, para prestar un mejor servicio en la atención a la ciudadanía."/>
    <s v="Personal de apoyo transversal a la gestión institucional"/>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33300000"/>
    <m/>
    <m/>
    <m/>
    <n v="33300000"/>
    <m/>
    <m/>
    <m/>
    <m/>
    <m/>
    <n v="33300000"/>
    <m/>
    <m/>
    <m/>
    <n v="0"/>
    <m/>
    <n v="1"/>
    <m/>
    <m/>
    <m/>
    <m/>
    <m/>
    <m/>
    <m/>
    <m/>
    <m/>
    <m/>
    <m/>
    <m/>
    <m/>
    <m/>
    <n v="0"/>
    <n v="0"/>
    <m/>
  </r>
  <r>
    <n v="191"/>
    <n v="191"/>
    <b v="0"/>
    <s v="Sí"/>
    <s v="1110. Fortalecimiento y desarrollo de la gestión institucional"/>
    <s v="3-3-1-15-07-42-1110-185"/>
    <n v="80111600"/>
    <s v="Incrementar la sostenibilidad del sistema integrado de gestión, para prestar un mejor servicio en la atención a la ciudadanía."/>
    <s v="(Cód. 191) Incrementar la sostenibilidad del sistema integrado de gestión, para prestar un mejor servicio en la atención a la ciudadanía."/>
    <d v="2019-01-15T00:00:00"/>
    <n v="10"/>
    <d v="2019-01-29T00:00:00"/>
    <x v="1"/>
    <n v="1"/>
    <n v="1"/>
    <n v="11"/>
    <n v="1"/>
    <s v="Contratación directa / Prestación de servicios profesionales y de apoyo a la gestión"/>
    <s v="CCE-16"/>
    <n v="0"/>
    <s v="N.A."/>
    <s v="SANDRA NORIEGA "/>
    <n v="57200000"/>
    <n v="57200000"/>
    <n v="0"/>
    <n v="0"/>
    <s v="ASESORA JURIDICA"/>
    <s v="CO-DC-11001"/>
    <s v="María Victoria Villamil Páez (Subdirección General)"/>
    <s v="3550800"/>
    <s v="maria.villamil@idpc.gov.co"/>
    <s v="ME20181110"/>
    <s v="COMP1110"/>
    <s v="CONC1110"/>
    <s v="Incrementar la sostenibilidad del sistema integrado de gestión, para prestar un mejor servicio en la atención a la ciudadanía."/>
    <s v="Personal de apoyo transversal a la gestión institucional"/>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57200000"/>
    <m/>
    <m/>
    <m/>
    <n v="57200000"/>
    <m/>
    <m/>
    <m/>
    <m/>
    <m/>
    <n v="57200000"/>
    <m/>
    <m/>
    <m/>
    <n v="0"/>
    <m/>
    <n v="1"/>
    <m/>
    <m/>
    <m/>
    <m/>
    <m/>
    <m/>
    <m/>
    <m/>
    <m/>
    <m/>
    <m/>
    <m/>
    <m/>
    <m/>
    <n v="0"/>
    <n v="0"/>
    <m/>
  </r>
  <r>
    <n v="192"/>
    <n v="192"/>
    <b v="0"/>
    <s v="Sí"/>
    <s v="1110. Fortalecimiento y desarrollo de la gestión institucional"/>
    <s v="3-3-1-15-07-42-1110-185"/>
    <n v="80111600"/>
    <s v="Prestar servicios profesionales al Instituto Distrital de Patrimonio Cultural en las actividades relacionadas con el mantenimiento preventivo y correctivo de los bienes muebles e inmuebles propiedad de la entidad."/>
    <s v="(Cód. 192) Prestar servicios profesionales al Instituto Distrital de Patrimonio Cultural en las actividades relacionadas con el mantenimiento preventivo y correctivo de los bienes muebles e inmuebles propiedad de la entidad."/>
    <d v="2019-01-15T00:00:00"/>
    <n v="10"/>
    <d v="2019-01-29T00:00:00"/>
    <x v="1"/>
    <n v="1"/>
    <n v="1"/>
    <n v="11"/>
    <n v="1"/>
    <s v="Contratación directa / Prestación de servicios profesionales y de apoyo a la gestión"/>
    <s v="CCE-16"/>
    <n v="0"/>
    <s v="N.A."/>
    <s v="Sandra Palacios"/>
    <n v="38729000"/>
    <n v="38729000"/>
    <n v="0"/>
    <n v="0"/>
    <s v="ASESORA JURIDICA"/>
    <s v="CO-DC-11001"/>
    <s v="Juan Fernando Acosta Mirkow (Subdirección de Gestión Corporativa)"/>
    <s v="3550800"/>
    <s v="juan.acosta@idpc.gov.co"/>
    <s v="ME20181110"/>
    <s v="COMP1110"/>
    <s v="CONC1110"/>
    <s v="Incrementar la sostenibilidad del sistema integrado de gestión, para prestar un mejor servicio en la atención a la ciudadanía."/>
    <s v="Personal de apoyo transversal a la gestión institucional"/>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38729000"/>
    <m/>
    <m/>
    <m/>
    <n v="38729000"/>
    <m/>
    <m/>
    <m/>
    <m/>
    <m/>
    <n v="38729000"/>
    <m/>
    <m/>
    <m/>
    <n v="0"/>
    <m/>
    <n v="1"/>
    <m/>
    <m/>
    <m/>
    <m/>
    <m/>
    <m/>
    <m/>
    <m/>
    <m/>
    <m/>
    <m/>
    <m/>
    <m/>
    <m/>
    <n v="0"/>
    <n v="0"/>
    <m/>
  </r>
  <r>
    <n v="193"/>
    <n v="193"/>
    <b v="0"/>
    <s v="Sí"/>
    <s v="1110. Fortalecimiento y desarrollo de la gestión institucional"/>
    <s v="3-3-1-15-07-42-1110-185"/>
    <n v="80111600"/>
    <s v="Prestar servicios profesionales al Instituto Distrital de Patrimonio Cultural en las actividades relacionadas con el mantenimiento preventivo y correctivo de los bienes muebles e inmuebles propiedad de la entidad."/>
    <s v="(Cód. 193) Prestar servicios profesionales al Instituto Distrital de Patrimonio Cultural en las actividades relacionadas con el mantenimiento preventivo y correctivo de los bienes muebles e inmuebles propiedad de la entidad."/>
    <d v="2019-01-15T00:00:00"/>
    <n v="10"/>
    <d v="2019-01-29T00:00:00"/>
    <x v="1"/>
    <n v="1"/>
    <n v="1"/>
    <n v="1"/>
    <n v="1"/>
    <s v="Contratación directa / Prestación de servicios profesionales y de apoyo a la gestión"/>
    <s v="CCE-16"/>
    <n v="0"/>
    <s v="N.A."/>
    <s v="Sandra Palacios"/>
    <n v="1971000"/>
    <n v="1971000"/>
    <n v="0"/>
    <n v="0"/>
    <s v="ASESORA JURIDICA"/>
    <s v="CO-DC-11001"/>
    <s v="Juan Fernando Acosta Mirkow (Subdirección de Gestión Corporativa)"/>
    <s v="3550800"/>
    <s v="juan.acosta@idpc.gov.co"/>
    <s v="ME20181110"/>
    <s v="COMP1110"/>
    <s v="CONC1110"/>
    <s v="Incrementar la sostenibilidad del sistema integrado de gestión, para prestar un mejor servicio en la atención a la ciudadanía."/>
    <s v="Personal de apoyo transversal a la gestión institucional"/>
    <s v="10. Procesos articulados dentro del sistema integrado de gestión."/>
    <s v="FONT1110"/>
    <s v="21-Administrados de Libre Destinación"/>
    <s v="05-ADMINISTRACION INSTITUCIONAL"/>
    <s v="02-ADMINISTRACIÓN, CONTROL Y ORGANIZACIÓN INSTITUCIONAL PARA APOYO A LA GESTIÓN DEL DISTRITO"/>
    <s v="0020-Personal contratado para las actividades propias de los procesos de mejoramiento de gestión de la entidad"/>
    <n v="0"/>
    <n v="1971000"/>
    <m/>
    <m/>
    <m/>
    <n v="1971000"/>
    <m/>
    <m/>
    <m/>
    <m/>
    <m/>
    <n v="1971000"/>
    <m/>
    <m/>
    <m/>
    <n v="0"/>
    <m/>
    <n v="1"/>
    <m/>
    <m/>
    <m/>
    <m/>
    <m/>
    <m/>
    <m/>
    <m/>
    <m/>
    <m/>
    <m/>
    <m/>
    <m/>
    <m/>
    <n v="0"/>
    <n v="0"/>
    <m/>
  </r>
  <r>
    <n v="194"/>
    <n v="194"/>
    <b v="0"/>
    <s v="Sí"/>
    <s v="1110. Fortalecimiento y desarrollo de la gestión institucional"/>
    <s v="3-3-1-15-07-42-1110-185"/>
    <n v="80111600"/>
    <s v="Prestar servicios profesionales al Instituto Distrital de Patrimonio Cultural, acompañando jurídicamente los procesos contractuales, así como la revisión, seguimiento y control de la gestión administrativa a cargo de la Subdirección de Gestión Corporativa."/>
    <s v="(Cód. 194) Prestar servicios profesionales al Instituto Distrital de Patrimonio Cultural, acompañando jurídicamente los procesos contractuales, así como la revisión, seguimiento y control de la gestión administrativa a cargo de la Subdirección de Gestión Corporativa."/>
    <d v="2019-01-15T00:00:00"/>
    <n v="10"/>
    <d v="2019-01-29T00:00:00"/>
    <x v="1"/>
    <n v="1"/>
    <n v="1"/>
    <n v="11"/>
    <n v="1"/>
    <s v="Contratación directa / Prestación de servicios profesionales y de apoyo a la gestión"/>
    <s v="CCE-16"/>
    <n v="0"/>
    <s v="N.A."/>
    <s v="Sandra Romo"/>
    <n v="70290000"/>
    <n v="70290000"/>
    <n v="0"/>
    <n v="0"/>
    <s v="ASESORA JURIDICA"/>
    <s v="CO-DC-11001"/>
    <s v="Juan Fernando Acosta Mirkow (Subdirección de Gestión Corporativa)"/>
    <s v="3550800"/>
    <s v="juan.acosta@idpc.gov.co"/>
    <s v="ME20181110"/>
    <s v="COMP1110"/>
    <s v="CONC1110"/>
    <s v="Incrementar la sostenibilidad del sistema integrado de gestión, para prestar un mejor servicio en la atención a la ciudadanía."/>
    <s v="Personal de apoyo transversal a la gestión institucional"/>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70290000"/>
    <m/>
    <m/>
    <m/>
    <n v="70290000"/>
    <m/>
    <m/>
    <m/>
    <m/>
    <m/>
    <n v="70290000"/>
    <m/>
    <m/>
    <m/>
    <n v="0"/>
    <m/>
    <n v="1"/>
    <m/>
    <m/>
    <m/>
    <m/>
    <m/>
    <m/>
    <m/>
    <m/>
    <m/>
    <m/>
    <m/>
    <m/>
    <m/>
    <m/>
    <n v="0"/>
    <n v="0"/>
    <m/>
  </r>
  <r>
    <n v="195"/>
    <n v="195"/>
    <b v="0"/>
    <s v="Sí"/>
    <s v="1110. Fortalecimiento y desarrollo de la gestión institucional"/>
    <s v="3-3-1-15-07-42-1110-185"/>
    <n v="84131501"/>
    <s v="Contratar un programa de seguros que ampare los bienes e intereses patrimoniales del Instituto Distrital de Patrimonio Cultural y aquellos por los cuales sea o llegare a ser responsable."/>
    <s v="(Cód. 195) Contratar un programa de seguros que ampare los bienes e intereses patrimoniales del Instituto Distrital de Patrimonio Cultural y aquellos por los cuales sea o llegare a ser responsable."/>
    <d v="2019-05-01T00:00:00"/>
    <n v="50"/>
    <d v="2019-07-10T00:00:00"/>
    <x v="6"/>
    <n v="5"/>
    <n v="5"/>
    <n v="8"/>
    <n v="1"/>
    <s v="Licitación pública"/>
    <s v="CCE-02"/>
    <n v="0"/>
    <s v="Seguros"/>
    <s v="seguros"/>
    <n v="199775000"/>
    <n v="199775000"/>
    <n v="0"/>
    <n v="0"/>
    <s v="ASESORA JURIDICA"/>
    <s v="CO-DC-11001"/>
    <s v="Juan Fernando Acosta Mirkow (Subdirección de Gestión Corporativa)"/>
    <s v="3550800"/>
    <s v="juan.acosta@idpc.gov.co"/>
    <s v="ME20181110"/>
    <s v="COMP1110"/>
    <s v="CONC1110"/>
    <s v="Mantener las sedes misionales a cargo de la entidad"/>
    <s v="Administración y mantenimiento de escenarios culturales"/>
    <s v="10. Procesos articulados dentro del sistema integrado de gestión."/>
    <s v="FONT1110"/>
    <s v="12-Otros Distrito"/>
    <s v="01-INFRAESTRUCTURA"/>
    <s v="03-MEJORAMIENTO Y MANTENIMIENTO DE INFRAESTRUCTURA PROPIA DEL SECTOR"/>
    <s v="0020-Mantenimiento y mejoramiento de la infraestructura cultural"/>
    <n v="1"/>
    <n v="199775000"/>
    <m/>
    <m/>
    <m/>
    <n v="199775000"/>
    <m/>
    <m/>
    <m/>
    <m/>
    <m/>
    <n v="199775000"/>
    <m/>
    <m/>
    <m/>
    <n v="0"/>
    <m/>
    <n v="1"/>
    <m/>
    <m/>
    <m/>
    <m/>
    <m/>
    <m/>
    <m/>
    <m/>
    <m/>
    <m/>
    <m/>
    <m/>
    <m/>
    <m/>
    <n v="0"/>
    <n v="0"/>
    <m/>
  </r>
  <r>
    <n v="195"/>
    <n v="195"/>
    <b v="1"/>
    <s v="Sí"/>
    <s v="1110. Fortalecimiento y desarrollo de la gestión institucional"/>
    <s v="3-3-1-15-07-42-1110-185"/>
    <n v="84131501"/>
    <s v="Contratar un programa de seguros que ampare los bienes e intereses patrimoniales del Instituto Distrital de Patrimonio Cultural y aquellos por los cuales sea o llegare a ser responsable."/>
    <s v="(Cód. 195) Contratar un programa de seguros que ampare los bienes e intereses patrimoniales del Instituto Distrital de Patrimonio Cultural y aquellos por los cuales sea o llegare a ser responsable."/>
    <d v="2019-05-01T00:00:00"/>
    <n v="50"/>
    <d v="2019-07-10T00:00:00"/>
    <x v="6"/>
    <n v="5"/>
    <n v="5"/>
    <n v="8"/>
    <n v="1"/>
    <s v="Licitación pública"/>
    <s v="CCE-02"/>
    <n v="0"/>
    <s v="Seguros"/>
    <s v="seguros"/>
    <n v="69775000"/>
    <n v="69775000"/>
    <n v="0"/>
    <n v="0"/>
    <s v="ASESORA JURIDICA"/>
    <s v="CO-DC-11001"/>
    <s v="Juan Fernando Acosta Mirkow (Subdirección de Gestión Corporativa)"/>
    <s v="3550800"/>
    <s v="juan.acosta@idpc.gov.co"/>
    <s v="ME20181110"/>
    <s v="COMP1110"/>
    <s v="CONC1110"/>
    <s v="Mantener las sedes misionales a cargo de la entidad"/>
    <s v="Administración y mantenimiento de escenarios culturales"/>
    <s v="10. Procesos articulados dentro del sistema integrado de gestión."/>
    <s v="FONT1110"/>
    <s v="21-Administrados de Libre Destinación"/>
    <s v="01-INFRAESTRUCTURA"/>
    <s v="03-MEJORAMIENTO Y MANTENIMIENTO DE INFRAESTRUCTURA PROPIA DEL SECTOR"/>
    <s v="0020-Mantenimiento y mejoramiento de la infraestructura cultural"/>
    <n v="1"/>
    <n v="69775000"/>
    <m/>
    <m/>
    <m/>
    <n v="69775000"/>
    <m/>
    <m/>
    <m/>
    <m/>
    <m/>
    <n v="69775000"/>
    <m/>
    <m/>
    <m/>
    <n v="0"/>
    <m/>
    <n v="1"/>
    <m/>
    <m/>
    <m/>
    <m/>
    <m/>
    <m/>
    <m/>
    <m/>
    <m/>
    <m/>
    <m/>
    <m/>
    <m/>
    <m/>
    <n v="0"/>
    <n v="0"/>
    <m/>
  </r>
  <r>
    <n v="195"/>
    <n v="195"/>
    <b v="1"/>
    <s v="Sí"/>
    <s v="1110. Fortalecimiento y desarrollo de la gestión institucional"/>
    <s v="3-3-1-15-07-42-1110-185"/>
    <n v="84131501"/>
    <s v="Contratar un programa de seguros que ampare los bienes e intereses patrimoniales del Instituto Distrital de Patrimonio Cultural y aquellos por los cuales sea o llegare a ser responsable."/>
    <s v="(Cód. 195) Contratar un programa de seguros que ampare los bienes e intereses patrimoniales del Instituto Distrital de Patrimonio Cultural y aquellos por los cuales sea o llegare a ser responsable."/>
    <d v="2019-05-01T00:00:00"/>
    <n v="50"/>
    <d v="2019-07-10T00:00:00"/>
    <x v="6"/>
    <n v="5"/>
    <n v="5"/>
    <n v="8"/>
    <n v="1"/>
    <s v="Licitación pública"/>
    <s v="CCE-02"/>
    <n v="0"/>
    <s v="Seguros"/>
    <s v="seguros"/>
    <n v="450000"/>
    <n v="450000"/>
    <n v="0"/>
    <n v="0"/>
    <s v="ASESORA JURIDICA"/>
    <s v="CO-DC-11001"/>
    <s v="Juan Fernando Acosta Mirkow (Subdirección de Gestión Corporativa)"/>
    <s v="3550800"/>
    <s v="juan.acosta@idpc.gov.co"/>
    <s v="ME20181110"/>
    <s v="COMP1110"/>
    <s v="CONC1110"/>
    <s v="Mantener las sedes misionales a cargo de la entidad"/>
    <s v="Administración y mantenimiento de escenarios culturales"/>
    <s v="10. Procesos articulados dentro del sistema integrado de gestión."/>
    <s v="FONT1110"/>
    <s v="347-Rendimientos Financieros Destinación Específica"/>
    <s v="01-INFRAESTRUCTURA"/>
    <s v="03-MEJORAMIENTO Y MANTENIMIENTO DE INFRAESTRUCTURA PROPIA DEL SECTOR"/>
    <s v="0020-Mantenimiento y mejoramiento de la infraestructura cultural"/>
    <n v="1"/>
    <n v="450000"/>
    <m/>
    <m/>
    <m/>
    <n v="450000"/>
    <m/>
    <m/>
    <m/>
    <m/>
    <m/>
    <n v="450000"/>
    <m/>
    <m/>
    <m/>
    <n v="0"/>
    <m/>
    <n v="1"/>
    <m/>
    <m/>
    <m/>
    <m/>
    <m/>
    <m/>
    <m/>
    <m/>
    <m/>
    <m/>
    <m/>
    <m/>
    <m/>
    <m/>
    <n v="0"/>
    <n v="0"/>
    <m/>
  </r>
  <r>
    <n v="196"/>
    <n v="196"/>
    <b v="0"/>
    <s v="Sí"/>
    <s v="1110. Fortalecimiento y desarrollo de la gestión institucional"/>
    <s v="3-3-1-15-07-42-1110-185"/>
    <n v="80111600"/>
    <s v="Prestar servicios de apoyo a la gestión al Instituto Distrital de Patrimonio Cultural en las actividades relacionadas con la implementación del SECOP II."/>
    <s v="(Cód. 196) Prestar servicios de apoyo a la gestión al Instituto Distrital de Patrimonio Cultural en las actividades relacionadas con la implementación del SECOP II."/>
    <d v="2019-01-15T00:00:00"/>
    <n v="10"/>
    <d v="2019-01-29T00:00:00"/>
    <x v="1"/>
    <n v="1"/>
    <n v="1"/>
    <n v="11"/>
    <n v="1"/>
    <s v="Contratación directa / Prestación de servicios profesionales y de apoyo a la gestión"/>
    <s v="CCE-16"/>
    <n v="0"/>
    <s v="N.A."/>
    <s v="Víctor Alfonso"/>
    <n v="38280000"/>
    <n v="38280000"/>
    <n v="0"/>
    <n v="0"/>
    <s v="ASESORA JURIDICA"/>
    <s v="CO-DC-11001"/>
    <s v="Juan Fernando Acosta Mirkow (Subdirección de Gestión Corporativa)"/>
    <s v="3550800"/>
    <s v="juan.acosta@idpc.gov.co"/>
    <s v="ME20181110"/>
    <s v="COMP1110"/>
    <s v="CONC1110"/>
    <s v="Incrementar la sostenibilidad del sistema integrado de gestión, para prestar un mejor servicio en la atención a la ciudadanía."/>
    <s v="Personal de apoyo transversal a la gestión institucional"/>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38280000"/>
    <m/>
    <m/>
    <m/>
    <n v="38280000"/>
    <m/>
    <m/>
    <m/>
    <m/>
    <m/>
    <n v="38280000"/>
    <m/>
    <m/>
    <m/>
    <n v="0"/>
    <m/>
    <n v="1"/>
    <m/>
    <m/>
    <m/>
    <m/>
    <m/>
    <m/>
    <m/>
    <m/>
    <m/>
    <m/>
    <m/>
    <m/>
    <m/>
    <m/>
    <n v="0"/>
    <n v="0"/>
    <m/>
  </r>
  <r>
    <n v="197"/>
    <n v="197"/>
    <b v="0"/>
    <s v="Sí"/>
    <s v="1110. Fortalecimiento y desarrollo de la gestión institucional"/>
    <s v="3-3-1-15-07-42-1110-185"/>
    <s v="80111600;92121500;92121700;92121701;"/>
    <s v="Prestación de los servicios de vigilancia y seguridad privada, en la modalidad de vigilancia fija armada, con medios técnicos y tecnológicos, a los bienes muebles e inmuebles que conforman el patrimonio de la entidad y de los cuales es o llegare a ser legalmente responsable."/>
    <s v="(Cód. 197) Prestación de los servicios de vigilancia y seguridad privada, en la modalidad de vigilancia fija armada, con medios técnicos y tecnológicos, a los bienes muebles e inmuebles que conforman el patrimonio de la entidad y de los cuales es o llegare a ser legalmente responsable."/>
    <d v="2019-03-15T00:00:00"/>
    <n v="50"/>
    <d v="2019-05-24T00:00:00"/>
    <x v="3"/>
    <n v="3"/>
    <n v="3"/>
    <n v="7"/>
    <n v="1"/>
    <s v="Licitación pública"/>
    <s v="CCE-02"/>
    <n v="0"/>
    <s v="Vigilancia"/>
    <s v="vigilancia"/>
    <n v="493789594"/>
    <n v="493789594"/>
    <n v="0"/>
    <n v="0"/>
    <s v="ASESORA JURIDICA"/>
    <s v="CO-DC-11001"/>
    <s v="Juan Fernando Acosta Mirkow (Subdirección de Gestión Corporativa)"/>
    <s v="3550800"/>
    <s v="juan.acosta@idpc.gov.co"/>
    <s v="ME20181110"/>
    <s v="COMP1110"/>
    <s v="CONC1110"/>
    <s v="Mantener las sedes misionales a cargo de la entidad"/>
    <s v="Administración y mantenimiento de escenarios culturales"/>
    <s v="10. Procesos articulados dentro del sistema integrado de gestión."/>
    <s v="FONT1110"/>
    <s v="12-Otros Distrito"/>
    <s v="01-INFRAESTRUCTURA"/>
    <s v="03-MEJORAMIENTO Y MANTENIMIENTO DE INFRAESTRUCTURA PROPIA DEL SECTOR"/>
    <s v="0020-Mantenimiento y mejoramiento de la infraestructura cultural"/>
    <n v="1"/>
    <n v="493789594"/>
    <m/>
    <m/>
    <m/>
    <n v="493789594"/>
    <m/>
    <m/>
    <m/>
    <m/>
    <m/>
    <n v="493789594"/>
    <m/>
    <m/>
    <m/>
    <n v="0"/>
    <m/>
    <n v="1"/>
    <m/>
    <m/>
    <m/>
    <m/>
    <m/>
    <m/>
    <m/>
    <m/>
    <m/>
    <m/>
    <m/>
    <m/>
    <m/>
    <m/>
    <n v="0"/>
    <n v="0"/>
    <m/>
  </r>
  <r>
    <n v="198"/>
    <n v="198"/>
    <b v="0"/>
    <s v="Sí"/>
    <s v="1110. Fortalecimiento y desarrollo de la gestión institucional"/>
    <s v="3-3-1-15-07-42-1110-185"/>
    <s v="80111600;92121500;92121700;92121701;"/>
    <s v="Adición y prórroga del contrato 305 de 2018 que tiene por objeto: prestación de los servicios de vigilancia y seguridad privada, en la modalidad de vigilancia fija armada, con medios técnicos y tecnológicos, a los bienes muebles e inmuebles que conforman el patrimonio de la entidad y de los cuales es o llegare a ser legalmente responsable."/>
    <s v="(Cód. 198) Adición y prórroga del contrato 305 de 2018 que tiene por objeto: prestación de los servicios de vigilancia y seguridad privada, en la modalidad de vigilancia fija armada, con medios técnicos y tecnológicos, a los bienes muebles e inmuebles que conforman el patrimonio de la entidad y de los cuales es o llegare a ser legalmente responsable."/>
    <d v="2019-01-16T00:00:00"/>
    <n v="50"/>
    <d v="2019-03-27T00:00:00"/>
    <x v="5"/>
    <n v="1"/>
    <n v="1"/>
    <n v="105"/>
    <n v="0"/>
    <s v="Licitación pública"/>
    <s v="CCE-02"/>
    <n v="0"/>
    <s v="Vigilancia (Adición)"/>
    <s v="vigilancia"/>
    <n v="206210406"/>
    <n v="206210406"/>
    <n v="0"/>
    <n v="0"/>
    <s v="ASESORA JURIDICA"/>
    <s v="CO-DC-11001"/>
    <s v="Juan Fernando Acosta Mirkow (Subdirección de Gestión Corporativa)"/>
    <s v="3550800"/>
    <s v="juan.acosta@idpc.gov.co"/>
    <s v="ME20181110"/>
    <s v="COMP1110"/>
    <s v="CONC1110"/>
    <s v="Mantener las sedes misionales a cargo de la entidad"/>
    <s v="Administración y mantenimiento de escenarios culturales"/>
    <s v="10. Procesos articulados dentro del sistema integrado de gestión."/>
    <s v="FONT1110"/>
    <s v="12-Otros Distrito"/>
    <s v="01-INFRAESTRUCTURA"/>
    <s v="03-MEJORAMIENTO Y MANTENIMIENTO DE INFRAESTRUCTURA PROPIA DEL SECTOR"/>
    <s v="0020-Mantenimiento y mejoramiento de la infraestructura cultural"/>
    <n v="1"/>
    <n v="206210406"/>
    <m/>
    <m/>
    <m/>
    <n v="206210406"/>
    <m/>
    <m/>
    <m/>
    <m/>
    <m/>
    <n v="206210406"/>
    <m/>
    <m/>
    <m/>
    <n v="0"/>
    <m/>
    <n v="1"/>
    <m/>
    <m/>
    <m/>
    <m/>
    <m/>
    <m/>
    <m/>
    <m/>
    <m/>
    <m/>
    <m/>
    <m/>
    <m/>
    <m/>
    <n v="0"/>
    <n v="0"/>
    <m/>
  </r>
  <r>
    <n v="199"/>
    <n v="199"/>
    <b v="0"/>
    <s v="Sí"/>
    <s v="1110. Fortalecimiento y desarrollo de la gestión institucional"/>
    <s v="3-3-1-15-07-42-1110-185"/>
    <n v="80111600"/>
    <s v="Prestar servicios de apoyo a la gestión al Instituto Distrital de Patrimonio Cultural, en las actividades asistenciales que requiera la Asesoría Jurídica o quien haga sus veces."/>
    <s v="(Cód. 199) Prestar servicios de apoyo a la gestión al Instituto Distrital de Patrimonio Cultural, en las actividades asistenciales que requiera la Asesoría Jurídica o quien haga sus veces."/>
    <d v="2019-01-15T00:00:00"/>
    <n v="10"/>
    <d v="2019-01-29T00:00:00"/>
    <x v="1"/>
    <n v="1"/>
    <n v="1"/>
    <n v="11"/>
    <n v="1"/>
    <s v="Contratación directa / Prestación de servicios profesionales y de apoyo a la gestión"/>
    <s v="CCE-16"/>
    <n v="0"/>
    <s v="N.A."/>
    <s v="Yurani Giraldo"/>
    <n v="33550000"/>
    <n v="33550000"/>
    <n v="0"/>
    <n v="0"/>
    <s v="ASESORA JURIDICA"/>
    <s v="CO-DC-11001"/>
    <s v="Juan Fernando Acosta Mirkow (Subdirección de Gestión Corporativa)"/>
    <s v="3550800"/>
    <s v="juan.acosta@idpc.gov.co"/>
    <s v="ME20181110"/>
    <s v="COMP1110"/>
    <s v="CONC1110"/>
    <s v="Incrementar la sostenibilidad del sistema integrado de gestión, para prestar un mejor servicio en la atención a la ciudadanía."/>
    <s v="Personal de apoyo transversal a la gestión institucional"/>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33550000"/>
    <m/>
    <m/>
    <m/>
    <n v="33550000"/>
    <m/>
    <m/>
    <m/>
    <m/>
    <m/>
    <n v="33550000"/>
    <m/>
    <m/>
    <m/>
    <n v="0"/>
    <m/>
    <n v="1"/>
    <m/>
    <m/>
    <m/>
    <m/>
    <m/>
    <m/>
    <m/>
    <m/>
    <m/>
    <m/>
    <m/>
    <m/>
    <m/>
    <m/>
    <n v="0"/>
    <n v="0"/>
    <m/>
  </r>
  <r>
    <n v="200"/>
    <n v="200"/>
    <b v="0"/>
    <s v="Sí"/>
    <s v="1110. Fortalecimiento y desarrollo de la gestión institucional"/>
    <s v="3-3-1-15-07-42-1110-185"/>
    <s v="72103300;72151400;72121100;72121400"/>
    <s v="Contratar la prestación del servicio de mantenimiento preventivo y correctivo de bienes inmuebles propiedad y a cargo del Instituto Distrital de Patrimonio Cultural."/>
    <s v="(Cód. 200) Contratar la prestación del servicio de mantenimiento preventivo y correctivo de bienes inmuebles propiedad y a cargo del Instituto Distrital de Patrimonio Cultural."/>
    <d v="2019-06-15T00:00:00"/>
    <n v="50"/>
    <d v="2019-08-23T00:00:00"/>
    <x v="9"/>
    <n v="6"/>
    <n v="6"/>
    <n v="6"/>
    <n v="1"/>
    <s v="Licitación pública"/>
    <s v="CCE-02"/>
    <n v="0"/>
    <s v="N.A."/>
    <m/>
    <n v="200000000"/>
    <n v="200000000"/>
    <n v="0"/>
    <n v="0"/>
    <s v="ASESORA JURIDICA"/>
    <s v="CO-DC-11001"/>
    <s v="Juan Fernando Acosta Mirkow (Subdirección de Gestión Corporativa)"/>
    <s v="3550800"/>
    <s v="juan.acosta@idpc.gov.co"/>
    <s v="ME20181110"/>
    <s v="COMP1110"/>
    <s v="CONC1110"/>
    <s v="Mantener las sedes misionales a cargo de la entidad"/>
    <s v="Administración y mantenimiento de escenarios culturales"/>
    <s v="10. Procesos articulados dentro del sistema integrado de gestión."/>
    <s v="FONT1110"/>
    <s v="12-Otros Distrito"/>
    <s v="01-INFRAESTRUCTURA"/>
    <s v="03-MEJORAMIENTO Y MANTENIMIENTO DE INFRAESTRUCTURA PROPIA DEL SECTOR"/>
    <s v="0020-Mantenimiento y mejoramiento de la infraestructura cultural"/>
    <n v="1"/>
    <n v="200000000"/>
    <m/>
    <m/>
    <m/>
    <n v="200000000"/>
    <m/>
    <m/>
    <m/>
    <m/>
    <m/>
    <n v="200000000"/>
    <m/>
    <m/>
    <m/>
    <n v="0"/>
    <m/>
    <n v="1"/>
    <m/>
    <m/>
    <m/>
    <m/>
    <m/>
    <m/>
    <m/>
    <m/>
    <m/>
    <m/>
    <m/>
    <m/>
    <m/>
    <m/>
    <n v="0"/>
    <n v="0"/>
    <m/>
  </r>
  <r>
    <n v="201"/>
    <n v="201"/>
    <b v="0"/>
    <s v="Sí"/>
    <s v="1110. Fortalecimiento y desarrollo de la gestión institucional"/>
    <s v="3-3-1-15-07-42-1110-185"/>
    <s v="43211507;43211600;43212100;43211503;43201827;43201802"/>
    <s v="Adquisición de equipos de cómputo y periféricos requeridos para el desarrollo administrativo y misional del Instituto Distrital de Patrimonio Cultural."/>
    <s v="(Cód. 201) Adquisición de equipos de cómputo y periféricos requeridos para el desarrollo administrativo y misional del Instituto Distrital de Patrimonio Cultural."/>
    <d v="2019-03-15T00:00:00"/>
    <n v="45"/>
    <d v="2019-05-17T00:00:00"/>
    <x v="3"/>
    <n v="3"/>
    <n v="3"/>
    <n v="1"/>
    <n v="1"/>
    <s v="Subasta inversa"/>
    <s v="CCE-07"/>
    <n v="0"/>
    <s v="Adquisición de computadores y equipos de computación"/>
    <m/>
    <n v="120000000"/>
    <n v="120000000"/>
    <n v="0"/>
    <n v="0"/>
    <s v="ASESORA JURIDICA"/>
    <s v="CO-DC-11001"/>
    <s v="Juan Fernando Acosta Mirkow (Subdirección de Gestión Corporativa)"/>
    <s v="3550800"/>
    <s v="juan.acosta@idpc.gov.co"/>
    <s v="ME20181110"/>
    <s v="COMP1110"/>
    <s v="CONC1110"/>
    <s v="Incrementar la sostenibilidad del sistema integrado de gestión, para prestar un mejor servicio en la atención a la ciudadanía."/>
    <s v="Adquisición de equipos, materiales y suministros"/>
    <s v="10. Procesos articulados dentro del sistema integrado de gestión."/>
    <s v="FONT1110"/>
    <s v="12-Otros Distrito"/>
    <s v="02-DOTACION"/>
    <s v="03-ADQUISICIÓN DE EQUIPOS, MATERIALES, SUMINISTROS Y SERVICIOS ADMISTRATIVOS"/>
    <s v="0114-Adquisición de Equipos, materiales, suministros"/>
    <n v="0"/>
    <n v="120000000"/>
    <m/>
    <m/>
    <m/>
    <n v="120000000"/>
    <m/>
    <m/>
    <m/>
    <m/>
    <m/>
    <n v="120000000"/>
    <m/>
    <m/>
    <m/>
    <n v="0"/>
    <m/>
    <n v="1"/>
    <m/>
    <m/>
    <m/>
    <m/>
    <m/>
    <m/>
    <m/>
    <m/>
    <m/>
    <m/>
    <m/>
    <m/>
    <m/>
    <m/>
    <n v="0"/>
    <n v="0"/>
    <m/>
  </r>
  <r>
    <n v="202"/>
    <n v="202"/>
    <b v="0"/>
    <s v="Sí"/>
    <s v="1110. Fortalecimiento y desarrollo de la gestión institucional"/>
    <s v="3-3-1-15-07-42-1110-185"/>
    <s v="80161800;81112401;81112400"/>
    <s v="Contratar el alquiler e instalación de computadores de escritorio con su respectiva configuración y puesta en funcionamiento en las instalaciones del Instituto Distrital de Patrimonio Cultural."/>
    <s v="(Cód. 202) Contratar el alquiler e instalación de computadores de escritorio con su respectiva configuración y puesta en funcionamiento en las instalaciones del Instituto Distrital de Patrimonio Cultural."/>
    <d v="2019-03-15T00:00:00"/>
    <n v="10"/>
    <d v="2019-03-29T00:00:00"/>
    <x v="5"/>
    <n v="3"/>
    <n v="3"/>
    <n v="7"/>
    <n v="1"/>
    <s v="Acuerdo marco de precios"/>
    <s v="CCE-99"/>
    <n v="0"/>
    <s v="Alquiler e instalación de computadores"/>
    <m/>
    <n v="38000000"/>
    <n v="38000000"/>
    <n v="0"/>
    <n v="0"/>
    <s v="ASESORA JURIDICA"/>
    <s v="CO-DC-11001"/>
    <s v="Juan Fernando Acosta Mirkow (Subdirección de Gestión Corporativa)"/>
    <s v="3550800"/>
    <s v="juan.acosta@idpc.gov.co"/>
    <s v="ME20181110"/>
    <s v="COMP1110"/>
    <s v="CONC1110"/>
    <s v="Incrementar la sostenibilidad del sistema integrado de gestión, para prestar un mejor servicio en la atención a la ciudadanía."/>
    <s v="Adquisición de equipos, materiales y suministros"/>
    <s v="10. Procesos articulados dentro del sistema integrado de gestión."/>
    <s v="FONT1110"/>
    <s v="12-Otros Distrito"/>
    <s v="02-DOTACION"/>
    <s v="03-ADQUISICIÓN DE EQUIPOS, MATERIALES, SUMINISTROS Y SERVICIOS ADMISTRATIVOS"/>
    <s v="0114-Adquisición de Equipos, materiales, suministros"/>
    <n v="0"/>
    <n v="38000000"/>
    <m/>
    <m/>
    <m/>
    <n v="38000000"/>
    <m/>
    <m/>
    <m/>
    <m/>
    <m/>
    <n v="38000000"/>
    <m/>
    <m/>
    <m/>
    <n v="0"/>
    <m/>
    <n v="1"/>
    <m/>
    <m/>
    <m/>
    <m/>
    <m/>
    <m/>
    <m/>
    <m/>
    <m/>
    <m/>
    <m/>
    <m/>
    <m/>
    <m/>
    <n v="0"/>
    <n v="0"/>
    <m/>
  </r>
  <r>
    <n v="203"/>
    <n v="203"/>
    <b v="0"/>
    <s v="Sí"/>
    <s v="1110. Fortalecimiento y desarrollo de la gestión institucional"/>
    <s v="3-3-1-15-07-42-1110-185"/>
    <s v="80161800;81112401;81112400"/>
    <s v="Contratar el alquiler e instalación de computadores de escritorio con su respectiva configuración y puesta en funcionamiento en las instalaciones del Instituto Distrital de Patrimonio Cultural."/>
    <s v="(Cód. 203) Contratar el alquiler e instalación de computadores de escritorio con su respectiva configuración y puesta en funcionamiento en las instalaciones del Instituto Distrital de Patrimonio Cultural."/>
    <d v="2019-01-11T00:00:00"/>
    <n v="25"/>
    <d v="2019-02-15T00:00:00"/>
    <x v="0"/>
    <n v="1"/>
    <n v="1"/>
    <n v="3"/>
    <n v="1"/>
    <s v="Mínima cuantía"/>
    <s v="CCE-10"/>
    <n v="0"/>
    <s v="Alquiler e instalación de computadores"/>
    <m/>
    <n v="22000000"/>
    <n v="22000000"/>
    <n v="0"/>
    <n v="0"/>
    <s v="ASESORA JURIDICA"/>
    <s v="CO-DC-11001"/>
    <s v="Juan Fernando Acosta Mirkow (Subdirección de Gestión Corporativa)"/>
    <s v="3550800"/>
    <s v="juan.acosta@idpc.gov.co"/>
    <s v="ME20181110"/>
    <s v="COMP1110"/>
    <s v="CONC1110"/>
    <s v="Incrementar la sostenibilidad del sistema integrado de gestión, para prestar un mejor servicio en la atención a la ciudadanía."/>
    <s v="Adquisición de equipos, materiales y suministros"/>
    <s v="10. Procesos articulados dentro del sistema integrado de gestión."/>
    <s v="FONT1110"/>
    <s v="12-Otros Distrito"/>
    <s v="02-DOTACION"/>
    <s v="03-ADQUISICIÓN DE EQUIPOS, MATERIALES, SUMINISTROS Y SERVICIOS ADMISTRATIVOS"/>
    <s v="0114-Adquisición de Equipos, materiales, suministros"/>
    <n v="0"/>
    <n v="22000000"/>
    <m/>
    <m/>
    <m/>
    <n v="22000000"/>
    <m/>
    <m/>
    <m/>
    <m/>
    <m/>
    <n v="22000000"/>
    <m/>
    <m/>
    <m/>
    <n v="0"/>
    <m/>
    <n v="1"/>
    <m/>
    <m/>
    <m/>
    <m/>
    <m/>
    <m/>
    <m/>
    <m/>
    <m/>
    <m/>
    <m/>
    <m/>
    <m/>
    <m/>
    <n v="0"/>
    <n v="0"/>
    <m/>
  </r>
  <r>
    <s v="N.A."/>
    <s v="N.A."/>
    <b v="0"/>
    <s v="No"/>
    <s v="1110. Fortalecimiento y desarrollo de la gestión institucional"/>
    <s v="3-3-1-15-07-42-1110-185"/>
    <s v="No aplica"/>
    <s v="planilla riesgo 5"/>
    <s v="(Cód. N.A.) planilla riesgo 5"/>
    <s v="No aplica"/>
    <n v="0"/>
    <s v="No aplica"/>
    <x v="2"/>
    <s v="No aplica"/>
    <s v="No aplica"/>
    <n v="11"/>
    <n v="0"/>
    <s v="No aplica"/>
    <s v="No aplica"/>
    <n v="0"/>
    <s v="ARL N. 5"/>
    <m/>
    <n v="1300000"/>
    <n v="1300000"/>
    <n v="0"/>
    <n v="0"/>
    <s v="ASESORA JURIDICA"/>
    <s v="CO-DC-11001"/>
    <s v="Juan Fernando Acosta Mirkow (Subdirección de Gestión Corporativa)"/>
    <s v="3550800"/>
    <s v="juan.acosta@idpc.gov.co"/>
    <s v="ME20181110"/>
    <s v="COMP1110"/>
    <s v="CONC1110"/>
    <s v="Incrementar la sostenibilidad del sistema integrado de gestión, para prestar un mejor servicio en la atención a la ciudadanía."/>
    <s v="Personal de apoyo transversal a la gestión institucional"/>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1300000"/>
    <m/>
    <m/>
    <m/>
    <n v="1300000"/>
    <m/>
    <m/>
    <m/>
    <m/>
    <m/>
    <n v="1300000"/>
    <m/>
    <m/>
    <m/>
    <n v="0"/>
    <m/>
    <n v="1"/>
    <m/>
    <m/>
    <m/>
    <m/>
    <m/>
    <m/>
    <m/>
    <m/>
    <m/>
    <m/>
    <m/>
    <m/>
    <m/>
    <m/>
    <n v="0"/>
    <n v="0"/>
    <m/>
  </r>
  <r>
    <n v="204"/>
    <n v="204"/>
    <b v="0"/>
    <s v="Sí"/>
    <s v="1110. Fortalecimiento y desarrollo de la gestión institucional"/>
    <s v="3-3-1-15-07-42-1110-185"/>
    <s v="43201402;43201835;43212200;43212201;43232907;71151106;"/>
    <s v="Contratar la renovación y ampliación del almacenamiento de la solución de respaldo de información para el Instituto Distrital de Patrimonio Cultural."/>
    <s v="(Cód. 204) Contratar la renovación y ampliación del almacenamiento de la solución de respaldo de información para el Instituto Distrital de Patrimonio Cultural."/>
    <d v="2019-02-15T00:00:00"/>
    <n v="45"/>
    <d v="2019-04-19T00:00:00"/>
    <x v="7"/>
    <n v="2"/>
    <n v="2"/>
    <n v="10"/>
    <n v="1"/>
    <s v="Menor cuantía"/>
    <s v="CCE-06"/>
    <n v="0"/>
    <s v="Back-up"/>
    <m/>
    <n v="50000000"/>
    <n v="50000000"/>
    <n v="0"/>
    <n v="0"/>
    <s v="ASESORA JURIDICA"/>
    <s v="CO-DC-11001"/>
    <s v="Juan Fernando Acosta Mirkow (Subdirección de Gestión Corporativa)"/>
    <s v="3550800"/>
    <s v="juan.acosta@idpc.gov.co"/>
    <s v="ME20181110"/>
    <s v="COMP1110"/>
    <s v="CONC1110"/>
    <s v="Incrementar la sostenibilidad del sistema integrado de gestión, para prestar un mejor servicio en la atención a la ciudadanía."/>
    <s v="Adquisición de equipos, materiales y suministros"/>
    <s v="10. Procesos articulados dentro del sistema integrado de gestión."/>
    <s v="FONT1110"/>
    <s v="12-Otros Distrito"/>
    <s v="05-ADMINISTRACION INSTITUCIONAL"/>
    <s v="02-ADMINISTRACIÓN, CONTROL Y ORGANIZACIÓN INSTITUCIONAL PARA APOYO A LA GESTIÓN DEL DISTRITO"/>
    <s v="0152-Adquisición de equipos y software para el mejoramiento de la gestión institucional"/>
    <n v="0"/>
    <n v="50000000"/>
    <m/>
    <m/>
    <m/>
    <n v="50000000"/>
    <m/>
    <m/>
    <m/>
    <m/>
    <m/>
    <n v="50000000"/>
    <m/>
    <m/>
    <m/>
    <n v="0"/>
    <m/>
    <n v="1"/>
    <m/>
    <m/>
    <m/>
    <m/>
    <m/>
    <m/>
    <m/>
    <m/>
    <m/>
    <m/>
    <m/>
    <m/>
    <m/>
    <m/>
    <n v="0"/>
    <n v="0"/>
    <m/>
  </r>
  <r>
    <n v="205"/>
    <n v="205"/>
    <b v="0"/>
    <s v="Sí"/>
    <s v="1110. Fortalecimiento y desarrollo de la gestión institucional"/>
    <s v="3-3-1-15-07-42-1110-185"/>
    <s v="43231500;81111500"/>
    <s v="Contratar la adquisición de licencias de software para los equipos de cómputo de Instituto Distrital de Patrimonio Cultural."/>
    <s v="(Cód. 205) Contratar la adquisición de licencias de software para los equipos de cómputo de Instituto Distrital de Patrimonio Cultural."/>
    <d v="2019-03-15T00:00:00"/>
    <n v="45"/>
    <d v="2019-05-17T00:00:00"/>
    <x v="3"/>
    <n v="3"/>
    <n v="3"/>
    <n v="1"/>
    <n v="1"/>
    <s v="Menor cuantía"/>
    <s v="CCE-06"/>
    <n v="0"/>
    <s v="Licencias de software"/>
    <m/>
    <n v="40000000"/>
    <n v="40000000"/>
    <n v="0"/>
    <n v="0"/>
    <s v="ASESORA JURIDICA"/>
    <s v="CO-DC-11001"/>
    <s v="Juan Fernando Acosta Mirkow (Subdirección de Gestión Corporativa)"/>
    <s v="3550800"/>
    <s v="juan.acosta@idpc.gov.co"/>
    <s v="ME20181110"/>
    <s v="COMP1110"/>
    <s v="CONC1110"/>
    <s v="Incrementar la sostenibilidad del sistema integrado de gestión, para prestar un mejor servicio en la atención a la ciudadanía."/>
    <s v="Adquisición de equipos, materiales y suministros"/>
    <s v="10. Procesos articulados dentro del sistema integrado de gestión."/>
    <s v="FONT1110"/>
    <s v="12-Otros Distrito"/>
    <s v="05-ADMINISTRACION INSTITUCIONAL"/>
    <s v="02-ADMINISTRACIÓN, CONTROL Y ORGANIZACIÓN INSTITUCIONAL PARA APOYO A LA GESTIÓN DEL DISTRITO"/>
    <s v="0152-Adquisición de equipos y software para el mejoramiento de la gestión institucional"/>
    <n v="0"/>
    <n v="40000000"/>
    <m/>
    <m/>
    <m/>
    <n v="40000000"/>
    <m/>
    <m/>
    <m/>
    <m/>
    <m/>
    <n v="40000000"/>
    <m/>
    <m/>
    <m/>
    <n v="0"/>
    <m/>
    <n v="1"/>
    <m/>
    <m/>
    <m/>
    <m/>
    <m/>
    <m/>
    <m/>
    <m/>
    <m/>
    <m/>
    <m/>
    <m/>
    <m/>
    <m/>
    <n v="0"/>
    <n v="0"/>
    <m/>
  </r>
  <r>
    <n v="206"/>
    <n v="206"/>
    <b v="0"/>
    <s v="Sí"/>
    <s v="1110. Fortalecimiento y desarrollo de la gestión institucional"/>
    <s v="3-3-1-15-07-42-1110-185"/>
    <n v="80111600"/>
    <s v="Prestar servicios profesionales especializados al Instituto Distrital de Patrimonio Cultural apoyando a la Asesoría Jurídica o quien haga sus veces, en la defensa judicial de los intereses patrimoniales de la entidad."/>
    <s v="(Cód. 206) Prestar servicios profesionales especializados al Instituto Distrital de Patrimonio Cultural apoyando a la Asesoría Jurídica o quien haga sus veces, en la defensa judicial de los intereses patrimoniales de la entidad."/>
    <d v="2019-01-15T00:00:00"/>
    <n v="10"/>
    <d v="2019-01-29T00:00:00"/>
    <x v="1"/>
    <n v="1"/>
    <n v="1"/>
    <n v="11"/>
    <n v="1"/>
    <s v="Contratación directa / Prestación de servicios profesionales y de apoyo a la gestión"/>
    <s v="CCE-16"/>
    <n v="0"/>
    <s v="N.A."/>
    <m/>
    <n v="82500000"/>
    <n v="82500000"/>
    <n v="0"/>
    <n v="0"/>
    <s v="ASESORA JURIDICA"/>
    <s v="CO-DC-11001"/>
    <s v="Juan Fernando Acosta Mirkow (Subdirección de Gestión Corporativa)"/>
    <s v="3550800"/>
    <s v="juan.acosta@idpc.gov.co"/>
    <s v="ME20181110"/>
    <s v="COMP1110"/>
    <s v="CONC1110"/>
    <s v="Incrementar la sostenibilidad del sistema integrado de gestión, para prestar un mejor servicio en la atención a la ciudadanía."/>
    <s v="Personal de apoyo transversal a la gestión institucional"/>
    <s v="10. Procesos articulados dentro del sistema integrado de gestión."/>
    <s v="FONT1110"/>
    <s v="12-Otros Distrito"/>
    <s v="05-ADMINISTRACION INSTITUCIONAL"/>
    <s v="02-ADMINISTRACIÓN, CONTROL Y ORGANIZACIÓN INSTITUCIONAL PARA APOYO A LA GESTIÓN DEL DISTRITO"/>
    <s v="0020-Personal contratado para las actividades propias de los procesos de mejoramiento de gestión de la entidad"/>
    <n v="0"/>
    <n v="82500000"/>
    <m/>
    <m/>
    <m/>
    <n v="82500000"/>
    <m/>
    <m/>
    <m/>
    <m/>
    <m/>
    <n v="82500000"/>
    <m/>
    <m/>
    <m/>
    <n v="0"/>
    <m/>
    <n v="1"/>
    <m/>
    <m/>
    <m/>
    <m/>
    <m/>
    <m/>
    <m/>
    <m/>
    <m/>
    <m/>
    <m/>
    <m/>
    <m/>
    <m/>
    <n v="0"/>
    <n v="0"/>
    <m/>
  </r>
  <r>
    <s v="N.A."/>
    <s v="N.A."/>
    <b v="0"/>
    <s v="No"/>
    <s v="1110. Fortalecimiento y desarrollo de la gestión institucional"/>
    <s v="3-3-1-15-07-42-1110-185"/>
    <s v="No aplica"/>
    <s v="Servicios Públicos"/>
    <s v="(Cód. N.A.) Servicios Públicos"/>
    <d v="2019-01-02T00:00:00"/>
    <n v="0"/>
    <d v="2019-01-02T00:00:00"/>
    <x v="1"/>
    <n v="1"/>
    <n v="1"/>
    <n v="12"/>
    <n v="0"/>
    <s v="No aplica"/>
    <s v="No aplica"/>
    <n v="0"/>
    <s v="Servicios públicos"/>
    <m/>
    <n v="120000000"/>
    <n v="120000000"/>
    <n v="0"/>
    <n v="0"/>
    <s v="ASESORA JURIDICA"/>
    <s v="CO-DC-11001"/>
    <s v="Juan Fernando Acosta Mirkow (Subdirección de Gestión Corporativa)"/>
    <s v="3550800"/>
    <s v="juan.acosta@idpc.gov.co"/>
    <s v="ME20181110"/>
    <s v="COMP1110"/>
    <s v="CONC1110"/>
    <s v="Mantener las sedes misionales a cargo de la entidad"/>
    <s v="Administración y mantenimiento de escenarios culturales"/>
    <s v="10. Procesos articulados dentro del sistema integrado de gestión."/>
    <s v="FONT1110"/>
    <s v="12-Otros Distrito"/>
    <s v="01-INFRAESTRUCTURA"/>
    <s v="03-MEJORAMIENTO Y MANTENIMIENTO DE INFRAESTRUCTURA PROPIA DEL SECTOR"/>
    <s v="0020-Mantenimiento y mejoramiento de la infraestructura cultural"/>
    <n v="1"/>
    <n v="120000000"/>
    <m/>
    <m/>
    <m/>
    <n v="120000000"/>
    <m/>
    <m/>
    <m/>
    <m/>
    <m/>
    <n v="120000000"/>
    <m/>
    <m/>
    <m/>
    <n v="0"/>
    <m/>
    <n v="1"/>
    <m/>
    <m/>
    <m/>
    <m/>
    <m/>
    <m/>
    <m/>
    <m/>
    <m/>
    <m/>
    <m/>
    <m/>
    <m/>
    <m/>
    <n v="0"/>
    <n v="0"/>
    <m/>
  </r>
  <r>
    <n v="207"/>
    <n v="207"/>
    <b v="0"/>
    <s v="Sí"/>
    <s v="1112. Instrumentos de planeación y gestión para la preservación y sostenibilidad del patrimonio cultural"/>
    <s v="3-3-1-15-02-17-1112-140"/>
    <n v="80111600"/>
    <s v="Prestar servicios profesionales al Instituto Distrital de Patrimonio Cultural para elaborar insumos arquitectónicos en la formulación de proyectos y del Plan Especial de Manejo y Protección -PEMP- del Centro Histórico de Bogotá D.C, a partir de la consolidación de la formulación del mismo. "/>
    <s v="(Cód. 207) Prestar servicios profesionales al Instituto Distrital de Patrimonio Cultural para elaborar insumos arquitectónicos en la formulación de proyectos y del Plan Especial de Manejo y Protección -PEMP- del Centro Histórico de Bogotá D.C, a partir de la consolidación de la formulación del mismo. "/>
    <d v="2019-05-15T00:00:00"/>
    <n v="10"/>
    <d v="2019-05-29T00:00:00"/>
    <x v="3"/>
    <n v="5"/>
    <n v="5"/>
    <n v="11"/>
    <n v="1"/>
    <s v="Contratación directa / Prestación de servicios profesionales y de apoyo a la gestión"/>
    <s v="CCE-16"/>
    <n v="0"/>
    <s v="N.A."/>
    <s v="ALICIA BELLO "/>
    <n v="49500000"/>
    <n v="49500000"/>
    <n v="0"/>
    <n v="0"/>
    <s v="ASESORA JURIDICA"/>
    <s v="CO-DC-11001"/>
    <s v="María Victoria Villamil Páez (Subdirección General)"/>
    <s v="3550800"/>
    <s v="maria.villamil@idpc.gov.co"/>
    <s v="ME20181112"/>
    <s v="COMP1112"/>
    <s v="CONC1112"/>
    <s v="Formular y adoptar el plan especial de manejo y protección del Centro Histórico "/>
    <s v="Plan especial de manejo y protección del centro histórico"/>
    <s v="15. Instrumentos técnicos de gestión para la preservación del patrimonio cultural"/>
    <s v="FONT1112"/>
    <s v="12-Otros Distrito"/>
    <s v="04-INVESTIGACION Y ESTUDIOS"/>
    <s v="01-INVESTIGACIÓN BÁSICA APLICADA Y ESTUDIOS PROPIOS DEL SECTOR"/>
    <s v="0185-Actividades de investigación para la valoración, protección, conservación, sostenibilidad y apropiación del Patrimonio Cultural"/>
    <n v="0"/>
    <n v="49500000"/>
    <m/>
    <m/>
    <m/>
    <n v="49500000"/>
    <m/>
    <m/>
    <m/>
    <m/>
    <m/>
    <n v="49500000"/>
    <m/>
    <m/>
    <m/>
    <n v="0"/>
    <m/>
    <n v="1"/>
    <m/>
    <m/>
    <m/>
    <m/>
    <m/>
    <m/>
    <m/>
    <m/>
    <m/>
    <m/>
    <m/>
    <m/>
    <m/>
    <m/>
    <n v="0"/>
    <n v="0"/>
    <m/>
  </r>
  <r>
    <n v="208"/>
    <n v="208"/>
    <b v="0"/>
    <s v="Sí"/>
    <s v="1112. Instrumentos de planeación y gestión para la preservación y sostenibilidad del patrimonio cultural"/>
    <s v="3-3-1-15-02-17-1112-140"/>
    <n v="80111600"/>
    <s v="Prestar servicios profesionales al Instituto Distrital de Patrimonio Cultural para realizar  insumos en el componente ambiental en la formulación de proyectos del Instituto. "/>
    <s v="(Cód. 208) Prestar servicios profesionales al Instituto Distrital de Patrimonio Cultural para realizar  insumos en el componente ambiental en la formulación de proyectos del Instituto. "/>
    <d v="2019-01-24T00:00:00"/>
    <n v="10"/>
    <d v="2019-02-07T00:00:00"/>
    <x v="0"/>
    <n v="1"/>
    <n v="1"/>
    <n v="5"/>
    <n v="1"/>
    <s v="Contratación directa / Prestación de servicios profesionales y de apoyo a la gestión"/>
    <s v="CCE-16"/>
    <n v="0"/>
    <s v="N.A."/>
    <s v="AMBIENTE "/>
    <n v="19000000"/>
    <n v="19000000"/>
    <n v="0"/>
    <n v="0"/>
    <s v="ASESORA JURIDICA"/>
    <s v="CO-DC-11001"/>
    <s v="María Victoria Villamil Páez (Subdirección General)"/>
    <s v="3550800"/>
    <s v="maria.villamil@idpc.gov.co"/>
    <s v="ME20181112"/>
    <s v="COMP1112"/>
    <s v="CONC1112"/>
    <s v="Formular planes y proyectos urbanos en ámbitos patrimoniales"/>
    <s v="Planes y proyectos urbanos en ámbitos patrimoniales"/>
    <s v="15. Instrumentos técnicos de gestión para la preservación del patrimonio cultural"/>
    <s v="FONT1112"/>
    <s v="12-Otros Distrito"/>
    <s v="04-INVESTIGACION Y ESTUDIOS"/>
    <s v="01-INVESTIGACIÓN BÁSICA APLICADA Y ESTUDIOS PROPIOS DEL SECTOR"/>
    <s v="0185-Actividades de investigación para la valoración, protección, conservación, sostenibilidad y apropiación del Patrimonio Cultural"/>
    <n v="0"/>
    <n v="19000000"/>
    <m/>
    <m/>
    <m/>
    <n v="19000000"/>
    <m/>
    <m/>
    <m/>
    <m/>
    <m/>
    <n v="19000000"/>
    <m/>
    <m/>
    <m/>
    <n v="0"/>
    <m/>
    <n v="1"/>
    <m/>
    <m/>
    <m/>
    <m/>
    <m/>
    <m/>
    <m/>
    <m/>
    <m/>
    <m/>
    <m/>
    <m/>
    <m/>
    <m/>
    <n v="0"/>
    <n v="0"/>
    <m/>
  </r>
  <r>
    <n v="209"/>
    <n v="209"/>
    <b v="0"/>
    <s v="Sí"/>
    <s v="1112. Instrumentos de planeación y gestión para la preservación y sostenibilidad del patrimonio cultural"/>
    <s v="3-3-1-15-02-17-1112-140"/>
    <n v="80111600"/>
    <s v="Prestar servicios profesionales al Instituto Distrital de Patrimonio Cultural en las actividades relacionadas con la propuesta de norma e instrumentos del Plan Especial de Manejo y Protección -PEMP- del Centro Histórico de Bogotá D.C."/>
    <s v="(Cód. 209) Prestar servicios profesionales al Instituto Distrital de Patrimonio Cultural en las actividades relacionadas con la propuesta de norma e instrumentos del Plan Especial de Manejo y Protección -PEMP- del Centro Histórico de Bogotá D.C."/>
    <d v="2019-01-15T00:00:00"/>
    <n v="10"/>
    <d v="2019-01-29T00:00:00"/>
    <x v="1"/>
    <n v="1"/>
    <n v="1"/>
    <n v="5"/>
    <n v="1"/>
    <s v="Contratación directa / Prestación de servicios profesionales y de apoyo a la gestión"/>
    <s v="CCE-16"/>
    <n v="0"/>
    <s v="N.A."/>
    <s v="ANA MARÍA FLÓREZ FLÓREZ"/>
    <n v="37600000"/>
    <n v="37600000"/>
    <n v="0"/>
    <n v="0"/>
    <s v="ASESORA JURIDICA"/>
    <s v="CO-DC-11001"/>
    <s v="María Victoria Villamil Páez (Subdirección General)"/>
    <s v="3550800"/>
    <s v="maria.villamil@idpc.gov.co"/>
    <s v="ME20181112"/>
    <s v="COMP1112"/>
    <s v="CONC1112"/>
    <s v="Formular y adoptar el plan especial de manejo y protección del Centro Histórico "/>
    <s v="Plan especial de manejo y protección del centro histórico"/>
    <s v="15. Instrumentos técnicos de gestión para la preservación del patrimonio cultural"/>
    <s v="FONT1112"/>
    <s v="12-Otros Distrito"/>
    <s v="04-INVESTIGACION Y ESTUDIOS"/>
    <s v="01-INVESTIGACIÓN BÁSICA APLICADA Y ESTUDIOS PROPIOS DEL SECTOR"/>
    <s v="0185-Actividades de investigación para la valoración, protección, conservación, sostenibilidad y apropiación del Patrimonio Cultural"/>
    <n v="0"/>
    <n v="37600000"/>
    <m/>
    <m/>
    <m/>
    <n v="37600000"/>
    <m/>
    <m/>
    <m/>
    <m/>
    <m/>
    <n v="37600000"/>
    <m/>
    <m/>
    <m/>
    <n v="0"/>
    <m/>
    <n v="1"/>
    <m/>
    <m/>
    <m/>
    <m/>
    <m/>
    <m/>
    <m/>
    <m/>
    <m/>
    <m/>
    <m/>
    <m/>
    <m/>
    <m/>
    <n v="0"/>
    <n v="0"/>
    <m/>
  </r>
  <r>
    <n v="210"/>
    <n v="210"/>
    <b v="0"/>
    <s v="Sí"/>
    <s v="1112. Instrumentos de planeación y gestión para la preservación y sostenibilidad del patrimonio cultural"/>
    <s v="3-3-1-15-02-17-1112-140"/>
    <n v="80111600"/>
    <s v="Prestar servicios profesionales al Instituto Distrital de Patrimonio Cultural para la consolidación de la propuesta de norma e instrumentos del Plan Especial de Manejo y Protección -PEMP- del Centro Histórico de Bogotá D.C., y otros proyectos asociados."/>
    <s v="(Cód. 210) Prestar servicios profesionales al Instituto Distrital de Patrimonio Cultural para la consolidación de la propuesta de norma e instrumentos del Plan Especial de Manejo y Protección -PEMP- del Centro Histórico de Bogotá D.C., y otros proyectos asociados."/>
    <d v="2019-04-15T00:00:00"/>
    <n v="10"/>
    <d v="2019-04-29T00:00:00"/>
    <x v="7"/>
    <n v="4"/>
    <n v="4"/>
    <n v="5"/>
    <n v="1"/>
    <s v="Contratación directa / Prestación de servicios profesionales y de apoyo a la gestión"/>
    <s v="CCE-16"/>
    <n v="0"/>
    <s v="N.A."/>
    <s v="ANA MARÍA FLÓREZ FLÓREZ"/>
    <n v="37600000"/>
    <n v="37600000"/>
    <n v="0"/>
    <n v="0"/>
    <s v="ASESORA JURIDICA"/>
    <s v="CO-DC-11001"/>
    <s v="María Victoria Villamil Páez (Subdirección General)"/>
    <s v="3550800"/>
    <s v="maria.villamil@idpc.gov.co"/>
    <s v="ME20181112"/>
    <s v="COMP1112"/>
    <s v="CONC1112"/>
    <s v="Formular y adoptar el plan especial de manejo y protección del Centro Histórico "/>
    <s v="Plan especial de manejo y protección del centro histórico"/>
    <s v="15. Instrumentos técnicos de gestión para la preservación del patrimonio cultural"/>
    <s v="FONT1112"/>
    <s v="12-Otros Distrito"/>
    <s v="04-INVESTIGACION Y ESTUDIOS"/>
    <s v="01-INVESTIGACIÓN BÁSICA APLICADA Y ESTUDIOS PROPIOS DEL SECTOR"/>
    <s v="0185-Actividades de investigación para la valoración, protección, conservación, sostenibilidad y apropiación del Patrimonio Cultural"/>
    <n v="0"/>
    <n v="37600000"/>
    <m/>
    <m/>
    <m/>
    <n v="37600000"/>
    <m/>
    <m/>
    <m/>
    <m/>
    <m/>
    <n v="37600000"/>
    <m/>
    <m/>
    <m/>
    <n v="0"/>
    <m/>
    <n v="1"/>
    <m/>
    <m/>
    <m/>
    <m/>
    <m/>
    <m/>
    <m/>
    <m/>
    <m/>
    <m/>
    <m/>
    <m/>
    <m/>
    <m/>
    <n v="0"/>
    <n v="0"/>
    <m/>
  </r>
  <r>
    <n v="211"/>
    <n v="211"/>
    <b v="0"/>
    <s v="Sí"/>
    <s v="1112. Instrumentos de planeación y gestión para la preservación y sostenibilidad del patrimonio cultural"/>
    <s v="3-3-1-15-02-17-1112-140"/>
    <n v="80111600"/>
    <s v="Prestar servicios profesionales al Instituto Distrital de Patrimonio Cultural en la ejecución de las actividades de edición de textos e imágenes y montaje para la consolidación de la valoración e inventario de los bienes del patrimonio cultural inmueble del Plan Especial de Manejo y Protección- PEMP- del Centro Histórico de Bogotá D.C.  "/>
    <s v="(Cód. 211) Prestar servicios profesionales al Instituto Distrital de Patrimonio Cultural en la ejecución de las actividades de edición de textos e imágenes y montaje para la consolidación de la valoración e inventario de los bienes del patrimonio cultural inmueble del Plan Especial de Manejo y Protección- PEMP- del Centro Histórico de Bogotá D.C.  "/>
    <d v="2019-01-15T00:00:00"/>
    <n v="10"/>
    <d v="2019-01-29T00:00:00"/>
    <x v="1"/>
    <n v="1"/>
    <n v="1"/>
    <n v="3"/>
    <n v="1"/>
    <s v="Contratación directa / Prestación de servicios profesionales y de apoyo a la gestión"/>
    <s v="CCE-16"/>
    <n v="0"/>
    <s v="N.A."/>
    <s v="Andrea Céspedes"/>
    <n v="12360000"/>
    <n v="12360000"/>
    <n v="0"/>
    <n v="0"/>
    <s v="ASESORA JURIDICA"/>
    <s v="CO-DC-11001"/>
    <s v="María Victoria Villamil Páez (Subdirección General)"/>
    <s v="3550800"/>
    <s v="maria.villamil@idpc.gov.co"/>
    <s v="ME20181112"/>
    <s v="COMP1112"/>
    <s v="CONC1112"/>
    <s v="Formular y adoptar el plan especial de manejo y protección del Centro Histórico "/>
    <s v="Plan especial de manejo y protección del centro histórico"/>
    <s v="15. Instrumentos técnicos de gestión para la preservación del patrimonio cultural"/>
    <s v="FONT1112"/>
    <s v="12-Otros Distrito"/>
    <s v="04-INVESTIGACION Y ESTUDIOS"/>
    <s v="01-INVESTIGACIÓN BÁSICA APLICADA Y ESTUDIOS PROPIOS DEL SECTOR"/>
    <s v="0185-Actividades de investigación para la valoración, protección, conservación, sostenibilidad y apropiación del Patrimonio Cultural"/>
    <n v="0"/>
    <n v="12360000"/>
    <m/>
    <m/>
    <m/>
    <n v="12360000"/>
    <m/>
    <m/>
    <m/>
    <m/>
    <m/>
    <n v="12360000"/>
    <m/>
    <m/>
    <m/>
    <n v="0"/>
    <m/>
    <n v="1"/>
    <m/>
    <m/>
    <m/>
    <m/>
    <m/>
    <m/>
    <m/>
    <m/>
    <m/>
    <m/>
    <m/>
    <m/>
    <m/>
    <m/>
    <n v="0"/>
    <n v="0"/>
    <m/>
  </r>
  <r>
    <n v="212"/>
    <n v="212"/>
    <b v="0"/>
    <s v="Sí"/>
    <s v="1112. Instrumentos de planeación y gestión para la preservación y sostenibilidad del patrimonio cultural"/>
    <s v="3-3-1-15-02-17-1112-140"/>
    <n v="80111600"/>
    <s v="Prestar servicios profesionales al Instituto Distrital de Patrimonio Cultural para orientar el direccionamiento estratégico del Plan Especial de Manejo y Protección -PEMP- del Centro Histórico de Bogotá D.C."/>
    <s v="(Cód. 212) Prestar servicios profesionales al Instituto Distrital de Patrimonio Cultural para orientar el direccionamiento estratégico del Plan Especial de Manejo y Protección -PEMP- del Centro Histórico de Bogotá D.C."/>
    <d v="2019-01-15T00:00:00"/>
    <n v="10"/>
    <d v="2019-01-29T00:00:00"/>
    <x v="1"/>
    <n v="1"/>
    <n v="1"/>
    <n v="11"/>
    <n v="1"/>
    <s v="Contratación directa / Prestación de servicios profesionales y de apoyo a la gestión"/>
    <s v="CCE-16"/>
    <n v="0"/>
    <s v="N.A."/>
    <s v="ANGULO &amp; VELANDIA S.A.S.GERENCIA ESTRATEGICA "/>
    <n v="112200000"/>
    <n v="112200000"/>
    <n v="0"/>
    <n v="0"/>
    <s v="ASESORA JURIDICA"/>
    <s v="CO-DC-11001"/>
    <s v="María Victoria Villamil Páez (Subdirección General)"/>
    <s v="3550800"/>
    <s v="maria.villamil@idpc.gov.co"/>
    <s v="ME20181112"/>
    <s v="COMP1112"/>
    <s v="CONC1112"/>
    <s v="Formular y adoptar el plan especial de manejo y protección del Centro Histórico "/>
    <s v="Plan especial de manejo y protección del centro histórico"/>
    <s v="15. Instrumentos técnicos de gestión para la preservación del patrimonio cultural"/>
    <s v="FONT1112"/>
    <s v="12-Otros Distrito"/>
    <s v="04-INVESTIGACION Y ESTUDIOS"/>
    <s v="01-INVESTIGACIÓN BÁSICA APLICADA Y ESTUDIOS PROPIOS DEL SECTOR"/>
    <s v="0185-Actividades de investigación para la valoración, protección, conservación, sostenibilidad y apropiación del Patrimonio Cultural"/>
    <n v="0"/>
    <n v="112200000"/>
    <m/>
    <m/>
    <m/>
    <n v="112200000"/>
    <m/>
    <m/>
    <m/>
    <m/>
    <m/>
    <n v="112200000"/>
    <m/>
    <m/>
    <m/>
    <n v="0"/>
    <m/>
    <n v="1"/>
    <m/>
    <m/>
    <m/>
    <m/>
    <m/>
    <m/>
    <m/>
    <m/>
    <m/>
    <m/>
    <m/>
    <m/>
    <m/>
    <m/>
    <n v="0"/>
    <n v="0"/>
    <m/>
  </r>
  <r>
    <n v="213"/>
    <n v="213"/>
    <b v="0"/>
    <s v="Sí"/>
    <s v="1112. Instrumentos de planeación y gestión para la preservación y sostenibilidad del patrimonio cultural"/>
    <s v="3-3-1-15-02-17-1112-140"/>
    <n v="80111600"/>
    <s v="Prestar servicios profesionales al Instituto Distrital de Patrimonio Cultural para apoyar la formulación de los aspectos administrativos y de gobernanza en el marco del modelo de gestión del Plan Especial de Manejo y Protección -PEMP- del Centro Histórico de Bogotá D.C. "/>
    <s v="(Cód. 213) Prestar servicios profesionales al Instituto Distrital de Patrimonio Cultural para apoyar la formulación de los aspectos administrativos y de gobernanza en el marco del modelo de gestión del Plan Especial de Manejo y Protección -PEMP- del Centro Histórico de Bogotá D.C. "/>
    <d v="2019-01-16T00:00:00"/>
    <n v="10"/>
    <d v="2019-01-30T00:00:00"/>
    <x v="1"/>
    <n v="1"/>
    <n v="1"/>
    <n v="11"/>
    <n v="1"/>
    <s v="Contratación directa / Prestación de servicios profesionales y de apoyo a la gestión"/>
    <s v="CCE-16"/>
    <n v="0"/>
    <s v="N.A."/>
    <s v="Apoyo 1 "/>
    <n v="66000000"/>
    <n v="66000000"/>
    <n v="0"/>
    <n v="0"/>
    <s v="ASESORA JURIDICA"/>
    <s v="CO-DC-11001"/>
    <s v="María Victoria Villamil Páez (Subdirección General)"/>
    <s v="3550800"/>
    <s v="maria.villamil@idpc.gov.co"/>
    <s v="ME20181112"/>
    <s v="COMP1112"/>
    <s v="CONC1112"/>
    <s v="Formular y adoptar el plan especial de manejo y protección del Centro Histórico "/>
    <s v="Plan especial de manejo y protección del centro histórico"/>
    <s v="15. Instrumentos técnicos de gestión para la preservación del patrimonio cultural"/>
    <s v="FONT1112"/>
    <s v="12-Otros Distrito"/>
    <s v="04-INVESTIGACION Y ESTUDIOS"/>
    <s v="01-INVESTIGACIÓN BÁSICA APLICADA Y ESTUDIOS PROPIOS DEL SECTOR"/>
    <s v="0185-Actividades de investigación para la valoración, protección, conservación, sostenibilidad y apropiación del Patrimonio Cultural"/>
    <n v="0"/>
    <n v="66000000"/>
    <m/>
    <m/>
    <m/>
    <n v="66000000"/>
    <m/>
    <m/>
    <m/>
    <m/>
    <m/>
    <n v="66000000"/>
    <m/>
    <m/>
    <m/>
    <n v="0"/>
    <m/>
    <n v="1"/>
    <m/>
    <m/>
    <m/>
    <m/>
    <m/>
    <m/>
    <m/>
    <m/>
    <m/>
    <m/>
    <m/>
    <m/>
    <m/>
    <m/>
    <n v="0"/>
    <n v="0"/>
    <m/>
  </r>
  <r>
    <n v="214"/>
    <n v="214"/>
    <b v="0"/>
    <s v="Sí"/>
    <s v="1112. Instrumentos de planeación y gestión para la preservación y sostenibilidad del patrimonio cultural"/>
    <s v="3-3-1-15-02-17-1112-140"/>
    <n v="80111600"/>
    <s v="Prestar servicios profesionales al Instituto Distrital de Patrimonio Cultural para apoyar la formulación de los aspectos administrativos y de gobernanza en el marco del modelo de gestión del Plan Especial de Manejo y Protección -PEMP- del Centro Histórico de Bogotá D.C. "/>
    <s v="(Cód. 214) Prestar servicios profesionales al Instituto Distrital de Patrimonio Cultural para apoyar la formulación de los aspectos administrativos y de gobernanza en el marco del modelo de gestión del Plan Especial de Manejo y Protección -PEMP- del Centro Histórico de Bogotá D.C. "/>
    <d v="2019-01-16T00:00:00"/>
    <n v="10"/>
    <d v="2019-01-30T00:00:00"/>
    <x v="1"/>
    <n v="1"/>
    <n v="1"/>
    <n v="10"/>
    <n v="1"/>
    <s v="Contratación directa / Prestación de servicios profesionales y de apoyo a la gestión"/>
    <s v="CCE-16"/>
    <n v="0"/>
    <s v="N.A."/>
    <s v="Apoyo 2"/>
    <n v="47010000"/>
    <n v="47010000"/>
    <n v="0"/>
    <n v="0"/>
    <s v="ASESORA JURIDICA"/>
    <s v="CO-DC-11001"/>
    <s v="María Victoria Villamil Páez (Subdirección General)"/>
    <s v="3550800"/>
    <s v="maria.villamil@idpc.gov.co"/>
    <s v="ME20181112"/>
    <s v="COMP1112"/>
    <s v="CONC1112"/>
    <s v="Formular y adoptar el plan especial de manejo y protección del Centro Histórico "/>
    <s v="Plan especial de manejo y protección del centro histórico"/>
    <s v="15. Instrumentos técnicos de gestión para la preservación del patrimonio cultural"/>
    <s v="FONT1112"/>
    <s v="12-Otros Distrito"/>
    <s v="04-INVESTIGACION Y ESTUDIOS"/>
    <s v="01-INVESTIGACIÓN BÁSICA APLICADA Y ESTUDIOS PROPIOS DEL SECTOR"/>
    <s v="0185-Actividades de investigación para la valoración, protección, conservación, sostenibilidad y apropiación del Patrimonio Cultural"/>
    <n v="0"/>
    <n v="47010000"/>
    <m/>
    <m/>
    <m/>
    <n v="47010000"/>
    <m/>
    <m/>
    <m/>
    <m/>
    <m/>
    <n v="47010000"/>
    <m/>
    <m/>
    <m/>
    <n v="0"/>
    <m/>
    <n v="1"/>
    <m/>
    <m/>
    <m/>
    <m/>
    <m/>
    <m/>
    <m/>
    <m/>
    <m/>
    <m/>
    <m/>
    <m/>
    <m/>
    <m/>
    <n v="0"/>
    <n v="0"/>
    <m/>
  </r>
  <r>
    <n v="215"/>
    <n v="215"/>
    <b v="0"/>
    <s v="Sí"/>
    <s v="1112. Instrumentos de planeación y gestión para la preservación y sostenibilidad del patrimonio cultural"/>
    <s v="3-3-1-15-02-17-1112-140"/>
    <n v="80111600"/>
    <s v="Prestar servicios profesionales al Instituto Distrital de Patrimonio Cultural para apoyar las acciones requeridas para la consolidación normativa y arquitectónica de la propuesta de espacio público para el Plan Especial de Manejo y Protección -PEMP- del Centro Histórico de Bogotá D.C y otros proyectos."/>
    <s v="(Cód. 215) Prestar servicios profesionales al Instituto Distrital de Patrimonio Cultural para apoyar las acciones requeridas para la consolidación normativa y arquitectónica de la propuesta de espacio público para el Plan Especial de Manejo y Protección -PEMP- del Centro Histórico de Bogotá D.C y otros proyectos."/>
    <d v="2019-01-17T00:00:00"/>
    <n v="10"/>
    <d v="2019-01-31T00:00:00"/>
    <x v="1"/>
    <n v="1"/>
    <n v="1"/>
    <n v="8"/>
    <n v="1"/>
    <s v="Contratación directa / Prestación de servicios profesionales y de apoyo a la gestión"/>
    <s v="CCE-16"/>
    <n v="0"/>
    <s v="N.A."/>
    <s v="APOYO ESPACIO PUBLICO "/>
    <n v="32000000"/>
    <n v="32000000"/>
    <n v="0"/>
    <n v="0"/>
    <s v="ASESORA JURIDICA"/>
    <s v="CO-DC-11001"/>
    <s v="María Victoria Villamil Páez (Subdirección General)"/>
    <s v="3550800"/>
    <s v="maria.villamil@idpc.gov.co"/>
    <s v="ME20181112"/>
    <s v="COMP1112"/>
    <s v="CONC1112"/>
    <s v="Formular y adoptar el plan especial de manejo y protección del Centro Histórico "/>
    <s v="Plan especial de manejo y protección del centro histórico"/>
    <s v="15. Instrumentos técnicos de gestión para la preservación del patrimonio cultural"/>
    <s v="FONT1112"/>
    <s v="12-Otros Distrito"/>
    <s v="04-INVESTIGACION Y ESTUDIOS"/>
    <s v="01-INVESTIGACIÓN BÁSICA APLICADA Y ESTUDIOS PROPIOS DEL SECTOR"/>
    <s v="0185-Actividades de investigación para la valoración, protección, conservación, sostenibilidad y apropiación del Patrimonio Cultural"/>
    <n v="0"/>
    <n v="32000000"/>
    <m/>
    <m/>
    <m/>
    <n v="32000000"/>
    <m/>
    <m/>
    <m/>
    <m/>
    <m/>
    <n v="32000000"/>
    <m/>
    <m/>
    <m/>
    <n v="0"/>
    <m/>
    <n v="1"/>
    <m/>
    <m/>
    <m/>
    <m/>
    <m/>
    <m/>
    <m/>
    <m/>
    <m/>
    <m/>
    <m/>
    <m/>
    <m/>
    <m/>
    <n v="0"/>
    <n v="0"/>
    <m/>
  </r>
  <r>
    <n v="216"/>
    <n v="216"/>
    <b v="0"/>
    <s v="Sí"/>
    <s v="1112. Instrumentos de planeación y gestión para la preservación y sostenibilidad del patrimonio cultural"/>
    <s v="3-3-1-15-02-17-1112-140"/>
    <n v="80111600"/>
    <s v="Prestar servicios profesionales al Instituto Distrital de Patrimonio Cultural apoyando la consolidación de la propuesta para la norma urbana patrimonial del Plan Especial de Manejo y Protección -PEMP- del Centro Histórico de Bogotá D.C y otros proyectos. "/>
    <s v="(Cód. 216) Prestar servicios profesionales al Instituto Distrital de Patrimonio Cultural apoyando la consolidación de la propuesta para la norma urbana patrimonial del Plan Especial de Manejo y Protección -PEMP- del Centro Histórico de Bogotá D.C y otros proyectos. "/>
    <d v="2019-01-17T00:00:00"/>
    <n v="10"/>
    <d v="2019-01-31T00:00:00"/>
    <x v="1"/>
    <n v="1"/>
    <n v="1"/>
    <n v="8"/>
    <n v="1"/>
    <s v="Contratación directa / Prestación de servicios profesionales y de apoyo a la gestión"/>
    <s v="CCE-16"/>
    <n v="0"/>
    <s v="N.A."/>
    <s v="Apoyo norma patrimonio 1- DIEGO ORTIZ"/>
    <n v="40640000"/>
    <n v="40640000"/>
    <n v="0"/>
    <n v="0"/>
    <s v="ASESORA JURIDICA"/>
    <s v="CO-DC-11001"/>
    <s v="María Victoria Villamil Páez (Subdirección General)"/>
    <s v="3550800"/>
    <s v="maria.villamil@idpc.gov.co"/>
    <s v="ME20181112"/>
    <s v="COMP1112"/>
    <s v="CONC1112"/>
    <s v="Formular y adoptar el plan especial de manejo y protección del Centro Histórico "/>
    <s v="Plan especial de manejo y protección del centro histórico"/>
    <s v="15. Instrumentos técnicos de gestión para la preservación del patrimonio cultural"/>
    <s v="FONT1112"/>
    <s v="12-Otros Distrito"/>
    <s v="04-INVESTIGACION Y ESTUDIOS"/>
    <s v="01-INVESTIGACIÓN BÁSICA APLICADA Y ESTUDIOS PROPIOS DEL SECTOR"/>
    <s v="0185-Actividades de investigación para la valoración, protección, conservación, sostenibilidad y apropiación del Patrimonio Cultural"/>
    <n v="0"/>
    <n v="40640000"/>
    <m/>
    <m/>
    <m/>
    <n v="40640000"/>
    <m/>
    <m/>
    <m/>
    <m/>
    <m/>
    <n v="40640000"/>
    <m/>
    <m/>
    <m/>
    <n v="0"/>
    <m/>
    <n v="1"/>
    <m/>
    <m/>
    <m/>
    <m/>
    <m/>
    <m/>
    <m/>
    <m/>
    <m/>
    <m/>
    <m/>
    <m/>
    <m/>
    <m/>
    <n v="0"/>
    <n v="0"/>
    <m/>
  </r>
  <r>
    <n v="217"/>
    <n v="217"/>
    <b v="0"/>
    <s v="Sí"/>
    <s v="1112. Instrumentos de planeación y gestión para la preservación y sostenibilidad del patrimonio cultural"/>
    <s v="3-3-1-15-02-17-1112-140"/>
    <n v="80111600"/>
    <s v="Prestar servicios profesionales al Instituto Distrital de Patrimonio Cultural apoyando la consolidación de la propuesta para la norma urbana patrimonial del Plan Especial de Manejo y Protección -PEMP- del Centro Histórico de Bogotá D.C y otros proyectos. "/>
    <s v="(Cód. 217) Prestar servicios profesionales al Instituto Distrital de Patrimonio Cultural apoyando la consolidación de la propuesta para la norma urbana patrimonial del Plan Especial de Manejo y Protección -PEMP- del Centro Histórico de Bogotá D.C y otros proyectos. "/>
    <d v="2019-01-17T00:00:00"/>
    <n v="10"/>
    <d v="2019-01-31T00:00:00"/>
    <x v="1"/>
    <n v="1"/>
    <n v="1"/>
    <n v="6"/>
    <n v="1"/>
    <s v="Contratación directa / Prestación de servicios profesionales y de apoyo a la gestión"/>
    <s v="CCE-16"/>
    <n v="0"/>
    <s v="N.A."/>
    <s v="Apoyo norma patrimonio 2- HERNÁN ALDANA  "/>
    <n v="30480000"/>
    <n v="30480000"/>
    <n v="0"/>
    <n v="0"/>
    <s v="ASESORA JURIDICA"/>
    <s v="CO-DC-11001"/>
    <s v="María Victoria Villamil Páez (Subdirección General)"/>
    <s v="3550800"/>
    <s v="maria.villamil@idpc.gov.co"/>
    <s v="ME20181112"/>
    <s v="COMP1112"/>
    <s v="CONC1112"/>
    <s v="Formular y adoptar el plan especial de manejo y protección del Centro Histórico "/>
    <s v="Plan especial de manejo y protección del centro histórico"/>
    <s v="15. Instrumentos técnicos de gestión para la preservación del patrimonio cultural"/>
    <s v="FONT1112"/>
    <s v="12-Otros Distrito"/>
    <s v="04-INVESTIGACION Y ESTUDIOS"/>
    <s v="01-INVESTIGACIÓN BÁSICA APLICADA Y ESTUDIOS PROPIOS DEL SECTOR"/>
    <s v="0185-Actividades de investigación para la valoración, protección, conservación, sostenibilidad y apropiación del Patrimonio Cultural"/>
    <n v="0"/>
    <n v="30480000"/>
    <m/>
    <m/>
    <m/>
    <n v="30480000"/>
    <m/>
    <m/>
    <m/>
    <m/>
    <m/>
    <n v="30480000"/>
    <m/>
    <m/>
    <m/>
    <n v="0"/>
    <m/>
    <n v="1"/>
    <m/>
    <m/>
    <m/>
    <m/>
    <m/>
    <m/>
    <m/>
    <m/>
    <m/>
    <m/>
    <m/>
    <m/>
    <m/>
    <m/>
    <n v="0"/>
    <n v="0"/>
    <m/>
  </r>
  <r>
    <n v="218"/>
    <n v="218"/>
    <b v="0"/>
    <s v="Sí"/>
    <s v="1112. Instrumentos de planeación y gestión para la preservación y sostenibilidad del patrimonio cultural"/>
    <s v="3-3-1-15-02-17-1112-140"/>
    <n v="80111600"/>
    <s v="Prestar servicios profesionales al Instituto Distrital de Patrimonio Cultural para apoyar las acciones requeridas para el desarrollo de la propuesta de norma urbana e instrumentos del Plan Especial de Manejo y Protección -PEMP- del Centro Histórico de Bogotá D.C."/>
    <s v="(Cód. 218) Prestar servicios profesionales al Instituto Distrital de Patrimonio Cultural para apoyar las acciones requeridas para el desarrollo de la propuesta de norma urbana e instrumentos del Plan Especial de Manejo y Protección -PEMP- del Centro Histórico de Bogotá D.C."/>
    <d v="2019-01-17T00:00:00"/>
    <n v="10"/>
    <d v="2019-01-31T00:00:00"/>
    <x v="1"/>
    <n v="1"/>
    <n v="1"/>
    <n v="8"/>
    <n v="1"/>
    <s v="Contratación directa / Prestación de servicios profesionales y de apoyo a la gestión"/>
    <s v="CCE-16"/>
    <n v="0"/>
    <s v="N.A."/>
    <s v="Apoyo norma urbano 3 SANDRA SABOGAL "/>
    <n v="40640000"/>
    <n v="40640000"/>
    <n v="0"/>
    <n v="0"/>
    <s v="ASESORA JURIDICA"/>
    <s v="CO-DC-11001"/>
    <s v="María Victoria Villamil Páez (Subdirección General)"/>
    <s v="3550800"/>
    <s v="maria.villamil@idpc.gov.co"/>
    <s v="ME20181112"/>
    <s v="COMP1112"/>
    <s v="CONC1112"/>
    <s v="Formular y adoptar el plan especial de manejo y protección del Centro Histórico "/>
    <s v="Plan especial de manejo y protección del centro histórico"/>
    <s v="15. Instrumentos técnicos de gestión para la preservación del patrimonio cultural"/>
    <s v="FONT1112"/>
    <s v="12-Otros Distrito"/>
    <s v="04-INVESTIGACION Y ESTUDIOS"/>
    <s v="01-INVESTIGACIÓN BÁSICA APLICADA Y ESTUDIOS PROPIOS DEL SECTOR"/>
    <s v="0185-Actividades de investigación para la valoración, protección, conservación, sostenibilidad y apropiación del Patrimonio Cultural"/>
    <n v="0"/>
    <n v="40640000"/>
    <m/>
    <m/>
    <m/>
    <n v="40640000"/>
    <m/>
    <m/>
    <m/>
    <m/>
    <m/>
    <n v="40640000"/>
    <m/>
    <m/>
    <m/>
    <n v="0"/>
    <m/>
    <n v="1"/>
    <m/>
    <m/>
    <m/>
    <m/>
    <m/>
    <m/>
    <m/>
    <m/>
    <m/>
    <m/>
    <m/>
    <m/>
    <m/>
    <m/>
    <n v="0"/>
    <n v="0"/>
    <m/>
  </r>
  <r>
    <n v="219"/>
    <n v="219"/>
    <b v="0"/>
    <s v="Sí"/>
    <s v="1112. Instrumentos de planeación y gestión para la preservación y sostenibilidad del patrimonio cultural"/>
    <s v="3-3-1-15-02-17-1112-140"/>
    <n v="80111600"/>
    <s v="Prestar servicios de apoyo a la gestión al Instituto Distrital de Patrimonio Cultural para apoyar las acciones requeridas en la consolidación de la propuesta normativa del Plan Especial de Manejo y Protección -PEMP- del Centro Histórico de Bogotá D.C."/>
    <s v="(Cód. 219) Prestar servicios de apoyo a la gestión al Instituto Distrital de Patrimonio Cultural para apoyar las acciones requeridas en la consolidación de la propuesta normativa del Plan Especial de Manejo y Protección -PEMP- del Centro Histórico de Bogotá D.C."/>
    <d v="2019-01-17T00:00:00"/>
    <n v="10"/>
    <d v="2019-01-31T00:00:00"/>
    <x v="1"/>
    <n v="1"/>
    <n v="1"/>
    <n v="8"/>
    <n v="1"/>
    <s v="Contratación directa / Prestación de servicios profesionales y de apoyo a la gestión"/>
    <s v="CCE-16"/>
    <n v="0"/>
    <s v="N.A."/>
    <s v="Apoyo norma urbano 4 "/>
    <n v="20000000"/>
    <n v="20000000"/>
    <n v="0"/>
    <n v="0"/>
    <s v="ASESORA JURIDICA"/>
    <s v="CO-DC-11001"/>
    <s v="María Victoria Villamil Páez (Subdirección General)"/>
    <s v="3550800"/>
    <s v="maria.villamil@idpc.gov.co"/>
    <s v="ME20181112"/>
    <s v="COMP1112"/>
    <s v="CONC1112"/>
    <s v="Formular y adoptar el plan especial de manejo y protección del Centro Histórico "/>
    <s v="Plan especial de manejo y protección del centro histórico"/>
    <s v="15. Instrumentos técnicos de gestión para la preservación del patrimonio cultural"/>
    <s v="FONT1112"/>
    <s v="12-Otros Distrito"/>
    <s v="04-INVESTIGACION Y ESTUDIOS"/>
    <s v="01-INVESTIGACIÓN BÁSICA APLICADA Y ESTUDIOS PROPIOS DEL SECTOR"/>
    <s v="0185-Actividades de investigación para la valoración, protección, conservación, sostenibilidad y apropiación del Patrimonio Cultural"/>
    <n v="0"/>
    <n v="20000000"/>
    <m/>
    <m/>
    <m/>
    <n v="20000000"/>
    <m/>
    <m/>
    <m/>
    <m/>
    <m/>
    <n v="20000000"/>
    <m/>
    <m/>
    <m/>
    <n v="0"/>
    <m/>
    <n v="1"/>
    <m/>
    <m/>
    <m/>
    <m/>
    <m/>
    <m/>
    <m/>
    <m/>
    <m/>
    <m/>
    <m/>
    <m/>
    <m/>
    <m/>
    <n v="0"/>
    <n v="0"/>
    <m/>
  </r>
  <r>
    <n v="220"/>
    <n v="220"/>
    <b v="0"/>
    <s v="Sí"/>
    <s v="1112. Instrumentos de planeación y gestión para la preservación y sostenibilidad del patrimonio cultural"/>
    <s v="3-3-1-15-02-17-1112-140"/>
    <n v="80111600"/>
    <s v="Prestar servicios profesionales al Instituto Distrital de Patrimonio Cultural para formular y desarrollar insumos relacionados con el direccionamiento estratégico del Plan Especial de Manejo y Protección -PEMP- del Centro Histórico de Bogotá D.C y otros proyectos asociados.  "/>
    <s v="(Cód. 220) Prestar servicios profesionales al Instituto Distrital de Patrimonio Cultural para formular y desarrollar insumos relacionados con el direccionamiento estratégico del Plan Especial de Manejo y Protección -PEMP- del Centro Histórico de Bogotá D.C y otros proyectos asociados.  "/>
    <d v="2019-01-15T00:00:00"/>
    <n v="10"/>
    <d v="2019-01-29T00:00:00"/>
    <x v="1"/>
    <n v="1"/>
    <n v="1"/>
    <n v="11"/>
    <n v="1"/>
    <s v="Contratación directa / Prestación de servicios profesionales y de apoyo a la gestión"/>
    <s v="CCE-16"/>
    <n v="0"/>
    <s v="N.A."/>
    <s v="APOYO PROFESIONAL "/>
    <n v="66000000"/>
    <n v="66000000"/>
    <n v="0"/>
    <n v="0"/>
    <s v="ASESORA JURIDICA"/>
    <s v="CO-DC-11001"/>
    <s v="María Victoria Villamil Páez (Subdirección General)"/>
    <s v="3550800"/>
    <s v="maria.villamil@idpc.gov.co"/>
    <s v="ME20181112"/>
    <s v="COMP1112"/>
    <s v="CONC1112"/>
    <s v="Formular y adoptar el plan especial de manejo y protección del Centro Histórico "/>
    <s v="Plan especial de manejo y protección del centro histórico"/>
    <s v="15. Instrumentos técnicos de gestión para la preservación del patrimonio cultural"/>
    <s v="FONT1112"/>
    <s v="12-Otros Distrito"/>
    <s v="04-INVESTIGACION Y ESTUDIOS"/>
    <s v="01-INVESTIGACIÓN BÁSICA APLICADA Y ESTUDIOS PROPIOS DEL SECTOR"/>
    <s v="0185-Actividades de investigación para la valoración, protección, conservación, sostenibilidad y apropiación del Patrimonio Cultural"/>
    <n v="0"/>
    <n v="66000000"/>
    <m/>
    <m/>
    <m/>
    <n v="66000000"/>
    <m/>
    <m/>
    <m/>
    <m/>
    <m/>
    <n v="66000000"/>
    <m/>
    <m/>
    <m/>
    <n v="0"/>
    <m/>
    <n v="1"/>
    <m/>
    <m/>
    <m/>
    <m/>
    <m/>
    <m/>
    <m/>
    <m/>
    <m/>
    <m/>
    <m/>
    <m/>
    <m/>
    <m/>
    <n v="0"/>
    <n v="0"/>
    <m/>
  </r>
  <r>
    <n v="221"/>
    <n v="221"/>
    <b v="0"/>
    <s v="Sí"/>
    <s v="1112. Instrumentos de planeación y gestión para la preservación y sostenibilidad del patrimonio cultural"/>
    <s v="3-3-1-15-02-17-1112-140"/>
    <n v="80111600"/>
    <s v="Prestar servicios profesionales al Instituto Distrital de Patrimonio Cultural para ejecutar insumos urbano arquitectónicos de proyectos y de las intervenciones integrales del Plan Especial de Manejo y Protección -PEMP- del Centro Histórico de Bogotá D.C. a partir de la consolidación de la formulación del mismo."/>
    <s v="(Cód. 221) Prestar servicios profesionales al Instituto Distrital de Patrimonio Cultural para ejecutar insumos urbano arquitectónicos de proyectos y de las intervenciones integrales del Plan Especial de Manejo y Protección -PEMP- del Centro Histórico de Bogotá D.C. a partir de la consolidación de la formulación del mismo."/>
    <d v="2019-01-15T00:00:00"/>
    <n v="10"/>
    <d v="2019-01-29T00:00:00"/>
    <x v="1"/>
    <n v="1"/>
    <n v="1"/>
    <n v="9"/>
    <n v="1"/>
    <s v="Contratación directa / Prestación de servicios profesionales y de apoyo a la gestión"/>
    <s v="CCE-16"/>
    <n v="0"/>
    <s v="N.A."/>
    <s v="ARQ, REEMPLAZO SERGIO "/>
    <n v="46800000"/>
    <n v="46800000"/>
    <n v="0"/>
    <n v="0"/>
    <s v="ASESORA JURIDICA"/>
    <s v="CO-DC-11001"/>
    <s v="María Victoria Villamil Páez (Subdirección General)"/>
    <s v="3550800"/>
    <s v="maria.villamil@idpc.gov.co"/>
    <s v="ME20181112"/>
    <s v="COMP1112"/>
    <s v="CONC1112"/>
    <s v="Formular y adoptar el plan especial de manejo y protección del Centro Histórico "/>
    <s v="Plan especial de manejo y protección del centro histórico"/>
    <s v="15. Instrumentos técnicos de gestión para la preservación del patrimonio cultural"/>
    <s v="FONT1112"/>
    <s v="12-Otros Distrito"/>
    <s v="04-INVESTIGACION Y ESTUDIOS"/>
    <s v="01-INVESTIGACIÓN BÁSICA APLICADA Y ESTUDIOS PROPIOS DEL SECTOR"/>
    <s v="0185-Actividades de investigación para la valoración, protección, conservación, sostenibilidad y apropiación del Patrimonio Cultural"/>
    <n v="0"/>
    <n v="46800000"/>
    <m/>
    <m/>
    <m/>
    <n v="46800000"/>
    <m/>
    <m/>
    <m/>
    <m/>
    <m/>
    <n v="46800000"/>
    <m/>
    <m/>
    <m/>
    <n v="0"/>
    <m/>
    <n v="1"/>
    <m/>
    <m/>
    <m/>
    <m/>
    <m/>
    <m/>
    <m/>
    <m/>
    <m/>
    <m/>
    <m/>
    <m/>
    <m/>
    <m/>
    <n v="0"/>
    <n v="0"/>
    <m/>
  </r>
  <r>
    <n v="222"/>
    <n v="222"/>
    <b v="0"/>
    <s v="Sí"/>
    <s v="1112. Instrumentos de planeación y gestión para la preservación y sostenibilidad del patrimonio cultural"/>
    <s v="3-3-1-15-02-17-1112-140"/>
    <n v="80111600"/>
    <s v="Prestar servicios profesionales al Instituto Distrital de Patrimonio Cultural en el desarrollo de insumos urbano arquitectonicos para los planes, programas y proyectos del Instituto. "/>
    <s v="(Cód. 222) Prestar servicios profesionales al Instituto Distrital de Patrimonio Cultural en el desarrollo de insumos urbano arquitectonicos para los planes, programas y proyectos del Instituto. "/>
    <d v="2019-01-15T00:00:00"/>
    <n v="10"/>
    <d v="2019-01-29T00:00:00"/>
    <x v="1"/>
    <n v="1"/>
    <n v="1"/>
    <n v="11"/>
    <n v="1"/>
    <s v="Contratación directa / Prestación de servicios profesionales y de apoyo a la gestión"/>
    <s v="CCE-16"/>
    <n v="0"/>
    <s v="N.A."/>
    <s v="ARQ. APOYO "/>
    <n v="49500000"/>
    <n v="49500000"/>
    <n v="0"/>
    <n v="0"/>
    <s v="ASESORA JURIDICA"/>
    <s v="CO-DC-11001"/>
    <s v="María Victoria Villamil Páez (Subdirección General)"/>
    <s v="3550800"/>
    <s v="maria.villamil@idpc.gov.co"/>
    <s v="ME20181112"/>
    <s v="COMP1112"/>
    <s v="CONC1112"/>
    <s v="Formular planes y proyectos urbanos en ámbitos patrimoniales"/>
    <s v="Planes y proyectos urbanos en ámbitos patrimoniales"/>
    <s v="15. Instrumentos técnicos de gestión para la preservación del patrimonio cultural"/>
    <s v="FONT1112"/>
    <s v="12-Otros Distrito"/>
    <s v="04-INVESTIGACION Y ESTUDIOS"/>
    <s v="01-INVESTIGACIÓN BÁSICA APLICADA Y ESTUDIOS PROPIOS DEL SECTOR"/>
    <s v="0185-Actividades de investigación para la valoración, protección, conservación, sostenibilidad y apropiación del Patrimonio Cultural"/>
    <n v="0"/>
    <n v="49500000"/>
    <m/>
    <m/>
    <m/>
    <n v="49500000"/>
    <m/>
    <m/>
    <m/>
    <m/>
    <m/>
    <n v="49500000"/>
    <m/>
    <m/>
    <m/>
    <n v="0"/>
    <m/>
    <n v="1"/>
    <m/>
    <m/>
    <m/>
    <m/>
    <m/>
    <m/>
    <m/>
    <m/>
    <m/>
    <m/>
    <m/>
    <m/>
    <m/>
    <m/>
    <n v="0"/>
    <n v="0"/>
    <m/>
  </r>
  <r>
    <n v="223"/>
    <n v="223"/>
    <b v="0"/>
    <s v="Sí"/>
    <s v="1112. Instrumentos de planeación y gestión para la preservación y sostenibilidad del patrimonio cultural"/>
    <s v="3-3-1-15-02-17-1112-140"/>
    <n v="80111600"/>
    <s v="Prestar servicios profesionales al Instituto Distrital de Patrimonio Cultural en el elaborar de los productos relacionados con los programas, planes, proyectos e intervenciones integrales del Instituto. "/>
    <s v="(Cód. 223) Prestar servicios profesionales al Instituto Distrital de Patrimonio Cultural en el elaborar de los productos relacionados con los programas, planes, proyectos e intervenciones integrales del Instituto. "/>
    <d v="2019-01-24T00:00:00"/>
    <n v="10"/>
    <d v="2019-02-07T00:00:00"/>
    <x v="0"/>
    <n v="1"/>
    <n v="1"/>
    <n v="11"/>
    <n v="1"/>
    <s v="Contratación directa / Prestación de servicios profesionales y de apoyo a la gestión"/>
    <s v="CCE-16"/>
    <n v="0"/>
    <s v="N.A."/>
    <s v="ARQ. APOYO "/>
    <n v="55000000"/>
    <n v="55000000"/>
    <n v="0"/>
    <n v="0"/>
    <s v="ASESORA JURIDICA"/>
    <s v="CO-DC-11001"/>
    <s v="María Victoria Villamil Páez (Subdirección General)"/>
    <s v="3550800"/>
    <s v="maria.villamil@idpc.gov.co"/>
    <s v="ME20181112"/>
    <s v="COMP1112"/>
    <s v="CONC1112"/>
    <s v="Formular y adoptar el plan especial de manejo y protección del Centro Histórico "/>
    <s v="Planes y proyectos urbanos en ámbitos patrimoniales"/>
    <s v="15. Instrumentos técnicos de gestión para la preservación del patrimonio cultural"/>
    <s v="FONT1112"/>
    <s v="12-Otros Distrito"/>
    <s v="04-INVESTIGACION Y ESTUDIOS"/>
    <s v="01-INVESTIGACIÓN BÁSICA APLICADA Y ESTUDIOS PROPIOS DEL SECTOR"/>
    <s v="0185-Actividades de investigación para la valoración, protección, conservación, sostenibilidad y apropiación del Patrimonio Cultural"/>
    <n v="0"/>
    <n v="55000000"/>
    <m/>
    <m/>
    <m/>
    <n v="55000000"/>
    <m/>
    <m/>
    <m/>
    <m/>
    <m/>
    <n v="55000000"/>
    <m/>
    <m/>
    <m/>
    <n v="0"/>
    <m/>
    <n v="1"/>
    <m/>
    <m/>
    <m/>
    <m/>
    <m/>
    <m/>
    <m/>
    <m/>
    <m/>
    <m/>
    <m/>
    <m/>
    <m/>
    <m/>
    <n v="0"/>
    <n v="0"/>
    <m/>
  </r>
  <r>
    <n v="224"/>
    <n v="224"/>
    <b v="0"/>
    <s v="Sí"/>
    <s v="1112. Instrumentos de planeación y gestión para la preservación y sostenibilidad del patrimonio cultural"/>
    <s v="3-3-1-15-02-17-1112-140"/>
    <n v="80111600"/>
    <s v="Prestar servicios profesionales al Instituto Distrital de Patrimonio Cultural en la ejecución de las actividades de planimetría y montaje para la consolidación de la valoración e inventario de los bienes del patrimonio cultural inmueble del Plan Especial de Manejo y Protección- PEMP- del Centro Histórico de Bogotá D.C.  "/>
    <s v="(Cód. 224) Prestar servicios profesionales al Instituto Distrital de Patrimonio Cultural en la ejecución de las actividades de planimetría y montaje para la consolidación de la valoración e inventario de los bienes del patrimonio cultural inmueble del Plan Especial de Manejo y Protección- PEMP- del Centro Histórico de Bogotá D.C.  "/>
    <d v="2019-01-15T00:00:00"/>
    <n v="10"/>
    <d v="2019-01-29T00:00:00"/>
    <x v="1"/>
    <n v="1"/>
    <n v="1"/>
    <n v="3"/>
    <n v="1"/>
    <s v="Contratación directa / Prestación de servicios profesionales y de apoyo a la gestión"/>
    <s v="CCE-16"/>
    <n v="0"/>
    <s v="N.A."/>
    <s v="Camilo Becerra"/>
    <n v="11100000"/>
    <n v="11100000"/>
    <n v="0"/>
    <n v="0"/>
    <s v="ASESORA JURIDICA"/>
    <s v="CO-DC-11001"/>
    <s v="María Victoria Villamil Páez (Subdirección General)"/>
    <s v="3550800"/>
    <s v="maria.villamil@idpc.gov.co"/>
    <s v="ME20181112"/>
    <s v="COMP1112"/>
    <s v="CONC1112"/>
    <s v="Formular y adoptar el plan especial de manejo y protección del Centro Histórico "/>
    <s v="Plan especial de manejo y protección del centro histórico"/>
    <s v="15. Instrumentos técnicos de gestión para la preservación del patrimonio cultural"/>
    <s v="FONT1112"/>
    <s v="12-Otros Distrito"/>
    <s v="04-INVESTIGACION Y ESTUDIOS"/>
    <s v="01-INVESTIGACIÓN BÁSICA APLICADA Y ESTUDIOS PROPIOS DEL SECTOR"/>
    <s v="0185-Actividades de investigación para la valoración, protección, conservación, sostenibilidad y apropiación del Patrimonio Cultural"/>
    <n v="0"/>
    <n v="11100000"/>
    <m/>
    <m/>
    <m/>
    <n v="11100000"/>
    <m/>
    <m/>
    <m/>
    <m/>
    <m/>
    <n v="11100000"/>
    <m/>
    <m/>
    <m/>
    <n v="0"/>
    <m/>
    <n v="1"/>
    <m/>
    <m/>
    <m/>
    <m/>
    <m/>
    <m/>
    <m/>
    <m/>
    <m/>
    <m/>
    <m/>
    <m/>
    <m/>
    <m/>
    <n v="0"/>
    <n v="0"/>
    <m/>
  </r>
  <r>
    <n v="225"/>
    <n v="225"/>
    <b v="0"/>
    <s v="Sí"/>
    <s v="1112. Instrumentos de planeación y gestión para la preservación y sostenibilidad del patrimonio cultural"/>
    <s v="3-3-1-15-02-17-1112-140"/>
    <n v="80111600"/>
    <s v="Prestar servicios profesionales al Instituto Distrital de Patrimonio Cultural para ejecutar  insumos urbano-territoriales en la formulación de proyectos y del Plan Especial de Manejo y Protección -PEMP- del Centro Histórico de Bogotá D.C, a partir de la consolidación de la formulación del mismo. "/>
    <s v="(Cód. 225) Prestar servicios profesionales al Instituto Distrital de Patrimonio Cultural para ejecutar  insumos urbano-territoriales en la formulación de proyectos y del Plan Especial de Manejo y Protección -PEMP- del Centro Histórico de Bogotá D.C, a partir de la consolidación de la formulación del mismo. "/>
    <d v="2019-01-15T00:00:00"/>
    <n v="10"/>
    <d v="2019-01-29T00:00:00"/>
    <x v="1"/>
    <n v="1"/>
    <n v="1"/>
    <n v="11"/>
    <n v="1"/>
    <s v="Contratación directa / Prestación de servicios profesionales y de apoyo a la gestión"/>
    <s v="CCE-16"/>
    <n v="0"/>
    <s v="N.A."/>
    <s v="CARLOS LINCE "/>
    <n v="60940000"/>
    <n v="60940000"/>
    <n v="0"/>
    <n v="0"/>
    <s v="ASESORA JURIDICA"/>
    <s v="CO-DC-11001"/>
    <s v="María Victoria Villamil Páez (Subdirección General)"/>
    <s v="3550800"/>
    <s v="maria.villamil@idpc.gov.co"/>
    <s v="ME20181112"/>
    <s v="COMP1112"/>
    <s v="CONC1112"/>
    <s v="Formular y adoptar el plan especial de manejo y protección del Centro Histórico "/>
    <s v="Plan especial de manejo y protección del centro histórico"/>
    <s v="15. Instrumentos técnicos de gestión para la preservación del patrimonio cultural"/>
    <s v="FONT1112"/>
    <s v="12-Otros Distrito"/>
    <s v="04-INVESTIGACION Y ESTUDIOS"/>
    <s v="01-INVESTIGACIÓN BÁSICA APLICADA Y ESTUDIOS PROPIOS DEL SECTOR"/>
    <s v="0185-Actividades de investigación para la valoración, protección, conservación, sostenibilidad y apropiación del Patrimonio Cultural"/>
    <n v="0"/>
    <n v="60940000"/>
    <m/>
    <m/>
    <m/>
    <n v="60940000"/>
    <m/>
    <m/>
    <m/>
    <m/>
    <m/>
    <n v="60940000"/>
    <m/>
    <m/>
    <m/>
    <n v="0"/>
    <m/>
    <n v="1"/>
    <m/>
    <m/>
    <m/>
    <m/>
    <m/>
    <m/>
    <m/>
    <m/>
    <m/>
    <m/>
    <m/>
    <m/>
    <m/>
    <m/>
    <n v="0"/>
    <n v="0"/>
    <m/>
  </r>
  <r>
    <n v="226"/>
    <n v="226"/>
    <b v="0"/>
    <s v="Sí"/>
    <s v="1112. Instrumentos de planeación y gestión para la preservación y sostenibilidad del patrimonio cultural"/>
    <s v="3-3-1-15-02-17-1112-140"/>
    <n v="80111600"/>
    <s v="Prestar servicios profesionales al Instituto Distrital de Patrimonio Cultural  para formular y desarrollar insumos relacionados con la gestión de los programas, planes, proyectos e intervenciones integrales del Instituto. "/>
    <s v="(Cód. 226) Prestar servicios profesionales al Instituto Distrital de Patrimonio Cultural  para formular y desarrollar insumos relacionados con la gestión de los programas, planes, proyectos e intervenciones integrales del Instituto. "/>
    <d v="2019-01-15T00:00:00"/>
    <n v="10"/>
    <d v="2019-01-29T00:00:00"/>
    <x v="1"/>
    <n v="1"/>
    <n v="1"/>
    <n v="11"/>
    <n v="1"/>
    <s v="Contratación directa / Prestación de servicios profesionales y de apoyo a la gestión"/>
    <s v="CCE-16"/>
    <n v="0"/>
    <s v="N.A."/>
    <s v="CLAUDIA SILVA "/>
    <n v="88000000"/>
    <n v="88000000"/>
    <n v="0"/>
    <n v="0"/>
    <s v="ASESORA JURIDICA"/>
    <s v="CO-DC-11001"/>
    <s v="María Victoria Villamil Páez (Subdirección General)"/>
    <s v="3550800"/>
    <s v="maria.villamil@idpc.gov.co"/>
    <s v="ME20181112"/>
    <s v="COMP1112"/>
    <s v="CONC1112"/>
    <s v="Formular y adoptar el plan especial de manejo y protección del Centro Histórico "/>
    <s v="Planes y proyectos urbanos en ámbitos patrimoniales"/>
    <s v="15. Instrumentos técnicos de gestión para la preservación del patrimonio cultural"/>
    <s v="FONT1112"/>
    <s v="12-Otros Distrito"/>
    <s v="04-INVESTIGACION Y ESTUDIOS"/>
    <s v="01-INVESTIGACIÓN BÁSICA APLICADA Y ESTUDIOS PROPIOS DEL SECTOR"/>
    <s v="0185-Actividades de investigación para la valoración, protección, conservación, sostenibilidad y apropiación del Patrimonio Cultural"/>
    <n v="0"/>
    <n v="88000000"/>
    <m/>
    <m/>
    <m/>
    <n v="88000000"/>
    <m/>
    <m/>
    <m/>
    <m/>
    <m/>
    <n v="88000000"/>
    <m/>
    <m/>
    <m/>
    <n v="0"/>
    <m/>
    <n v="1"/>
    <m/>
    <m/>
    <m/>
    <m/>
    <m/>
    <m/>
    <m/>
    <m/>
    <m/>
    <m/>
    <m/>
    <m/>
    <m/>
    <m/>
    <n v="0"/>
    <n v="0"/>
    <m/>
  </r>
  <r>
    <n v="227"/>
    <n v="227"/>
    <b v="0"/>
    <s v="Sí"/>
    <s v="1112. Instrumentos de planeación y gestión para la preservación y sostenibilidad del patrimonio cultural"/>
    <s v="3-3-1-15-02-17-1112-140"/>
    <n v="80111600"/>
    <s v="Prestar servicios profesionales al Instituto Distrital de Patrimonio Cultural en la revisión, verificación y consolidación de la información fotográfica como insumo para las fichas del inventario- valoración y normativa del patrimonio cultural inmueble del Plan Especial de Manejo y protección –PEMP- del Centro Histórico de Bogotá D.C."/>
    <s v="(Cód. 227) Prestar servicios profesionales al Instituto Distrital de Patrimonio Cultural en la revisión, verificación y consolidación de la información fotográfica como insumo para las fichas del inventario- valoración y normativa del patrimonio cultural inmueble del Plan Especial de Manejo y protección –PEMP- del Centro Histórico de Bogotá D.C."/>
    <d v="2019-01-15T00:00:00"/>
    <n v="10"/>
    <d v="2019-01-29T00:00:00"/>
    <x v="1"/>
    <n v="1"/>
    <n v="1"/>
    <n v="4"/>
    <n v="1"/>
    <s v="Contratación directa / Prestación de servicios profesionales y de apoyo a la gestión"/>
    <s v="CCE-16"/>
    <n v="0"/>
    <s v="N.A."/>
    <s v="DIEGO MENESES "/>
    <n v="22000000"/>
    <n v="22000000"/>
    <n v="0"/>
    <n v="0"/>
    <s v="ASESORA JURIDICA"/>
    <s v="CO-DC-11001"/>
    <s v="María Victoria Villamil Páez (Subdirección General)"/>
    <s v="3550800"/>
    <s v="maria.villamil@idpc.gov.co"/>
    <s v="ME20181112"/>
    <s v="COMP1112"/>
    <s v="CONC1112"/>
    <s v="Formular y adoptar el plan especial de manejo y protección del Centro Histórico "/>
    <s v="Plan especial de manejo y protección del centro histórico"/>
    <s v="15. Instrumentos técnicos de gestión para la preservación del patrimonio cultural"/>
    <s v="FONT1112"/>
    <s v="12-Otros Distrito"/>
    <s v="04-INVESTIGACION Y ESTUDIOS"/>
    <s v="01-INVESTIGACIÓN BÁSICA APLICADA Y ESTUDIOS PROPIOS DEL SECTOR"/>
    <s v="0185-Actividades de investigación para la valoración, protección, conservación, sostenibilidad y apropiación del Patrimonio Cultural"/>
    <n v="0"/>
    <n v="22000000"/>
    <m/>
    <m/>
    <m/>
    <n v="22000000"/>
    <m/>
    <m/>
    <m/>
    <m/>
    <m/>
    <n v="22000000"/>
    <m/>
    <m/>
    <m/>
    <n v="0"/>
    <m/>
    <n v="1"/>
    <m/>
    <m/>
    <m/>
    <m/>
    <m/>
    <m/>
    <m/>
    <m/>
    <m/>
    <m/>
    <m/>
    <m/>
    <m/>
    <m/>
    <n v="0"/>
    <n v="0"/>
    <m/>
  </r>
  <r>
    <n v="228"/>
    <n v="228"/>
    <b v="0"/>
    <s v="Sí"/>
    <s v="1112. Instrumentos de planeación y gestión para la preservación y sostenibilidad del patrimonio cultural"/>
    <s v="3-3-1-15-02-17-1112-140"/>
    <n v="80111600"/>
    <s v="Prestar servicios profesionales al Instituto Distrital de Patrimonio Cultural para adelantar la modelación de escenarios de accesibilidad y movilidad para planes y proyectos del Instituto."/>
    <s v="(Cód. 228) Prestar servicios profesionales al Instituto Distrital de Patrimonio Cultural para adelantar la modelación de escenarios de accesibilidad y movilidad para planes y proyectos del Instituto."/>
    <d v="2019-03-03T00:00:00"/>
    <n v="10"/>
    <d v="2019-03-15T00:00:00"/>
    <x v="5"/>
    <n v="3"/>
    <n v="3"/>
    <n v="8"/>
    <n v="1"/>
    <s v="Contratación directa / Prestación de servicios profesionales y de apoyo a la gestión"/>
    <s v="CCE-16"/>
    <n v="0"/>
    <s v="N.A."/>
    <s v="ESCENARIOS DE MOVILIDAD (PEMP CH Y OTROS) "/>
    <n v="60550000"/>
    <n v="60550000"/>
    <n v="0"/>
    <n v="0"/>
    <s v="ASESORA JURIDICA"/>
    <s v="CO-DC-11001"/>
    <s v="María Victoria Villamil Páez (Subdirección General)"/>
    <s v="3550800"/>
    <s v="maria.villamil@idpc.gov.co"/>
    <s v="ME20181112"/>
    <s v="COMP1112"/>
    <s v="CONC1112"/>
    <s v="Formular y adoptar el plan especial de manejo y protección del Centro Histórico "/>
    <s v="Plan especial de manejo y protección del centro histórico"/>
    <s v="15. Instrumentos técnicos de gestión para la preservación del patrimonio cultural"/>
    <s v="FONT1112"/>
    <s v="12-Otros Distrito"/>
    <s v="04-INVESTIGACION Y ESTUDIOS"/>
    <s v="01-INVESTIGACIÓN BÁSICA APLICADA Y ESTUDIOS PROPIOS DEL SECTOR"/>
    <s v="0185-Actividades de investigación para la valoración, protección, conservación, sostenibilidad y apropiación del Patrimonio Cultural"/>
    <n v="0"/>
    <n v="60550000"/>
    <m/>
    <m/>
    <m/>
    <n v="60550000"/>
    <m/>
    <m/>
    <m/>
    <m/>
    <m/>
    <n v="60550000"/>
    <m/>
    <m/>
    <m/>
    <n v="0"/>
    <m/>
    <n v="1"/>
    <m/>
    <m/>
    <m/>
    <m/>
    <m/>
    <m/>
    <m/>
    <m/>
    <m/>
    <m/>
    <m/>
    <m/>
    <m/>
    <m/>
    <n v="0"/>
    <n v="0"/>
    <m/>
  </r>
  <r>
    <n v="229"/>
    <n v="229"/>
    <b v="0"/>
    <s v="Sí"/>
    <s v="1112. Instrumentos de planeación y gestión para la preservación y sostenibilidad del patrimonio cultural"/>
    <s v="3-3-1-15-02-17-1112-140"/>
    <n v="80111601"/>
    <s v="Prestar servicios profesionales al Instituto Distrital de Patrimonio Cultural en la ejecución de insumos documentales para la consolidación de la valoración e inventario de los bienes del patrimonio cultural inmueble del Plan Especial de Manejo y Protección- PEMP- del Centro Histórico de Bogotá D.C.  "/>
    <s v="(Cód. 229) Prestar servicios profesionales al Instituto Distrital de Patrimonio Cultural en la ejecución de insumos documentales para la consolidación de la valoración e inventario de los bienes del patrimonio cultural inmueble del Plan Especial de Manejo y Protección- PEMP- del Centro Histórico de Bogotá D.C.  "/>
    <d v="2019-02-15T00:00:00"/>
    <n v="10"/>
    <d v="2019-03-01T00:00:00"/>
    <x v="5"/>
    <n v="2"/>
    <n v="2"/>
    <n v="5"/>
    <n v="1"/>
    <s v="Contratación directa / Prestación de servicios profesionales y de apoyo a la gestión"/>
    <s v="CCE-16"/>
    <n v="0"/>
    <s v="N.A."/>
    <s v="Especialista inventario "/>
    <n v="16900000"/>
    <n v="16900000"/>
    <n v="0"/>
    <n v="0"/>
    <s v="ASESORA JURIDICA"/>
    <s v="CO-DC-11001"/>
    <s v="María Victoria Villamil Páez (Subdirección General)"/>
    <s v="3550800"/>
    <s v="maria.villamil@idpc.gov.co"/>
    <s v="ME20181112"/>
    <s v="COMP1112"/>
    <s v="CONC1112"/>
    <s v="Formular y adoptar el plan especial de manejo y protección del Centro Histórico "/>
    <s v="Plan especial de manejo y protección del centro histórico"/>
    <s v="15. Instrumentos técnicos de gestión para la preservación del patrimonio cultural"/>
    <s v="FONT1112"/>
    <s v="12-Otros Distrito"/>
    <s v="04-INVESTIGACION Y ESTUDIOS"/>
    <s v="01-INVESTIGACIÓN BÁSICA APLICADA Y ESTUDIOS PROPIOS DEL SECTOR"/>
    <s v="0185-Actividades de investigación para la valoración, protección, conservación, sostenibilidad y apropiación del Patrimonio Cultural"/>
    <n v="0"/>
    <n v="16900000"/>
    <m/>
    <m/>
    <m/>
    <n v="16900000"/>
    <m/>
    <m/>
    <m/>
    <m/>
    <m/>
    <n v="16900000"/>
    <m/>
    <m/>
    <m/>
    <n v="0"/>
    <m/>
    <n v="1"/>
    <m/>
    <m/>
    <m/>
    <m/>
    <m/>
    <m/>
    <m/>
    <m/>
    <m/>
    <m/>
    <m/>
    <m/>
    <m/>
    <m/>
    <n v="0"/>
    <n v="0"/>
    <m/>
  </r>
  <r>
    <n v="230"/>
    <n v="230"/>
    <b v="0"/>
    <s v="Sí"/>
    <s v="1112. Instrumentos de planeación y gestión para la preservación y sostenibilidad del patrimonio cultural"/>
    <s v="3-3-1-15-02-17-1112-140"/>
    <n v="80111600"/>
    <s v="Prestar servicios profesionales al Instituto Distrital de Patrimonio Cultural para apoyar las actividades de revisión, verificación y consolidación de las fichas del inventario y valoración del patrimonio cultural inmueble en el marco del Plan Especial de Manejo y Protección- PEMP- del Centro Histórico de Bogotá D.C."/>
    <s v="(Cód. 230) Prestar servicios profesionales al Instituto Distrital de Patrimonio Cultural para apoyar las actividades de revisión, verificación y consolidación de las fichas del inventario y valoración del patrimonio cultural inmueble en el marco del Plan Especial de Manejo y Protección- PEMP- del Centro Histórico de Bogotá D.C."/>
    <d v="2019-01-15T00:00:00"/>
    <n v="10"/>
    <d v="2019-01-29T00:00:00"/>
    <x v="1"/>
    <n v="1"/>
    <n v="1"/>
    <n v="4"/>
    <n v="1"/>
    <s v="Contratación directa / Prestación de servicios profesionales y de apoyo a la gestión"/>
    <s v="CCE-16"/>
    <n v="0"/>
    <s v="N.A."/>
    <s v="GABRIELA PINILLA "/>
    <n v="22000000"/>
    <n v="22000000"/>
    <n v="0"/>
    <n v="0"/>
    <s v="ASESORA JURIDICA"/>
    <s v="CO-DC-11001"/>
    <s v="María Victoria Villamil Páez (Subdirección General)"/>
    <s v="3550800"/>
    <s v="maria.villamil@idpc.gov.co"/>
    <s v="ME20181112"/>
    <s v="COMP1112"/>
    <s v="CONC1112"/>
    <s v="Formular y adoptar el plan especial de manejo y protección del Centro Histórico "/>
    <s v="Plan especial de manejo y protección del centro histórico"/>
    <s v="15. Instrumentos técnicos de gestión para la preservación del patrimonio cultural"/>
    <s v="FONT1112"/>
    <s v="12-Otros Distrito"/>
    <s v="04-INVESTIGACION Y ESTUDIOS"/>
    <s v="01-INVESTIGACIÓN BÁSICA APLICADA Y ESTUDIOS PROPIOS DEL SECTOR"/>
    <s v="0185-Actividades de investigación para la valoración, protección, conservación, sostenibilidad y apropiación del Patrimonio Cultural"/>
    <n v="0"/>
    <n v="22000000"/>
    <m/>
    <m/>
    <m/>
    <n v="22000000"/>
    <m/>
    <m/>
    <m/>
    <m/>
    <m/>
    <n v="22000000"/>
    <m/>
    <m/>
    <m/>
    <n v="0"/>
    <m/>
    <n v="1"/>
    <m/>
    <m/>
    <m/>
    <m/>
    <m/>
    <m/>
    <m/>
    <m/>
    <m/>
    <m/>
    <m/>
    <m/>
    <m/>
    <m/>
    <n v="0"/>
    <n v="0"/>
    <m/>
  </r>
  <r>
    <n v="231"/>
    <n v="231"/>
    <b v="0"/>
    <s v="Sí"/>
    <s v="1112. Instrumentos de planeación y gestión para la preservación y sostenibilidad del patrimonio cultural"/>
    <s v="3-3-1-15-02-17-1112-140"/>
    <n v="80111600"/>
    <s v="Prestar servicios profesionales al Instituto Distrital de Patrimonio Cultural para apoyar las actividades de seguimiento y ajustes al inventario y valoración del patrimonio cultural inmueble en el marco del Plan Especial de Manejo y Protección- PEMP- del Centro Histórico de Bogotá D.C."/>
    <s v="(Cód. 231) Prestar servicios profesionales al Instituto Distrital de Patrimonio Cultural para apoyar las actividades de seguimiento y ajustes al inventario y valoración del patrimonio cultural inmueble en el marco del Plan Especial de Manejo y Protección- PEMP- del Centro Histórico de Bogotá D.C."/>
    <d v="2019-01-15T00:00:00"/>
    <n v="10"/>
    <d v="2019-01-29T00:00:00"/>
    <x v="1"/>
    <n v="1"/>
    <n v="1"/>
    <n v="5"/>
    <n v="1"/>
    <s v="Contratación directa / Prestación de servicios profesionales y de apoyo a la gestión"/>
    <s v="CCE-16"/>
    <n v="0"/>
    <s v="N.A."/>
    <s v="GABRIELA PINILLA "/>
    <n v="27500000"/>
    <n v="27500000"/>
    <n v="0"/>
    <n v="0"/>
    <s v="ASESORA JURIDICA"/>
    <s v="CO-DC-11001"/>
    <s v="María Victoria Villamil Páez (Subdirección General)"/>
    <s v="3550800"/>
    <s v="maria.villamil@idpc.gov.co"/>
    <s v="ME20181112"/>
    <s v="COMP1112"/>
    <s v="CONC1112"/>
    <s v="Formular y adoptar el plan especial de manejo y protección del Centro Histórico "/>
    <s v="Plan especial de manejo y protección del centro histórico"/>
    <s v="15. Instrumentos técnicos de gestión para la preservación del patrimonio cultural"/>
    <s v="FONT1112"/>
    <s v="12-Otros Distrito"/>
    <s v="04-INVESTIGACION Y ESTUDIOS"/>
    <s v="01-INVESTIGACIÓN BÁSICA APLICADA Y ESTUDIOS PROPIOS DEL SECTOR"/>
    <s v="0185-Actividades de investigación para la valoración, protección, conservación, sostenibilidad y apropiación del Patrimonio Cultural"/>
    <n v="0"/>
    <n v="27500000"/>
    <m/>
    <m/>
    <m/>
    <n v="27500000"/>
    <m/>
    <m/>
    <m/>
    <m/>
    <m/>
    <n v="27500000"/>
    <m/>
    <m/>
    <m/>
    <n v="0"/>
    <m/>
    <n v="1"/>
    <m/>
    <m/>
    <m/>
    <m/>
    <m/>
    <m/>
    <m/>
    <m/>
    <m/>
    <m/>
    <m/>
    <m/>
    <m/>
    <m/>
    <n v="0"/>
    <n v="0"/>
    <m/>
  </r>
  <r>
    <n v="232"/>
    <n v="232"/>
    <b v="0"/>
    <s v="Sí"/>
    <s v="1112. Instrumentos de planeación y gestión para la preservación y sostenibilidad del patrimonio cultural"/>
    <s v="3-3-1-15-02-17-1112-140"/>
    <n v="80111600"/>
    <s v="Prestar servicios profesionales al Instituto Distrital de Patrimonio Cultural en la orientación de la gestión de los programas, planes, proyectos e intervenciones integrales del Plan Especial de Manejo y Protección -PEMP- del Centro Histórico de Bogotá D.C., y otros proyectos."/>
    <s v="(Cód. 232) Prestar servicios profesionales al Instituto Distrital de Patrimonio Cultural en la orientación de la gestión de los programas, planes, proyectos e intervenciones integrales del Plan Especial de Manejo y Protección -PEMP- del Centro Histórico de Bogotá D.C., y otros proyectos."/>
    <d v="2019-01-15T00:00:00"/>
    <n v="10"/>
    <d v="2019-01-29T00:00:00"/>
    <x v="1"/>
    <n v="1"/>
    <n v="1"/>
    <n v="11"/>
    <n v="1"/>
    <s v="Contratación directa / Prestación de servicios profesionales y de apoyo a la gestión"/>
    <s v="CCE-16"/>
    <n v="0"/>
    <s v="N.A."/>
    <s v="GERENCIA DE GESTIÓN (CLAUDIA CARRIZOSA)"/>
    <n v="112200000"/>
    <n v="112200000"/>
    <n v="0"/>
    <n v="0"/>
    <s v="ASESORA JURIDICA"/>
    <s v="CO-DC-11001"/>
    <s v="María Victoria Villamil Páez (Subdirección General)"/>
    <s v="3550800"/>
    <s v="maria.villamil@idpc.gov.co"/>
    <s v="ME20181112"/>
    <s v="COMP1112"/>
    <s v="CONC1112"/>
    <s v="Formular y adoptar el plan especial de manejo y protección del Centro Histórico "/>
    <s v="Plan especial de manejo y protección del centro histórico"/>
    <s v="15. Instrumentos técnicos de gestión para la preservación del patrimonio cultural"/>
    <s v="FONT1112"/>
    <s v="12-Otros Distrito"/>
    <s v="04-INVESTIGACION Y ESTUDIOS"/>
    <s v="01-INVESTIGACIÓN BÁSICA APLICADA Y ESTUDIOS PROPIOS DEL SECTOR"/>
    <s v="0185-Actividades de investigación para la valoración, protección, conservación, sostenibilidad y apropiación del Patrimonio Cultural"/>
    <n v="0"/>
    <n v="112200000"/>
    <m/>
    <m/>
    <m/>
    <n v="112200000"/>
    <m/>
    <m/>
    <m/>
    <m/>
    <m/>
    <n v="112200000"/>
    <m/>
    <m/>
    <m/>
    <n v="0"/>
    <m/>
    <n v="1"/>
    <m/>
    <m/>
    <m/>
    <m/>
    <m/>
    <m/>
    <m/>
    <m/>
    <m/>
    <m/>
    <m/>
    <m/>
    <m/>
    <m/>
    <n v="0"/>
    <n v="0"/>
    <m/>
  </r>
  <r>
    <n v="233"/>
    <n v="233"/>
    <b v="0"/>
    <s v="Sí"/>
    <s v="1112. Instrumentos de planeación y gestión para la preservación y sostenibilidad del patrimonio cultural"/>
    <s v="3-3-1-15-02-17-1112-140"/>
    <n v="80111600"/>
    <s v="Prestar servicios profesionales al Instituto Distrital de Patrimonio Cultural en el direccionamiento de proyectos e intervenciones integrales   del Plan Especial de Manejo y Protección -PEMP- del Centro Histórico de Bogotá D.C."/>
    <s v="(Cód. 233) Prestar servicios profesionales al Instituto Distrital de Patrimonio Cultural en el direccionamiento de proyectos e intervenciones integrales   del Plan Especial de Manejo y Protección -PEMP- del Centro Histórico de Bogotá D.C."/>
    <d v="2019-01-15T00:00:00"/>
    <n v="10"/>
    <d v="2019-01-29T00:00:00"/>
    <x v="1"/>
    <n v="1"/>
    <n v="1"/>
    <n v="11"/>
    <n v="1"/>
    <s v="Contratación directa / Prestación de servicios profesionales y de apoyo a la gestión"/>
    <s v="CCE-16"/>
    <n v="0"/>
    <s v="N.A."/>
    <s v="GERENCIA DE PROYECTOS (DAVID DELGADO) "/>
    <n v="114840000"/>
    <n v="114840000"/>
    <n v="0"/>
    <n v="0"/>
    <s v="ASESORA JURIDICA"/>
    <s v="CO-DC-11001"/>
    <s v="María Victoria Villamil Páez (Subdirección General)"/>
    <s v="3550800"/>
    <s v="maria.villamil@idpc.gov.co"/>
    <s v="ME20181112"/>
    <s v="COMP1112"/>
    <s v="CONC1112"/>
    <s v="Formular y adoptar el plan especial de manejo y protección del Centro Histórico "/>
    <s v="Plan especial de manejo y protección del centro histórico"/>
    <s v="15. Instrumentos técnicos de gestión para la preservación del patrimonio cultural"/>
    <s v="FONT1112"/>
    <s v="12-Otros Distrito"/>
    <s v="04-INVESTIGACION Y ESTUDIOS"/>
    <s v="01-INVESTIGACIÓN BÁSICA APLICADA Y ESTUDIOS PROPIOS DEL SECTOR"/>
    <s v="0185-Actividades de investigación para la valoración, protección, conservación, sostenibilidad y apropiación del Patrimonio Cultural"/>
    <n v="0"/>
    <n v="114840000"/>
    <m/>
    <m/>
    <m/>
    <n v="114840000"/>
    <m/>
    <m/>
    <m/>
    <m/>
    <m/>
    <n v="114840000"/>
    <m/>
    <m/>
    <m/>
    <n v="0"/>
    <m/>
    <n v="1"/>
    <m/>
    <m/>
    <m/>
    <m/>
    <m/>
    <m/>
    <m/>
    <m/>
    <m/>
    <m/>
    <m/>
    <m/>
    <m/>
    <m/>
    <n v="0"/>
    <n v="0"/>
    <m/>
  </r>
  <r>
    <n v="234"/>
    <n v="234"/>
    <b v="0"/>
    <s v="Sí"/>
    <s v="1112. Instrumentos de planeación y gestión para la preservación y sostenibilidad del patrimonio cultural"/>
    <s v="3-3-1-15-02-17-1112-140"/>
    <n v="80111600"/>
    <s v="Prestar servicios profesionales al Instituto Distrital de Patrimonio Cultural para realizar una propuesta de estructura legal e institucional del modelo de gestión del Plan Especial de Manejo y Protección -PEMP- del Centro Histórico de Bogotá D.C. "/>
    <s v="(Cód. 234) Prestar servicios profesionales al Instituto Distrital de Patrimonio Cultural para realizar una propuesta de estructura legal e institucional del modelo de gestión del Plan Especial de Manejo y Protección -PEMP- del Centro Histórico de Bogotá D.C. "/>
    <d v="2019-01-15T00:00:00"/>
    <n v="10"/>
    <d v="2019-01-29T00:00:00"/>
    <x v="1"/>
    <n v="1"/>
    <n v="1"/>
    <n v="11"/>
    <n v="1"/>
    <s v="Contratación directa / Prestación de servicios profesionales y de apoyo a la gestión"/>
    <s v="CCE-16"/>
    <n v="0"/>
    <s v="N.A."/>
    <s v="GERENCIA LEGAL ( PINILLA)"/>
    <n v="112200000"/>
    <n v="112200000"/>
    <n v="0"/>
    <n v="0"/>
    <s v="ASESORA JURIDICA"/>
    <s v="CO-DC-11001"/>
    <s v="María Victoria Villamil Páez (Subdirección General)"/>
    <s v="3550800"/>
    <s v="maria.villamil@idpc.gov.co"/>
    <s v="ME20181112"/>
    <s v="COMP1112"/>
    <s v="CONC1112"/>
    <s v="Formular y adoptar el plan especial de manejo y protección del Centro Histórico "/>
    <s v="Plan especial de manejo y protección del centro histórico"/>
    <s v="15. Instrumentos técnicos de gestión para la preservación del patrimonio cultural"/>
    <s v="FONT1112"/>
    <s v="12-Otros Distrito"/>
    <s v="04-INVESTIGACION Y ESTUDIOS"/>
    <s v="01-INVESTIGACIÓN BÁSICA APLICADA Y ESTUDIOS PROPIOS DEL SECTOR"/>
    <s v="0185-Actividades de investigación para la valoración, protección, conservación, sostenibilidad y apropiación del Patrimonio Cultural"/>
    <n v="0"/>
    <n v="112200000"/>
    <m/>
    <m/>
    <m/>
    <n v="112200000"/>
    <m/>
    <m/>
    <m/>
    <m/>
    <m/>
    <n v="112200000"/>
    <m/>
    <m/>
    <m/>
    <n v="0"/>
    <m/>
    <n v="1"/>
    <m/>
    <m/>
    <m/>
    <m/>
    <m/>
    <m/>
    <m/>
    <m/>
    <m/>
    <m/>
    <m/>
    <m/>
    <m/>
    <m/>
    <n v="0"/>
    <n v="0"/>
    <m/>
  </r>
  <r>
    <n v="235"/>
    <n v="235"/>
    <b v="0"/>
    <s v="Sí"/>
    <s v="1112. Instrumentos de planeación y gestión para la preservación y sostenibilidad del patrimonio cultural"/>
    <s v="3-3-1-15-02-17-1112-140"/>
    <n v="80111600"/>
    <s v="Prestar servicios profesionales al Instituto Distrital de Patrimonio Cultural en el direccionamiento de norma e instrumentos del Plan Especial de Manejo y Protección -PEMP- del Centro Histórico de Bogotá D.C."/>
    <s v="(Cód. 235) Prestar servicios profesionales al Instituto Distrital de Patrimonio Cultural en el direccionamiento de norma e instrumentos del Plan Especial de Manejo y Protección -PEMP- del Centro Histórico de Bogotá D.C."/>
    <d v="2019-01-15T00:00:00"/>
    <n v="10"/>
    <d v="2019-01-29T00:00:00"/>
    <x v="1"/>
    <n v="1"/>
    <n v="1"/>
    <n v="11"/>
    <n v="1"/>
    <s v="Contratación directa / Prestación de servicios profesionales y de apoyo a la gestión"/>
    <s v="CCE-16"/>
    <n v="0"/>
    <s v="N.A."/>
    <s v="GERENCIA PATRIMONIO - MIGUEL ANGEL VILLAMIZAR"/>
    <n v="0"/>
    <n v="0"/>
    <n v="0"/>
    <n v="0"/>
    <s v="ASESORA JURIDICA"/>
    <s v="CO-DC-11001"/>
    <s v="María Victoria Villamil Páez (Subdirección General)"/>
    <s v="3550800"/>
    <s v="maria.villamil@idpc.gov.co"/>
    <s v="ME20181112"/>
    <s v="COMP1112"/>
    <s v="CONC1112"/>
    <s v="Formular y adoptar el plan especial de manejo y protección del Centro Histórico "/>
    <s v="Plan especial de manejo y protección del centro histórico"/>
    <s v="15. Instrumentos técnicos de gestión para la preservación del patrimonio cultural"/>
    <s v="FONT1112"/>
    <s v="12-Otros Distrito"/>
    <s v="04-INVESTIGACION Y ESTUDIOS"/>
    <s v="01-INVESTIGACIÓN BÁSICA APLICADA Y ESTUDIOS PROPIOS DEL SECTOR"/>
    <s v="0185-Actividades de investigación para la valoración, protección, conservación, sostenibilidad y apropiación del Patrimonio Cultural"/>
    <n v="0"/>
    <n v="0"/>
    <m/>
    <m/>
    <m/>
    <n v="0"/>
    <m/>
    <m/>
    <m/>
    <m/>
    <m/>
    <n v="0"/>
    <m/>
    <m/>
    <m/>
    <n v="0"/>
    <m/>
    <n v="1"/>
    <m/>
    <m/>
    <m/>
    <m/>
    <m/>
    <m/>
    <m/>
    <m/>
    <m/>
    <m/>
    <m/>
    <m/>
    <m/>
    <m/>
    <n v="0"/>
    <n v="0"/>
    <m/>
  </r>
  <r>
    <n v="236"/>
    <n v="236"/>
    <b v="0"/>
    <s v="Sí"/>
    <s v="1112. Instrumentos de planeación y gestión para la preservación y sostenibilidad del patrimonio cultural"/>
    <s v="3-3-1-15-02-17-1112-140"/>
    <n v="80111600"/>
    <s v="Prestar servicios profesionales al Instituto Distrital de Patrimonio Cultural para elaborar insumos en el componente de innovación en la formulación de proyectos del Instituto. "/>
    <s v="(Cód. 236) Prestar servicios profesionales al Instituto Distrital de Patrimonio Cultural para elaborar insumos en el componente de innovación en la formulación de proyectos del Instituto. "/>
    <d v="2019-01-24T00:00:00"/>
    <n v="10"/>
    <d v="2019-02-07T00:00:00"/>
    <x v="0"/>
    <n v="1"/>
    <n v="1"/>
    <n v="5"/>
    <n v="1"/>
    <s v="Contratación directa / Prestación de servicios profesionales y de apoyo a la gestión"/>
    <s v="CCE-16"/>
    <n v="0"/>
    <s v="N.A."/>
    <s v="INNOVACIÓN "/>
    <n v="19000000"/>
    <n v="19000000"/>
    <n v="0"/>
    <n v="0"/>
    <s v="ASESORA JURIDICA"/>
    <s v="CO-DC-11001"/>
    <s v="María Victoria Villamil Páez (Subdirección General)"/>
    <s v="3550800"/>
    <s v="maria.villamil@idpc.gov.co"/>
    <s v="ME20181112"/>
    <s v="COMP1112"/>
    <s v="CONC1112"/>
    <s v="Formular planes y proyectos urbanos en ámbitos patrimoniales"/>
    <s v="Planes y proyectos urbanos en ámbitos patrimoniales"/>
    <s v="15. Instrumentos técnicos de gestión para la preservación del patrimonio cultural"/>
    <s v="FONT1112"/>
    <s v="12-Otros Distrito"/>
    <s v="04-INVESTIGACION Y ESTUDIOS"/>
    <s v="01-INVESTIGACIÓN BÁSICA APLICADA Y ESTUDIOS PROPIOS DEL SECTOR"/>
    <s v="0185-Actividades de investigación para la valoración, protección, conservación, sostenibilidad y apropiación del Patrimonio Cultural"/>
    <n v="0"/>
    <n v="19000000"/>
    <m/>
    <m/>
    <m/>
    <n v="19000000"/>
    <m/>
    <m/>
    <m/>
    <m/>
    <m/>
    <n v="19000000"/>
    <m/>
    <m/>
    <m/>
    <n v="0"/>
    <m/>
    <n v="1"/>
    <m/>
    <m/>
    <m/>
    <m/>
    <m/>
    <m/>
    <m/>
    <m/>
    <m/>
    <m/>
    <m/>
    <m/>
    <m/>
    <m/>
    <n v="0"/>
    <n v="0"/>
    <m/>
  </r>
  <r>
    <n v="237"/>
    <n v="237"/>
    <b v="0"/>
    <s v="Sí"/>
    <s v="1112. Instrumentos de planeación y gestión para la preservación y sostenibilidad del patrimonio cultural"/>
    <s v="3-3-1-15-02-17-1112-140"/>
    <n v="80111600"/>
    <s v="Prestar servicios profesionales al Instituto Distrital de Patrimonio Cultural en la ejecución de las actividades de edición de textos e imágenes y montaje para la consolidación de la valoración e inventario de los bienes del patrimonio cultural inmueble del Plan Especial de Manejo y Protección- PEMP- del Centro Histórico de Bogotá D.C.  "/>
    <s v="(Cód. 237) Prestar servicios profesionales al Instituto Distrital de Patrimonio Cultural en la ejecución de las actividades de edición de textos e imágenes y montaje para la consolidación de la valoración e inventario de los bienes del patrimonio cultural inmueble del Plan Especial de Manejo y Protección- PEMP- del Centro Histórico de Bogotá D.C.  "/>
    <d v="2019-01-15T00:00:00"/>
    <n v="10"/>
    <d v="2019-01-29T00:00:00"/>
    <x v="1"/>
    <n v="1"/>
    <n v="1"/>
    <n v="3"/>
    <n v="1"/>
    <s v="Contratación directa / Prestación de servicios profesionales y de apoyo a la gestión"/>
    <s v="CCE-16"/>
    <n v="0"/>
    <s v="N.A."/>
    <s v="Javier Mateus"/>
    <n v="12360000"/>
    <n v="12360000"/>
    <n v="0"/>
    <n v="0"/>
    <s v="ASESORA JURIDICA"/>
    <s v="CO-DC-11001"/>
    <s v="María Victoria Villamil Páez (Subdirección General)"/>
    <s v="3550800"/>
    <s v="maria.villamil@idpc.gov.co"/>
    <s v="ME20181112"/>
    <s v="COMP1112"/>
    <s v="CONC1112"/>
    <s v="Formular y adoptar el plan especial de manejo y protección del Centro Histórico "/>
    <s v="Plan especial de manejo y protección del centro histórico"/>
    <s v="15. Instrumentos técnicos de gestión para la preservación del patrimonio cultural"/>
    <s v="FONT1112"/>
    <s v="12-Otros Distrito"/>
    <s v="04-INVESTIGACION Y ESTUDIOS"/>
    <s v="01-INVESTIGACIÓN BÁSICA APLICADA Y ESTUDIOS PROPIOS DEL SECTOR"/>
    <s v="0185-Actividades de investigación para la valoración, protección, conservación, sostenibilidad y apropiación del Patrimonio Cultural"/>
    <n v="0"/>
    <n v="12360000"/>
    <m/>
    <m/>
    <m/>
    <n v="12360000"/>
    <m/>
    <m/>
    <m/>
    <m/>
    <m/>
    <n v="12360000"/>
    <m/>
    <m/>
    <m/>
    <n v="0"/>
    <m/>
    <n v="1"/>
    <m/>
    <m/>
    <m/>
    <m/>
    <m/>
    <m/>
    <m/>
    <m/>
    <m/>
    <m/>
    <m/>
    <m/>
    <m/>
    <m/>
    <n v="0"/>
    <n v="0"/>
    <m/>
  </r>
  <r>
    <n v="238"/>
    <n v="238"/>
    <b v="0"/>
    <s v="Sí"/>
    <s v="1112. Instrumentos de planeación y gestión para la preservación y sostenibilidad del patrimonio cultural"/>
    <s v="3-3-1-15-02-17-1112-140"/>
    <n v="80111600"/>
    <s v="Prestar servicios profesionales al Instituto Distrital de Patrimonio Cultural en la ejecución de las actividades de edición de textos e imágenes y montaje para la consolidación de la valoración e inventario de los bienes del patrimonio cultural inmueble del Plan Especial de Manejo y Protección- PEMP- del Centro Histórico de Bogotá D.C.  "/>
    <s v="(Cód. 238) Prestar servicios profesionales al Instituto Distrital de Patrimonio Cultural en la ejecución de las actividades de edición de textos e imágenes y montaje para la consolidación de la valoración e inventario de los bienes del patrimonio cultural inmueble del Plan Especial de Manejo y Protección- PEMP- del Centro Histórico de Bogotá D.C.  "/>
    <d v="2019-01-15T00:00:00"/>
    <n v="10"/>
    <d v="2019-01-29T00:00:00"/>
    <x v="1"/>
    <n v="1"/>
    <n v="1"/>
    <n v="3"/>
    <n v="1"/>
    <s v="Contratación directa / Prestación de servicios profesionales y de apoyo a la gestión"/>
    <s v="CCE-16"/>
    <n v="0"/>
    <s v="N.A."/>
    <s v="Jhon Morales"/>
    <n v="12360000"/>
    <n v="12360000"/>
    <n v="0"/>
    <n v="0"/>
    <s v="ASESORA JURIDICA"/>
    <s v="CO-DC-11001"/>
    <s v="María Victoria Villamil Páez (Subdirección General)"/>
    <s v="3550800"/>
    <s v="maria.villamil@idpc.gov.co"/>
    <s v="ME20181112"/>
    <s v="COMP1112"/>
    <s v="CONC1112"/>
    <s v="Formular y adoptar el plan especial de manejo y protección del Centro Histórico "/>
    <s v="Plan especial de manejo y protección del centro histórico"/>
    <s v="15. Instrumentos técnicos de gestión para la preservación del patrimonio cultural"/>
    <s v="FONT1112"/>
    <s v="12-Otros Distrito"/>
    <s v="04-INVESTIGACION Y ESTUDIOS"/>
    <s v="01-INVESTIGACIÓN BÁSICA APLICADA Y ESTUDIOS PROPIOS DEL SECTOR"/>
    <s v="0185-Actividades de investigación para la valoración, protección, conservación, sostenibilidad y apropiación del Patrimonio Cultural"/>
    <n v="0"/>
    <n v="12360000"/>
    <m/>
    <m/>
    <m/>
    <n v="12360000"/>
    <m/>
    <m/>
    <m/>
    <m/>
    <m/>
    <n v="12360000"/>
    <m/>
    <m/>
    <m/>
    <n v="0"/>
    <m/>
    <n v="1"/>
    <m/>
    <m/>
    <m/>
    <m/>
    <m/>
    <m/>
    <m/>
    <m/>
    <m/>
    <m/>
    <m/>
    <m/>
    <m/>
    <m/>
    <n v="0"/>
    <n v="0"/>
    <m/>
  </r>
  <r>
    <n v="239"/>
    <n v="239"/>
    <b v="0"/>
    <s v="Sí"/>
    <s v="1112. Instrumentos de planeación y gestión para la preservación y sostenibilidad del patrimonio cultural"/>
    <s v="3-3-1-15-02-17-1112-140"/>
    <n v="80111600"/>
    <s v="Prestar servicios profesionales al Instituto Distrital de Patrimonio Cultural en la ejecución de las actividades de planimetría y montaje para la consolidación de la valoración e inventario de los bienes del patrimonio cultural inmueble del Plan Especial de Manejo y Protección- PEMP- del Centro Histórico de Bogotá D.C.  "/>
    <s v="(Cód. 239) Prestar servicios profesionales al Instituto Distrital de Patrimonio Cultural en la ejecución de las actividades de planimetría y montaje para la consolidación de la valoración e inventario de los bienes del patrimonio cultural inmueble del Plan Especial de Manejo y Protección- PEMP- del Centro Histórico de Bogotá D.C.  "/>
    <d v="2019-01-15T00:00:00"/>
    <n v="10"/>
    <d v="2019-01-29T00:00:00"/>
    <x v="1"/>
    <n v="1"/>
    <n v="1"/>
    <n v="3"/>
    <n v="1"/>
    <s v="Contratación directa / Prestación de servicios profesionales y de apoyo a la gestión"/>
    <s v="CCE-16"/>
    <n v="0"/>
    <s v="N.A."/>
    <s v="Johan Camilo Prieto "/>
    <n v="11100000"/>
    <n v="11100000"/>
    <n v="0"/>
    <n v="0"/>
    <s v="ASESORA JURIDICA"/>
    <s v="CO-DC-11001"/>
    <s v="María Victoria Villamil Páez (Subdirección General)"/>
    <s v="3550800"/>
    <s v="maria.villamil@idpc.gov.co"/>
    <s v="ME20181112"/>
    <s v="COMP1112"/>
    <s v="CONC1112"/>
    <s v="Formular y adoptar el plan especial de manejo y protección del Centro Histórico "/>
    <s v="Plan especial de manejo y protección del centro histórico"/>
    <s v="15. Instrumentos técnicos de gestión para la preservación del patrimonio cultural"/>
    <s v="FONT1112"/>
    <s v="12-Otros Distrito"/>
    <s v="04-INVESTIGACION Y ESTUDIOS"/>
    <s v="01-INVESTIGACIÓN BÁSICA APLICADA Y ESTUDIOS PROPIOS DEL SECTOR"/>
    <s v="0185-Actividades de investigación para la valoración, protección, conservación, sostenibilidad y apropiación del Patrimonio Cultural"/>
    <n v="0"/>
    <n v="11100000"/>
    <m/>
    <m/>
    <m/>
    <n v="11100000"/>
    <m/>
    <m/>
    <m/>
    <m/>
    <m/>
    <n v="11100000"/>
    <m/>
    <m/>
    <m/>
    <n v="0"/>
    <m/>
    <n v="1"/>
    <m/>
    <m/>
    <m/>
    <m/>
    <m/>
    <m/>
    <m/>
    <m/>
    <m/>
    <m/>
    <m/>
    <m/>
    <m/>
    <m/>
    <n v="0"/>
    <n v="0"/>
    <m/>
  </r>
  <r>
    <n v="240"/>
    <n v="240"/>
    <b v="0"/>
    <s v="Sí"/>
    <s v="1112. Instrumentos de planeación y gestión para la preservación y sostenibilidad del patrimonio cultural"/>
    <s v="3-3-1-15-02-17-1112-140"/>
    <n v="80111600"/>
    <s v=" Prestar servicios profesionales al Instituto Distrital de Patrimonio Cultural para realizar insumos arquitectonicos y de espacialización de proyectos en la formulación de proyectos y del Plan Especial de Manejo y Protección -PEMP- del Centro Histórico de Bogotá D.C, a partir de la consolidación de la formulación del mismo. "/>
    <s v="(Cód. 240)  Prestar servicios profesionales al Instituto Distrital de Patrimonio Cultural para realizar insumos arquitectonicos y de espacialización de proyectos en la formulación de proyectos y del Plan Especial de Manejo y Protección -PEMP- del Centro Histórico de Bogotá D.C, a partir de la consolidación de la formulación del mismo. "/>
    <d v="2019-01-15T00:00:00"/>
    <n v="10"/>
    <d v="2019-01-29T00:00:00"/>
    <x v="1"/>
    <n v="1"/>
    <n v="1"/>
    <n v="11"/>
    <n v="1"/>
    <s v="Contratación directa / Prestación de servicios profesionales y de apoyo a la gestión"/>
    <s v="CCE-16"/>
    <n v="0"/>
    <s v="N.A."/>
    <s v="JORGE RODRIGUEZ "/>
    <n v="40700000"/>
    <n v="40700000"/>
    <n v="0"/>
    <n v="0"/>
    <s v="ASESORA JURIDICA"/>
    <s v="CO-DC-11001"/>
    <s v="María Victoria Villamil Páez (Subdirección General)"/>
    <s v="3550800"/>
    <s v="maria.villamil@idpc.gov.co"/>
    <s v="ME20181112"/>
    <s v="COMP1112"/>
    <s v="CONC1112"/>
    <s v="Formular y adoptar el plan especial de manejo y protección del Centro Histórico "/>
    <s v="Plan especial de manejo y protección del centro histórico"/>
    <s v="15. Instrumentos técnicos de gestión para la preservación del patrimonio cultural"/>
    <s v="FONT1112"/>
    <s v="12-Otros Distrito"/>
    <s v="04-INVESTIGACION Y ESTUDIOS"/>
    <s v="01-INVESTIGACIÓN BÁSICA APLICADA Y ESTUDIOS PROPIOS DEL SECTOR"/>
    <s v="0185-Actividades de investigación para la valoración, protección, conservación, sostenibilidad y apropiación del Patrimonio Cultural"/>
    <n v="0"/>
    <n v="40700000"/>
    <m/>
    <m/>
    <m/>
    <n v="40700000"/>
    <m/>
    <m/>
    <m/>
    <m/>
    <m/>
    <n v="40700000"/>
    <m/>
    <m/>
    <m/>
    <n v="0"/>
    <m/>
    <n v="1"/>
    <m/>
    <m/>
    <m/>
    <m/>
    <m/>
    <m/>
    <m/>
    <m/>
    <m/>
    <m/>
    <m/>
    <m/>
    <m/>
    <m/>
    <n v="0"/>
    <n v="0"/>
    <m/>
  </r>
  <r>
    <n v="241"/>
    <n v="241"/>
    <b v="0"/>
    <s v="Sí"/>
    <s v="1112. Instrumentos de planeación y gestión para la preservación y sostenibilidad del patrimonio cultural"/>
    <s v="3-3-1-15-02-17-1112-140"/>
    <n v="80111600"/>
    <s v="Prestar servicios profesionales al Instituto Distrital de Patrimonio Cultural para apoyar la producción de insumos técnicos relacionados con el direccionamiento estratégico del Plan Especial de Manejo y Protección -PEMP- del Centro Histórico de Bogotá D.C y otros proyectos asociados.  "/>
    <s v="(Cód. 241) Prestar servicios profesionales al Instituto Distrital de Patrimonio Cultural para apoyar la producción de insumos técnicos relacionados con el direccionamiento estratégico del Plan Especial de Manejo y Protección -PEMP- del Centro Histórico de Bogotá D.C y otros proyectos asociados.  "/>
    <d v="2019-01-15T00:00:00"/>
    <n v="10"/>
    <d v="2019-01-29T00:00:00"/>
    <x v="1"/>
    <n v="1"/>
    <n v="1"/>
    <n v="11"/>
    <n v="1"/>
    <s v="Contratación directa / Prestación de servicios profesionales y de apoyo a la gestión"/>
    <s v="CCE-16"/>
    <n v="0"/>
    <s v="N.A."/>
    <s v="JUAN CAMILO GONZALEZ "/>
    <n v="60500000"/>
    <n v="60500000"/>
    <n v="0"/>
    <n v="0"/>
    <s v="ASESORA JURIDICA"/>
    <s v="CO-DC-11001"/>
    <s v="María Victoria Villamil Páez (Subdirección General)"/>
    <s v="3550800"/>
    <s v="maria.villamil@idpc.gov.co"/>
    <s v="ME20181112"/>
    <s v="COMP1112"/>
    <s v="CONC1112"/>
    <s v="Formular y adoptar el plan especial de manejo y protección del Centro Histórico "/>
    <s v="Plan especial de manejo y protección del centro histórico"/>
    <s v="15. Instrumentos técnicos de gestión para la preservación del patrimonio cultural"/>
    <s v="FONT1112"/>
    <s v="12-Otros Distrito"/>
    <s v="04-INVESTIGACION Y ESTUDIOS"/>
    <s v="01-INVESTIGACIÓN BÁSICA APLICADA Y ESTUDIOS PROPIOS DEL SECTOR"/>
    <s v="0185-Actividades de investigación para la valoración, protección, conservación, sostenibilidad y apropiación del Patrimonio Cultural"/>
    <n v="0"/>
    <n v="60500000"/>
    <m/>
    <m/>
    <m/>
    <n v="60500000"/>
    <m/>
    <m/>
    <m/>
    <m/>
    <m/>
    <n v="60500000"/>
    <m/>
    <m/>
    <m/>
    <n v="0"/>
    <m/>
    <n v="1"/>
    <m/>
    <m/>
    <m/>
    <m/>
    <m/>
    <m/>
    <m/>
    <m/>
    <m/>
    <m/>
    <m/>
    <m/>
    <m/>
    <m/>
    <n v="0"/>
    <n v="0"/>
    <m/>
  </r>
  <r>
    <n v="242"/>
    <n v="242"/>
    <b v="0"/>
    <s v="Sí"/>
    <s v="1112. Instrumentos de planeación y gestión para la preservación y sostenibilidad del patrimonio cultural"/>
    <s v="3-3-1-15-02-17-1112-140"/>
    <n v="80111600"/>
    <s v="Prestar servicios profesionales al Instituto Distrital de Patrimonio Cultural en la ejecución de las actividades de información gráfica, edición y montaje para la consolidación de la valoración e inventario de los bienes del patrimonio cultural inmueble del Plan Especial de Manejo y Protección- PEMP- del Centro Histórico de Bogotá D.C.  "/>
    <s v="(Cód. 242) Prestar servicios profesionales al Instituto Distrital de Patrimonio Cultural en la ejecución de las actividades de información gráfica, edición y montaje para la consolidación de la valoración e inventario de los bienes del patrimonio cultural inmueble del Plan Especial de Manejo y Protección- PEMP- del Centro Histórico de Bogotá D.C.  "/>
    <d v="2019-01-15T00:00:00"/>
    <n v="10"/>
    <d v="2019-01-29T00:00:00"/>
    <x v="1"/>
    <n v="1"/>
    <n v="1"/>
    <n v="3"/>
    <n v="1"/>
    <s v="Contratación directa / Prestación de servicios profesionales y de apoyo a la gestión"/>
    <s v="CCE-16"/>
    <n v="0"/>
    <s v="N.A."/>
    <s v="Juan Carlos Sarmiento"/>
    <n v="11100000"/>
    <n v="11100000"/>
    <n v="0"/>
    <n v="0"/>
    <s v="ASESORA JURIDICA"/>
    <s v="CO-DC-11001"/>
    <s v="María Victoria Villamil Páez (Subdirección General)"/>
    <s v="3550800"/>
    <s v="maria.villamil@idpc.gov.co"/>
    <s v="ME20181112"/>
    <s v="COMP1112"/>
    <s v="CONC1112"/>
    <s v="Formular y adoptar el plan especial de manejo y protección del Centro Histórico "/>
    <s v="Plan especial de manejo y protección del centro histórico"/>
    <s v="15. Instrumentos técnicos de gestión para la preservación del patrimonio cultural"/>
    <s v="FONT1112"/>
    <s v="12-Otros Distrito"/>
    <s v="04-INVESTIGACION Y ESTUDIOS"/>
    <s v="01-INVESTIGACIÓN BÁSICA APLICADA Y ESTUDIOS PROPIOS DEL SECTOR"/>
    <s v="0185-Actividades de investigación para la valoración, protección, conservación, sostenibilidad y apropiación del Patrimonio Cultural"/>
    <n v="0"/>
    <n v="11100000"/>
    <m/>
    <m/>
    <m/>
    <n v="11100000"/>
    <m/>
    <m/>
    <m/>
    <m/>
    <m/>
    <n v="11100000"/>
    <m/>
    <m/>
    <m/>
    <n v="0"/>
    <m/>
    <n v="1"/>
    <m/>
    <m/>
    <m/>
    <m/>
    <m/>
    <m/>
    <m/>
    <m/>
    <m/>
    <m/>
    <m/>
    <m/>
    <m/>
    <m/>
    <n v="0"/>
    <n v="0"/>
    <m/>
  </r>
  <r>
    <n v="243"/>
    <n v="243"/>
    <b v="0"/>
    <s v="Sí"/>
    <s v="1112. Instrumentos de planeación y gestión para la preservación y sostenibilidad del patrimonio cultural"/>
    <s v="3-3-1-15-02-17-1112-140"/>
    <n v="80111600"/>
    <s v="Prestar servicios profesionales al Instituto Distrital de Patrimonio Cultural en la ejecución de las actividades de información gráfica, edición y montaje para la consolidación de la valoración e inventario de los bienes del patrimonio cultural inmueble del Plan Especial de Manejo y Protección- PEMP- del Centro Histórico de Bogotá D.C.  "/>
    <s v="(Cód. 243) Prestar servicios profesionales al Instituto Distrital de Patrimonio Cultural en la ejecución de las actividades de información gráfica, edición y montaje para la consolidación de la valoración e inventario de los bienes del patrimonio cultural inmueble del Plan Especial de Manejo y Protección- PEMP- del Centro Histórico de Bogotá D.C.  "/>
    <d v="2019-01-15T00:00:00"/>
    <n v="10"/>
    <d v="2019-01-29T00:00:00"/>
    <x v="1"/>
    <n v="1"/>
    <n v="1"/>
    <n v="3"/>
    <n v="1"/>
    <s v="Contratación directa / Prestación de servicios profesionales y de apoyo a la gestión"/>
    <s v="CCE-16"/>
    <n v="0"/>
    <s v="N.A."/>
    <s v="Juan José Alvear"/>
    <n v="11100000"/>
    <n v="11100000"/>
    <n v="0"/>
    <n v="0"/>
    <s v="ASESORA JURIDICA"/>
    <s v="CO-DC-11001"/>
    <s v="María Victoria Villamil Páez (Subdirección General)"/>
    <s v="3550800"/>
    <s v="maria.villamil@idpc.gov.co"/>
    <s v="ME20181112"/>
    <s v="COMP1112"/>
    <s v="CONC1112"/>
    <s v="Formular y adoptar el plan especial de manejo y protección del Centro Histórico "/>
    <s v="Plan especial de manejo y protección del centro histórico"/>
    <s v="15. Instrumentos técnicos de gestión para la preservación del patrimonio cultural"/>
    <s v="FONT1112"/>
    <s v="12-Otros Distrito"/>
    <s v="04-INVESTIGACION Y ESTUDIOS"/>
    <s v="01-INVESTIGACIÓN BÁSICA APLICADA Y ESTUDIOS PROPIOS DEL SECTOR"/>
    <s v="0185-Actividades de investigación para la valoración, protección, conservación, sostenibilidad y apropiación del Patrimonio Cultural"/>
    <n v="0"/>
    <n v="11100000"/>
    <m/>
    <m/>
    <m/>
    <n v="11100000"/>
    <m/>
    <m/>
    <m/>
    <m/>
    <m/>
    <n v="11100000"/>
    <m/>
    <m/>
    <m/>
    <n v="0"/>
    <m/>
    <n v="1"/>
    <m/>
    <m/>
    <m/>
    <m/>
    <m/>
    <m/>
    <m/>
    <m/>
    <m/>
    <m/>
    <m/>
    <m/>
    <m/>
    <m/>
    <n v="0"/>
    <n v="0"/>
    <m/>
  </r>
  <r>
    <n v="244"/>
    <n v="244"/>
    <b v="0"/>
    <s v="Sí"/>
    <s v="1112. Instrumentos de planeación y gestión para la preservación y sostenibilidad del patrimonio cultural"/>
    <s v="3-3-1-15-02-17-1112-140"/>
    <n v="80111600"/>
    <s v="Prestar servicios profesionales al Instituto Distrital de Patrimonio Cultural en la ejecución de las actividades de información gráfica, edición y montaje para la consolidación de la valoración e inventario de los bienes del patrimonio cultural inmueble del Plan Especial de Manejo y Protección- PEMP- del Centro Histórico de Bogotá D.C.  "/>
    <s v="(Cód. 244) Prestar servicios profesionales al Instituto Distrital de Patrimonio Cultural en la ejecución de las actividades de información gráfica, edición y montaje para la consolidación de la valoración e inventario de los bienes del patrimonio cultural inmueble del Plan Especial de Manejo y Protección- PEMP- del Centro Histórico de Bogotá D.C.  "/>
    <d v="2019-01-15T00:00:00"/>
    <n v="10"/>
    <d v="2019-01-29T00:00:00"/>
    <x v="1"/>
    <n v="1"/>
    <n v="1"/>
    <n v="3"/>
    <n v="1"/>
    <s v="Contratación directa / Prestación de servicios profesionales y de apoyo a la gestión"/>
    <s v="CCE-16"/>
    <n v="0"/>
    <s v="N.A."/>
    <s v="Juan Pablo Sánchez"/>
    <n v="11100000"/>
    <n v="11100000"/>
    <n v="0"/>
    <n v="0"/>
    <s v="ASESORA JURIDICA"/>
    <s v="CO-DC-11001"/>
    <s v="María Victoria Villamil Páez (Subdirección General)"/>
    <s v="3550800"/>
    <s v="maria.villamil@idpc.gov.co"/>
    <s v="ME20181112"/>
    <s v="COMP1112"/>
    <s v="CONC1112"/>
    <s v="Formular y adoptar el plan especial de manejo y protección del Centro Histórico "/>
    <s v="Plan especial de manejo y protección del centro histórico"/>
    <s v="15. Instrumentos técnicos de gestión para la preservación del patrimonio cultural"/>
    <s v="FONT1112"/>
    <s v="12-Otros Distrito"/>
    <s v="04-INVESTIGACION Y ESTUDIOS"/>
    <s v="01-INVESTIGACIÓN BÁSICA APLICADA Y ESTUDIOS PROPIOS DEL SECTOR"/>
    <s v="0185-Actividades de investigación para la valoración, protección, conservación, sostenibilidad y apropiación del Patrimonio Cultural"/>
    <n v="0"/>
    <n v="11100000"/>
    <m/>
    <m/>
    <m/>
    <n v="11100000"/>
    <m/>
    <m/>
    <m/>
    <m/>
    <m/>
    <n v="11100000"/>
    <m/>
    <m/>
    <m/>
    <n v="0"/>
    <m/>
    <n v="1"/>
    <m/>
    <m/>
    <m/>
    <m/>
    <m/>
    <m/>
    <m/>
    <m/>
    <m/>
    <m/>
    <m/>
    <m/>
    <m/>
    <m/>
    <n v="0"/>
    <n v="0"/>
    <m/>
  </r>
  <r>
    <n v="245"/>
    <n v="245"/>
    <b v="0"/>
    <s v="Sí"/>
    <s v="1112. Instrumentos de planeación y gestión para la preservación y sostenibilidad del patrimonio cultural"/>
    <s v="3-3-1-15-02-17-1112-140"/>
    <n v="80111600"/>
    <s v="Prestar servicios de apoyo a la gestión del Instituto Distrital de Patrimonio Cultural en la producción de insumos documentales relacionados con los planes y proyectos del Instituto."/>
    <s v="(Cód. 245) Prestar servicios de apoyo a la gestión del Instituto Distrital de Patrimonio Cultural en la producción de insumos documentales relacionados con los planes y proyectos del Instituto."/>
    <d v="2019-01-15T00:00:00"/>
    <n v="10"/>
    <d v="2019-01-29T00:00:00"/>
    <x v="1"/>
    <n v="1"/>
    <n v="1"/>
    <n v="11"/>
    <n v="1"/>
    <s v="Contratación directa / Prestación de servicios profesionales y de apoyo a la gestión"/>
    <s v="CCE-16"/>
    <n v="0"/>
    <s v="N.A."/>
    <s v="JULIAN VALENCIA "/>
    <n v="27500000"/>
    <n v="27500000"/>
    <n v="0"/>
    <n v="0"/>
    <s v="ASESORA JURIDICA"/>
    <s v="CO-DC-11001"/>
    <s v="María Victoria Villamil Páez (Subdirección General)"/>
    <s v="3550800"/>
    <s v="maria.villamil@idpc.gov.co"/>
    <s v="ME20181112"/>
    <s v="COMP1112"/>
    <s v="CONC1112"/>
    <s v="Formular planes y proyectos urbanos en ámbitos patrimoniales"/>
    <s v="Planes y proyectos urbanos en ámbitos patrimoniales"/>
    <s v="15. Instrumentos técnicos de gestión para la preservación del patrimonio cultural"/>
    <s v="FONT1112"/>
    <s v="12-Otros Distrito"/>
    <s v="04-INVESTIGACION Y ESTUDIOS"/>
    <s v="01-INVESTIGACIÓN BÁSICA APLICADA Y ESTUDIOS PROPIOS DEL SECTOR"/>
    <s v="0185-Actividades de investigación para la valoración, protección, conservación, sostenibilidad y apropiación del Patrimonio Cultural"/>
    <n v="0"/>
    <n v="27500000"/>
    <m/>
    <m/>
    <m/>
    <n v="27500000"/>
    <m/>
    <m/>
    <m/>
    <m/>
    <m/>
    <n v="27500000"/>
    <m/>
    <m/>
    <m/>
    <n v="0"/>
    <m/>
    <n v="1"/>
    <m/>
    <m/>
    <m/>
    <m/>
    <m/>
    <m/>
    <m/>
    <m/>
    <m/>
    <m/>
    <m/>
    <m/>
    <m/>
    <m/>
    <n v="0"/>
    <n v="0"/>
    <m/>
  </r>
  <r>
    <n v="246"/>
    <n v="246"/>
    <b v="0"/>
    <s v="Sí"/>
    <s v="1112. Instrumentos de planeación y gestión para la preservación y sostenibilidad del patrimonio cultural"/>
    <s v="3-3-1-15-02-17-1112-140"/>
    <n v="80111600"/>
    <s v="Prestar servicios profesionales al Instituto Distrital de Patrimonio Cultural en la ejecución de las actividades de edición de textos e imágenes y montaje para la consolidación de la valoración e inventario de los bienes del patrimonio cultural inmueble del Plan Especial de Manejo y Protección- PEMP- del Centro Histórico de Bogotá D.C.  "/>
    <s v="(Cód. 246) Prestar servicios profesionales al Instituto Distrital de Patrimonio Cultural en la ejecución de las actividades de edición de textos e imágenes y montaje para la consolidación de la valoración e inventario de los bienes del patrimonio cultural inmueble del Plan Especial de Manejo y Protección- PEMP- del Centro Histórico de Bogotá D.C.  "/>
    <d v="2019-01-15T00:00:00"/>
    <n v="10"/>
    <d v="2019-01-29T00:00:00"/>
    <x v="1"/>
    <n v="1"/>
    <n v="1"/>
    <n v="3"/>
    <n v="1"/>
    <s v="Contratación directa / Prestación de servicios profesionales y de apoyo a la gestión"/>
    <s v="CCE-16"/>
    <n v="0"/>
    <s v="N.A."/>
    <s v="Laura Moreno"/>
    <n v="12360000"/>
    <n v="12360000"/>
    <n v="0"/>
    <n v="0"/>
    <s v="ASESORA JURIDICA"/>
    <s v="CO-DC-11001"/>
    <s v="María Victoria Villamil Páez (Subdirección General)"/>
    <s v="3550800"/>
    <s v="maria.villamil@idpc.gov.co"/>
    <s v="ME20181112"/>
    <s v="COMP1112"/>
    <s v="CONC1112"/>
    <s v="Formular y adoptar el plan especial de manejo y protección del Centro Histórico "/>
    <s v="Plan especial de manejo y protección del centro histórico"/>
    <s v="15. Instrumentos técnicos de gestión para la preservación del patrimonio cultural"/>
    <s v="FONT1112"/>
    <s v="12-Otros Distrito"/>
    <s v="04-INVESTIGACION Y ESTUDIOS"/>
    <s v="01-INVESTIGACIÓN BÁSICA APLICADA Y ESTUDIOS PROPIOS DEL SECTOR"/>
    <s v="0185-Actividades de investigación para la valoración, protección, conservación, sostenibilidad y apropiación del Patrimonio Cultural"/>
    <n v="0"/>
    <n v="12360000"/>
    <m/>
    <m/>
    <m/>
    <n v="12360000"/>
    <m/>
    <m/>
    <m/>
    <m/>
    <m/>
    <n v="12360000"/>
    <m/>
    <m/>
    <m/>
    <n v="0"/>
    <m/>
    <n v="1"/>
    <m/>
    <m/>
    <m/>
    <m/>
    <m/>
    <m/>
    <m/>
    <m/>
    <m/>
    <m/>
    <m/>
    <m/>
    <m/>
    <m/>
    <n v="0"/>
    <n v="0"/>
    <m/>
  </r>
  <r>
    <n v="247"/>
    <n v="247"/>
    <b v="0"/>
    <s v="Sí"/>
    <s v="1112. Instrumentos de planeación y gestión para la preservación y sostenibilidad del patrimonio cultural"/>
    <s v="3-3-1-15-02-17-1112-140"/>
    <n v="80111600"/>
    <s v="Prestar servicios profesionales al Instituto Distrital de Patrimonio Cultural para el direccionamiento, verificación y consolidación del inventario y valoración del patrimonio cultural inmueble en el marco de la propuesta integral del Patrimonio Inmueble del Plan Especial de Manejo y Protección -PEMP - del Centro Histórico de Bogota D.C-"/>
    <s v="(Cód. 247) Prestar servicios profesionales al Instituto Distrital de Patrimonio Cultural para el direccionamiento, verificación y consolidación del inventario y valoración del patrimonio cultural inmueble en el marco de la propuesta integral del Patrimonio Inmueble del Plan Especial de Manejo y Protección -PEMP - del Centro Histórico de Bogota D.C-"/>
    <d v="2019-01-15T00:00:00"/>
    <n v="10"/>
    <d v="2019-01-29T00:00:00"/>
    <x v="1"/>
    <n v="1"/>
    <n v="1"/>
    <n v="3"/>
    <n v="1"/>
    <s v="Contratación directa / Prestación de servicios profesionales y de apoyo a la gestión"/>
    <s v="CCE-16"/>
    <n v="0"/>
    <s v="N.A."/>
    <s v="LEONOR GOMEZ"/>
    <n v="22560000"/>
    <n v="22560000"/>
    <n v="0"/>
    <n v="0"/>
    <s v="ASESORA JURIDICA"/>
    <s v="CO-DC-11001"/>
    <s v="María Victoria Villamil Páez (Subdirección General)"/>
    <s v="3550800"/>
    <s v="maria.villamil@idpc.gov.co"/>
    <s v="ME20181112"/>
    <s v="COMP1112"/>
    <s v="CONC1112"/>
    <s v="Formular y adoptar el plan especial de manejo y protección del Centro Histórico "/>
    <s v="Plan especial de manejo y protección del centro histórico"/>
    <s v="15. Instrumentos técnicos de gestión para la preservación del patrimonio cultural"/>
    <s v="FONT1112"/>
    <s v="12-Otros Distrito"/>
    <s v="04-INVESTIGACION Y ESTUDIOS"/>
    <s v="01-INVESTIGACIÓN BÁSICA APLICADA Y ESTUDIOS PROPIOS DEL SECTOR"/>
    <s v="0185-Actividades de investigación para la valoración, protección, conservación, sostenibilidad y apropiación del Patrimonio Cultural"/>
    <n v="0"/>
    <n v="22560000"/>
    <m/>
    <m/>
    <m/>
    <n v="22560000"/>
    <m/>
    <m/>
    <m/>
    <m/>
    <m/>
    <n v="22560000"/>
    <m/>
    <m/>
    <m/>
    <n v="0"/>
    <m/>
    <n v="1"/>
    <m/>
    <m/>
    <m/>
    <m/>
    <m/>
    <m/>
    <m/>
    <m/>
    <m/>
    <m/>
    <m/>
    <m/>
    <m/>
    <m/>
    <n v="0"/>
    <n v="0"/>
    <m/>
  </r>
  <r>
    <n v="248"/>
    <n v="248"/>
    <b v="0"/>
    <s v="Sí"/>
    <s v="1112. Instrumentos de planeación y gestión para la preservación y sostenibilidad del patrimonio cultural"/>
    <s v="3-3-1-15-02-17-1112-140"/>
    <n v="80111600"/>
    <s v="Prestar servicios profesionales al Instituto Distrital de Patrimonio Cultural para apoyar la propuesta normativa y de instrumentos derivados del Plan Especial de Manejo y Protección -PEMP- del Centro Histórico de Bogotá D.C."/>
    <s v="(Cód. 248) Prestar servicios profesionales al Instituto Distrital de Patrimonio Cultural para apoyar la propuesta normativa y de instrumentos derivados del Plan Especial de Manejo y Protección -PEMP- del Centro Histórico de Bogotá D.C."/>
    <d v="2019-01-15T00:00:00"/>
    <n v="10"/>
    <d v="2019-01-29T00:00:00"/>
    <x v="1"/>
    <n v="1"/>
    <n v="1"/>
    <n v="5"/>
    <n v="1"/>
    <s v="Contratación directa / Prestación de servicios profesionales y de apoyo a la gestión"/>
    <s v="CCE-16"/>
    <n v="0"/>
    <s v="N.A."/>
    <s v="LINA MARCELA MORENO ROA"/>
    <n v="30000000"/>
    <n v="30000000"/>
    <n v="0"/>
    <n v="0"/>
    <s v="ASESORA JURIDICA"/>
    <s v="CO-DC-11001"/>
    <s v="María Victoria Villamil Páez (Subdirección General)"/>
    <s v="3550800"/>
    <s v="maria.villamil@idpc.gov.co"/>
    <s v="ME20181112"/>
    <s v="COMP1112"/>
    <s v="CONC1112"/>
    <s v="Formular y adoptar el plan especial de manejo y protección del Centro Histórico "/>
    <s v="Plan especial de manejo y protección del centro histórico"/>
    <s v="15. Instrumentos técnicos de gestión para la preservación del patrimonio cultural"/>
    <s v="FONT1112"/>
    <s v="12-Otros Distrito"/>
    <s v="04-INVESTIGACION Y ESTUDIOS"/>
    <s v="01-INVESTIGACIÓN BÁSICA APLICADA Y ESTUDIOS PROPIOS DEL SECTOR"/>
    <s v="0185-Actividades de investigación para la valoración, protección, conservación, sostenibilidad y apropiación del Patrimonio Cultural"/>
    <n v="0"/>
    <n v="30000000"/>
    <m/>
    <m/>
    <m/>
    <n v="30000000"/>
    <m/>
    <m/>
    <m/>
    <m/>
    <m/>
    <n v="30000000"/>
    <m/>
    <m/>
    <m/>
    <n v="0"/>
    <m/>
    <n v="1"/>
    <m/>
    <m/>
    <m/>
    <m/>
    <m/>
    <m/>
    <m/>
    <m/>
    <m/>
    <m/>
    <m/>
    <m/>
    <m/>
    <m/>
    <n v="0"/>
    <n v="0"/>
    <m/>
  </r>
  <r>
    <n v="249"/>
    <n v="249"/>
    <b v="0"/>
    <s v="Sí"/>
    <s v="1112. Instrumentos de planeación y gestión para la preservación y sostenibilidad del patrimonio cultural"/>
    <s v="3-3-1-15-02-17-1112-140"/>
    <n v="80111600"/>
    <s v="Prestar servicios profesionales al Instituto Distrital de Patrimonio Cultural para apoyar la consolidación de la propuesta normativa y de instrumentos derivados del Plan Especial de Manejo y Protección -PEMP- del Centro Histórico de Bogotá D.C., y otros proyectos."/>
    <s v="(Cód. 249) Prestar servicios profesionales al Instituto Distrital de Patrimonio Cultural para apoyar la consolidación de la propuesta normativa y de instrumentos derivados del Plan Especial de Manejo y Protección -PEMP- del Centro Histórico de Bogotá D.C., y otros proyectos."/>
    <d v="2019-04-15T00:00:00"/>
    <n v="10"/>
    <d v="2019-04-29T00:00:00"/>
    <x v="7"/>
    <n v="4"/>
    <n v="4"/>
    <n v="5"/>
    <n v="1"/>
    <s v="Contratación directa / Prestación de servicios profesionales y de apoyo a la gestión"/>
    <s v="CCE-16"/>
    <n v="0"/>
    <s v="N.A."/>
    <s v="LINA MARCELA MORENO ROA"/>
    <n v="30000000"/>
    <n v="30000000"/>
    <n v="0"/>
    <n v="0"/>
    <s v="ASESORA JURIDICA"/>
    <s v="CO-DC-11001"/>
    <s v="María Victoria Villamil Páez (Subdirección General)"/>
    <s v="3550800"/>
    <s v="maria.villamil@idpc.gov.co"/>
    <s v="ME20181112"/>
    <s v="COMP1112"/>
    <s v="CONC1112"/>
    <s v="Formular y adoptar el plan especial de manejo y protección del Centro Histórico "/>
    <s v="Plan especial de manejo y protección del centro histórico"/>
    <s v="15. Instrumentos técnicos de gestión para la preservación del patrimonio cultural"/>
    <s v="FONT1112"/>
    <s v="12-Otros Distrito"/>
    <s v="04-INVESTIGACION Y ESTUDIOS"/>
    <s v="01-INVESTIGACIÓN BÁSICA APLICADA Y ESTUDIOS PROPIOS DEL SECTOR"/>
    <s v="0185-Actividades de investigación para la valoración, protección, conservación, sostenibilidad y apropiación del Patrimonio Cultural"/>
    <n v="0"/>
    <n v="30000000"/>
    <m/>
    <m/>
    <m/>
    <n v="30000000"/>
    <m/>
    <m/>
    <m/>
    <m/>
    <m/>
    <n v="30000000"/>
    <m/>
    <m/>
    <m/>
    <n v="0"/>
    <m/>
    <n v="1"/>
    <m/>
    <m/>
    <m/>
    <m/>
    <m/>
    <m/>
    <m/>
    <m/>
    <m/>
    <m/>
    <m/>
    <m/>
    <m/>
    <m/>
    <n v="0"/>
    <n v="0"/>
    <m/>
  </r>
  <r>
    <n v="250"/>
    <n v="250"/>
    <b v="0"/>
    <s v="Sí"/>
    <s v="1112. Instrumentos de planeación y gestión para la preservación y sostenibilidad del patrimonio cultural"/>
    <s v="3-3-1-15-02-17-1112-140"/>
    <n v="80111600"/>
    <s v="Prestar servicios profesionales al Instituto Distrital de Patrimonio Cultural para avanzar en el desarrollo normativo y de instrumentos del componente patrimonial del Plan Especial de Manejo y Protección -PEMP- del Centro Histórico de Bogotá D.C."/>
    <s v="(Cód. 250) Prestar servicios profesionales al Instituto Distrital de Patrimonio Cultural para avanzar en el desarrollo normativo y de instrumentos del componente patrimonial del Plan Especial de Manejo y Protección -PEMP- del Centro Histórico de Bogotá D.C."/>
    <d v="2019-01-15T00:00:00"/>
    <n v="10"/>
    <d v="2019-01-29T00:00:00"/>
    <x v="1"/>
    <n v="1"/>
    <n v="1"/>
    <n v="5"/>
    <n v="1"/>
    <s v="Contratación directa / Prestación de servicios profesionales y de apoyo a la gestión"/>
    <s v="CCE-16"/>
    <n v="0"/>
    <s v="N.A."/>
    <s v="MARIA DEL PILAR ZAMBRANO GOMEZ"/>
    <n v="40000000"/>
    <n v="40000000"/>
    <n v="0"/>
    <n v="0"/>
    <s v="ASESORA JURIDICA"/>
    <s v="CO-DC-11001"/>
    <s v="María Victoria Villamil Páez (Subdirección General)"/>
    <s v="3550800"/>
    <s v="maria.villamil@idpc.gov.co"/>
    <s v="ME20181112"/>
    <s v="COMP1112"/>
    <s v="CONC1112"/>
    <s v="Formular y adoptar el plan especial de manejo y protección del Centro Histórico "/>
    <s v="Plan especial de manejo y protección del centro histórico"/>
    <s v="15. Instrumentos técnicos de gestión para la preservación del patrimonio cultural"/>
    <s v="FONT1112"/>
    <s v="12-Otros Distrito"/>
    <s v="04-INVESTIGACION Y ESTUDIOS"/>
    <s v="01-INVESTIGACIÓN BÁSICA APLICADA Y ESTUDIOS PROPIOS DEL SECTOR"/>
    <s v="0185-Actividades de investigación para la valoración, protección, conservación, sostenibilidad y apropiación del Patrimonio Cultural"/>
    <n v="0"/>
    <n v="40000000"/>
    <m/>
    <m/>
    <m/>
    <n v="40000000"/>
    <m/>
    <m/>
    <m/>
    <m/>
    <m/>
    <n v="40000000"/>
    <m/>
    <m/>
    <m/>
    <n v="0"/>
    <m/>
    <n v="1"/>
    <m/>
    <m/>
    <m/>
    <m/>
    <m/>
    <m/>
    <m/>
    <m/>
    <m/>
    <m/>
    <m/>
    <m/>
    <m/>
    <m/>
    <n v="0"/>
    <n v="0"/>
    <m/>
  </r>
  <r>
    <n v="260"/>
    <n v="260"/>
    <b v="0"/>
    <s v="Sí"/>
    <s v="1112. Instrumentos de planeación y gestión para la preservación y sostenibilidad del patrimonio cultural"/>
    <s v="3-3-1-15-02-17-1112-140"/>
    <n v="80111600"/>
    <s v="Prestar servicios profesionales al Instituto Distrital de Patrimonio Cultural para la consolidación del desarrollo normativo y de instrumentos del componente patrimonial del Plan Especial de Manejo y Protección -PEMP- del Centro Histórico de Bogotá D.C., y otros proyectos."/>
    <s v="(Cód. 260) Prestar servicios profesionales al Instituto Distrital de Patrimonio Cultural para la consolidación del desarrollo normativo y de instrumentos del componente patrimonial del Plan Especial de Manejo y Protección -PEMP- del Centro Histórico de Bogotá D.C., y otros proyectos."/>
    <d v="2019-04-15T00:00:00"/>
    <n v="10"/>
    <d v="2019-04-29T00:00:00"/>
    <x v="7"/>
    <n v="4"/>
    <n v="4"/>
    <n v="5"/>
    <n v="1"/>
    <s v="Contratación directa / Prestación de servicios profesionales y de apoyo a la gestión"/>
    <s v="CCE-16"/>
    <n v="0"/>
    <s v="N.A."/>
    <s v="MARIA DEL PILAR ZAMBRANO GOMEZ"/>
    <n v="40000000"/>
    <n v="40000000"/>
    <n v="0"/>
    <n v="0"/>
    <s v="ASESORA JURIDICA"/>
    <s v="CO-DC-11001"/>
    <s v="María Victoria Villamil Páez (Subdirección General)"/>
    <s v="3550800"/>
    <s v="maria.villamil@idpc.gov.co"/>
    <s v="ME20181112"/>
    <s v="COMP1112"/>
    <s v="CONC1112"/>
    <s v="Formular y adoptar el plan especial de manejo y protección del Centro Histórico "/>
    <s v="Plan especial de manejo y protección del centro histórico"/>
    <s v="15. Instrumentos técnicos de gestión para la preservación del patrimonio cultural"/>
    <s v="FONT1112"/>
    <s v="12-Otros Distrito"/>
    <s v="04-INVESTIGACION Y ESTUDIOS"/>
    <s v="01-INVESTIGACIÓN BÁSICA APLICADA Y ESTUDIOS PROPIOS DEL SECTOR"/>
    <s v="0185-Actividades de investigación para la valoración, protección, conservación, sostenibilidad y apropiación del Patrimonio Cultural"/>
    <n v="0"/>
    <n v="40000000"/>
    <m/>
    <m/>
    <m/>
    <n v="40000000"/>
    <m/>
    <m/>
    <m/>
    <m/>
    <m/>
    <n v="40000000"/>
    <m/>
    <m/>
    <m/>
    <n v="0"/>
    <m/>
    <n v="1"/>
    <m/>
    <m/>
    <m/>
    <m/>
    <m/>
    <m/>
    <m/>
    <m/>
    <m/>
    <m/>
    <m/>
    <m/>
    <m/>
    <m/>
    <n v="0"/>
    <n v="0"/>
    <m/>
  </r>
  <r>
    <n v="261"/>
    <n v="261"/>
    <b v="0"/>
    <s v="Sí"/>
    <s v="1112. Instrumentos de planeación y gestión para la preservación y sostenibilidad del patrimonio cultural"/>
    <s v="3-3-1-15-02-17-1112-140"/>
    <n v="80111600"/>
    <s v="Prestar servicios profesionales al Instituto Distrital de Patrimonio Cultural para orientar y desarrollar estrategias, programas y proyectos en el marco de la aplicación de instrumentos de financiación y gestión  para la recuperación de los sectores y Bienes de Interés Cultural en el Distrito Capital. "/>
    <s v="(Cód. 261) Prestar servicios profesionales al Instituto Distrital de Patrimonio Cultural para orientar y desarrollar estrategias, programas y proyectos en el marco de la aplicación de instrumentos de financiación y gestión  para la recuperación de los sectores y Bienes de Interés Cultural en el Distrito Capital. "/>
    <d v="2019-01-15T00:00:00"/>
    <n v="10"/>
    <d v="2019-01-29T00:00:00"/>
    <x v="1"/>
    <n v="1"/>
    <n v="1"/>
    <n v="11"/>
    <n v="1"/>
    <s v="Contratación directa / Prestación de servicios profesionales y de apoyo a la gestión"/>
    <s v="CCE-16"/>
    <n v="0"/>
    <s v="N.A."/>
    <s v="MAURICIO CORTES - GERENCIA FINANCIERA"/>
    <n v="101200000"/>
    <n v="101200000"/>
    <n v="0"/>
    <n v="0"/>
    <s v="ASESORA JURIDICA"/>
    <s v="CO-DC-11001"/>
    <s v="María Victoria Villamil Páez (Subdirección General)"/>
    <s v="3550800"/>
    <s v="maria.villamil@idpc.gov.co"/>
    <s v="ME20181112"/>
    <s v="COMP1112"/>
    <s v="CONC1112"/>
    <s v="Formular y adoptar instrumentos de financiamiento para la recuperación y sostenibilidad del patrimonio cultural"/>
    <s v="Instrumentos de gestión, financiación e incentivos para la recuperación y sostenibilidad del patrimonio cultural"/>
    <s v="15. Instrumentos técnicos de gestión para la preservación del patrimonio cultural"/>
    <s v="FONT1112"/>
    <s v="12-Otros Distrito"/>
    <s v="04-INVESTIGACION Y ESTUDIOS"/>
    <s v="01-INVESTIGACIÓN BÁSICA APLICADA Y ESTUDIOS PROPIOS DEL SECTOR"/>
    <s v="0185-Actividades de investigación para la valoración, protección, conservación, sostenibilidad y apropiación del Patrimonio Cultural"/>
    <n v="0"/>
    <n v="101200000"/>
    <m/>
    <m/>
    <m/>
    <n v="101200000"/>
    <m/>
    <m/>
    <m/>
    <m/>
    <m/>
    <n v="101200000"/>
    <m/>
    <m/>
    <m/>
    <n v="0"/>
    <m/>
    <n v="1"/>
    <m/>
    <m/>
    <m/>
    <m/>
    <m/>
    <m/>
    <m/>
    <m/>
    <m/>
    <m/>
    <m/>
    <m/>
    <m/>
    <m/>
    <n v="0"/>
    <n v="0"/>
    <m/>
  </r>
  <r>
    <n v="262"/>
    <n v="262"/>
    <b v="0"/>
    <s v="Sí"/>
    <s v="1112. Instrumentos de planeación y gestión para la preservación y sostenibilidad del patrimonio cultural"/>
    <s v="3-3-1-15-02-17-1112-140"/>
    <n v="80111600"/>
    <s v="Prestar servicios profesionales al Instituto Distrital de Patrimonio Cultural para desarrollar actividades técnicas y operativas de los planes, programas y proyectos del instituto. "/>
    <s v="(Cód. 262) Prestar servicios profesionales al Instituto Distrital de Patrimonio Cultural para desarrollar actividades técnicas y operativas de los planes, programas y proyectos del instituto. "/>
    <d v="2019-01-15T00:00:00"/>
    <n v="10"/>
    <d v="2019-01-29T00:00:00"/>
    <x v="1"/>
    <n v="1"/>
    <n v="1"/>
    <n v="11"/>
    <n v="1"/>
    <s v="Contratación directa / Prestación de servicios profesionales y de apoyo a la gestión"/>
    <s v="CCE-16"/>
    <n v="0"/>
    <s v="N.A."/>
    <s v="MONICA COY"/>
    <n v="51040000"/>
    <n v="51040000"/>
    <n v="0"/>
    <n v="0"/>
    <s v="ASESORA JURIDICA"/>
    <s v="CO-DC-11001"/>
    <s v="María Victoria Villamil Páez (Subdirección General)"/>
    <s v="3550800"/>
    <s v="maria.villamil@idpc.gov.co"/>
    <s v="ME20181112"/>
    <s v="COMP1112"/>
    <s v="CONC1112"/>
    <s v="Formular y adoptar el plan especial de manejo y protección del Centro Histórico "/>
    <s v="Planes y proyectos urbanos en ámbitos patrimoniales"/>
    <s v="15. Instrumentos técnicos de gestión para la preservación del patrimonio cultural"/>
    <s v="FONT1112"/>
    <s v="12-Otros Distrito"/>
    <s v="04-INVESTIGACION Y ESTUDIOS"/>
    <s v="01-INVESTIGACIÓN BÁSICA APLICADA Y ESTUDIOS PROPIOS DEL SECTOR"/>
    <s v="0185-Actividades de investigación para la valoración, protección, conservación, sostenibilidad y apropiación del Patrimonio Cultural"/>
    <n v="0"/>
    <n v="51040000"/>
    <m/>
    <m/>
    <m/>
    <n v="51040000"/>
    <m/>
    <m/>
    <m/>
    <m/>
    <m/>
    <n v="51040000"/>
    <m/>
    <m/>
    <m/>
    <n v="0"/>
    <m/>
    <n v="1"/>
    <m/>
    <m/>
    <m/>
    <m/>
    <m/>
    <m/>
    <m/>
    <m/>
    <m/>
    <m/>
    <m/>
    <m/>
    <m/>
    <m/>
    <n v="0"/>
    <n v="0"/>
    <m/>
  </r>
  <r>
    <n v="263"/>
    <n v="263"/>
    <b v="0"/>
    <s v="Sí"/>
    <s v="1112. Instrumentos de planeación y gestión para la preservación y sostenibilidad del patrimonio cultural"/>
    <s v="3-3-1-15-02-17-1112-140"/>
    <n v="80111600"/>
    <s v="Prestar servicios profesionales al Instituto Distrital de Patrimonio Cultural para realizar insumos en el componente de accesibilidad y movilidad en la formulación  de proyectos del Instituto. "/>
    <s v="(Cód. 263) Prestar servicios profesionales al Instituto Distrital de Patrimonio Cultural para realizar insumos en el componente de accesibilidad y movilidad en la formulación  de proyectos del Instituto. "/>
    <d v="2019-01-24T00:00:00"/>
    <n v="10"/>
    <d v="2019-02-07T00:00:00"/>
    <x v="0"/>
    <n v="1"/>
    <n v="1"/>
    <n v="10"/>
    <n v="1"/>
    <s v="Contratación directa / Prestación de servicios profesionales y de apoyo a la gestión"/>
    <s v="CCE-16"/>
    <n v="0"/>
    <s v="N.A."/>
    <s v="MOVILIDAD MAGDA "/>
    <n v="38000000"/>
    <n v="38000000"/>
    <n v="0"/>
    <n v="0"/>
    <s v="ASESORA JURIDICA"/>
    <s v="CO-DC-11001"/>
    <s v="María Victoria Villamil Páez (Subdirección General)"/>
    <s v="3550800"/>
    <s v="maria.villamil@idpc.gov.co"/>
    <s v="ME20181112"/>
    <s v="COMP1112"/>
    <s v="CONC1112"/>
    <s v="Formular planes y proyectos urbanos en ámbitos patrimoniales"/>
    <s v="Planes y proyectos urbanos en ámbitos patrimoniales"/>
    <s v="15. Instrumentos técnicos de gestión para la preservación del patrimonio cultural"/>
    <s v="FONT1112"/>
    <s v="12-Otros Distrito"/>
    <s v="04-INVESTIGACION Y ESTUDIOS"/>
    <s v="01-INVESTIGACIÓN BÁSICA APLICADA Y ESTUDIOS PROPIOS DEL SECTOR"/>
    <s v="0185-Actividades de investigación para la valoración, protección, conservación, sostenibilidad y apropiación del Patrimonio Cultural"/>
    <n v="0"/>
    <n v="38000000"/>
    <m/>
    <m/>
    <m/>
    <n v="38000000"/>
    <m/>
    <m/>
    <m/>
    <m/>
    <m/>
    <n v="38000000"/>
    <m/>
    <m/>
    <m/>
    <n v="0"/>
    <m/>
    <n v="1"/>
    <m/>
    <m/>
    <m/>
    <m/>
    <m/>
    <m/>
    <m/>
    <m/>
    <m/>
    <m/>
    <m/>
    <m/>
    <m/>
    <m/>
    <n v="0"/>
    <n v="0"/>
    <m/>
  </r>
  <r>
    <n v="264"/>
    <n v="264"/>
    <b v="0"/>
    <s v="Sí"/>
    <s v="1112. Instrumentos de planeación y gestión para la preservación y sostenibilidad del patrimonio cultural"/>
    <s v="3-3-1-15-02-17-1112-140"/>
    <n v="80111600"/>
    <s v="Prestar servicios profesionales al Instituto Distrital de Patrimonio Cultural para apoyar las actividades técnicas y administrativas de los planes, programas y proyectos del Instituto. "/>
    <s v="(Cód. 264) Prestar servicios profesionales al Instituto Distrital de Patrimonio Cultural para apoyar las actividades técnicas y administrativas de los planes, programas y proyectos del Instituto. "/>
    <d v="2019-01-15T00:00:00"/>
    <n v="10"/>
    <d v="2019-01-29T00:00:00"/>
    <x v="1"/>
    <n v="1"/>
    <n v="1"/>
    <n v="11"/>
    <n v="1"/>
    <s v="Contratación directa / Prestación de servicios profesionales y de apoyo a la gestión"/>
    <s v="CCE-16"/>
    <n v="0"/>
    <s v="N.A."/>
    <s v="NATALIA ACHIARDI"/>
    <n v="41800000"/>
    <n v="41800000"/>
    <n v="0"/>
    <n v="0"/>
    <s v="ASESORA JURIDICA"/>
    <s v="CO-DC-11001"/>
    <s v="María Victoria Villamil Páez (Subdirección General)"/>
    <s v="3550800"/>
    <s v="maria.villamil@idpc.gov.co"/>
    <s v="ME20181112"/>
    <s v="COMP1112"/>
    <s v="CONC1112"/>
    <s v="Formular y adoptar el plan especial de manejo y protección del Centro Histórico "/>
    <s v="Planes y proyectos urbanos en ámbitos patrimoniales"/>
    <s v="15. Instrumentos técnicos de gestión para la preservación del patrimonio cultural"/>
    <s v="FONT1112"/>
    <s v="12-Otros Distrito"/>
    <s v="04-INVESTIGACION Y ESTUDIOS"/>
    <s v="01-INVESTIGACIÓN BÁSICA APLICADA Y ESTUDIOS PROPIOS DEL SECTOR"/>
    <s v="0185-Actividades de investigación para la valoración, protección, conservación, sostenibilidad y apropiación del Patrimonio Cultural"/>
    <n v="0"/>
    <n v="41800000"/>
    <m/>
    <m/>
    <m/>
    <n v="41800000"/>
    <m/>
    <m/>
    <m/>
    <m/>
    <m/>
    <n v="41800000"/>
    <m/>
    <m/>
    <m/>
    <n v="0"/>
    <m/>
    <n v="1"/>
    <m/>
    <m/>
    <m/>
    <m/>
    <m/>
    <m/>
    <m/>
    <m/>
    <m/>
    <m/>
    <m/>
    <m/>
    <m/>
    <m/>
    <n v="0"/>
    <n v="0"/>
    <m/>
  </r>
  <r>
    <n v="265"/>
    <n v="265"/>
    <b v="0"/>
    <s v="Sí"/>
    <s v="1112. Instrumentos de planeación y gestión para la preservación y sostenibilidad del patrimonio cultural"/>
    <s v="3-3-1-15-02-17-1112-140"/>
    <n v="80111600"/>
    <s v="Prestar servicios profesionales al Instituto Distrital de Patrimonio Cultural para apoyar el desarrollo de insumos y actividades relacionadas con las estrategias, programas y proyectos en el marco de la aplicación de instrumentos de financiación y gestión  para la recuperación de los sectores y Bienes de Interés Cultural en el Distrito Capital"/>
    <s v="(Cód. 265) Prestar servicios profesionales al Instituto Distrital de Patrimonio Cultural para apoyar el desarrollo de insumos y actividades relacionadas con las estrategias, programas y proyectos en el marco de la aplicación de instrumentos de financiación y gestión  para la recuperación de los sectores y Bienes de Interés Cultural en el Distrito Capital"/>
    <d v="2019-01-15T00:00:00"/>
    <n v="10"/>
    <d v="2019-01-29T00:00:00"/>
    <x v="1"/>
    <n v="1"/>
    <n v="1"/>
    <n v="11"/>
    <n v="1"/>
    <s v="Contratación directa / Prestación de servicios profesionales y de apoyo a la gestión"/>
    <s v="CCE-16"/>
    <n v="0"/>
    <s v="N.A."/>
    <s v="NATALY BALLESTEROS "/>
    <n v="44660000"/>
    <n v="44660000"/>
    <n v="0"/>
    <n v="0"/>
    <s v="ASESORA JURIDICA"/>
    <s v="CO-DC-11001"/>
    <s v="María Victoria Villamil Páez (Subdirección General)"/>
    <s v="3550800"/>
    <s v="maria.villamil@idpc.gov.co"/>
    <s v="ME20181112"/>
    <s v="COMP1112"/>
    <s v="CONC1112"/>
    <s v="Formular y adoptar instrumentos de financiamiento para la recuperación y sostenibilidad del patrimonio cultural"/>
    <s v="Instrumentos de gestión, financiación e incentivos para la recuperación y sostenibilidad del patrimonio cultural"/>
    <s v="15. Instrumentos técnicos de gestión para la preservación del patrimonio cultural"/>
    <s v="FONT1112"/>
    <s v="12-Otros Distrito"/>
    <s v="04-INVESTIGACION Y ESTUDIOS"/>
    <s v="01-INVESTIGACIÓN BÁSICA APLICADA Y ESTUDIOS PROPIOS DEL SECTOR"/>
    <s v="0185-Actividades de investigación para la valoración, protección, conservación, sostenibilidad y apropiación del Patrimonio Cultural"/>
    <n v="0"/>
    <n v="44660000"/>
    <m/>
    <m/>
    <m/>
    <n v="44660000"/>
    <m/>
    <m/>
    <m/>
    <m/>
    <m/>
    <n v="44660000"/>
    <m/>
    <m/>
    <m/>
    <n v="0"/>
    <m/>
    <n v="1"/>
    <m/>
    <m/>
    <m/>
    <m/>
    <m/>
    <m/>
    <m/>
    <m/>
    <m/>
    <m/>
    <m/>
    <m/>
    <m/>
    <m/>
    <n v="0"/>
    <n v="0"/>
    <m/>
  </r>
  <r>
    <n v="266"/>
    <n v="266"/>
    <b v="0"/>
    <s v="Sí"/>
    <s v="1112. Instrumentos de planeación y gestión para la preservación y sostenibilidad del patrimonio cultural"/>
    <s v="3-3-1-15-02-17-1112-140"/>
    <n v="80111600"/>
    <s v="Prestar servicios profesionales al Instituto Distrital de Patrimonio Cultural para ejecutar  actividades relacionadas con las estrategias, programas y proyectos en el marco de la aplicación de instrumentos de financiación y gestión para la recuperación de los sectores y Bienes de Interés Cultural en el Distrito Capital. "/>
    <s v="(Cód. 266) Prestar servicios profesionales al Instituto Distrital de Patrimonio Cultural para ejecutar  actividades relacionadas con las estrategias, programas y proyectos en el marco de la aplicación de instrumentos de financiación y gestión para la recuperación de los sectores y Bienes de Interés Cultural en el Distrito Capital. "/>
    <d v="2019-01-15T00:00:00"/>
    <n v="10"/>
    <d v="2019-01-29T00:00:00"/>
    <x v="1"/>
    <n v="1"/>
    <n v="1"/>
    <n v="11"/>
    <n v="1"/>
    <s v="Contratación directa / Prestación de servicios profesionales y de apoyo a la gestión"/>
    <s v="CCE-16"/>
    <n v="0"/>
    <s v="N.A."/>
    <s v="PAOLA ALEJANDRA"/>
    <n v="77000000"/>
    <n v="77000000"/>
    <n v="0"/>
    <n v="0"/>
    <s v="ASESORA JURIDICA"/>
    <s v="CO-DC-11001"/>
    <s v="María Victoria Villamil Páez (Subdirección General)"/>
    <s v="3550800"/>
    <s v="maria.villamil@idpc.gov.co"/>
    <s v="ME20181112"/>
    <s v="COMP1112"/>
    <s v="CONC1112"/>
    <s v="Formular y adoptar instrumentos de financiamiento para la recuperación y sostenibilidad del patrimonio cultural"/>
    <s v="Instrumentos de gestión, financiación e incentivos para la recuperación y sostenibilidad del patrimonio cultural"/>
    <s v="15. Instrumentos técnicos de gestión para la preservación del patrimonio cultural"/>
    <s v="FONT1112"/>
    <s v="12-Otros Distrito"/>
    <s v="04-INVESTIGACION Y ESTUDIOS"/>
    <s v="01-INVESTIGACIÓN BÁSICA APLICADA Y ESTUDIOS PROPIOS DEL SECTOR"/>
    <s v="0185-Actividades de investigación para la valoración, protección, conservación, sostenibilidad y apropiación del Patrimonio Cultural"/>
    <n v="0"/>
    <n v="77000000"/>
    <m/>
    <m/>
    <m/>
    <n v="77000000"/>
    <m/>
    <m/>
    <m/>
    <m/>
    <m/>
    <n v="77000000"/>
    <m/>
    <m/>
    <m/>
    <n v="0"/>
    <m/>
    <n v="1"/>
    <m/>
    <m/>
    <m/>
    <m/>
    <m/>
    <m/>
    <m/>
    <m/>
    <m/>
    <m/>
    <m/>
    <m/>
    <m/>
    <m/>
    <n v="0"/>
    <n v="0"/>
    <m/>
  </r>
  <r>
    <n v="267"/>
    <n v="267"/>
    <b v="0"/>
    <s v="Sí"/>
    <s v="1112. Instrumentos de planeación y gestión para la preservación y sostenibilidad del patrimonio cultural"/>
    <s v="3-3-1-15-02-17-1112-140"/>
    <n v="80111600"/>
    <s v="Prestar servicios profesionales al Instituto Distrital de Patrimonio Cultural para apoyar la orientación y desarrollo del proceso de participación ciudadana y divulgación del Plan Especial de Manejo y Protección (PEMP) del Centro Histórico de Bogotá D.C y otros proyectos. "/>
    <s v="(Cód. 267) Prestar servicios profesionales al Instituto Distrital de Patrimonio Cultural para apoyar la orientación y desarrollo del proceso de participación ciudadana y divulgación del Plan Especial de Manejo y Protección (PEMP) del Centro Histórico de Bogotá D.C y otros proyectos. "/>
    <d v="2019-01-24T00:00:00"/>
    <n v="10"/>
    <d v="2019-02-07T00:00:00"/>
    <x v="0"/>
    <n v="1"/>
    <n v="1"/>
    <n v="11"/>
    <n v="1"/>
    <s v="Contratación directa / Prestación de servicios profesionales y de apoyo a la gestión"/>
    <s v="CCE-16"/>
    <n v="0"/>
    <s v="N.A."/>
    <s v="PAOLA LUNA "/>
    <n v="55000000"/>
    <n v="55000000"/>
    <n v="0"/>
    <n v="0"/>
    <s v="ASESORA JURIDICA"/>
    <s v="CO-DC-11001"/>
    <s v="María Victoria Villamil Páez (Subdirección General)"/>
    <s v="3550800"/>
    <s v="maria.villamil@idpc.gov.co"/>
    <s v="ME20181112"/>
    <s v="COMP1112"/>
    <s v="CONC1112"/>
    <s v="Formular y adoptar el plan especial de manejo y protección del Centro Histórico "/>
    <s v="Plan especial de manejo y protección del centro histórico"/>
    <s v="15. Instrumentos técnicos de gestión para la preservación del patrimonio cultural"/>
    <s v="FONT1112"/>
    <s v="12-Otros Distrito"/>
    <s v="04-INVESTIGACION Y ESTUDIOS"/>
    <s v="01-INVESTIGACIÓN BÁSICA APLICADA Y ESTUDIOS PROPIOS DEL SECTOR"/>
    <s v="0185-Actividades de investigación para la valoración, protección, conservación, sostenibilidad y apropiación del Patrimonio Cultural"/>
    <n v="0"/>
    <n v="55000000"/>
    <m/>
    <m/>
    <m/>
    <n v="55000000"/>
    <m/>
    <m/>
    <m/>
    <m/>
    <m/>
    <n v="55000000"/>
    <m/>
    <m/>
    <m/>
    <n v="0"/>
    <m/>
    <n v="1"/>
    <m/>
    <m/>
    <m/>
    <m/>
    <m/>
    <m/>
    <m/>
    <m/>
    <m/>
    <m/>
    <m/>
    <m/>
    <m/>
    <m/>
    <n v="0"/>
    <n v="0"/>
    <m/>
  </r>
  <r>
    <n v="268"/>
    <n v="268"/>
    <b v="0"/>
    <s v="Sí"/>
    <s v="1112. Instrumentos de planeación y gestión para la preservación y sostenibilidad del patrimonio cultural"/>
    <s v="3-3-1-15-02-17-1112-140"/>
    <n v="80111600"/>
    <s v="Prestar servicios profesionales al Instituto Distrital de Patrimonio Cultural en la consolidación normativa y arquitectónica de la propuesta de espacio público para el Plan Especial de Manejo y Protección -PEMP- del Centro Histórico de Bogotá D.C y otros proyectos."/>
    <s v="(Cód. 268) Prestar servicios profesionales al Instituto Distrital de Patrimonio Cultural en la consolidación normativa y arquitectónica de la propuesta de espacio público para el Plan Especial de Manejo y Protección -PEMP- del Centro Histórico de Bogotá D.C y otros proyectos."/>
    <d v="2019-01-15T00:00:00"/>
    <n v="10"/>
    <d v="2019-01-29T00:00:00"/>
    <x v="1"/>
    <n v="1"/>
    <n v="1"/>
    <n v="11"/>
    <n v="1"/>
    <s v="Contratación directa / Prestación de servicios profesionales y de apoyo a la gestión"/>
    <s v="CCE-16"/>
    <n v="0"/>
    <s v="N.A."/>
    <s v="SERGIO IVAN ROJAS BERRIO"/>
    <n v="62700000"/>
    <n v="62700000"/>
    <n v="0"/>
    <n v="0"/>
    <s v="ASESORA JURIDICA"/>
    <s v="CO-DC-11001"/>
    <s v="María Victoria Villamil Páez (Subdirección General)"/>
    <s v="3550800"/>
    <s v="maria.villamil@idpc.gov.co"/>
    <s v="ME20181112"/>
    <s v="COMP1112"/>
    <s v="CONC1112"/>
    <s v="Formular planes y proyectos urbanos en ámbitos patrimoniales"/>
    <s v="Planes y proyectos urbanos en ámbitos patrimoniales"/>
    <s v="15. Instrumentos técnicos de gestión para la preservación del patrimonio cultural"/>
    <s v="FONT1112"/>
    <s v="12-Otros Distrito"/>
    <s v="04-INVESTIGACION Y ESTUDIOS"/>
    <s v="01-INVESTIGACIÓN BÁSICA APLICADA Y ESTUDIOS PROPIOS DEL SECTOR"/>
    <s v="0185-Actividades de investigación para la valoración, protección, conservación, sostenibilidad y apropiación del Patrimonio Cultural"/>
    <n v="0"/>
    <n v="62700000"/>
    <m/>
    <m/>
    <m/>
    <n v="62700000"/>
    <m/>
    <m/>
    <m/>
    <m/>
    <m/>
    <n v="62700000"/>
    <m/>
    <m/>
    <m/>
    <n v="0"/>
    <m/>
    <n v="1"/>
    <m/>
    <m/>
    <m/>
    <m/>
    <m/>
    <m/>
    <m/>
    <m/>
    <m/>
    <m/>
    <m/>
    <m/>
    <m/>
    <m/>
    <n v="0"/>
    <n v="0"/>
    <m/>
  </r>
  <r>
    <n v="269"/>
    <n v="269"/>
    <b v="0"/>
    <s v="Sí"/>
    <s v="1112. Instrumentos de planeación y gestión para la preservación y sostenibilidad del patrimonio cultural"/>
    <s v="3-3-1-15-02-17-1112-140"/>
    <n v="80111600"/>
    <s v="Prestar servicios profesionales al Instituto Distrital de Patrimonio Cultural para elaborar insumos en el componente habitacional en la formulación  de proyectos del Instituto. "/>
    <s v="(Cód. 269) Prestar servicios profesionales al Instituto Distrital de Patrimonio Cultural para elaborar insumos en el componente habitacional en la formulación  de proyectos del Instituto. "/>
    <d v="2019-01-24T00:00:00"/>
    <n v="10"/>
    <d v="2019-02-07T00:00:00"/>
    <x v="0"/>
    <n v="1"/>
    <n v="1"/>
    <n v="10"/>
    <n v="1"/>
    <s v="Contratación directa / Prestación de servicios profesionales y de apoyo a la gestión"/>
    <s v="CCE-16"/>
    <n v="0"/>
    <s v="N.A."/>
    <s v="VIVIENDA "/>
    <n v="38000000"/>
    <n v="38000000"/>
    <n v="0"/>
    <n v="0"/>
    <s v="ASESORA JURIDICA"/>
    <s v="CO-DC-11001"/>
    <s v="María Victoria Villamil Páez (Subdirección General)"/>
    <s v="3550800"/>
    <s v="maria.villamil@idpc.gov.co"/>
    <s v="ME20181112"/>
    <s v="COMP1112"/>
    <s v="CONC1112"/>
    <s v="Formular planes y proyectos urbanos en ámbitos patrimoniales"/>
    <s v="Planes y proyectos urbanos en ámbitos patrimoniales"/>
    <s v="15. Instrumentos técnicos de gestión para la preservación del patrimonio cultural"/>
    <s v="FONT1112"/>
    <s v="12-Otros Distrito"/>
    <s v="04-INVESTIGACION Y ESTUDIOS"/>
    <s v="01-INVESTIGACIÓN BÁSICA APLICADA Y ESTUDIOS PROPIOS DEL SECTOR"/>
    <s v="0185-Actividades de investigación para la valoración, protección, conservación, sostenibilidad y apropiación del Patrimonio Cultural"/>
    <n v="0"/>
    <n v="38000000"/>
    <m/>
    <m/>
    <m/>
    <n v="38000000"/>
    <m/>
    <m/>
    <m/>
    <m/>
    <m/>
    <n v="38000000"/>
    <m/>
    <m/>
    <m/>
    <n v="0"/>
    <m/>
    <n v="1"/>
    <m/>
    <m/>
    <m/>
    <m/>
    <m/>
    <m/>
    <m/>
    <m/>
    <m/>
    <m/>
    <m/>
    <m/>
    <m/>
    <m/>
    <n v="0"/>
    <n v="0"/>
    <m/>
  </r>
  <r>
    <n v="270"/>
    <n v="270"/>
    <b v="0"/>
    <s v="Sí"/>
    <s v="1112. Instrumentos de planeación y gestión para la preservación y sostenibilidad del patrimonio cultural"/>
    <s v="3-3-1-15-02-17-1112-140"/>
    <n v="80111600"/>
    <s v="Prestar servicios profesionales al Instituto Distrital de Patrimonio Cultural en la ejecución de las actividades de planimetría y montaje para la consolidación de la valoración e inventario de los bienes del patrimonio cultural inmueble del Plan Especial de Manejo y Protección- PEMP- del Centro Histórico de Bogotá D.C.  "/>
    <s v="(Cód. 270) Prestar servicios profesionales al Instituto Distrital de Patrimonio Cultural en la ejecución de las actividades de planimetría y montaje para la consolidación de la valoración e inventario de los bienes del patrimonio cultural inmueble del Plan Especial de Manejo y Protección- PEMP- del Centro Histórico de Bogotá D.C.  "/>
    <d v="2019-01-15T00:00:00"/>
    <n v="10"/>
    <d v="2019-01-29T00:00:00"/>
    <x v="1"/>
    <n v="1"/>
    <n v="1"/>
    <n v="3"/>
    <n v="1"/>
    <s v="Contratación directa / Prestación de servicios profesionales y de apoyo a la gestión"/>
    <s v="CCE-16"/>
    <n v="0"/>
    <s v="N.A."/>
    <s v="Yenifer Andrea "/>
    <n v="11100000"/>
    <n v="11100000"/>
    <n v="0"/>
    <n v="0"/>
    <s v="ASESORA JURIDICA"/>
    <s v="CO-DC-11001"/>
    <s v="María Victoria Villamil Páez (Subdirección General)"/>
    <s v="3550800"/>
    <s v="maria.villamil@idpc.gov.co"/>
    <s v="ME20181112"/>
    <s v="COMP1112"/>
    <s v="CONC1112"/>
    <s v="Formular y adoptar el plan especial de manejo y protección del Centro Histórico "/>
    <s v="Plan especial de manejo y protección del centro histórico"/>
    <s v="15. Instrumentos técnicos de gestión para la preservación del patrimonio cultural"/>
    <s v="FONT1112"/>
    <s v="12-Otros Distrito"/>
    <s v="04-INVESTIGACION Y ESTUDIOS"/>
    <s v="01-INVESTIGACIÓN BÁSICA APLICADA Y ESTUDIOS PROPIOS DEL SECTOR"/>
    <s v="0185-Actividades de investigación para la valoración, protección, conservación, sostenibilidad y apropiación del Patrimonio Cultural"/>
    <n v="0"/>
    <n v="11100000"/>
    <m/>
    <m/>
    <m/>
    <n v="11100000"/>
    <m/>
    <m/>
    <m/>
    <m/>
    <m/>
    <n v="11100000"/>
    <m/>
    <m/>
    <m/>
    <n v="0"/>
    <m/>
    <n v="1"/>
    <m/>
    <m/>
    <m/>
    <m/>
    <m/>
    <m/>
    <m/>
    <m/>
    <m/>
    <m/>
    <m/>
    <m/>
    <m/>
    <m/>
    <n v="0"/>
    <n v="0"/>
    <m/>
  </r>
  <r>
    <n v="271"/>
    <n v="271"/>
    <b v="0"/>
    <s v="Sí"/>
    <s v="1112. Instrumentos de planeación y gestión para la preservación y sostenibilidad del patrimonio cultural"/>
    <s v="3-3-1-15-02-17-1112-140"/>
    <n v="80111600"/>
    <s v="Prestar servicios profesionales al Instituto Distrital de Patrimonio Cultural para orientar el direccionamiento estratégico de los planes, programas y proyectos del Instituto. "/>
    <s v="(Cód. 271) Prestar servicios profesionales al Instituto Distrital de Patrimonio Cultural para orientar el direccionamiento estratégico de los planes, programas y proyectos del Instituto. "/>
    <d v="2019-01-15T00:00:00"/>
    <n v="10"/>
    <d v="2019-01-29T00:00:00"/>
    <x v="1"/>
    <n v="1"/>
    <n v="1"/>
    <n v="11"/>
    <n v="1"/>
    <s v="Contratación directa / Prestación de servicios profesionales y de apoyo a la gestión"/>
    <s v="CCE-16"/>
    <n v="0"/>
    <s v="N.A."/>
    <s v="YOLANDA OVIEDO"/>
    <n v="101200000"/>
    <n v="101200000"/>
    <n v="0"/>
    <n v="0"/>
    <s v="ASESORA JURIDICA"/>
    <s v="CO-DC-11001"/>
    <s v="María Victoria Villamil Páez (Subdirección General)"/>
    <s v="3550800"/>
    <s v="maria.villamil@idpc.gov.co"/>
    <s v="ME20181112"/>
    <s v="COMP1112"/>
    <s v="CONC1112"/>
    <s v="Formular planes y proyectos urbanos en ámbitos patrimoniales"/>
    <s v="Planes y proyectos urbanos en ámbitos patrimoniales"/>
    <s v="15. Instrumentos técnicos de gestión para la preservación del patrimonio cultural"/>
    <s v="FONT1112"/>
    <s v="12-Otros Distrito"/>
    <s v="04-INVESTIGACION Y ESTUDIOS"/>
    <s v="01-INVESTIGACIÓN BÁSICA APLICADA Y ESTUDIOS PROPIOS DEL SECTOR"/>
    <s v="0185-Actividades de investigación para la valoración, protección, conservación, sostenibilidad y apropiación del Patrimonio Cultural"/>
    <n v="0"/>
    <n v="101200000"/>
    <m/>
    <m/>
    <m/>
    <n v="101200000"/>
    <m/>
    <m/>
    <m/>
    <m/>
    <m/>
    <n v="101200000"/>
    <m/>
    <m/>
    <m/>
    <n v="0"/>
    <m/>
    <n v="1"/>
    <m/>
    <m/>
    <m/>
    <m/>
    <m/>
    <m/>
    <m/>
    <m/>
    <m/>
    <m/>
    <m/>
    <m/>
    <m/>
    <m/>
    <n v="0"/>
    <n v="0"/>
    <m/>
  </r>
  <r>
    <n v="272"/>
    <n v="272"/>
    <b v="0"/>
    <s v="Sí"/>
    <s v="1114. Intervención y conservación de los bienes muebles e inmuebles en sectores de interés cultural del Distrito Capital"/>
    <s v="3-3-1-15-02-17-1114-140"/>
    <s v="80111601;80161504"/>
    <s v="Prestar servicios de apoyo a la gestión al Instituto Distrital de Patrimonio Cultural para el seguimiento y revisión de la radicación en debida forma de las solicitudes de trámites y servicios  para la evaluación de proyectos de intervención y atención al público a cargo de la Subdirección de Intervención."/>
    <s v="(Cód. 272) Prestar servicios de apoyo a la gestión al Instituto Distrital de Patrimonio Cultural para el seguimiento y revisión de la radicación en debida forma de las solicitudes de trámites y servicios  para la evaluación de proyectos de intervención y atención al público a cargo de la Subdirección de Intervención."/>
    <d v="2019-01-20T00:00:00"/>
    <n v="10"/>
    <d v="2019-02-01T00:00:00"/>
    <x v="0"/>
    <n v="1"/>
    <n v="1"/>
    <n v="11"/>
    <n v="1"/>
    <s v="Contratación directa / Prestación de servicios profesionales y de apoyo a la gestión"/>
    <s v="CCE-16"/>
    <n v="0"/>
    <s v="N.A."/>
    <s v="Asesoría a Terceros"/>
    <n v="32450000"/>
    <n v="32450000"/>
    <n v="0"/>
    <n v="0"/>
    <s v="ASESORA JURIDICA"/>
    <s v="CO-DC-11001"/>
    <s v="Carolina Fernández Borda (Subdirección de Intervención)"/>
    <s v="3550800"/>
    <s v="carolina.fernandez@idpc.gov.co"/>
    <s v="ME20181114"/>
    <s v="COMP1114"/>
    <s v="CONC1114"/>
    <s v="Asesorar técnicamente las solicitudes para la protección del patrimonio cultural material del Distrito Capital"/>
    <s v="Asesoría técnica para la protección y promoción del patrimonio cultural material del distrito capital"/>
    <s v="4. Obras de Intervención en Bienes muebles - inmuebles y sectores que conforman el patrimonio cultural del D.C."/>
    <s v="FONT1114"/>
    <s v="12-Otros Distrito"/>
    <s v="03-RECURSO HUMANO"/>
    <s v="04-GASTOS DE PERSONAL OPERATIVO"/>
    <s v="0316-Personal de apoyo para las actividades de valoración, protección y conservación del Patrimonio Cultural"/>
    <n v="0"/>
    <n v="32450000"/>
    <m/>
    <m/>
    <m/>
    <n v="32450000"/>
    <m/>
    <m/>
    <m/>
    <m/>
    <m/>
    <n v="32450000"/>
    <m/>
    <m/>
    <m/>
    <n v="0"/>
    <m/>
    <n v="1"/>
    <m/>
    <m/>
    <m/>
    <m/>
    <m/>
    <m/>
    <m/>
    <m/>
    <m/>
    <m/>
    <m/>
    <m/>
    <m/>
    <m/>
    <n v="0"/>
    <n v="0"/>
    <m/>
  </r>
  <r>
    <n v="273"/>
    <n v="273"/>
    <b v="0"/>
    <s v="Sí"/>
    <s v="1114. Intervención y conservación de los bienes muebles e inmuebles en sectores de interés cultural del Distrito Capital"/>
    <s v="3-3-1-15-02-17-1114-140"/>
    <s v="80111601;80161504"/>
    <s v="Prestar servicios de apoyo a la gestión al Instituto Distrital de Patrimonio Cultural para atención y notificación al usuario, y demás actividades administrativas de la Subdirección de Intervención."/>
    <s v="(Cód. 273) Prestar servicios de apoyo a la gestión al Instituto Distrital de Patrimonio Cultural para atención y notificación al usuario, y demás actividades administrativas de la Subdirección de Intervención."/>
    <d v="2019-01-20T00:00:00"/>
    <n v="10"/>
    <d v="2019-02-01T00:00:00"/>
    <x v="0"/>
    <n v="1"/>
    <n v="1"/>
    <n v="10"/>
    <n v="1"/>
    <s v="Contratación directa / Prestación de servicios profesionales y de apoyo a la gestión"/>
    <s v="CCE-16"/>
    <n v="0"/>
    <s v="N.A."/>
    <s v="Asesoría a Terceros"/>
    <n v="33200000"/>
    <n v="33200000"/>
    <n v="0"/>
    <n v="0"/>
    <s v="ASESORA JURIDICA"/>
    <s v="CO-DC-11001"/>
    <s v="Carolina Fernández Borda (Subdirección de Intervención)"/>
    <s v="3550800"/>
    <s v="carolina.fernandez@idpc.gov.co"/>
    <s v="ME20181114"/>
    <s v="COMP1114"/>
    <s v="CONC1114"/>
    <s v="Asesorar técnicamente las solicitudes para la protección del patrimonio cultural material del Distrito Capital"/>
    <s v="Asesoría técnica para la protección y promoción del patrimonio cultural material del distrito capital"/>
    <s v="4. Obras de Intervención en Bienes muebles - inmuebles y sectores que conforman el patrimonio cultural del D.C."/>
    <s v="FONT1114"/>
    <s v="12-Otros Distrito"/>
    <s v="03-RECURSO HUMANO"/>
    <s v="04-GASTOS DE PERSONAL OPERATIVO"/>
    <s v="0316-Personal de apoyo para las actividades de valoración, protección y conservación del Patrimonio Cultural"/>
    <n v="0"/>
    <n v="33200000"/>
    <m/>
    <m/>
    <m/>
    <n v="33200000"/>
    <m/>
    <m/>
    <m/>
    <m/>
    <m/>
    <n v="33200000"/>
    <m/>
    <m/>
    <m/>
    <n v="0"/>
    <m/>
    <n v="1"/>
    <m/>
    <m/>
    <m/>
    <m/>
    <m/>
    <m/>
    <m/>
    <m/>
    <m/>
    <m/>
    <m/>
    <m/>
    <m/>
    <m/>
    <n v="0"/>
    <n v="0"/>
    <m/>
  </r>
  <r>
    <n v="274"/>
    <n v="274"/>
    <b v="0"/>
    <s v="Sí"/>
    <s v="1114. Intervención y conservación de los bienes muebles e inmuebles en sectores de interés cultural del Distrito Capital"/>
    <s v="3-3-1-15-02-17-1114-140"/>
    <s v="80111617;93141707;80101604;80111614;93151516"/>
    <s v="Prestar servicios profesionales al Instituto Distrital de Patrimonio Cultural para orientar y brindar acompañamiento en el Sistema de Información Geográfico relacionado con la evaluación de solicitudes de intervención de Bienes de Interés Cultural ubicados en el espacio público y de espacio público en Sectores de Interés Cultural."/>
    <s v="(Cód. 274) Prestar servicios profesionales al Instituto Distrital de Patrimonio Cultural para orientar y brindar acompañamiento en el Sistema de Información Geográfico relacionado con la evaluación de solicitudes de intervención de Bienes de Interés Cultural ubicados en el espacio público y de espacio público en Sectores de Interés Cultural."/>
    <d v="2019-01-20T00:00:00"/>
    <n v="10"/>
    <d v="2019-02-01T00:00:00"/>
    <x v="0"/>
    <n v="1"/>
    <n v="1"/>
    <n v="10"/>
    <n v="1"/>
    <s v="Contratación directa / Prestación de servicios profesionales y de apoyo a la gestión"/>
    <s v="CCE-16"/>
    <n v="0"/>
    <s v="N.A."/>
    <s v="Asesoría a Terceros"/>
    <n v="66000000"/>
    <n v="66000000"/>
    <n v="0"/>
    <n v="0"/>
    <s v="ASESORA JURIDICA"/>
    <s v="CO-DC-11001"/>
    <s v="Carolina Fernández Borda (Subdirección de Intervención)"/>
    <s v="3550800"/>
    <s v="carolina.fernandez@idpc.gov.co"/>
    <s v="ME20181114"/>
    <s v="COMP1114"/>
    <s v="CONC1114"/>
    <s v="Asesorar técnicamente las solicitudes para la protección del patrimonio cultural material del Distrito Capital"/>
    <s v="Asesoría técnica para la protección y promoción del patrimonio cultural material del distrito capital"/>
    <s v="4. Obras de Intervención en Bienes muebles - inmuebles y sectores que conforman el patrimonio cultural del D.C."/>
    <s v="FONT1114"/>
    <s v="12-Otros Distrito"/>
    <s v="03-RECURSO HUMANO"/>
    <s v="04-GASTOS DE PERSONAL OPERATIVO"/>
    <s v="0316-Personal de apoyo para las actividades de valoración, protección y conservación del Patrimonio Cultural"/>
    <n v="0"/>
    <n v="66000000"/>
    <m/>
    <m/>
    <m/>
    <n v="66000000"/>
    <m/>
    <m/>
    <m/>
    <m/>
    <m/>
    <n v="66000000"/>
    <m/>
    <m/>
    <m/>
    <n v="0"/>
    <m/>
    <n v="1"/>
    <m/>
    <m/>
    <m/>
    <m/>
    <m/>
    <m/>
    <m/>
    <m/>
    <m/>
    <m/>
    <m/>
    <m/>
    <m/>
    <m/>
    <n v="0"/>
    <n v="0"/>
    <m/>
  </r>
  <r>
    <n v="275"/>
    <n v="275"/>
    <b v="0"/>
    <s v="Sí"/>
    <s v="1114. Intervención y conservación de los bienes muebles e inmuebles en sectores de interés cultural del Distrito Capital"/>
    <s v="3-3-1-15-02-17-1114-140"/>
    <s v="80111617;93141707;80101604;80111614;93151516"/>
    <s v="Prestar servicios profesionales al Instituto Distrital de Patrimonio Cultural apoyando el soporte técnico del Sistema de Información Geográfico relacionado con la evaluación de solicitudes de intervención de Bienes de Interés Cultural ubicados en el espacio público y de espacio público en Sectores de Interés Cultural."/>
    <s v="(Cód. 275) Prestar servicios profesionales al Instituto Distrital de Patrimonio Cultural apoyando el soporte técnico del Sistema de Información Geográfico relacionado con la evaluación de solicitudes de intervención de Bienes de Interés Cultural ubicados en el espacio público y de espacio público en Sectores de Interés Cultural."/>
    <d v="2019-01-20T00:00:00"/>
    <n v="10"/>
    <d v="2019-02-01T00:00:00"/>
    <x v="0"/>
    <n v="1"/>
    <n v="1"/>
    <n v="8"/>
    <n v="1"/>
    <s v="Contratación directa / Prestación de servicios profesionales y de apoyo a la gestión"/>
    <s v="CCE-16"/>
    <n v="0"/>
    <s v="N.A."/>
    <s v="Asesoría a Terceros"/>
    <n v="43040000"/>
    <n v="43040000"/>
    <n v="0"/>
    <n v="0"/>
    <s v="ASESORA JURIDICA"/>
    <s v="CO-DC-11001"/>
    <s v="Carolina Fernández Borda (Subdirección de Intervención)"/>
    <s v="3550800"/>
    <s v="carolina.fernandez@idpc.gov.co"/>
    <s v="ME20181114"/>
    <s v="COMP1114"/>
    <s v="CONC1114"/>
    <s v="Asesorar técnicamente las solicitudes para la protección del patrimonio cultural material del Distrito Capital"/>
    <s v="Asesoría técnica para la protección y promoción del patrimonio cultural material del distrito capital"/>
    <s v="4. Obras de Intervención en Bienes muebles - inmuebles y sectores que conforman el patrimonio cultural del D.C."/>
    <s v="FONT1114"/>
    <s v="12-Otros Distrito"/>
    <s v="03-RECURSO HUMANO"/>
    <s v="04-GASTOS DE PERSONAL OPERATIVO"/>
    <s v="0316-Personal de apoyo para las actividades de valoración, protección y conservación del Patrimonio Cultural"/>
    <n v="0"/>
    <n v="43040000"/>
    <m/>
    <m/>
    <m/>
    <n v="43040000"/>
    <m/>
    <m/>
    <m/>
    <m/>
    <m/>
    <n v="43040000"/>
    <m/>
    <m/>
    <m/>
    <n v="0"/>
    <m/>
    <n v="1"/>
    <m/>
    <m/>
    <m/>
    <m/>
    <m/>
    <m/>
    <m/>
    <m/>
    <m/>
    <m/>
    <m/>
    <m/>
    <m/>
    <m/>
    <n v="0"/>
    <n v="0"/>
    <m/>
  </r>
  <r>
    <n v="276"/>
    <n v="276"/>
    <b v="0"/>
    <s v="Sí"/>
    <s v="1114. Intervención y conservación de los bienes muebles e inmuebles en sectores de interés cultural del Distrito Capital"/>
    <s v="3-3-1-15-02-17-1114-140"/>
    <s v="80111600;93141707"/>
    <s v="Prestar servicios profesionales al Instituto Distrital de Patrimonio Cultural para apoyar las actividades de gestión del Sistema de Información Geográfico para el inventario de bienes inmuebles del  Distrito Capital a cargo de la Subdirección de Intervención."/>
    <s v="(Cód. 276) Prestar servicios profesionales al Instituto Distrital de Patrimonio Cultural para apoyar las actividades de gestión del Sistema de Información Geográfico para el inventario de bienes inmuebles del  Distrito Capital a cargo de la Subdirección de Intervención."/>
    <d v="2019-01-20T00:00:00"/>
    <n v="10"/>
    <d v="2019-02-01T00:00:00"/>
    <x v="0"/>
    <n v="1"/>
    <n v="1"/>
    <n v="8"/>
    <n v="1"/>
    <s v="Contratación directa / Prestación de servicios profesionales y de apoyo a la gestión"/>
    <s v="CCE-16"/>
    <n v="0"/>
    <s v="N.A."/>
    <s v="Asesoría a Terceros"/>
    <n v="38400000"/>
    <n v="38400000"/>
    <n v="0"/>
    <n v="0"/>
    <s v="ASESORA JURIDICA"/>
    <s v="CO-DC-11001"/>
    <s v="Carolina Fernández Borda (Subdirección de Intervención)"/>
    <s v="3550800"/>
    <s v="carolina.fernandez@idpc.gov.co"/>
    <s v="ME20181114"/>
    <s v="COMP1114"/>
    <s v="CONC1114"/>
    <s v="Asesorar técnicamente las solicitudes para la protección del patrimonio cultural material del Distrito Capital"/>
    <s v="Asesoría técnica para la protección y promoción del patrimonio cultural material del distrito capital"/>
    <s v="4. Obras de Intervención en Bienes muebles - inmuebles y sectores que conforman el patrimonio cultural del D.C."/>
    <s v="FONT1114"/>
    <s v="12-Otros Distrito"/>
    <s v="03-RECURSO HUMANO"/>
    <s v="04-GASTOS DE PERSONAL OPERATIVO"/>
    <s v="0316-Personal de apoyo para las actividades de valoración, protección y conservación del Patrimonio Cultural"/>
    <n v="0"/>
    <n v="38400000"/>
    <m/>
    <m/>
    <m/>
    <n v="38400000"/>
    <m/>
    <m/>
    <m/>
    <m/>
    <m/>
    <n v="38400000"/>
    <m/>
    <m/>
    <m/>
    <n v="0"/>
    <m/>
    <n v="1"/>
    <m/>
    <m/>
    <m/>
    <m/>
    <m/>
    <m/>
    <m/>
    <m/>
    <m/>
    <m/>
    <m/>
    <m/>
    <m/>
    <m/>
    <n v="0"/>
    <n v="0"/>
    <m/>
  </r>
  <r>
    <n v="277"/>
    <n v="277"/>
    <b v="0"/>
    <s v="Sí"/>
    <s v="1114. Intervención y conservación de los bienes muebles e inmuebles en sectores de interés cultural del Distrito Capital"/>
    <s v="3-3-1-15-02-17-1114-140"/>
    <s v="80111617;93141707;80101604;80111614;93151516"/>
    <s v="Prestar servicios profesionales especializados al Instituto Distrital de Patrimonio Cultural para orientar y apoyar la verificación técnica de la documentación expedida en relación a la evaluación y asesoría técnica de las solicitudes de intervención en Bienes de Interés Cultural del Distrito Capital."/>
    <s v="(Cód. 277) Prestar servicios profesionales especializados al Instituto Distrital de Patrimonio Cultural para orientar y apoyar la verificación técnica de la documentación expedida en relación a la evaluación y asesoría técnica de las solicitudes de intervención en Bienes de Interés Cultural del Distrito Capital."/>
    <d v="2019-01-20T00:00:00"/>
    <n v="10"/>
    <d v="2019-02-01T00:00:00"/>
    <x v="0"/>
    <n v="1"/>
    <n v="1"/>
    <n v="10"/>
    <n v="1"/>
    <s v="Contratación directa / Prestación de servicios profesionales y de apoyo a la gestión"/>
    <s v="CCE-16"/>
    <n v="0"/>
    <s v="N.A."/>
    <s v="Asesoría a Terceros"/>
    <n v="87500000"/>
    <n v="87500000"/>
    <n v="0"/>
    <n v="0"/>
    <s v="ASESORA JURIDICA"/>
    <s v="CO-DC-11001"/>
    <s v="Carolina Fernández Borda (Subdirección de Intervención)"/>
    <s v="3550800"/>
    <s v="carolina.fernandez@idpc.gov.co"/>
    <s v="ME20181114"/>
    <s v="COMP1114"/>
    <s v="CONC1114"/>
    <s v="Asesorar técnicamente las solicitudes para la protección del patrimonio cultural material del Distrito Capital"/>
    <s v="Asesoría técnica para la protección y promoción del patrimonio cultural material del distrito capital"/>
    <s v="4. Obras de Intervención en Bienes muebles - inmuebles y sectores que conforman el patrimonio cultural del D.C."/>
    <s v="FONT1114"/>
    <s v="12-Otros Distrito"/>
    <s v="03-RECURSO HUMANO"/>
    <s v="04-GASTOS DE PERSONAL OPERATIVO"/>
    <s v="0316-Personal de apoyo para las actividades de valoración, protección y conservación del Patrimonio Cultural"/>
    <n v="0"/>
    <n v="87500000"/>
    <m/>
    <m/>
    <m/>
    <n v="87500000"/>
    <m/>
    <m/>
    <m/>
    <m/>
    <m/>
    <n v="87500000"/>
    <m/>
    <m/>
    <m/>
    <n v="0"/>
    <m/>
    <n v="1"/>
    <m/>
    <m/>
    <m/>
    <m/>
    <m/>
    <m/>
    <m/>
    <m/>
    <m/>
    <m/>
    <m/>
    <m/>
    <m/>
    <m/>
    <n v="0"/>
    <n v="0"/>
    <m/>
  </r>
  <r>
    <n v="278"/>
    <n v="278"/>
    <b v="0"/>
    <s v="Sí"/>
    <s v="1114. Intervención y conservación de los bienes muebles e inmuebles en sectores de interés cultural del Distrito Capital"/>
    <s v="3-3-1-15-02-17-1114-140"/>
    <s v="80111617;93141707;80101604;80111614;93151516"/>
    <s v="Prestar servicios profesionales al Instituto Distrital de Patrimonio Cultura en el apoyo de las actividades administrativas relacionadas con la evaluación y la asesoría técnica de solicitudes de intervención para la protección del patrimonio cultural."/>
    <s v="(Cód. 278) Prestar servicios profesionales al Instituto Distrital de Patrimonio Cultura en el apoyo de las actividades administrativas relacionadas con la evaluación y la asesoría técnica de solicitudes de intervención para la protección del patrimonio cultural."/>
    <d v="2019-01-20T00:00:00"/>
    <n v="10"/>
    <d v="2019-02-01T00:00:00"/>
    <x v="0"/>
    <n v="1"/>
    <n v="1"/>
    <n v="8"/>
    <n v="1"/>
    <s v="Contratación directa / Prestación de servicios profesionales y de apoyo a la gestión"/>
    <s v="CCE-16"/>
    <n v="0"/>
    <s v="N.A."/>
    <s v="Asesoría a Terceros"/>
    <n v="32400000"/>
    <n v="32400000"/>
    <n v="0"/>
    <n v="0"/>
    <s v="ASESORA JURIDICA"/>
    <s v="CO-DC-11001"/>
    <s v="Carolina Fernández Borda (Subdirección de Intervención)"/>
    <s v="3550800"/>
    <s v="carolina.fernandez@idpc.gov.co"/>
    <s v="ME20181114"/>
    <s v="COMP1114"/>
    <s v="CONC1114"/>
    <s v="Asesorar técnicamente las solicitudes para la protección del patrimonio cultural material del Distrito Capital"/>
    <s v="Asesoría técnica para la protección y promoción del patrimonio cultural material del distrito capital"/>
    <s v="4. Obras de Intervención en Bienes muebles - inmuebles y sectores que conforman el patrimonio cultural del D.C."/>
    <s v="FONT1114"/>
    <s v="12-Otros Distrito"/>
    <s v="03-RECURSO HUMANO"/>
    <s v="04-GASTOS DE PERSONAL OPERATIVO"/>
    <s v="0316-Personal de apoyo para las actividades de valoración, protección y conservación del Patrimonio Cultural"/>
    <n v="0"/>
    <n v="32400000"/>
    <m/>
    <m/>
    <m/>
    <n v="32400000"/>
    <m/>
    <m/>
    <m/>
    <m/>
    <m/>
    <n v="32400000"/>
    <m/>
    <m/>
    <m/>
    <n v="0"/>
    <m/>
    <n v="1"/>
    <m/>
    <m/>
    <m/>
    <m/>
    <m/>
    <m/>
    <m/>
    <m/>
    <m/>
    <m/>
    <m/>
    <m/>
    <m/>
    <m/>
    <n v="0"/>
    <n v="0"/>
    <m/>
  </r>
  <r>
    <n v="279"/>
    <n v="279"/>
    <b v="0"/>
    <s v="Sí"/>
    <s v="1114. Intervención y conservación de los bienes muebles e inmuebles en sectores de interés cultural del Distrito Capital"/>
    <s v="3-3-1-15-02-17-1114-140"/>
    <s v="80111617;93141707;80101604;80111614;93151516"/>
    <s v="Prestar servicios profesionales al Instituto Distrital de Patrimonio Cultural para el acompañamiento y apoyo en las actividades de asesoría técnica a terceros, revisión, evaluación, verificación y análisis de las solicitudes de intervención de los Bienes de Interés Cultural (BIC) del Distrito Capital."/>
    <s v="(Cód. 279) Prestar servicios profesionales al Instituto Distrital de Patrimonio Cultural para el acompañamiento y apoyo en las actividades de asesoría técnica a terceros, revisión, evaluación, verificación y análisis de las solicitudes de intervención de los Bienes de Interés Cultural (BIC) del Distrito Capital."/>
    <d v="2019-01-20T00:00:00"/>
    <n v="10"/>
    <d v="2019-02-01T00:00:00"/>
    <x v="0"/>
    <n v="1"/>
    <n v="1"/>
    <n v="8"/>
    <n v="1"/>
    <s v="Contratación directa / Prestación de servicios profesionales y de apoyo a la gestión"/>
    <s v="CCE-16"/>
    <n v="0"/>
    <s v="N.A."/>
    <s v="Asesoría a Terceros"/>
    <n v="43040000"/>
    <n v="43040000"/>
    <n v="0"/>
    <n v="0"/>
    <s v="ASESORA JURIDICA"/>
    <s v="CO-DC-11001"/>
    <s v="Carolina Fernández Borda (Subdirección de Intervención)"/>
    <s v="3550800"/>
    <s v="carolina.fernandez@idpc.gov.co"/>
    <s v="ME20181114"/>
    <s v="COMP1114"/>
    <s v="CONC1114"/>
    <s v="Asesorar técnicamente las solicitudes para la protección del patrimonio cultural material del Distrito Capital"/>
    <s v="Asesoría técnica para la protección y promoción del patrimonio cultural material del distrito capital"/>
    <s v="4. Obras de Intervención en Bienes muebles - inmuebles y sectores que conforman el patrimonio cultural del D.C."/>
    <s v="FONT1114"/>
    <s v="12-Otros Distrito"/>
    <s v="03-RECURSO HUMANO"/>
    <s v="04-GASTOS DE PERSONAL OPERATIVO"/>
    <s v="0316-Personal de apoyo para las actividades de valoración, protección y conservación del Patrimonio Cultural"/>
    <n v="0"/>
    <n v="43040000"/>
    <m/>
    <m/>
    <m/>
    <n v="43040000"/>
    <m/>
    <m/>
    <m/>
    <m/>
    <m/>
    <n v="43040000"/>
    <m/>
    <m/>
    <m/>
    <n v="0"/>
    <m/>
    <n v="1"/>
    <m/>
    <m/>
    <m/>
    <m/>
    <m/>
    <m/>
    <m/>
    <m/>
    <m/>
    <m/>
    <m/>
    <m/>
    <m/>
    <m/>
    <n v="0"/>
    <n v="0"/>
    <m/>
  </r>
  <r>
    <n v="280"/>
    <n v="280"/>
    <b v="0"/>
    <s v="Sí"/>
    <s v="1114. Intervención y conservación de los bienes muebles e inmuebles en sectores de interés cultural del Distrito Capital"/>
    <s v="3-3-1-15-02-17-1114-140"/>
    <s v="80111617;93141707;80101604;80111614;93151516"/>
    <s v="Prestar servicios profesionales al Instituto Distrital de Patrimonio Cultural para el acompañamiento y apoyo en las actividades de asesoría técnica a terceros, revisión, evaluación, verificación y análisis de las solicitudes de intervención de los Bienes de Interés Cultural (BIC) del Distrito Capital."/>
    <s v="(Cód. 280) Prestar servicios profesionales al Instituto Distrital de Patrimonio Cultural para el acompañamiento y apoyo en las actividades de asesoría técnica a terceros, revisión, evaluación, verificación y análisis de las solicitudes de intervención de los Bienes de Interés Cultural (BIC) del Distrito Capital."/>
    <d v="2019-01-20T00:00:00"/>
    <n v="10"/>
    <d v="2019-02-01T00:00:00"/>
    <x v="0"/>
    <n v="1"/>
    <n v="1"/>
    <n v="8"/>
    <n v="1"/>
    <s v="Contratación directa / Prestación de servicios profesionales y de apoyo a la gestión"/>
    <s v="CCE-16"/>
    <n v="0"/>
    <s v="N.A."/>
    <s v="Asesoría a Terceros"/>
    <n v="43040000"/>
    <n v="43040000"/>
    <n v="0"/>
    <n v="0"/>
    <s v="ASESORA JURIDICA"/>
    <s v="CO-DC-11001"/>
    <s v="Carolina Fernández Borda (Subdirección de Intervención)"/>
    <s v="3550800"/>
    <s v="carolina.fernandez@idpc.gov.co"/>
    <s v="ME20181114"/>
    <s v="COMP1114"/>
    <s v="CONC1114"/>
    <s v="Asesorar técnicamente las solicitudes para la protección del patrimonio cultural material del Distrito Capital"/>
    <s v="Asesoría técnica para la protección y promoción del patrimonio cultural material del distrito capital"/>
    <s v="4. Obras de Intervención en Bienes muebles - inmuebles y sectores que conforman el patrimonio cultural del D.C."/>
    <s v="FONT1114"/>
    <s v="12-Otros Distrito"/>
    <s v="03-RECURSO HUMANO"/>
    <s v="04-GASTOS DE PERSONAL OPERATIVO"/>
    <s v="0316-Personal de apoyo para las actividades de valoración, protección y conservación del Patrimonio Cultural"/>
    <n v="0"/>
    <n v="43040000"/>
    <m/>
    <m/>
    <m/>
    <n v="43040000"/>
    <m/>
    <m/>
    <m/>
    <m/>
    <m/>
    <n v="43040000"/>
    <m/>
    <m/>
    <m/>
    <n v="0"/>
    <m/>
    <n v="1"/>
    <m/>
    <m/>
    <m/>
    <m/>
    <m/>
    <m/>
    <m/>
    <m/>
    <m/>
    <m/>
    <m/>
    <m/>
    <m/>
    <m/>
    <n v="0"/>
    <n v="0"/>
    <m/>
  </r>
  <r>
    <n v="281"/>
    <n v="281"/>
    <b v="0"/>
    <s v="Sí"/>
    <s v="1114. Intervención y conservación de los bienes muebles e inmuebles en sectores de interés cultural del Distrito Capital"/>
    <s v="3-3-1-15-02-17-1114-140"/>
    <s v="80111617;93141707;80101604;80111614;93151516"/>
    <s v="Prestar servicios profesionales al Instituto Distrital de Patrimonio Cultural para el acompañamiento y apoyo en las actividades de asesoría técnica a terceros, revisión, evaluación, verificación y análisis de las solicitudes de intervención de los Bienes de Interés Cultural (BIC) del Distrito Capital."/>
    <s v="(Cód. 281) Prestar servicios profesionales al Instituto Distrital de Patrimonio Cultural para el acompañamiento y apoyo en las actividades de asesoría técnica a terceros, revisión, evaluación, verificación y análisis de las solicitudes de intervención de los Bienes de Interés Cultural (BIC) del Distrito Capital."/>
    <d v="2019-01-20T00:00:00"/>
    <n v="10"/>
    <d v="2019-02-01T00:00:00"/>
    <x v="0"/>
    <n v="1"/>
    <n v="1"/>
    <n v="8"/>
    <n v="1"/>
    <s v="Contratación directa / Prestación de servicios profesionales y de apoyo a la gestión"/>
    <s v="CCE-16"/>
    <n v="0"/>
    <s v="N.A."/>
    <s v="Asesoría a Terceros"/>
    <n v="43040000"/>
    <n v="43040000"/>
    <n v="0"/>
    <n v="0"/>
    <s v="ASESORA JURIDICA"/>
    <s v="CO-DC-11001"/>
    <s v="Carolina Fernández Borda (Subdirección de Intervención)"/>
    <s v="3550800"/>
    <s v="carolina.fernandez@idpc.gov.co"/>
    <s v="ME20181114"/>
    <s v="COMP1114"/>
    <s v="CONC1114"/>
    <s v="Asesorar técnicamente las solicitudes para la protección del patrimonio cultural material del Distrito Capital"/>
    <s v="Asesoría técnica para la protección y promoción del patrimonio cultural material del distrito capital"/>
    <s v="4. Obras de Intervención en Bienes muebles - inmuebles y sectores que conforman el patrimonio cultural del D.C."/>
    <s v="FONT1114"/>
    <s v="12-Otros Distrito"/>
    <s v="03-RECURSO HUMANO"/>
    <s v="04-GASTOS DE PERSONAL OPERATIVO"/>
    <s v="0316-Personal de apoyo para las actividades de valoración, protección y conservación del Patrimonio Cultural"/>
    <n v="0"/>
    <n v="43040000"/>
    <m/>
    <m/>
    <m/>
    <n v="43040000"/>
    <m/>
    <m/>
    <m/>
    <m/>
    <m/>
    <n v="43040000"/>
    <m/>
    <m/>
    <m/>
    <n v="0"/>
    <m/>
    <n v="1"/>
    <m/>
    <m/>
    <m/>
    <m/>
    <m/>
    <m/>
    <m/>
    <m/>
    <m/>
    <m/>
    <m/>
    <m/>
    <m/>
    <m/>
    <n v="0"/>
    <n v="0"/>
    <m/>
  </r>
  <r>
    <n v="282"/>
    <n v="282"/>
    <b v="0"/>
    <s v="Sí"/>
    <s v="1114. Intervención y conservación de los bienes muebles e inmuebles en sectores de interés cultural del Distrito Capital"/>
    <s v="3-3-1-15-02-17-1114-140"/>
    <s v="80111617;93141707;80101604;80111614;93151516"/>
    <s v="Prestar servicios profesionales al Instituto Distrital de Patrimonio Cultural para el acompañamiento y apoyo en las actividades de asesoría técnica a terceros, revisión, evaluación, verificación y análisis de las solicitudes de intervención de los Bienes de Interés Cultural (BIC) del Distrito Capital."/>
    <s v="(Cód. 282) Prestar servicios profesionales al Instituto Distrital de Patrimonio Cultural para el acompañamiento y apoyo en las actividades de asesoría técnica a terceros, revisión, evaluación, verificación y análisis de las solicitudes de intervención de los Bienes de Interés Cultural (BIC) del Distrito Capital."/>
    <d v="2019-01-20T00:00:00"/>
    <n v="10"/>
    <d v="2019-02-01T00:00:00"/>
    <x v="0"/>
    <n v="1"/>
    <n v="1"/>
    <n v="8"/>
    <n v="1"/>
    <s v="Contratación directa / Prestación de servicios profesionales y de apoyo a la gestión"/>
    <s v="CCE-16"/>
    <n v="0"/>
    <s v="N.A."/>
    <s v="Asesoría a Terceros"/>
    <n v="43040000"/>
    <n v="43040000"/>
    <n v="0"/>
    <n v="0"/>
    <s v="ASESORA JURIDICA"/>
    <s v="CO-DC-11001"/>
    <s v="Carolina Fernández Borda (Subdirección de Intervención)"/>
    <s v="3550800"/>
    <s v="carolina.fernandez@idpc.gov.co"/>
    <s v="ME20181114"/>
    <s v="COMP1114"/>
    <s v="CONC1114"/>
    <s v="Asesorar técnicamente las solicitudes para la protección del patrimonio cultural material del Distrito Capital"/>
    <s v="Asesoría técnica para la protección y promoción del patrimonio cultural material del distrito capital"/>
    <s v="4. Obras de Intervención en Bienes muebles - inmuebles y sectores que conforman el patrimonio cultural del D.C."/>
    <s v="FONT1114"/>
    <s v="12-Otros Distrito"/>
    <s v="03-RECURSO HUMANO"/>
    <s v="04-GASTOS DE PERSONAL OPERATIVO"/>
    <s v="0316-Personal de apoyo para las actividades de valoración, protección y conservación del Patrimonio Cultural"/>
    <n v="0"/>
    <n v="43040000"/>
    <m/>
    <m/>
    <m/>
    <n v="43040000"/>
    <m/>
    <m/>
    <m/>
    <m/>
    <m/>
    <n v="43040000"/>
    <m/>
    <m/>
    <m/>
    <n v="0"/>
    <m/>
    <n v="1"/>
    <m/>
    <m/>
    <m/>
    <m/>
    <m/>
    <m/>
    <m/>
    <m/>
    <m/>
    <m/>
    <m/>
    <m/>
    <m/>
    <m/>
    <n v="0"/>
    <n v="0"/>
    <m/>
  </r>
  <r>
    <n v="283"/>
    <n v="283"/>
    <b v="0"/>
    <s v="Sí"/>
    <s v="1114. Intervención y conservación de los bienes muebles e inmuebles en sectores de interés cultural del Distrito Capital"/>
    <s v="3-3-1-15-02-17-1114-140"/>
    <s v="80111617;93141707;80101604;80111614;93151516"/>
    <s v="Prestar servicios profesionales al Instituto Distrital de Patrimonio Cultural para el acompañamiento y apoyo en las actividades de asesoría técnica a terceros, revisión, evaluación, verificación y análisis de las solicitudes de intervención de los Bienes de Interés Cultural (BIC) del Distrito Capital."/>
    <s v="(Cód. 283) Prestar servicios profesionales al Instituto Distrital de Patrimonio Cultural para el acompañamiento y apoyo en las actividades de asesoría técnica a terceros, revisión, evaluación, verificación y análisis de las solicitudes de intervención de los Bienes de Interés Cultural (BIC) del Distrito Capital."/>
    <d v="2019-01-20T00:00:00"/>
    <n v="10"/>
    <d v="2019-02-01T00:00:00"/>
    <x v="0"/>
    <n v="1"/>
    <n v="1"/>
    <n v="8"/>
    <n v="1"/>
    <s v="Contratación directa / Prestación de servicios profesionales y de apoyo a la gestión"/>
    <s v="CCE-16"/>
    <n v="0"/>
    <s v="N.A."/>
    <s v="Asesoría a Terceros"/>
    <n v="43040000"/>
    <n v="43040000"/>
    <n v="0"/>
    <n v="0"/>
    <s v="ASESORA JURIDICA"/>
    <s v="CO-DC-11001"/>
    <s v="Carolina Fernández Borda (Subdirección de Intervención)"/>
    <s v="3550800"/>
    <s v="carolina.fernandez@idpc.gov.co"/>
    <s v="ME20181114"/>
    <s v="COMP1114"/>
    <s v="CONC1114"/>
    <s v="Asesorar técnicamente las solicitudes para la protección del patrimonio cultural material del Distrito Capital"/>
    <s v="Asesoría técnica para la protección y promoción del patrimonio cultural material del distrito capital"/>
    <s v="4. Obras de Intervención en Bienes muebles - inmuebles y sectores que conforman el patrimonio cultural del D.C."/>
    <s v="FONT1114"/>
    <s v="12-Otros Distrito"/>
    <s v="03-RECURSO HUMANO"/>
    <s v="04-GASTOS DE PERSONAL OPERATIVO"/>
    <s v="0316-Personal de apoyo para las actividades de valoración, protección y conservación del Patrimonio Cultural"/>
    <n v="0"/>
    <n v="43040000"/>
    <m/>
    <m/>
    <m/>
    <n v="43040000"/>
    <m/>
    <m/>
    <m/>
    <m/>
    <m/>
    <n v="43040000"/>
    <m/>
    <m/>
    <m/>
    <n v="0"/>
    <m/>
    <n v="1"/>
    <m/>
    <m/>
    <m/>
    <m/>
    <m/>
    <m/>
    <m/>
    <m/>
    <m/>
    <m/>
    <m/>
    <m/>
    <m/>
    <m/>
    <n v="0"/>
    <n v="0"/>
    <m/>
  </r>
  <r>
    <n v="284"/>
    <n v="284"/>
    <b v="0"/>
    <s v="Sí"/>
    <s v="1114. Intervención y conservación de los bienes muebles e inmuebles en sectores de interés cultural del Distrito Capital"/>
    <s v="3-3-1-15-02-17-1114-140"/>
    <s v="80111617;93141707;80101604;80111614;93151516"/>
    <s v="Prestar servicios profesionales al Instituto Distrital de Patrimonio Cultural para el acompañamiento y apoyo en las actividades de asesoría técnica a terceros, revisión, evaluación, verificación y análisis de las solicitudes de intervención de los Bienes de Interés Cultural (BIC) del Distrito Capital."/>
    <s v="(Cód. 284) Prestar servicios profesionales al Instituto Distrital de Patrimonio Cultural para el acompañamiento y apoyo en las actividades de asesoría técnica a terceros, revisión, evaluación, verificación y análisis de las solicitudes de intervención de los Bienes de Interés Cultural (BIC) del Distrito Capital."/>
    <d v="2019-01-20T00:00:00"/>
    <n v="10"/>
    <d v="2019-02-01T00:00:00"/>
    <x v="0"/>
    <n v="1"/>
    <n v="1"/>
    <n v="8"/>
    <n v="1"/>
    <s v="Contratación directa / Prestación de servicios profesionales y de apoyo a la gestión"/>
    <s v="CCE-16"/>
    <n v="0"/>
    <s v="N.A."/>
    <s v="Asesoría a Terceros"/>
    <n v="43040000"/>
    <n v="43040000"/>
    <n v="0"/>
    <n v="0"/>
    <s v="ASESORA JURIDICA"/>
    <s v="CO-DC-11001"/>
    <s v="Carolina Fernández Borda (Subdirección de Intervención)"/>
    <s v="3550800"/>
    <s v="carolina.fernandez@idpc.gov.co"/>
    <s v="ME20181114"/>
    <s v="COMP1114"/>
    <s v="CONC1114"/>
    <s v="Asesorar técnicamente las solicitudes para la protección del patrimonio cultural material del Distrito Capital"/>
    <s v="Asesoría técnica para la protección y promoción del patrimonio cultural material del distrito capital"/>
    <s v="4. Obras de Intervención en Bienes muebles - inmuebles y sectores que conforman el patrimonio cultural del D.C."/>
    <s v="FONT1114"/>
    <s v="12-Otros Distrito"/>
    <s v="03-RECURSO HUMANO"/>
    <s v="04-GASTOS DE PERSONAL OPERATIVO"/>
    <s v="0316-Personal de apoyo para las actividades de valoración, protección y conservación del Patrimonio Cultural"/>
    <n v="0"/>
    <n v="43040000"/>
    <m/>
    <m/>
    <m/>
    <n v="43040000"/>
    <m/>
    <m/>
    <m/>
    <m/>
    <m/>
    <n v="43040000"/>
    <m/>
    <m/>
    <m/>
    <n v="0"/>
    <m/>
    <n v="1"/>
    <m/>
    <m/>
    <m/>
    <m/>
    <m/>
    <m/>
    <m/>
    <m/>
    <m/>
    <m/>
    <m/>
    <m/>
    <m/>
    <m/>
    <n v="0"/>
    <n v="0"/>
    <m/>
  </r>
  <r>
    <n v="285"/>
    <n v="285"/>
    <b v="0"/>
    <s v="Sí"/>
    <s v="1114. Intervención y conservación de los bienes muebles e inmuebles en sectores de interés cultural del Distrito Capital"/>
    <s v="3-3-1-15-02-17-1114-140"/>
    <s v="80111617;93141707;80101604;80111614;93151516"/>
    <s v="Prestar servicios profesionales al Instituto Distrital de Patrimonio Cultural para el acompañamiento y apoyo en las actividades de asesoría técnica a terceros, revisión, evaluación, verificación y análisis de las solicitudes de intervención de los Bienes de Interés Cultural (BIC) del Distrito Capital."/>
    <s v="(Cód. 285) Prestar servicios profesionales al Instituto Distrital de Patrimonio Cultural para el acompañamiento y apoyo en las actividades de asesoría técnica a terceros, revisión, evaluación, verificación y análisis de las solicitudes de intervención de los Bienes de Interés Cultural (BIC) del Distrito Capital."/>
    <d v="2019-01-20T00:00:00"/>
    <n v="10"/>
    <d v="2019-02-01T00:00:00"/>
    <x v="0"/>
    <n v="1"/>
    <n v="1"/>
    <n v="8"/>
    <n v="1"/>
    <s v="Contratación directa / Prestación de servicios profesionales y de apoyo a la gestión"/>
    <s v="CCE-16"/>
    <n v="0"/>
    <s v="N.A."/>
    <s v="Asesoría a Terceros"/>
    <n v="43040000"/>
    <n v="43040000"/>
    <n v="0"/>
    <n v="0"/>
    <s v="ASESORA JURIDICA"/>
    <s v="CO-DC-11001"/>
    <s v="Carolina Fernández Borda (Subdirección de Intervención)"/>
    <s v="3550800"/>
    <s v="carolina.fernandez@idpc.gov.co"/>
    <s v="ME20181114"/>
    <s v="COMP1114"/>
    <s v="CONC1114"/>
    <s v="Asesorar técnicamente las solicitudes para la protección del patrimonio cultural material del Distrito Capital"/>
    <s v="Asesoría técnica para la protección y promoción del patrimonio cultural material del distrito capital"/>
    <s v="4. Obras de Intervención en Bienes muebles - inmuebles y sectores que conforman el patrimonio cultural del D.C."/>
    <s v="FONT1114"/>
    <s v="12-Otros Distrito"/>
    <s v="03-RECURSO HUMANO"/>
    <s v="04-GASTOS DE PERSONAL OPERATIVO"/>
    <s v="0316-Personal de apoyo para las actividades de valoración, protección y conservación del Patrimonio Cultural"/>
    <n v="0"/>
    <n v="43040000"/>
    <m/>
    <m/>
    <m/>
    <n v="43040000"/>
    <m/>
    <m/>
    <m/>
    <m/>
    <m/>
    <n v="43040000"/>
    <m/>
    <m/>
    <m/>
    <n v="0"/>
    <m/>
    <n v="1"/>
    <m/>
    <m/>
    <m/>
    <m/>
    <m/>
    <m/>
    <m/>
    <m/>
    <m/>
    <m/>
    <m/>
    <m/>
    <m/>
    <m/>
    <n v="0"/>
    <n v="0"/>
    <m/>
  </r>
  <r>
    <n v="286"/>
    <n v="286"/>
    <b v="0"/>
    <s v="Sí"/>
    <s v="1114. Intervención y conservación de los bienes muebles e inmuebles en sectores de interés cultural del Distrito Capital"/>
    <s v="3-3-1-15-02-17-1114-140"/>
    <s v="80111617;93141707;80101604;80111614;93151516"/>
    <s v="Prestar servicios profesionales al Instituto Distrital de Patrimonio Cultural para apoyar la revisión y acompañamiento del componente estructural y de ingeniería de las acciones y solicitudes de intervención en Bienes de Interés Cultural (BIC)."/>
    <s v="(Cód. 286) Prestar servicios profesionales al Instituto Distrital de Patrimonio Cultural para apoyar la revisión y acompañamiento del componente estructural y de ingeniería de las acciones y solicitudes de intervención en Bienes de Interés Cultural (BIC)."/>
    <d v="2019-01-20T00:00:00"/>
    <n v="10"/>
    <d v="2019-02-01T00:00:00"/>
    <x v="0"/>
    <n v="1"/>
    <n v="1"/>
    <n v="8"/>
    <n v="1"/>
    <s v="Contratación directa / Prestación de servicios profesionales y de apoyo a la gestión"/>
    <s v="CCE-16"/>
    <n v="0"/>
    <s v="N.A."/>
    <s v="Asesoría a Terceros"/>
    <n v="47120000"/>
    <n v="47120000"/>
    <n v="0"/>
    <n v="0"/>
    <s v="ASESORA JURIDICA"/>
    <s v="CO-DC-11001"/>
    <s v="Carolina Fernández Borda (Subdirección de Intervención)"/>
    <s v="3550800"/>
    <s v="carolina.fernandez@idpc.gov.co"/>
    <s v="ME20181114"/>
    <s v="COMP1114"/>
    <s v="CONC1114"/>
    <s v="Asesorar técnicamente las solicitudes para la protección del patrimonio cultural material del Distrito Capital"/>
    <s v="Asesoría técnica para la protección y promoción del patrimonio cultural material del distrito capital"/>
    <s v="4. Obras de Intervención en Bienes muebles - inmuebles y sectores que conforman el patrimonio cultural del D.C."/>
    <s v="FONT1114"/>
    <s v="12-Otros Distrito"/>
    <s v="03-RECURSO HUMANO"/>
    <s v="04-GASTOS DE PERSONAL OPERATIVO"/>
    <s v="0316-Personal de apoyo para las actividades de valoración, protección y conservación del Patrimonio Cultural"/>
    <n v="0"/>
    <n v="47120000"/>
    <m/>
    <m/>
    <m/>
    <n v="47120000"/>
    <m/>
    <m/>
    <m/>
    <m/>
    <m/>
    <n v="47120000"/>
    <m/>
    <m/>
    <m/>
    <n v="0"/>
    <m/>
    <n v="1"/>
    <m/>
    <m/>
    <m/>
    <m/>
    <m/>
    <m/>
    <m/>
    <m/>
    <m/>
    <m/>
    <m/>
    <m/>
    <m/>
    <m/>
    <n v="0"/>
    <n v="0"/>
    <m/>
  </r>
  <r>
    <n v="287"/>
    <n v="287"/>
    <b v="0"/>
    <s v="Sí"/>
    <s v="1114. Intervención y conservación de los bienes muebles e inmuebles en sectores de interés cultural del Distrito Capital"/>
    <s v="3-3-1-15-02-17-1114-140"/>
    <s v="80111617;93141707;80101604;80111614;93151516"/>
    <s v="Prestar servicios profesionales al Instituto Distrital de Patrimonio Cultural para apoyar la revisión y acompañamiento del componente estructural y de ingeniería de las acciones y solicitudes de intervención en Bienes de Interés Cultural (BIC)."/>
    <s v="(Cód. 287) Prestar servicios profesionales al Instituto Distrital de Patrimonio Cultural para apoyar la revisión y acompañamiento del componente estructural y de ingeniería de las acciones y solicitudes de intervención en Bienes de Interés Cultural (BIC)."/>
    <d v="2019-01-20T00:00:00"/>
    <n v="10"/>
    <d v="2019-02-01T00:00:00"/>
    <x v="0"/>
    <n v="1"/>
    <n v="1"/>
    <n v="8"/>
    <n v="1"/>
    <s v="Contratación directa / Prestación de servicios profesionales y de apoyo a la gestión"/>
    <s v="CCE-16"/>
    <n v="0"/>
    <s v="N.A."/>
    <s v="Asesoría a Terceros"/>
    <n v="47120000"/>
    <n v="47120000"/>
    <n v="0"/>
    <n v="0"/>
    <s v="ASESORA JURIDICA"/>
    <s v="CO-DC-11001"/>
    <s v="Carolina Fernández Borda (Subdirección de Intervención)"/>
    <s v="3550800"/>
    <s v="carolina.fernandez@idpc.gov.co"/>
    <s v="ME20181114"/>
    <s v="COMP1114"/>
    <s v="CONC1114"/>
    <s v="Asesorar técnicamente las solicitudes para la protección del patrimonio cultural material del Distrito Capital"/>
    <s v="Asesoría técnica para la protección y promoción del patrimonio cultural material del distrito capital"/>
    <s v="4. Obras de Intervención en Bienes muebles - inmuebles y sectores que conforman el patrimonio cultural del D.C."/>
    <s v="FONT1114"/>
    <s v="12-Otros Distrito"/>
    <s v="03-RECURSO HUMANO"/>
    <s v="04-GASTOS DE PERSONAL OPERATIVO"/>
    <s v="0316-Personal de apoyo para las actividades de valoración, protección y conservación del Patrimonio Cultural"/>
    <n v="0"/>
    <n v="47120000"/>
    <m/>
    <m/>
    <m/>
    <n v="47120000"/>
    <m/>
    <m/>
    <m/>
    <m/>
    <m/>
    <n v="47120000"/>
    <m/>
    <m/>
    <m/>
    <n v="0"/>
    <m/>
    <n v="1"/>
    <m/>
    <m/>
    <m/>
    <m/>
    <m/>
    <m/>
    <m/>
    <m/>
    <m/>
    <m/>
    <m/>
    <m/>
    <m/>
    <m/>
    <n v="0"/>
    <n v="0"/>
    <m/>
  </r>
  <r>
    <n v="288"/>
    <n v="288"/>
    <b v="0"/>
    <s v="Sí"/>
    <s v="1114. Intervención y conservación de los bienes muebles e inmuebles en sectores de interés cultural del Distrito Capital"/>
    <s v="3-3-1-15-02-17-1114-140"/>
    <s v="80111617;93141707;80101604;80111614;93151516"/>
    <s v="Prestar servicios profesionales al Instituto Distrital de Patrimonio Cultural para orientar y apoyar la verificación técnica de la documentación expedida con ocasión de las solicitudes de intervención de anteproyectos y conceptos de norma en Bienes de Interés Cultural (BIC) de Bogotá que se radican ante la entidad."/>
    <s v="(Cód. 288) Prestar servicios profesionales al Instituto Distrital de Patrimonio Cultural para orientar y apoyar la verificación técnica de la documentación expedida con ocasión de las solicitudes de intervención de anteproyectos y conceptos de norma en Bienes de Interés Cultural (BIC) de Bogotá que se radican ante la entidad."/>
    <d v="2019-01-20T00:00:00"/>
    <n v="10"/>
    <d v="2019-02-01T00:00:00"/>
    <x v="0"/>
    <n v="1"/>
    <n v="1"/>
    <n v="10"/>
    <n v="1"/>
    <s v="Contratación directa / Prestación de servicios profesionales y de apoyo a la gestión"/>
    <s v="CCE-16"/>
    <n v="0"/>
    <s v="N.A."/>
    <s v="Asesoría a Terceros"/>
    <n v="87500000"/>
    <n v="87500000"/>
    <n v="0"/>
    <n v="0"/>
    <s v="ASESORA JURIDICA"/>
    <s v="CO-DC-11001"/>
    <s v="Carolina Fernández Borda (Subdirección de Intervención)"/>
    <s v="3550800"/>
    <s v="carolina.fernandez@idpc.gov.co"/>
    <s v="ME20181114"/>
    <s v="COMP1114"/>
    <s v="CONC1114"/>
    <s v="Asesorar técnicamente las solicitudes para la protección del patrimonio cultural material del Distrito Capital"/>
    <s v="Asesoría técnica para la protección y promoción del patrimonio cultural material del distrito capital"/>
    <s v="4. Obras de Intervención en Bienes muebles - inmuebles y sectores que conforman el patrimonio cultural del D.C."/>
    <s v="FONT1114"/>
    <s v="12-Otros Distrito"/>
    <s v="03-RECURSO HUMANO"/>
    <s v="04-GASTOS DE PERSONAL OPERATIVO"/>
    <s v="0316-Personal de apoyo para las actividades de valoración, protección y conservación del Patrimonio Cultural"/>
    <n v="0"/>
    <n v="87500000"/>
    <m/>
    <m/>
    <m/>
    <n v="87500000"/>
    <m/>
    <m/>
    <m/>
    <m/>
    <m/>
    <n v="87500000"/>
    <m/>
    <m/>
    <m/>
    <n v="0"/>
    <m/>
    <n v="1"/>
    <m/>
    <m/>
    <m/>
    <m/>
    <m/>
    <m/>
    <m/>
    <m/>
    <m/>
    <m/>
    <m/>
    <m/>
    <m/>
    <m/>
    <n v="0"/>
    <n v="0"/>
    <m/>
  </r>
  <r>
    <n v="289"/>
    <n v="289"/>
    <b v="0"/>
    <s v="Sí"/>
    <s v="1114. Intervención y conservación de los bienes muebles e inmuebles en sectores de interés cultural del Distrito Capital"/>
    <s v="3-3-1-15-02-17-1114-140"/>
    <s v="80111617;93141707;80101604;80111614;93151516"/>
    <s v="Prestar servicios profesionales al Instituto Distrital de Patrimonio Cultural apoyando las actividades de elaboración y redacción de conceptos técnicos respecto a las normas aplicables para intervenciones sobre los inmuebles de interés cultural del Distrito Capital."/>
    <s v="(Cód. 289) Prestar servicios profesionales al Instituto Distrital de Patrimonio Cultural apoyando las actividades de elaboración y redacción de conceptos técnicos respecto a las normas aplicables para intervenciones sobre los inmuebles de interés cultural del Distrito Capital."/>
    <d v="2019-01-20T00:00:00"/>
    <n v="10"/>
    <d v="2019-02-01T00:00:00"/>
    <x v="0"/>
    <n v="1"/>
    <n v="1"/>
    <n v="8"/>
    <n v="1"/>
    <s v="Contratación directa / Prestación de servicios profesionales y de apoyo a la gestión"/>
    <s v="CCE-16"/>
    <n v="0"/>
    <s v="N.A."/>
    <s v="Asesoría a Terceros"/>
    <n v="39200000"/>
    <n v="39200000"/>
    <n v="0"/>
    <n v="0"/>
    <s v="ASESORA JURIDICA"/>
    <s v="CO-DC-11001"/>
    <s v="Carolina Fernández Borda (Subdirección de Intervención)"/>
    <s v="3550800"/>
    <s v="carolina.fernandez@idpc.gov.co"/>
    <s v="ME20181114"/>
    <s v="COMP1114"/>
    <s v="CONC1114"/>
    <s v="Asesorar técnicamente las solicitudes para la protección del patrimonio cultural material del Distrito Capital"/>
    <s v="Asesoría técnica para la protección y promoción del patrimonio cultural material del distrito capital"/>
    <s v="4. Obras de Intervención en Bienes muebles - inmuebles y sectores que conforman el patrimonio cultural del D.C."/>
    <s v="FONT1114"/>
    <s v="12-Otros Distrito"/>
    <s v="03-RECURSO HUMANO"/>
    <s v="04-GASTOS DE PERSONAL OPERATIVO"/>
    <s v="0316-Personal de apoyo para las actividades de valoración, protección y conservación del Patrimonio Cultural"/>
    <n v="0"/>
    <n v="39200000"/>
    <m/>
    <m/>
    <m/>
    <n v="39200000"/>
    <m/>
    <m/>
    <m/>
    <m/>
    <m/>
    <n v="39200000"/>
    <m/>
    <m/>
    <m/>
    <n v="0"/>
    <m/>
    <n v="1"/>
    <m/>
    <m/>
    <m/>
    <m/>
    <m/>
    <m/>
    <m/>
    <m/>
    <m/>
    <m/>
    <m/>
    <m/>
    <m/>
    <m/>
    <n v="0"/>
    <n v="0"/>
    <m/>
  </r>
  <r>
    <n v="290"/>
    <n v="290"/>
    <b v="0"/>
    <s v="Sí"/>
    <s v="1114. Intervención y conservación de los bienes muebles e inmuebles en sectores de interés cultural del Distrito Capital"/>
    <s v="3-3-1-15-02-17-1114-140"/>
    <s v="80111617;93141707;80101604;80111614;93151516"/>
    <s v="Prestar servicios profesionales al Instituto Distrital de Patrimonio Cultural apoyando las actividades de elaboración y redacción de conceptos técnicos respecto a las normas aplicables para intervenciones sobre los inmuebles de interés cultural del Distrito Capital."/>
    <s v="(Cód. 290) Prestar servicios profesionales al Instituto Distrital de Patrimonio Cultural apoyando las actividades de elaboración y redacción de conceptos técnicos respecto a las normas aplicables para intervenciones sobre los inmuebles de interés cultural del Distrito Capital."/>
    <d v="2019-02-01T00:00:00"/>
    <n v="10"/>
    <d v="2019-02-15T00:00:00"/>
    <x v="0"/>
    <n v="2"/>
    <n v="2"/>
    <n v="8"/>
    <n v="1"/>
    <s v="Contratación directa / Prestación de servicios profesionales y de apoyo a la gestión"/>
    <s v="CCE-16"/>
    <n v="0"/>
    <s v="N.A."/>
    <s v="Asesoría a Terceros"/>
    <n v="39360000"/>
    <n v="39360000"/>
    <n v="0"/>
    <n v="0"/>
    <s v="ASESORA JURIDICA"/>
    <s v="CO-DC-11001"/>
    <s v="Carolina Fernández Borda (Subdirección de Intervención)"/>
    <s v="3550800"/>
    <s v="carolina.fernandez@idpc.gov.co"/>
    <s v="ME20181114"/>
    <s v="COMP1114"/>
    <s v="CONC1114"/>
    <s v="Asesorar técnicamente las solicitudes para la protección del patrimonio cultural material del Distrito Capital"/>
    <s v="Asesoría técnica para la protección y promoción del patrimonio cultural material del distrito capital"/>
    <s v="4. Obras de Intervención en Bienes muebles - inmuebles y sectores que conforman el patrimonio cultural del D.C."/>
    <s v="FONT1114"/>
    <s v="12-Otros Distrito"/>
    <s v="03-RECURSO HUMANO"/>
    <s v="04-GASTOS DE PERSONAL OPERATIVO"/>
    <s v="0316-Personal de apoyo para las actividades de valoración, protección y conservación del Patrimonio Cultural"/>
    <n v="0"/>
    <n v="39360000"/>
    <m/>
    <m/>
    <m/>
    <n v="39360000"/>
    <m/>
    <m/>
    <m/>
    <m/>
    <m/>
    <n v="39360000"/>
    <m/>
    <m/>
    <m/>
    <n v="0"/>
    <m/>
    <n v="1"/>
    <m/>
    <m/>
    <m/>
    <m/>
    <m/>
    <m/>
    <m/>
    <m/>
    <m/>
    <m/>
    <m/>
    <m/>
    <m/>
    <m/>
    <n v="0"/>
    <n v="0"/>
    <m/>
  </r>
  <r>
    <n v="291"/>
    <n v="291"/>
    <b v="0"/>
    <s v="Sí"/>
    <s v="1114. Intervención y conservación de los bienes muebles e inmuebles en sectores de interés cultural del Distrito Capital"/>
    <s v="3-3-1-15-02-17-1114-140"/>
    <s v="80111617;93141707;80101604;80111614;93151516"/>
    <s v="Prestar servicios profesionales al Instituto Distrital de Patrimonio Cultural apoyando las actividades de soporte técnico, revisión, evaluación, verificación y análisis de las solicitudes de reparaciones locativas que se presentan sobre los bienes de interés cultural del Distrito Capital."/>
    <s v="(Cód. 291) Prestar servicios profesionales al Instituto Distrital de Patrimonio Cultural apoyando las actividades de soporte técnico, revisión, evaluación, verificación y análisis de las solicitudes de reparaciones locativas que se presentan sobre los bienes de interés cultural del Distrito Capital."/>
    <d v="2019-02-01T00:00:00"/>
    <n v="10"/>
    <d v="2019-02-15T00:00:00"/>
    <x v="0"/>
    <n v="2"/>
    <n v="2"/>
    <n v="8"/>
    <n v="1"/>
    <s v="Contratación directa / Prestación de servicios profesionales y de apoyo a la gestión"/>
    <s v="CCE-16"/>
    <n v="0"/>
    <s v="N.A."/>
    <s v="Asesoría a Terceros"/>
    <n v="43040000"/>
    <n v="43040000"/>
    <n v="0"/>
    <n v="0"/>
    <s v="ASESORA JURIDICA"/>
    <s v="CO-DC-11001"/>
    <s v="Carolina Fernández Borda (Subdirección de Intervención)"/>
    <s v="3550800"/>
    <s v="carolina.fernandez@idpc.gov.co"/>
    <s v="ME20181114"/>
    <s v="COMP1114"/>
    <s v="CONC1114"/>
    <s v="Asesorar técnicamente las solicitudes para la protección del patrimonio cultural material del Distrito Capital"/>
    <s v="Asesoría técnica para la protección y promoción del patrimonio cultural material del distrito capital"/>
    <s v="4. Obras de Intervención en Bienes muebles - inmuebles y sectores que conforman el patrimonio cultural del D.C."/>
    <s v="FONT1114"/>
    <s v="12-Otros Distrito"/>
    <s v="03-RECURSO HUMANO"/>
    <s v="04-GASTOS DE PERSONAL OPERATIVO"/>
    <s v="0316-Personal de apoyo para las actividades de valoración, protección y conservación del Patrimonio Cultural"/>
    <n v="0"/>
    <n v="43040000"/>
    <m/>
    <m/>
    <m/>
    <n v="43040000"/>
    <m/>
    <m/>
    <m/>
    <m/>
    <m/>
    <n v="43040000"/>
    <m/>
    <m/>
    <m/>
    <n v="0"/>
    <m/>
    <n v="1"/>
    <m/>
    <m/>
    <m/>
    <m/>
    <m/>
    <m/>
    <m/>
    <m/>
    <m/>
    <m/>
    <m/>
    <m/>
    <m/>
    <m/>
    <n v="0"/>
    <n v="0"/>
    <m/>
  </r>
  <r>
    <n v="292"/>
    <n v="292"/>
    <b v="0"/>
    <s v="Sí"/>
    <s v="1114. Intervención y conservación de los bienes muebles e inmuebles en sectores de interés cultural del Distrito Capital"/>
    <s v="3-3-1-15-02-17-1114-140"/>
    <s v="80111617;93141707;80101604;80111614;93151516"/>
    <s v="Prestar servicios profesionales al Instituto Distrital de Patrimonio Cultural para apoyar las actividades de soporte técnico y evaluación de las solicitudes y acciones de control urbano que se presenten sobre BIC y SIC del Distrito Capital."/>
    <s v="(Cód. 292) Prestar servicios profesionales al Instituto Distrital de Patrimonio Cultural para apoyar las actividades de soporte técnico y evaluación de las solicitudes y acciones de control urbano que se presenten sobre BIC y SIC del Distrito Capital."/>
    <d v="2019-02-01T00:00:00"/>
    <n v="10"/>
    <d v="2019-02-15T00:00:00"/>
    <x v="0"/>
    <n v="2"/>
    <n v="2"/>
    <n v="10"/>
    <n v="1"/>
    <s v="Contratación directa / Prestación de servicios profesionales y de apoyo a la gestión"/>
    <s v="CCE-16"/>
    <n v="0"/>
    <s v="N.A."/>
    <s v="Asesoría a Terceros"/>
    <n v="66060000"/>
    <n v="66060000"/>
    <n v="0"/>
    <n v="0"/>
    <s v="ASESORA JURIDICA"/>
    <s v="CO-DC-11001"/>
    <s v="Carolina Fernández Borda (Subdirección de Intervención)"/>
    <s v="3550800"/>
    <s v="carolina.fernandez@idpc.gov.co"/>
    <s v="ME20181114"/>
    <s v="COMP1114"/>
    <s v="CONC1114"/>
    <s v="Asesorar técnicamente las solicitudes para la protección del patrimonio cultural material del Distrito Capital"/>
    <s v="Asesoría técnica para la protección y promoción del patrimonio cultural material del distrito capital"/>
    <s v="4. Obras de Intervención en Bienes muebles - inmuebles y sectores que conforman el patrimonio cultural del D.C."/>
    <s v="FONT1114"/>
    <s v="12-Otros Distrito"/>
    <s v="03-RECURSO HUMANO"/>
    <s v="04-GASTOS DE PERSONAL OPERATIVO"/>
    <s v="0316-Personal de apoyo para las actividades de valoración, protección y conservación del Patrimonio Cultural"/>
    <n v="0"/>
    <n v="66060000"/>
    <m/>
    <m/>
    <m/>
    <n v="66060000"/>
    <m/>
    <m/>
    <m/>
    <m/>
    <m/>
    <n v="66060000"/>
    <m/>
    <m/>
    <m/>
    <n v="0"/>
    <m/>
    <n v="1"/>
    <m/>
    <m/>
    <m/>
    <m/>
    <m/>
    <m/>
    <m/>
    <m/>
    <m/>
    <m/>
    <m/>
    <m/>
    <m/>
    <m/>
    <n v="0"/>
    <n v="0"/>
    <m/>
  </r>
  <r>
    <n v="293"/>
    <n v="293"/>
    <b v="0"/>
    <s v="Sí"/>
    <s v="1114. Intervención y conservación de los bienes muebles e inmuebles en sectores de interés cultural del Distrito Capital"/>
    <s v="3-3-1-15-02-17-1114-140"/>
    <s v="80111617;93141707;80101604;80111614;93151516"/>
    <s v="Prestar servicios profesionales al Instituto Distrital de Patrimonio Cultural para apoyar las actividades de soporte técnico y evaluación de las solicitudes de equiparación a estrato 1 y de control urbano de intervenciones en BIC."/>
    <s v="(Cód. 293) Prestar servicios profesionales al Instituto Distrital de Patrimonio Cultural para apoyar las actividades de soporte técnico y evaluación de las solicitudes de equiparación a estrato 1 y de control urbano de intervenciones en BIC."/>
    <d v="2019-02-01T00:00:00"/>
    <n v="10"/>
    <d v="2019-02-15T00:00:00"/>
    <x v="0"/>
    <n v="2"/>
    <n v="2"/>
    <n v="8"/>
    <n v="1"/>
    <s v="Contratación directa / Prestación de servicios profesionales y de apoyo a la gestión"/>
    <s v="CCE-16"/>
    <n v="0"/>
    <s v="N.A."/>
    <s v="Asesoría a Terceros"/>
    <n v="38400000"/>
    <n v="38400000"/>
    <n v="0"/>
    <n v="0"/>
    <s v="ASESORA JURIDICA"/>
    <s v="CO-DC-11001"/>
    <s v="Carolina Fernández Borda (Subdirección de Intervención)"/>
    <s v="3550800"/>
    <s v="carolina.fernandez@idpc.gov.co"/>
    <s v="ME20181114"/>
    <s v="COMP1114"/>
    <s v="CONC1114"/>
    <s v="Asesorar técnicamente las solicitudes para la protección del patrimonio cultural material del Distrito Capital"/>
    <s v="Asesoría técnica para la protección y promoción del patrimonio cultural material del distrito capital"/>
    <s v="4. Obras de Intervención en Bienes muebles - inmuebles y sectores que conforman el patrimonio cultural del D.C."/>
    <s v="FONT1114"/>
    <s v="12-Otros Distrito"/>
    <s v="03-RECURSO HUMANO"/>
    <s v="04-GASTOS DE PERSONAL OPERATIVO"/>
    <s v="0316-Personal de apoyo para las actividades de valoración, protección y conservación del Patrimonio Cultural"/>
    <n v="0"/>
    <n v="38400000"/>
    <m/>
    <m/>
    <m/>
    <n v="38400000"/>
    <m/>
    <m/>
    <m/>
    <m/>
    <m/>
    <n v="38400000"/>
    <m/>
    <m/>
    <m/>
    <n v="0"/>
    <m/>
    <n v="1"/>
    <m/>
    <m/>
    <m/>
    <m/>
    <m/>
    <m/>
    <m/>
    <m/>
    <m/>
    <m/>
    <m/>
    <m/>
    <m/>
    <m/>
    <n v="0"/>
    <n v="0"/>
    <m/>
  </r>
  <r>
    <n v="294"/>
    <n v="294"/>
    <b v="0"/>
    <s v="Sí"/>
    <s v="1114. Intervención y conservación de los bienes muebles e inmuebles en sectores de interés cultural del Distrito Capital"/>
    <s v="3-3-1-15-02-17-1114-140"/>
    <s v="80111617;93141707;80101604;80111614;93151516"/>
    <s v="Prestar servicios profesionales al Instituto Distrital de Patrimonio Cultural para apoyar las actividades de soporte técnico y evaluación de las solicitudes de equiparación a estrato 1 y de control urbano de intervenciones en BIC."/>
    <s v="(Cód. 294) Prestar servicios profesionales al Instituto Distrital de Patrimonio Cultural para apoyar las actividades de soporte técnico y evaluación de las solicitudes de equiparación a estrato 1 y de control urbano de intervenciones en BIC."/>
    <d v="2019-02-01T00:00:00"/>
    <n v="10"/>
    <d v="2019-02-15T00:00:00"/>
    <x v="0"/>
    <n v="2"/>
    <n v="2"/>
    <n v="8"/>
    <n v="1"/>
    <s v="Contratación directa / Prestación de servicios profesionales y de apoyo a la gestión"/>
    <s v="CCE-16"/>
    <n v="0"/>
    <s v="N.A."/>
    <s v="Asesoría a Terceros"/>
    <n v="38400000"/>
    <n v="38400000"/>
    <n v="0"/>
    <n v="0"/>
    <s v="ASESORA JURIDICA"/>
    <s v="CO-DC-11001"/>
    <s v="Carolina Fernández Borda (Subdirección de Intervención)"/>
    <s v="3550800"/>
    <s v="carolina.fernandez@idpc.gov.co"/>
    <s v="ME20181114"/>
    <s v="COMP1114"/>
    <s v="CONC1114"/>
    <s v="Asesorar técnicamente las solicitudes para la protección del patrimonio cultural material del Distrito Capital"/>
    <s v="Asesoría técnica para la protección y promoción del patrimonio cultural material del distrito capital"/>
    <s v="4. Obras de Intervención en Bienes muebles - inmuebles y sectores que conforman el patrimonio cultural del D.C."/>
    <s v="FONT1114"/>
    <s v="12-Otros Distrito"/>
    <s v="03-RECURSO HUMANO"/>
    <s v="04-GASTOS DE PERSONAL OPERATIVO"/>
    <s v="0316-Personal de apoyo para las actividades de valoración, protección y conservación del Patrimonio Cultural"/>
    <n v="0"/>
    <n v="38400000"/>
    <m/>
    <m/>
    <m/>
    <n v="38400000"/>
    <m/>
    <m/>
    <m/>
    <m/>
    <m/>
    <n v="38400000"/>
    <m/>
    <m/>
    <m/>
    <n v="0"/>
    <m/>
    <n v="1"/>
    <m/>
    <m/>
    <m/>
    <m/>
    <m/>
    <m/>
    <m/>
    <m/>
    <m/>
    <m/>
    <m/>
    <m/>
    <m/>
    <m/>
    <n v="0"/>
    <n v="0"/>
    <m/>
  </r>
  <r>
    <n v="295"/>
    <n v="295"/>
    <b v="0"/>
    <s v="Sí"/>
    <s v="1114. Intervención y conservación de los bienes muebles e inmuebles en sectores de interés cultural del Distrito Capital"/>
    <s v="3-3-1-15-02-17-1114-140"/>
    <s v="80111617;93141707;80101604;80111614;93151516"/>
    <s v="Prestar servicios profesionales al Instituto Distrital de Patrimonio Cultural para apoyar las actividades de soporte técnico y evaluación de las solicitudes de equiparación a estrato 1 y de control urbano de intervenciones en BIC."/>
    <s v="(Cód. 295) Prestar servicios profesionales al Instituto Distrital de Patrimonio Cultural para apoyar las actividades de soporte técnico y evaluación de las solicitudes de equiparación a estrato 1 y de control urbano de intervenciones en BIC."/>
    <d v="2019-02-01T00:00:00"/>
    <n v="10"/>
    <d v="2019-02-15T00:00:00"/>
    <x v="0"/>
    <n v="2"/>
    <n v="2"/>
    <n v="8"/>
    <n v="1"/>
    <s v="Contratación directa / Prestación de servicios profesionales y de apoyo a la gestión"/>
    <s v="CCE-16"/>
    <n v="0"/>
    <s v="N.A."/>
    <s v="Asesoría a Terceros"/>
    <n v="38400000"/>
    <n v="38400000"/>
    <n v="0"/>
    <n v="0"/>
    <s v="ASESORA JURIDICA"/>
    <s v="CO-DC-11001"/>
    <s v="Carolina Fernández Borda (Subdirección de Intervención)"/>
    <s v="3550800"/>
    <s v="carolina.fernandez@idpc.gov.co"/>
    <s v="ME20181114"/>
    <s v="COMP1114"/>
    <s v="CONC1114"/>
    <s v="Asesorar técnicamente las solicitudes para la protección del patrimonio cultural material del Distrito Capital"/>
    <s v="Asesoría técnica para la protección y promoción del patrimonio cultural material del distrito capital"/>
    <s v="4. Obras de Intervención en Bienes muebles - inmuebles y sectores que conforman el patrimonio cultural del D.C."/>
    <s v="FONT1114"/>
    <s v="12-Otros Distrito"/>
    <s v="03-RECURSO HUMANO"/>
    <s v="04-GASTOS DE PERSONAL OPERATIVO"/>
    <s v="0316-Personal de apoyo para las actividades de valoración, protección y conservación del Patrimonio Cultural"/>
    <n v="0"/>
    <n v="38400000"/>
    <m/>
    <m/>
    <m/>
    <n v="38400000"/>
    <m/>
    <m/>
    <m/>
    <m/>
    <m/>
    <n v="38400000"/>
    <m/>
    <m/>
    <m/>
    <n v="0"/>
    <m/>
    <n v="1"/>
    <m/>
    <m/>
    <m/>
    <m/>
    <m/>
    <m/>
    <m/>
    <m/>
    <m/>
    <m/>
    <m/>
    <m/>
    <m/>
    <m/>
    <n v="0"/>
    <n v="0"/>
    <m/>
  </r>
  <r>
    <n v="296"/>
    <n v="296"/>
    <b v="0"/>
    <s v="Sí"/>
    <s v="1114. Intervención y conservación de los bienes muebles e inmuebles en sectores de interés cultural del Distrito Capital"/>
    <s v="3-3-1-15-02-17-1114-140"/>
    <s v="80111617;93141707;80101604;80111614;93151516"/>
    <s v="Prestar servicios profesionales al Instituto Distrital de Patrimonio Cultural para apoyar las actividades de soporte técnico y evaluación de las solicitudes de equiparación a estrato 1 y de control urbano de intervenciones en BIC."/>
    <s v="(Cód. 296) Prestar servicios profesionales al Instituto Distrital de Patrimonio Cultural para apoyar las actividades de soporte técnico y evaluación de las solicitudes de equiparación a estrato 1 y de control urbano de intervenciones en BIC."/>
    <d v="2019-02-01T00:00:00"/>
    <n v="10"/>
    <d v="2019-02-15T00:00:00"/>
    <x v="0"/>
    <n v="2"/>
    <n v="2"/>
    <n v="8"/>
    <n v="1"/>
    <s v="Contratación directa / Prestación de servicios profesionales y de apoyo a la gestión"/>
    <s v="CCE-16"/>
    <n v="0"/>
    <s v="N.A."/>
    <s v="Asesoría a Terceros"/>
    <n v="38400000"/>
    <n v="38400000"/>
    <n v="0"/>
    <n v="0"/>
    <s v="ASESORA JURIDICA"/>
    <s v="CO-DC-11001"/>
    <s v="Carolina Fernández Borda (Subdirección de Intervención)"/>
    <s v="3550800"/>
    <s v="carolina.fernandez@idpc.gov.co"/>
    <s v="ME20181114"/>
    <s v="COMP1114"/>
    <s v="CONC1114"/>
    <s v="Asesorar técnicamente las solicitudes para la protección del patrimonio cultural material del Distrito Capital"/>
    <s v="Asesoría técnica para la protección y promoción del patrimonio cultural material del distrito capital"/>
    <s v="4. Obras de Intervención en Bienes muebles - inmuebles y sectores que conforman el patrimonio cultural del D.C."/>
    <s v="FONT1114"/>
    <s v="12-Otros Distrito"/>
    <s v="03-RECURSO HUMANO"/>
    <s v="04-GASTOS DE PERSONAL OPERATIVO"/>
    <s v="0316-Personal de apoyo para las actividades de valoración, protección y conservación del Patrimonio Cultural"/>
    <n v="0"/>
    <n v="38400000"/>
    <m/>
    <m/>
    <m/>
    <n v="38400000"/>
    <m/>
    <m/>
    <m/>
    <m/>
    <m/>
    <n v="38400000"/>
    <m/>
    <m/>
    <m/>
    <n v="0"/>
    <m/>
    <n v="1"/>
    <m/>
    <m/>
    <m/>
    <m/>
    <m/>
    <m/>
    <m/>
    <m/>
    <m/>
    <m/>
    <m/>
    <m/>
    <m/>
    <m/>
    <n v="0"/>
    <n v="0"/>
    <m/>
  </r>
  <r>
    <n v="297"/>
    <n v="297"/>
    <b v="0"/>
    <s v="Sí"/>
    <s v="1114. Intervención y conservación de los bienes muebles e inmuebles en sectores de interés cultural del Distrito Capital"/>
    <s v="3-3-1-15-02-17-1114-140"/>
    <s v="80111617;93141707;80101604;80111614;93151516"/>
    <s v="Prestar servicios profesionales al Instituto Distrital de Patrimonio Cultural para apoyar las actividades de soporte técnico y evaluación de las solicitudes de equiparación a estrato 1 y de control urbano de intervenciones en BIC."/>
    <s v="(Cód. 297) Prestar servicios profesionales al Instituto Distrital de Patrimonio Cultural para apoyar las actividades de soporte técnico y evaluación de las solicitudes de equiparación a estrato 1 y de control urbano de intervenciones en BIC."/>
    <d v="2019-02-01T00:00:00"/>
    <n v="10"/>
    <d v="2019-02-15T00:00:00"/>
    <x v="0"/>
    <n v="2"/>
    <n v="2"/>
    <n v="8"/>
    <n v="1"/>
    <s v="Contratación directa / Prestación de servicios profesionales y de apoyo a la gestión"/>
    <s v="CCE-16"/>
    <n v="0"/>
    <s v="N.A."/>
    <s v="Asesoría a Terceros"/>
    <n v="38400000"/>
    <n v="38400000"/>
    <n v="0"/>
    <n v="0"/>
    <s v="ASESORA JURIDICA"/>
    <s v="CO-DC-11001"/>
    <s v="Carolina Fernández Borda (Subdirección de Intervención)"/>
    <s v="3550800"/>
    <s v="carolina.fernandez@idpc.gov.co"/>
    <s v="ME20181114"/>
    <s v="COMP1114"/>
    <s v="CONC1114"/>
    <s v="Asesorar técnicamente las solicitudes para la protección del patrimonio cultural material del Distrito Capital"/>
    <s v="Asesoría técnica para la protección y promoción del patrimonio cultural material del distrito capital"/>
    <s v="4. Obras de Intervención en Bienes muebles - inmuebles y sectores que conforman el patrimonio cultural del D.C."/>
    <s v="FONT1114"/>
    <s v="12-Otros Distrito"/>
    <s v="03-RECURSO HUMANO"/>
    <s v="04-GASTOS DE PERSONAL OPERATIVO"/>
    <s v="0316-Personal de apoyo para las actividades de valoración, protección y conservación del Patrimonio Cultural"/>
    <n v="0"/>
    <n v="38400000"/>
    <m/>
    <m/>
    <m/>
    <n v="38400000"/>
    <m/>
    <m/>
    <m/>
    <m/>
    <m/>
    <n v="38400000"/>
    <m/>
    <m/>
    <m/>
    <n v="0"/>
    <m/>
    <n v="1"/>
    <m/>
    <m/>
    <m/>
    <m/>
    <m/>
    <m/>
    <m/>
    <m/>
    <m/>
    <m/>
    <m/>
    <m/>
    <m/>
    <m/>
    <n v="0"/>
    <n v="0"/>
    <m/>
  </r>
  <r>
    <n v="298"/>
    <n v="298"/>
    <b v="0"/>
    <s v="Sí"/>
    <s v="1114. Intervención y conservación de los bienes muebles e inmuebles en sectores de interés cultural del Distrito Capital"/>
    <s v="3-3-1-15-02-17-1114-140"/>
    <s v="80111617;93141707;80101604;80111614;93151516"/>
    <s v="Prestar servicios profesionales al Instituto Distrital de Patrimonio Cultural en el acompañamiento técnico y verificación de los proyectos de manejo y protección del patrimonio cultural, y solicitudes de inclusiones, exclusiones y cambios de categoria de BIC del Distrito Capital."/>
    <s v="(Cód. 298) Prestar servicios profesionales al Instituto Distrital de Patrimonio Cultural en el acompañamiento técnico y verificación de los proyectos de manejo y protección del patrimonio cultural, y solicitudes de inclusiones, exclusiones y cambios de categoria de BIC del Distrito Capital."/>
    <d v="2019-02-01T00:00:00"/>
    <n v="10"/>
    <d v="2019-02-15T00:00:00"/>
    <x v="0"/>
    <n v="2"/>
    <n v="2"/>
    <n v="10"/>
    <n v="1"/>
    <s v="Contratación directa / Prestación de servicios profesionales y de apoyo a la gestión"/>
    <s v="CCE-16"/>
    <n v="0"/>
    <s v="N.A."/>
    <s v="Asesoría a Terceros"/>
    <n v="66000000"/>
    <n v="66000000"/>
    <n v="0"/>
    <n v="0"/>
    <s v="ASESORA JURIDICA"/>
    <s v="CO-DC-11001"/>
    <s v="Carolina Fernández Borda (Subdirección de Intervención)"/>
    <s v="3550800"/>
    <s v="carolina.fernandez@idpc.gov.co"/>
    <s v="ME20181114"/>
    <s v="COMP1114"/>
    <s v="CONC1114"/>
    <s v="Asesorar técnicamente las solicitudes para la protección del patrimonio cultural material del Distrito Capital"/>
    <s v="Asesoría técnica para la protección y promoción del patrimonio cultural material del distrito capital"/>
    <s v="4. Obras de Intervención en Bienes muebles - inmuebles y sectores que conforman el patrimonio cultural del D.C."/>
    <s v="FONT1114"/>
    <s v="12-Otros Distrito"/>
    <s v="03-RECURSO HUMANO"/>
    <s v="04-GASTOS DE PERSONAL OPERATIVO"/>
    <s v="0316-Personal de apoyo para las actividades de valoración, protección y conservación del Patrimonio Cultural"/>
    <n v="0"/>
    <n v="66000000"/>
    <m/>
    <m/>
    <m/>
    <n v="66000000"/>
    <m/>
    <m/>
    <m/>
    <m/>
    <m/>
    <n v="66000000"/>
    <m/>
    <m/>
    <m/>
    <n v="0"/>
    <m/>
    <n v="1"/>
    <m/>
    <m/>
    <m/>
    <m/>
    <m/>
    <m/>
    <m/>
    <m/>
    <m/>
    <m/>
    <m/>
    <m/>
    <m/>
    <m/>
    <n v="0"/>
    <n v="0"/>
    <m/>
  </r>
  <r>
    <n v="299"/>
    <n v="299"/>
    <b v="0"/>
    <s v="Sí"/>
    <s v="1114. Intervención y conservación de los bienes muebles e inmuebles en sectores de interés cultural del Distrito Capital"/>
    <s v="3-3-1-15-02-17-1114-140"/>
    <s v="80111617;93141707;80101604;80111614;93151516"/>
    <s v="Prestar servicios profesionales al Instituto Distrital de Patrimonio Cultural, apoyando los tramites de evaluación de los proyectos de manejo y protección del patrimonio cultural, y solicitudes de intervención sobre Bienes y Sectores de Interés Cultural."/>
    <s v="(Cód. 299) Prestar servicios profesionales al Instituto Distrital de Patrimonio Cultural, apoyando los tramites de evaluación de los proyectos de manejo y protección del patrimonio cultural, y solicitudes de intervención sobre Bienes y Sectores de Interés Cultural."/>
    <d v="2019-02-01T00:00:00"/>
    <n v="10"/>
    <d v="2019-02-15T00:00:00"/>
    <x v="0"/>
    <n v="2"/>
    <n v="2"/>
    <n v="8"/>
    <n v="1"/>
    <s v="Contratación directa / Prestación de servicios profesionales y de apoyo a la gestión"/>
    <s v="CCE-16"/>
    <n v="0"/>
    <s v="N.A."/>
    <s v="Asesoría a Terceros"/>
    <n v="38400000"/>
    <n v="38400000"/>
    <n v="0"/>
    <n v="0"/>
    <s v="ASESORA JURIDICA"/>
    <s v="CO-DC-11001"/>
    <s v="Carolina Fernández Borda (Subdirección de Intervención)"/>
    <s v="3550800"/>
    <s v="carolina.fernandez@idpc.gov.co"/>
    <s v="ME20181114"/>
    <s v="COMP1114"/>
    <s v="CONC1114"/>
    <s v="Asesorar técnicamente las solicitudes para la protección del patrimonio cultural material del Distrito Capital"/>
    <s v="Asesoría técnica para la protección y promoción del patrimonio cultural material del distrito capital"/>
    <s v="4. Obras de Intervención en Bienes muebles - inmuebles y sectores que conforman el patrimonio cultural del D.C."/>
    <s v="FONT1114"/>
    <s v="12-Otros Distrito"/>
    <s v="03-RECURSO HUMANO"/>
    <s v="04-GASTOS DE PERSONAL OPERATIVO"/>
    <s v="0316-Personal de apoyo para las actividades de valoración, protección y conservación del Patrimonio Cultural"/>
    <n v="0"/>
    <n v="38400000"/>
    <m/>
    <m/>
    <m/>
    <n v="38400000"/>
    <m/>
    <m/>
    <m/>
    <m/>
    <m/>
    <n v="38400000"/>
    <m/>
    <m/>
    <m/>
    <n v="0"/>
    <m/>
    <n v="1"/>
    <m/>
    <m/>
    <m/>
    <m/>
    <m/>
    <m/>
    <m/>
    <m/>
    <m/>
    <m/>
    <m/>
    <m/>
    <m/>
    <m/>
    <n v="0"/>
    <n v="0"/>
    <m/>
  </r>
  <r>
    <n v="300"/>
    <n v="300"/>
    <b v="0"/>
    <s v="Sí"/>
    <s v="1114. Intervención y conservación de los bienes muebles e inmuebles en sectores de interés cultural del Distrito Capital"/>
    <s v="3-3-1-15-02-17-1114-140"/>
    <s v="80111617;93141707;80101604;80111614;93151516"/>
    <s v="Prestar servicios profesionales al Instituto Distrital de Patrimonio Cultural, apoyando los tramites de evaluación de los proyectos de manejo y protección del patrimonio cultural, y solicitudes de intervención sobre Bienes y Sectores de Interés Cultural."/>
    <s v="(Cód. 300) Prestar servicios profesionales al Instituto Distrital de Patrimonio Cultural, apoyando los tramites de evaluación de los proyectos de manejo y protección del patrimonio cultural, y solicitudes de intervención sobre Bienes y Sectores de Interés Cultural."/>
    <d v="2019-02-01T00:00:00"/>
    <n v="10"/>
    <d v="2019-02-15T00:00:00"/>
    <x v="0"/>
    <n v="2"/>
    <n v="2"/>
    <n v="8"/>
    <n v="1"/>
    <s v="Contratación directa / Prestación de servicios profesionales y de apoyo a la gestión"/>
    <s v="CCE-16"/>
    <n v="0"/>
    <s v="N.A."/>
    <s v="Asesoría a Terceros"/>
    <n v="38400000"/>
    <n v="38400000"/>
    <n v="0"/>
    <n v="0"/>
    <s v="ASESORA JURIDICA"/>
    <s v="CO-DC-11001"/>
    <s v="Carolina Fernández Borda (Subdirección de Intervención)"/>
    <s v="3550800"/>
    <s v="carolina.fernandez@idpc.gov.co"/>
    <s v="ME20181114"/>
    <s v="COMP1114"/>
    <s v="CONC1114"/>
    <s v="Asesorar técnicamente las solicitudes para la protección del patrimonio cultural material del Distrito Capital"/>
    <s v="Asesoría técnica para la protección y promoción del patrimonio cultural material del distrito capital"/>
    <s v="4. Obras de Intervención en Bienes muebles - inmuebles y sectores que conforman el patrimonio cultural del D.C."/>
    <s v="FONT1114"/>
    <s v="12-Otros Distrito"/>
    <s v="03-RECURSO HUMANO"/>
    <s v="04-GASTOS DE PERSONAL OPERATIVO"/>
    <s v="0316-Personal de apoyo para las actividades de valoración, protección y conservación del Patrimonio Cultural"/>
    <n v="0"/>
    <n v="38400000"/>
    <m/>
    <m/>
    <m/>
    <n v="38400000"/>
    <m/>
    <m/>
    <m/>
    <m/>
    <m/>
    <n v="38400000"/>
    <m/>
    <m/>
    <m/>
    <n v="0"/>
    <m/>
    <n v="1"/>
    <m/>
    <m/>
    <m/>
    <m/>
    <m/>
    <m/>
    <m/>
    <m/>
    <m/>
    <m/>
    <m/>
    <m/>
    <m/>
    <m/>
    <n v="0"/>
    <n v="0"/>
    <m/>
  </r>
  <r>
    <n v="301"/>
    <n v="301"/>
    <b v="0"/>
    <s v="Sí"/>
    <s v="1114. Intervención y conservación de los bienes muebles e inmuebles en sectores de interés cultural del Distrito Capital"/>
    <s v="3-3-1-15-02-17-1114-140"/>
    <s v="80111617;93141707;80101604;80111614;93151516"/>
    <s v="Prestar servicios profesionales al Instituto Distrital de Patrimonio Cultural, apoyando los tramites de evaluación de los proyectos de manejo y protección del patrimonio cultural, y solicitudes de intervención sobre Bienes y Sectores de Interés Cultural."/>
    <s v="(Cód. 301) Prestar servicios profesionales al Instituto Distrital de Patrimonio Cultural, apoyando los tramites de evaluación de los proyectos de manejo y protección del patrimonio cultural, y solicitudes de intervención sobre Bienes y Sectores de Interés Cultural."/>
    <d v="2019-02-01T00:00:00"/>
    <n v="10"/>
    <d v="2019-02-15T00:00:00"/>
    <x v="0"/>
    <n v="2"/>
    <n v="2"/>
    <n v="8"/>
    <n v="1"/>
    <s v="Contratación directa / Prestación de servicios profesionales y de apoyo a la gestión"/>
    <s v="CCE-16"/>
    <n v="0"/>
    <s v="N.A."/>
    <s v="Asesoría a Terceros"/>
    <n v="38400000"/>
    <n v="38400000"/>
    <n v="0"/>
    <n v="0"/>
    <s v="ASESORA JURIDICA"/>
    <s v="CO-DC-11001"/>
    <s v="Carolina Fernández Borda (Subdirección de Intervención)"/>
    <s v="3550800"/>
    <s v="carolina.fernandez@idpc.gov.co"/>
    <s v="ME20181114"/>
    <s v="COMP1114"/>
    <s v="CONC1114"/>
    <s v="Asesorar técnicamente las solicitudes para la protección del patrimonio cultural material del Distrito Capital"/>
    <s v="Asesoría técnica para la protección y promoción del patrimonio cultural material del distrito capital"/>
    <s v="4. Obras de Intervención en Bienes muebles - inmuebles y sectores que conforman el patrimonio cultural del D.C."/>
    <s v="FONT1114"/>
    <s v="12-Otros Distrito"/>
    <s v="03-RECURSO HUMANO"/>
    <s v="04-GASTOS DE PERSONAL OPERATIVO"/>
    <s v="0316-Personal de apoyo para las actividades de valoración, protección y conservación del Patrimonio Cultural"/>
    <n v="0"/>
    <n v="38400000"/>
    <m/>
    <m/>
    <m/>
    <n v="38400000"/>
    <m/>
    <m/>
    <m/>
    <m/>
    <m/>
    <n v="38400000"/>
    <m/>
    <m/>
    <m/>
    <n v="0"/>
    <m/>
    <n v="1"/>
    <m/>
    <m/>
    <m/>
    <m/>
    <m/>
    <m/>
    <m/>
    <m/>
    <m/>
    <m/>
    <m/>
    <m/>
    <m/>
    <m/>
    <n v="0"/>
    <n v="0"/>
    <m/>
  </r>
  <r>
    <n v="302"/>
    <n v="302"/>
    <b v="0"/>
    <s v="Sí"/>
    <s v="1114. Intervención y conservación de los bienes muebles e inmuebles en sectores de interés cultural del Distrito Capital"/>
    <s v="3-3-1-15-02-17-1114-140"/>
    <s v="80111617;93141707;80101604;80111614;93151516"/>
    <s v="Prestar servicios profesionales al Instituto Distrital de Patrimonio Cultural para orientar, dar lineamientos y desarrollar acciones relacionadas con el sistema de espacio publico de Bogota DC."/>
    <s v="(Cód. 302) Prestar servicios profesionales al Instituto Distrital de Patrimonio Cultural para orientar, dar lineamientos y desarrollar acciones relacionadas con el sistema de espacio publico de Bogota DC."/>
    <d v="2019-02-01T00:00:00"/>
    <n v="10"/>
    <d v="2019-02-15T00:00:00"/>
    <x v="0"/>
    <n v="2"/>
    <n v="2"/>
    <n v="10"/>
    <n v="1"/>
    <s v="Contratación directa / Prestación de servicios profesionales y de apoyo a la gestión"/>
    <s v="CCE-16"/>
    <n v="0"/>
    <s v="N.A."/>
    <s v="Asesoría a Terceros"/>
    <n v="60000000"/>
    <n v="60000000"/>
    <n v="0"/>
    <n v="0"/>
    <s v="ASESORA JURIDICA"/>
    <s v="CO-DC-11001"/>
    <s v="Carolina Fernández Borda (Subdirección de Intervención)"/>
    <s v="3550800"/>
    <s v="carolina.fernandez@idpc.gov.co"/>
    <s v="ME20181114"/>
    <s v="COMP1114"/>
    <s v="CONC1114"/>
    <s v="Asesorar técnicamente las solicitudes para la protección del patrimonio cultural material del Distrito Capital"/>
    <s v="Asesoría técnica para la protección y promoción del patrimonio cultural material del distrito capital"/>
    <s v="4. Obras de Intervención en Bienes muebles - inmuebles y sectores que conforman el patrimonio cultural del D.C."/>
    <s v="FONT1114"/>
    <s v="12-Otros Distrito"/>
    <s v="03-RECURSO HUMANO"/>
    <s v="04-GASTOS DE PERSONAL OPERATIVO"/>
    <s v="0316-Personal de apoyo para las actividades de valoración, protección y conservación del Patrimonio Cultural"/>
    <n v="0"/>
    <n v="60000000"/>
    <m/>
    <m/>
    <m/>
    <n v="60000000"/>
    <m/>
    <m/>
    <m/>
    <m/>
    <m/>
    <n v="60000000"/>
    <m/>
    <m/>
    <m/>
    <n v="0"/>
    <m/>
    <n v="1"/>
    <m/>
    <m/>
    <m/>
    <m/>
    <m/>
    <m/>
    <m/>
    <m/>
    <m/>
    <m/>
    <m/>
    <m/>
    <m/>
    <m/>
    <n v="0"/>
    <n v="0"/>
    <m/>
  </r>
  <r>
    <n v="303"/>
    <n v="303"/>
    <b v="0"/>
    <s v="Sí"/>
    <s v="1114. Intervención y conservación de los bienes muebles e inmuebles en sectores de interés cultural del Distrito Capital"/>
    <s v="3-3-1-15-02-17-1114-140"/>
    <s v="80111617;93141707;80101604;80111614;93151516"/>
    <s v="Prestar servicios profesionales al Instituto Distrital de Patrimonio Cultural para apoyar las actividades tecnicas relacionadas con el sistema de  espacio público de Bogota DC."/>
    <s v="(Cód. 303) Prestar servicios profesionales al Instituto Distrital de Patrimonio Cultural para apoyar las actividades tecnicas relacionadas con el sistema de  espacio público de Bogota DC."/>
    <d v="2019-02-01T00:00:00"/>
    <n v="10"/>
    <d v="2019-02-15T00:00:00"/>
    <x v="0"/>
    <n v="2"/>
    <n v="2"/>
    <n v="8"/>
    <n v="1"/>
    <s v="Contratación directa / Prestación de servicios profesionales y de apoyo a la gestión"/>
    <s v="CCE-16"/>
    <n v="0"/>
    <s v="N.A."/>
    <s v="Asesoría a Terceros"/>
    <n v="41600000"/>
    <n v="41600000"/>
    <n v="0"/>
    <n v="0"/>
    <s v="ASESORA JURIDICA"/>
    <s v="CO-DC-11001"/>
    <s v="Carolina Fernández Borda (Subdirección de Intervención)"/>
    <s v="3550800"/>
    <s v="carolina.fernandez@idpc.gov.co"/>
    <s v="ME20181114"/>
    <s v="COMP1114"/>
    <s v="CONC1114"/>
    <s v="Asesorar técnicamente las solicitudes para la protección del patrimonio cultural material del Distrito Capital"/>
    <s v="Asesoría técnica para la protección y promoción del patrimonio cultural material del distrito capital"/>
    <s v="4. Obras de Intervención en Bienes muebles - inmuebles y sectores que conforman el patrimonio cultural del D.C."/>
    <s v="FONT1114"/>
    <s v="12-Otros Distrito"/>
    <s v="03-RECURSO HUMANO"/>
    <s v="04-GASTOS DE PERSONAL OPERATIVO"/>
    <s v="0316-Personal de apoyo para las actividades de valoración, protección y conservación del Patrimonio Cultural"/>
    <n v="0"/>
    <n v="41600000"/>
    <m/>
    <m/>
    <m/>
    <n v="41600000"/>
    <m/>
    <m/>
    <m/>
    <m/>
    <m/>
    <n v="41600000"/>
    <m/>
    <m/>
    <m/>
    <n v="0"/>
    <m/>
    <n v="1"/>
    <m/>
    <m/>
    <m/>
    <m/>
    <m/>
    <m/>
    <m/>
    <m/>
    <m/>
    <m/>
    <m/>
    <m/>
    <m/>
    <m/>
    <n v="0"/>
    <n v="0"/>
    <m/>
  </r>
  <r>
    <n v="304"/>
    <n v="304"/>
    <b v="0"/>
    <s v="Sí"/>
    <s v="1114. Intervención y conservación de los bienes muebles e inmuebles en sectores de interés cultural del Distrito Capital"/>
    <s v="3-3-1-15-02-17-1114-140"/>
    <s v="80111617;93141707;80101604;80111614;93151516"/>
    <s v="Prestar servicios profesionales al Instituto Distrital de Patrimonio Cultural para apoyar las actividades tecnicas relacionadas con el sistema de  espacio público de Sectores de Interés Cultural."/>
    <s v="(Cód. 304) Prestar servicios profesionales al Instituto Distrital de Patrimonio Cultural para apoyar las actividades tecnicas relacionadas con el sistema de  espacio público de Sectores de Interés Cultural."/>
    <d v="2019-02-01T00:00:00"/>
    <n v="10"/>
    <d v="2019-02-15T00:00:00"/>
    <x v="0"/>
    <n v="2"/>
    <n v="2"/>
    <n v="8"/>
    <n v="1"/>
    <s v="Contratación directa / Prestación de servicios profesionales y de apoyo a la gestión"/>
    <s v="CCE-16"/>
    <n v="0"/>
    <s v="N.A."/>
    <s v="Asesoría a Terceros"/>
    <n v="41600000"/>
    <n v="41600000"/>
    <n v="0"/>
    <n v="0"/>
    <s v="ASESORA JURIDICA"/>
    <s v="CO-DC-11001"/>
    <s v="Carolina Fernández Borda (Subdirección de Intervención)"/>
    <s v="3550800"/>
    <s v="carolina.fernandez@idpc.gov.co"/>
    <s v="ME20181114"/>
    <s v="COMP1114"/>
    <s v="CONC1114"/>
    <s v="Asesorar técnicamente las solicitudes para la protección del patrimonio cultural material del Distrito Capital"/>
    <s v="Asesoría técnica para la protección y promoción del patrimonio cultural material del distrito capital"/>
    <s v="4. Obras de Intervención en Bienes muebles - inmuebles y sectores que conforman el patrimonio cultural del D.C."/>
    <s v="FONT1114"/>
    <s v="12-Otros Distrito"/>
    <s v="03-RECURSO HUMANO"/>
    <s v="04-GASTOS DE PERSONAL OPERATIVO"/>
    <s v="0316-Personal de apoyo para las actividades de valoración, protección y conservación del Patrimonio Cultural"/>
    <n v="0"/>
    <n v="41600000"/>
    <m/>
    <m/>
    <m/>
    <n v="41600000"/>
    <m/>
    <m/>
    <m/>
    <m/>
    <m/>
    <n v="41600000"/>
    <m/>
    <m/>
    <m/>
    <n v="0"/>
    <m/>
    <n v="1"/>
    <m/>
    <m/>
    <m/>
    <m/>
    <m/>
    <m/>
    <m/>
    <m/>
    <m/>
    <m/>
    <m/>
    <m/>
    <m/>
    <m/>
    <n v="0"/>
    <n v="0"/>
    <m/>
  </r>
  <r>
    <n v="305"/>
    <n v="305"/>
    <b v="0"/>
    <s v="Sí"/>
    <s v="1114. Intervención y conservación de los bienes muebles e inmuebles en sectores de interés cultural del Distrito Capital"/>
    <s v="3-3-1-15-02-17-1114-140"/>
    <s v="80111617;93141707;80101604;80111614;93151516"/>
    <s v="Prestar servicios profesionales al Instituto Distrital de Patrimonio Cultural para apoyar las actividades tecnicas relacionadas con el sistema de  espacio público de Sectores de Interés Cultural."/>
    <s v="(Cód. 305) Prestar servicios profesionales al Instituto Distrital de Patrimonio Cultural para apoyar las actividades tecnicas relacionadas con el sistema de  espacio público de Sectores de Interés Cultural."/>
    <d v="2019-02-01T00:00:00"/>
    <n v="10"/>
    <d v="2019-02-15T00:00:00"/>
    <x v="0"/>
    <n v="2"/>
    <n v="2"/>
    <n v="8"/>
    <n v="1"/>
    <s v="Contratación directa / Prestación de servicios profesionales y de apoyo a la gestión"/>
    <s v="CCE-16"/>
    <n v="0"/>
    <s v="N.A."/>
    <s v="Asesoría a Terceros"/>
    <n v="41600000"/>
    <n v="41600000"/>
    <n v="0"/>
    <n v="0"/>
    <s v="ASESORA JURIDICA"/>
    <s v="CO-DC-11001"/>
    <s v="Carolina Fernández Borda (Subdirección de Intervención)"/>
    <s v="3550800"/>
    <s v="carolina.fernandez@idpc.gov.co"/>
    <s v="ME20181114"/>
    <s v="COMP1114"/>
    <s v="CONC1114"/>
    <s v="Asesorar técnicamente las solicitudes para la protección del patrimonio cultural material del Distrito Capital"/>
    <s v="Asesoría técnica para la protección y promoción del patrimonio cultural material del distrito capital"/>
    <s v="4. Obras de Intervención en Bienes muebles - inmuebles y sectores que conforman el patrimonio cultural del D.C."/>
    <s v="FONT1114"/>
    <s v="12-Otros Distrito"/>
    <s v="03-RECURSO HUMANO"/>
    <s v="04-GASTOS DE PERSONAL OPERATIVO"/>
    <s v="0316-Personal de apoyo para las actividades de valoración, protección y conservación del Patrimonio Cultural"/>
    <n v="0"/>
    <n v="41600000"/>
    <m/>
    <m/>
    <m/>
    <n v="41600000"/>
    <m/>
    <m/>
    <m/>
    <m/>
    <m/>
    <n v="41600000"/>
    <m/>
    <m/>
    <m/>
    <n v="0"/>
    <m/>
    <n v="1"/>
    <m/>
    <m/>
    <m/>
    <m/>
    <m/>
    <m/>
    <m/>
    <m/>
    <m/>
    <m/>
    <m/>
    <m/>
    <m/>
    <m/>
    <n v="0"/>
    <n v="0"/>
    <m/>
  </r>
  <r>
    <n v="306"/>
    <n v="306"/>
    <b v="0"/>
    <s v="Sí"/>
    <s v="1114. Intervención y conservación de los bienes muebles e inmuebles en sectores de interés cultural del Distrito Capital"/>
    <s v="3-3-1-15-02-17-1114-140"/>
    <s v="80111617;93141707;80101604;80111614;93151516"/>
    <s v="Prestar servicios profesionales al Instituto Distrital de Patrimonio Cultural para desarrollar actividades de formulacion, gestion, segumiento y evaluacion  relacionadas con los instrumentos de planeación y normativos de la ciudad de Bogotá. "/>
    <s v="(Cód. 306) Prestar servicios profesionales al Instituto Distrital de Patrimonio Cultural para desarrollar actividades de formulacion, gestion, segumiento y evaluacion  relacionadas con los instrumentos de planeación y normativos de la ciudad de Bogotá. "/>
    <d v="2019-02-01T00:00:00"/>
    <n v="10"/>
    <d v="2019-02-15T00:00:00"/>
    <x v="0"/>
    <n v="2"/>
    <n v="2"/>
    <n v="10"/>
    <n v="1"/>
    <s v="Contratación directa / Prestación de servicios profesionales y de apoyo a la gestión"/>
    <s v="CCE-16"/>
    <n v="0"/>
    <s v="N.A."/>
    <s v="Asesoría a Terceros"/>
    <n v="57000000"/>
    <n v="57000000"/>
    <n v="0"/>
    <n v="0"/>
    <s v="ASESORA JURIDICA"/>
    <s v="CO-DC-11001"/>
    <s v="Carolina Fernández Borda (Subdirección de Intervención)"/>
    <s v="3550800"/>
    <s v="carolina.fernandez@idpc.gov.co"/>
    <s v="ME20181114"/>
    <s v="COMP1114"/>
    <s v="CONC1114"/>
    <s v="Asesorar técnicamente las solicitudes para la protección del patrimonio cultural material del Distrito Capital"/>
    <s v="Asesoría técnica para la protección y promoción del patrimonio cultural material del distrito capital"/>
    <s v="4. Obras de Intervención en Bienes muebles - inmuebles y sectores que conforman el patrimonio cultural del D.C."/>
    <s v="FONT1114"/>
    <s v="12-Otros Distrito"/>
    <s v="03-RECURSO HUMANO"/>
    <s v="04-GASTOS DE PERSONAL OPERATIVO"/>
    <s v="0316-Personal de apoyo para las actividades de valoración, protección y conservación del Patrimonio Cultural"/>
    <n v="0"/>
    <n v="57000000"/>
    <m/>
    <m/>
    <m/>
    <n v="57000000"/>
    <m/>
    <m/>
    <m/>
    <m/>
    <m/>
    <n v="57000000"/>
    <m/>
    <m/>
    <m/>
    <n v="0"/>
    <m/>
    <n v="1"/>
    <m/>
    <m/>
    <m/>
    <m/>
    <m/>
    <m/>
    <m/>
    <m/>
    <m/>
    <m/>
    <m/>
    <m/>
    <m/>
    <m/>
    <n v="0"/>
    <n v="0"/>
    <m/>
  </r>
  <r>
    <n v="307"/>
    <n v="307"/>
    <b v="0"/>
    <s v="Sí"/>
    <s v="1114. Intervención y conservación de los bienes muebles e inmuebles en sectores de interés cultural del Distrito Capital"/>
    <s v="3-3-1-15-02-17-1114-140"/>
    <s v="80111617;93141707;80101604;80111614;93151516"/>
    <s v="Prestar servicios profesionales especializados al Instituto Distrital de Patrimonio Cultural, como apoyo jurídico a la evaluación de las solicitudes de intervención sobre Bienes y Sectores de Interés Cultural."/>
    <s v="(Cód. 307) Prestar servicios profesionales especializados al Instituto Distrital de Patrimonio Cultural, como apoyo jurídico a la evaluación de las solicitudes de intervención sobre Bienes y Sectores de Interés Cultural."/>
    <d v="2019-02-01T00:00:00"/>
    <n v="10"/>
    <d v="2019-02-15T00:00:00"/>
    <x v="0"/>
    <n v="2"/>
    <n v="2"/>
    <n v="10"/>
    <n v="1"/>
    <s v="Contratación directa / Prestación de servicios profesionales y de apoyo a la gestión"/>
    <s v="CCE-16"/>
    <n v="0"/>
    <s v="N.A."/>
    <s v="Asesoría a Terceros"/>
    <n v="66000000"/>
    <n v="66000000"/>
    <n v="0"/>
    <n v="0"/>
    <s v="ASESORA JURIDICA"/>
    <s v="CO-DC-11001"/>
    <s v="Carolina Fernández Borda (Subdirección de Intervención)"/>
    <s v="3550800"/>
    <s v="carolina.fernandez@idpc.gov.co"/>
    <s v="ME20181114"/>
    <s v="COMP1114"/>
    <s v="CONC1114"/>
    <s v="Asesorar técnicamente las solicitudes para la protección del patrimonio cultural material del Distrito Capital"/>
    <s v="Asesoría técnica para la protección y promoción del patrimonio cultural material del distrito capital"/>
    <s v="4. Obras de Intervención en Bienes muebles - inmuebles y sectores que conforman el patrimonio cultural del D.C."/>
    <s v="FONT1114"/>
    <s v="12-Otros Distrito"/>
    <s v="03-RECURSO HUMANO"/>
    <s v="04-GASTOS DE PERSONAL OPERATIVO"/>
    <s v="0316-Personal de apoyo para las actividades de valoración, protección y conservación del Patrimonio Cultural"/>
    <n v="0"/>
    <n v="66000000"/>
    <m/>
    <m/>
    <m/>
    <n v="66000000"/>
    <m/>
    <m/>
    <m/>
    <m/>
    <m/>
    <n v="66000000"/>
    <m/>
    <m/>
    <m/>
    <n v="0"/>
    <m/>
    <n v="1"/>
    <m/>
    <m/>
    <m/>
    <m/>
    <m/>
    <m/>
    <m/>
    <m/>
    <m/>
    <m/>
    <m/>
    <m/>
    <m/>
    <m/>
    <n v="0"/>
    <n v="0"/>
    <m/>
  </r>
  <r>
    <n v="308"/>
    <n v="308"/>
    <b v="0"/>
    <s v="Sí"/>
    <s v="1114. Intervención y conservación de los bienes muebles e inmuebles en sectores de interés cultural del Distrito Capital"/>
    <s v="3-3-1-15-02-17-1114-140"/>
    <s v="80111617;93141707;80121601;93142006"/>
    <s v="Prestar servicios profesionales especializados al Instituto Distrital de Patrimonio Cultural, como apoyo jurídico a la evaluación de las solicitudes de intervención sobre Bienes y Sectores de Interés Cultural."/>
    <s v="(Cód. 308) Prestar servicios profesionales especializados al Instituto Distrital de Patrimonio Cultural, como apoyo jurídico a la evaluación de las solicitudes de intervención sobre Bienes y Sectores de Interés Cultural."/>
    <d v="2019-02-01T00:00:00"/>
    <n v="10"/>
    <d v="2019-02-15T00:00:00"/>
    <x v="0"/>
    <n v="2"/>
    <n v="2"/>
    <n v="8"/>
    <n v="1"/>
    <s v="Contratación directa / Prestación de servicios profesionales y de apoyo a la gestión"/>
    <s v="CCE-16"/>
    <n v="0"/>
    <s v="N.A."/>
    <s v="Asesoría a Terceros"/>
    <n v="52800000"/>
    <n v="52800000"/>
    <n v="0"/>
    <n v="0"/>
    <s v="ASESORA JURIDICA"/>
    <s v="CO-DC-11001"/>
    <s v="Carolina Fernández Borda (Subdirección de Intervención)"/>
    <s v="3550800"/>
    <s v="carolina.fernandez@idpc.gov.co"/>
    <s v="ME20181114"/>
    <s v="COMP1114"/>
    <s v="CONC1114"/>
    <s v="Asesorar técnicamente las solicitudes para la protección del patrimonio cultural material del Distrito Capital"/>
    <s v="Asesoría técnica para la protección y promoción del patrimonio cultural material del distrito capital"/>
    <s v="4. Obras de Intervención en Bienes muebles - inmuebles y sectores que conforman el patrimonio cultural del D.C."/>
    <s v="FONT1114"/>
    <s v="12-Otros Distrito"/>
    <s v="03-RECURSO HUMANO"/>
    <s v="04-GASTOS DE PERSONAL OPERATIVO"/>
    <s v="0316-Personal de apoyo para las actividades de valoración, protección y conservación del Patrimonio Cultural"/>
    <n v="0"/>
    <n v="52800000"/>
    <m/>
    <m/>
    <m/>
    <n v="52800000"/>
    <m/>
    <m/>
    <m/>
    <m/>
    <m/>
    <n v="52800000"/>
    <m/>
    <m/>
    <m/>
    <n v="0"/>
    <m/>
    <n v="1"/>
    <m/>
    <m/>
    <m/>
    <m/>
    <m/>
    <m/>
    <m/>
    <m/>
    <m/>
    <m/>
    <m/>
    <m/>
    <m/>
    <m/>
    <n v="0"/>
    <n v="0"/>
    <m/>
  </r>
  <r>
    <n v="309"/>
    <n v="309"/>
    <b v="0"/>
    <s v="Sí"/>
    <s v="1114. Intervención y conservación de los bienes muebles e inmuebles en sectores de interés cultural del Distrito Capital"/>
    <s v="3-3-1-15-02-17-1114-140"/>
    <s v="80111617;93141707;80121601;93142006"/>
    <s v="Prestar servicios profesionales al Instituto Distrital de Patrimonio Cultural, como apoyo jurídico a la evaluación de las solicitudes de intervención sobre Bienes y Sectores de Interés Cultural."/>
    <s v="(Cód. 309) Prestar servicios profesionales al Instituto Distrital de Patrimonio Cultural, como apoyo jurídico a la evaluación de las solicitudes de intervención sobre Bienes y Sectores de Interés Cultural."/>
    <d v="2019-02-01T00:00:00"/>
    <n v="10"/>
    <d v="2019-02-15T00:00:00"/>
    <x v="0"/>
    <n v="2"/>
    <n v="2"/>
    <n v="8"/>
    <n v="1"/>
    <s v="Contratación directa / Prestación de servicios profesionales y de apoyo a la gestión"/>
    <s v="CCE-16"/>
    <n v="0"/>
    <s v="N.A."/>
    <s v="Asesoría a Terceros"/>
    <n v="38720000"/>
    <n v="38720000"/>
    <n v="0"/>
    <n v="0"/>
    <s v="ASESORA JURIDICA"/>
    <s v="CO-DC-11001"/>
    <s v="Carolina Fernández Borda (Subdirección de Intervención)"/>
    <s v="3550800"/>
    <s v="carolina.fernandez@idpc.gov.co"/>
    <s v="ME20181114"/>
    <s v="COMP1114"/>
    <s v="CONC1114"/>
    <s v="Asesorar técnicamente las solicitudes para la protección del patrimonio cultural material del Distrito Capital"/>
    <s v="Asesoría técnica para la protección y promoción del patrimonio cultural material del distrito capital"/>
    <s v="4. Obras de Intervención en Bienes muebles - inmuebles y sectores que conforman el patrimonio cultural del D.C."/>
    <s v="FONT1114"/>
    <s v="12-Otros Distrito"/>
    <s v="03-RECURSO HUMANO"/>
    <s v="04-GASTOS DE PERSONAL OPERATIVO"/>
    <s v="0316-Personal de apoyo para las actividades de valoración, protección y conservación del Patrimonio Cultural"/>
    <n v="0"/>
    <n v="38720000"/>
    <m/>
    <m/>
    <m/>
    <n v="38720000"/>
    <m/>
    <m/>
    <m/>
    <m/>
    <m/>
    <n v="38720000"/>
    <m/>
    <m/>
    <m/>
    <n v="0"/>
    <m/>
    <n v="1"/>
    <m/>
    <m/>
    <m/>
    <m/>
    <m/>
    <m/>
    <m/>
    <m/>
    <m/>
    <m/>
    <m/>
    <m/>
    <m/>
    <m/>
    <n v="0"/>
    <n v="0"/>
    <m/>
  </r>
  <r>
    <n v="310"/>
    <n v="310"/>
    <b v="0"/>
    <s v="Sí"/>
    <s v="1114. Intervención y conservación de los bienes muebles e inmuebles en sectores de interés cultural del Distrito Capital"/>
    <s v="3-3-1-15-02-17-1114-140"/>
    <s v="80111617;93141707;80101604;80111614;93151516"/>
    <s v="Prestar servicios profesionales al Instituto Distrital de Patrimonio Cultural para apoyar las actividades de soporte técnico y evaluación de las solicitudes y acciones de control urbano que se presenten sobre BIC y SIC del Distrito Capital."/>
    <s v="(Cód. 310) Prestar servicios profesionales al Instituto Distrital de Patrimonio Cultural para apoyar las actividades de soporte técnico y evaluación de las solicitudes y acciones de control urbano que se presenten sobre BIC y SIC del Distrito Capital."/>
    <d v="2019-01-15T00:00:00"/>
    <n v="10"/>
    <d v="2019-01-29T00:00:00"/>
    <x v="1"/>
    <n v="1"/>
    <n v="1"/>
    <n v="11"/>
    <n v="1"/>
    <s v="Contratación directa / Prestación de servicios profesionales y de apoyo a la gestión"/>
    <s v="CCE-16"/>
    <n v="0"/>
    <s v="N.A."/>
    <s v="Asesoría a Terceros"/>
    <n v="51810000"/>
    <n v="51810000"/>
    <n v="0"/>
    <n v="0"/>
    <s v="ASESORA JURIDICA"/>
    <s v="CO-DC-11001"/>
    <s v="Carolina Fernández Borda (Subdirección de Intervención)"/>
    <s v="3550800"/>
    <s v="carolina.fernandez@idpc.gov.co"/>
    <s v="ME20181114"/>
    <s v="COMP1114"/>
    <s v="CONC1114"/>
    <s v="Asesorar técnicamente las solicitudes para la protección del patrimonio cultural material del Distrito Capital"/>
    <s v="Asesoría técnica para la protección y promoción del patrimonio cultural material del distrito capital"/>
    <s v="4. Obras de Intervención en Bienes muebles - inmuebles y sectores que conforman el patrimonio cultural del D.C."/>
    <s v="FONT1114"/>
    <s v="12-Otros Distrito"/>
    <s v="03-RECURSO HUMANO"/>
    <s v="04-GASTOS DE PERSONAL OPERATIVO"/>
    <s v="0316-Personal de apoyo para las actividades de valoración, protección y conservación del Patrimonio Cultural"/>
    <n v="0"/>
    <n v="51810000"/>
    <m/>
    <m/>
    <m/>
    <n v="51810000"/>
    <m/>
    <m/>
    <m/>
    <m/>
    <m/>
    <n v="51810000"/>
    <m/>
    <m/>
    <m/>
    <n v="0"/>
    <m/>
    <n v="1"/>
    <m/>
    <m/>
    <m/>
    <m/>
    <m/>
    <m/>
    <m/>
    <m/>
    <m/>
    <m/>
    <m/>
    <m/>
    <m/>
    <m/>
    <n v="0"/>
    <n v="0"/>
    <m/>
  </r>
  <r>
    <n v="311"/>
    <n v="311"/>
    <b v="0"/>
    <s v="Sí"/>
    <s v="1114. Intervención y conservación de los bienes muebles e inmuebles en sectores de interés cultural del Distrito Capital"/>
    <s v="3-3-1-15-02-17-1114-140"/>
    <s v="81101505;80111617;80111618;72101500;72121400;72141500;72151900;72152700;72154000;93151516;93141707;"/>
    <s v="Ejecutar bajo la modalidad de precios unitarios los primeros auxilios del inmueble denominado Casa Cadel."/>
    <s v="(Cód. 311) Ejecutar bajo la modalidad de precios unitarios los primeros auxilios del inmueble denominado Casa Cadel."/>
    <d v="2019-05-15T00:00:00"/>
    <n v="45"/>
    <d v="2019-07-17T00:00:00"/>
    <x v="6"/>
    <n v="5"/>
    <n v="5"/>
    <n v="4"/>
    <n v="1"/>
    <s v="Menor cuantía"/>
    <s v="CCE-06"/>
    <n v="0"/>
    <s v="N.A."/>
    <s v="BIC o Casa Cadel"/>
    <n v="100000000"/>
    <n v="10000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Bienes de Interés Cultural de tipo inmueble intervenidos "/>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100000000"/>
    <m/>
    <m/>
    <m/>
    <n v="100000000"/>
    <m/>
    <m/>
    <m/>
    <m/>
    <m/>
    <n v="100000000"/>
    <m/>
    <m/>
    <m/>
    <n v="0"/>
    <m/>
    <n v="1"/>
    <m/>
    <m/>
    <m/>
    <m/>
    <m/>
    <m/>
    <m/>
    <m/>
    <m/>
    <m/>
    <m/>
    <m/>
    <m/>
    <m/>
    <n v="0"/>
    <n v="0"/>
    <m/>
  </r>
  <r>
    <n v="312"/>
    <n v="312"/>
    <b v="0"/>
    <s v="Sí"/>
    <s v="1114. Intervención y conservación de los bienes muebles e inmuebles en sectores de interés cultural del Distrito Capital"/>
    <s v="3-3-1-15-02-17-1114-140"/>
    <s v="81101505;80111617;80111618;72101500;72121400;72141500;72151900;72152700;72154000;93151516;93141707;"/>
    <s v="Ejecutar bajo la modalidad de precios unitarios los primeros auxilios del inmueble ubicado en la Calle 12b N. 3 - 07, denominado &quot;Casa Colorada&quot;."/>
    <s v="(Cód. 312) Ejecutar bajo la modalidad de precios unitarios los primeros auxilios del inmueble ubicado en la Calle 12b N. 3 - 07, denominado &quot;Casa Colorada&quot;."/>
    <d v="2019-05-01T00:00:00"/>
    <n v="50"/>
    <d v="2019-07-10T00:00:00"/>
    <x v="6"/>
    <n v="5"/>
    <n v="5"/>
    <n v="3"/>
    <n v="1"/>
    <s v="Licitación pública"/>
    <s v="CCE-02"/>
    <n v="0"/>
    <s v="N.A."/>
    <s v="BIC o Casa Colorada IDPC"/>
    <n v="248000000"/>
    <n v="24800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Bienes de Interés Cultural de tipo inmueble intervenidos "/>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248000000"/>
    <m/>
    <m/>
    <m/>
    <n v="248000000"/>
    <m/>
    <m/>
    <m/>
    <m/>
    <m/>
    <n v="248000000"/>
    <m/>
    <m/>
    <m/>
    <n v="0"/>
    <m/>
    <n v="1"/>
    <m/>
    <m/>
    <m/>
    <m/>
    <m/>
    <m/>
    <m/>
    <m/>
    <m/>
    <m/>
    <m/>
    <m/>
    <m/>
    <m/>
    <n v="0"/>
    <n v="0"/>
    <m/>
  </r>
  <r>
    <n v="313"/>
    <n v="313"/>
    <b v="0"/>
    <s v="Sí"/>
    <s v="1114. Intervención y conservación de los bienes muebles e inmuebles en sectores de interés cultural del Distrito Capital"/>
    <s v="3-3-1-15-02-17-1114-140"/>
    <s v="93142009;93141707;80101604;"/>
    <s v="Prestar servicios profesionales de apoyo a la supervisión al proyecto de primeros auxilios del inmueble denominado Casa Colorada."/>
    <s v="(Cód. 313) Prestar servicios profesionales de apoyo a la supervisión al proyecto de primeros auxilios del inmueble denominado Casa Colorada."/>
    <d v="2019-05-30T00:00:00"/>
    <n v="10"/>
    <d v="2019-06-13T00:00:00"/>
    <x v="4"/>
    <n v="5"/>
    <n v="5"/>
    <n v="4"/>
    <n v="1"/>
    <s v="Contratación directa / Prestación de servicios profesionales y de apoyo a la gestión"/>
    <s v="CCE-16"/>
    <n v="0"/>
    <s v="N.A."/>
    <s v="BIC o Casa Colorada IDPC"/>
    <n v="22000000"/>
    <n v="2200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Bienes de Interés Cultural de tipo inmueble intervenidos "/>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22000000"/>
    <m/>
    <m/>
    <m/>
    <n v="22000000"/>
    <m/>
    <m/>
    <m/>
    <m/>
    <m/>
    <n v="22000000"/>
    <m/>
    <m/>
    <m/>
    <n v="0"/>
    <m/>
    <n v="1"/>
    <m/>
    <m/>
    <m/>
    <m/>
    <m/>
    <m/>
    <m/>
    <m/>
    <m/>
    <m/>
    <m/>
    <m/>
    <m/>
    <m/>
    <n v="0"/>
    <n v="0"/>
    <m/>
  </r>
  <r>
    <n v="314"/>
    <n v="314"/>
    <b v="0"/>
    <s v="Sí"/>
    <s v="1114. Intervención y conservación de los bienes muebles e inmuebles en sectores de interés cultural del Distrito Capital"/>
    <s v="3-3-1-15-02-17-1114-140"/>
    <s v="81101505;80111617;80111618;72101500;72121400;72141500;72151900;72152700;72154000;93151516;93141707;"/>
    <s v="Realizar los estudios y propuesta para los primeros auxilios, el apuntalamiento y sobre cubierta requerida para el inmueble ubicado en la Calle 12b N. 3 - 07, denominado &quot;Casa Colorada&quot;."/>
    <s v="(Cód. 314) Realizar los estudios y propuesta para los primeros auxilios, el apuntalamiento y sobre cubierta requerida para el inmueble ubicado en la Calle 12b N. 3 - 07, denominado &quot;Casa Colorada&quot;."/>
    <d v="2019-05-01T00:00:00"/>
    <n v="45"/>
    <d v="2019-07-03T00:00:00"/>
    <x v="6"/>
    <n v="5"/>
    <n v="5"/>
    <n v="2"/>
    <n v="1"/>
    <s v="Concurso de méritos"/>
    <s v="CCE-04"/>
    <n v="0"/>
    <s v="N.A."/>
    <s v="BIC o Casa Colorada IDPC"/>
    <n v="60000000"/>
    <n v="6000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Bienes de Interés Cultural de tipo inmueble intervenidos "/>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60000000"/>
    <m/>
    <m/>
    <m/>
    <n v="60000000"/>
    <m/>
    <m/>
    <m/>
    <m/>
    <m/>
    <n v="60000000"/>
    <m/>
    <m/>
    <m/>
    <n v="0"/>
    <m/>
    <n v="1"/>
    <m/>
    <m/>
    <m/>
    <m/>
    <m/>
    <m/>
    <m/>
    <m/>
    <m/>
    <m/>
    <m/>
    <m/>
    <m/>
    <m/>
    <n v="0"/>
    <n v="0"/>
    <m/>
  </r>
  <r>
    <n v="315"/>
    <n v="315"/>
    <b v="0"/>
    <s v="Sí"/>
    <s v="1114. Intervención y conservación de los bienes muebles e inmuebles en sectores de interés cultural del Distrito Capital"/>
    <s v="3-3-1-15-02-17-1114-140"/>
    <s v="72101500;72101507;93141713;81101505;80111617;80111618;72121400;72141500;72151900;72152700;72154000;93151516;93141707;"/>
    <s v="Ejecutar bajo la modalidad de precios unitarios fijos las obras requeridas para el inmueble ubicado en la Calle 12B No. 2-58, denominado Casa Genoveva en la ciudad de Bogotá, D. C."/>
    <s v="(Cód. 315) Ejecutar bajo la modalidad de precios unitarios fijos las obras requeridas para el inmueble ubicado en la Calle 12B No. 2-58, denominado Casa Genoveva en la ciudad de Bogotá, D. C."/>
    <d v="2019-03-01T00:00:00"/>
    <n v="50"/>
    <d v="2019-05-10T00:00:00"/>
    <x v="3"/>
    <n v="3"/>
    <n v="3"/>
    <n v="4"/>
    <n v="1"/>
    <s v="Licitación pública"/>
    <s v="CCE-02"/>
    <n v="0"/>
    <s v="N.A."/>
    <s v="BIC o Casa Genoveva IDPC"/>
    <n v="714166680"/>
    <n v="71416668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Bienes de Interés Cultural de tipo inmueble intervenidos "/>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714166680"/>
    <m/>
    <m/>
    <m/>
    <n v="714166680"/>
    <m/>
    <m/>
    <m/>
    <m/>
    <m/>
    <n v="714166680"/>
    <m/>
    <m/>
    <m/>
    <n v="0"/>
    <m/>
    <n v="1"/>
    <m/>
    <m/>
    <m/>
    <m/>
    <m/>
    <m/>
    <m/>
    <m/>
    <m/>
    <m/>
    <m/>
    <m/>
    <m/>
    <m/>
    <n v="0"/>
    <n v="0"/>
    <m/>
  </r>
  <r>
    <s v="N.A."/>
    <s v="N.A."/>
    <b v="0"/>
    <s v="No"/>
    <s v="1114. Intervención y conservación de los bienes muebles e inmuebles en sectores de interés cultural del Distrito Capital"/>
    <s v="3-3-1-15-02-17-1114-140"/>
    <s v="No aplica"/>
    <s v="Pago de expensas con cargo variable para la modificación de la Licencia de Construcción del predio Calle 12b N° 2-58, denominado Sede Principal o Casa Genoveva en la ciudad de Bogotá, D. C."/>
    <s v="(Cód. N.A.) Pago de expensas con cargo variable para la modificación de la Licencia de Construcción del predio Calle 12b N° 2-58, denominado Sede Principal o Casa Genoveva en la ciudad de Bogotá, D. C."/>
    <d v="2019-03-01T00:00:00"/>
    <n v="0"/>
    <d v="2019-03-01T00:00:00"/>
    <x v="5"/>
    <n v="3"/>
    <n v="3"/>
    <n v="0"/>
    <n v="0"/>
    <s v="No aplica"/>
    <s v="No aplica"/>
    <n v="0"/>
    <s v="N.A."/>
    <s v="BIC o Casa Genoveva IDPC"/>
    <n v="3000000"/>
    <n v="300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Bienes de Interés Cultural de tipo inmueble intervenidos "/>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3000000"/>
    <m/>
    <m/>
    <m/>
    <n v="3000000"/>
    <m/>
    <m/>
    <m/>
    <m/>
    <m/>
    <n v="3000000"/>
    <m/>
    <m/>
    <m/>
    <n v="0"/>
    <m/>
    <n v="1"/>
    <m/>
    <m/>
    <m/>
    <m/>
    <m/>
    <m/>
    <m/>
    <m/>
    <m/>
    <m/>
    <m/>
    <m/>
    <m/>
    <m/>
    <n v="0"/>
    <n v="0"/>
    <m/>
  </r>
  <r>
    <n v="316"/>
    <n v="316"/>
    <b v="0"/>
    <s v="Sí"/>
    <s v="1114. Intervención y conservación de los bienes muebles e inmuebles en sectores de interés cultural del Distrito Capital"/>
    <s v="3-3-1-15-02-17-1114-140"/>
    <s v="80101600;80101604;80111614;80111617;80111618;81101500;81141500;93141700;94101600;94101608;"/>
    <s v="Realizar la interventoría integral de la obra cuyo objeto es: &quot;Ejecutar bajo la modalidad de precios unitarios fijos las obras requeridas para el inmueble ubicado en la Calle 12B No. 2-58, denominado Casa Genoveva en la ciudad de Bogotá, D. C.&quot;"/>
    <s v="(Cód. 316) Realizar la interventoría integral de la obra cuyo objeto es: &quot;Ejecutar bajo la modalidad de precios unitarios fijos las obras requeridas para el inmueble ubicado en la Calle 12B No. 2-58, denominado Casa Genoveva en la ciudad de Bogotá, D. C.&quot;"/>
    <d v="2019-03-01T00:00:00"/>
    <n v="45"/>
    <d v="2019-05-03T00:00:00"/>
    <x v="3"/>
    <n v="3"/>
    <n v="3"/>
    <n v="5"/>
    <n v="1"/>
    <s v="Concurso de méritos"/>
    <s v="CCE-04"/>
    <n v="0"/>
    <s v="N.A."/>
    <s v="BIC o Casa Genoveva IDPC"/>
    <n v="142833320"/>
    <n v="14283332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Bienes de Interés Cultural de tipo inmueble intervenidos "/>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142833320"/>
    <m/>
    <m/>
    <m/>
    <n v="142833320"/>
    <m/>
    <m/>
    <m/>
    <m/>
    <m/>
    <n v="142833320"/>
    <m/>
    <m/>
    <m/>
    <n v="0"/>
    <m/>
    <n v="1"/>
    <m/>
    <m/>
    <m/>
    <m/>
    <m/>
    <m/>
    <m/>
    <m/>
    <m/>
    <m/>
    <m/>
    <m/>
    <m/>
    <m/>
    <n v="0"/>
    <n v="0"/>
    <m/>
  </r>
  <r>
    <n v="317"/>
    <n v="317"/>
    <b v="0"/>
    <s v="Sí"/>
    <s v="1114. Intervención y conservación de los bienes muebles e inmuebles en sectores de interés cultural del Distrito Capital"/>
    <s v="3-3-1-15-02-17-1114-140"/>
    <s v="30151800;30151900;31211500;31211700;31211800;31211900;40141700;81101505;80111617;80111618;72101500;72121400;72141500;72151900;72152700;72154000;93151516;9314170;"/>
    <s v="Ejecutar las obras por precios unitarios fijos para la restauración de las naves de la Basílica Menor del Sagrado Corazón de Jesús - Iglesia del Voto Nacional."/>
    <s v="(Cód. 317) Ejecutar las obras por precios unitarios fijos para la restauración de las naves de la Basílica Menor del Sagrado Corazón de Jesús - Iglesia del Voto Nacional."/>
    <d v="2019-04-01T00:00:00"/>
    <n v="50"/>
    <d v="2019-06-10T00:00:00"/>
    <x v="4"/>
    <n v="4"/>
    <n v="4"/>
    <n v="10"/>
    <n v="1"/>
    <s v="Licitación pública"/>
    <s v="CCE-02"/>
    <n v="0"/>
    <s v="N.A."/>
    <s v="BIC o Iglesia Voto Nacional"/>
    <n v="2570000"/>
    <n v="257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Bienes de Interés Cultural de tipo inmueble intervenidos "/>
    <s v="4. Obras de Intervención en Bienes muebles - inmuebles y sectores que conforman el patrimonio cultural del D.C."/>
    <s v="FONT1114"/>
    <s v="146-Recursos del balance de libre destinación"/>
    <s v="01-INFRAESTRUCTURA"/>
    <s v="01-CONSTRUCCION, ADECUACION Y AMPLIACION DE INFRAESTRUCTURA PROPIA DEL SECTOR"/>
    <s v="0525-Recuperación y aprovechamiento de bienes de interés cultural"/>
    <n v="0"/>
    <n v="2570000"/>
    <m/>
    <m/>
    <m/>
    <n v="2570000"/>
    <m/>
    <m/>
    <m/>
    <m/>
    <m/>
    <n v="2570000"/>
    <m/>
    <m/>
    <m/>
    <n v="0"/>
    <m/>
    <n v="1"/>
    <m/>
    <m/>
    <m/>
    <m/>
    <m/>
    <m/>
    <m/>
    <m/>
    <m/>
    <m/>
    <m/>
    <m/>
    <m/>
    <m/>
    <n v="0"/>
    <n v="0"/>
    <m/>
  </r>
  <r>
    <n v="317"/>
    <n v="317"/>
    <b v="1"/>
    <s v="Sí"/>
    <s v="1114. Intervención y conservación de los bienes muebles e inmuebles en sectores de interés cultural del Distrito Capital"/>
    <s v="3-3-1-15-02-17-1114-140"/>
    <s v="30151800;30151900;31211500;31211700;31211800;31211900;40141700;81101505;80111617;80111618;72101500;72121400;72141500;72151900;72152700;72154000;93151516;9314170;"/>
    <s v="Ejecutar las obras por precios unitarios fijos para la restauración de las naves de la Basílica Menor del Sagrado Corazón de Jesús - Iglesia del Voto Nacional."/>
    <s v="(Cód. 317) Ejecutar las obras por precios unitarios fijos para la restauración de las naves de la Basílica Menor del Sagrado Corazón de Jesús - Iglesia del Voto Nacional."/>
    <d v="2019-04-01T00:00:00"/>
    <n v="50"/>
    <d v="2019-06-10T00:00:00"/>
    <x v="4"/>
    <n v="4"/>
    <n v="4"/>
    <n v="10"/>
    <n v="1"/>
    <s v="Licitación pública"/>
    <s v="CCE-02"/>
    <n v="0"/>
    <s v="N.A."/>
    <s v="BIC o Iglesia Voto Nacional"/>
    <n v="20000000"/>
    <n v="2000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Bienes de Interés Cultural de tipo inmueble intervenidos "/>
    <s v="4. Obras de Intervención en Bienes muebles - inmuebles y sectores que conforman el patrimonio cultural del D.C."/>
    <s v="FONT1114"/>
    <s v="147-Otros Recursos del balance de destinación específica"/>
    <s v="01-INFRAESTRUCTURA"/>
    <s v="01-CONSTRUCCION, ADECUACION Y AMPLIACION DE INFRAESTRUCTURA PROPIA DEL SECTOR"/>
    <s v="0525-Recuperación y aprovechamiento de bienes de interés cultural"/>
    <n v="0"/>
    <n v="20000000"/>
    <m/>
    <m/>
    <m/>
    <n v="20000000"/>
    <m/>
    <m/>
    <m/>
    <m/>
    <m/>
    <n v="20000000"/>
    <m/>
    <m/>
    <m/>
    <n v="0"/>
    <m/>
    <n v="1"/>
    <m/>
    <m/>
    <m/>
    <m/>
    <m/>
    <m/>
    <m/>
    <m/>
    <m/>
    <m/>
    <m/>
    <m/>
    <m/>
    <m/>
    <n v="0"/>
    <n v="0"/>
    <m/>
  </r>
  <r>
    <n v="317"/>
    <n v="317"/>
    <b v="1"/>
    <s v="Sí"/>
    <s v="1114. Intervención y conservación de los bienes muebles e inmuebles en sectores de interés cultural del Distrito Capital"/>
    <s v="3-3-1-15-02-17-1114-140"/>
    <s v="30151800;30151900;31211500;31211700;31211800;31211900;40141700;81101505;80111617;80111618;72101500;72121400;72141500;72151900;72152700;72154000;93151516;9314170;"/>
    <s v="Ejecutar las obras por precios unitarios fijos para la restauración de las naves de la Basílica Menor del Sagrado Corazón de Jesús - Iglesia del Voto Nacional."/>
    <s v="(Cód. 317) Ejecutar las obras por precios unitarios fijos para la restauración de las naves de la Basílica Menor del Sagrado Corazón de Jesús - Iglesia del Voto Nacional."/>
    <d v="2019-04-01T00:00:00"/>
    <n v="50"/>
    <d v="2019-06-10T00:00:00"/>
    <x v="4"/>
    <n v="4"/>
    <n v="4"/>
    <n v="10"/>
    <n v="1"/>
    <s v="Licitación pública"/>
    <s v="CCE-02"/>
    <n v="0"/>
    <s v="N.A."/>
    <s v="BIC o Iglesia Voto Nacional"/>
    <n v="725000"/>
    <n v="725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Bienes de Interés Cultural de tipo inmueble intervenidos "/>
    <s v="4. Obras de Intervención en Bienes muebles - inmuebles y sectores que conforman el patrimonio cultural del D.C."/>
    <s v="FONT1114"/>
    <s v="265-Recursos del Balance Plusvalía"/>
    <s v="01-INFRAESTRUCTURA"/>
    <s v="01-CONSTRUCCION, ADECUACION Y AMPLIACION DE INFRAESTRUCTURA PROPIA DEL SECTOR"/>
    <s v="0525-Recuperación y aprovechamiento de bienes de interés cultural"/>
    <n v="0"/>
    <n v="725000"/>
    <m/>
    <m/>
    <m/>
    <n v="725000"/>
    <m/>
    <m/>
    <m/>
    <m/>
    <m/>
    <n v="725000"/>
    <m/>
    <m/>
    <m/>
    <n v="0"/>
    <m/>
    <n v="1"/>
    <m/>
    <m/>
    <m/>
    <m/>
    <m/>
    <m/>
    <m/>
    <m/>
    <m/>
    <m/>
    <m/>
    <m/>
    <m/>
    <m/>
    <n v="0"/>
    <n v="0"/>
    <m/>
  </r>
  <r>
    <n v="317"/>
    <n v="317"/>
    <b v="1"/>
    <s v="Sí"/>
    <s v="1114. Intervención y conservación de los bienes muebles e inmuebles en sectores de interés cultural del Distrito Capital"/>
    <s v="3-3-1-15-02-17-1114-140"/>
    <s v="30151800;30151900;31211500;31211700;31211800;31211900;40141700;81101505;80111617;80111618;72101500;72121400;72141500;72151900;72152700;72154000;93151516;9314170;"/>
    <s v="Ejecutar las obras por precios unitarios fijos para la restauración de las naves de la Basílica Menor del Sagrado Corazón de Jesús - Iglesia del Voto Nacional."/>
    <s v="(Cód. 317) Ejecutar las obras por precios unitarios fijos para la restauración de las naves de la Basílica Menor del Sagrado Corazón de Jesús - Iglesia del Voto Nacional."/>
    <d v="2019-04-01T00:00:00"/>
    <n v="50"/>
    <d v="2019-06-10T00:00:00"/>
    <x v="4"/>
    <n v="4"/>
    <n v="4"/>
    <n v="10"/>
    <n v="1"/>
    <s v="Licitación pública"/>
    <s v="CCE-02"/>
    <n v="0"/>
    <s v="N.A."/>
    <s v="BIC o Iglesia Voto Nacional"/>
    <n v="528108000"/>
    <n v="528108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Bienes de Interés Cultural de tipo inmueble intervenidos "/>
    <s v="4. Obras de Intervención en Bienes muebles - inmuebles y sectores que conforman el patrimonio cultural del D.C."/>
    <s v="FONT1114"/>
    <s v="270-Recursos del Balance Reaforo Plusvalía"/>
    <s v="01-INFRAESTRUCTURA"/>
    <s v="01-CONSTRUCCION, ADECUACION Y AMPLIACION DE INFRAESTRUCTURA PROPIA DEL SECTOR"/>
    <s v="0525-Recuperación y aprovechamiento de bienes de interés cultural"/>
    <n v="0"/>
    <n v="528108000"/>
    <m/>
    <m/>
    <m/>
    <n v="528108000"/>
    <m/>
    <m/>
    <m/>
    <m/>
    <m/>
    <n v="528108000"/>
    <m/>
    <m/>
    <m/>
    <n v="0"/>
    <m/>
    <n v="1"/>
    <m/>
    <m/>
    <m/>
    <m/>
    <m/>
    <m/>
    <m/>
    <m/>
    <m/>
    <m/>
    <m/>
    <m/>
    <m/>
    <m/>
    <n v="0"/>
    <n v="0"/>
    <m/>
  </r>
  <r>
    <n v="317"/>
    <n v="317"/>
    <b v="1"/>
    <s v="Sí"/>
    <s v="1114. Intervención y conservación de los bienes muebles e inmuebles en sectores de interés cultural del Distrito Capital"/>
    <s v="3-3-1-15-02-17-1114-140"/>
    <s v="30151800;30151900;31211500;31211700;31211800;31211900;40141700;81101505;80111617;80111618;72101500;72121400;72141500;72151900;72152700;72154000;93151516;9314170;"/>
    <s v="Ejecutar las obras por precios unitarios fijos para la restauración de las naves de la Basílica Menor del Sagrado Corazón de Jesús - Iglesia del Voto Nacional."/>
    <s v="(Cód. 317) Ejecutar las obras por precios unitarios fijos para la restauración de las naves de la Basílica Menor del Sagrado Corazón de Jesús - Iglesia del Voto Nacional."/>
    <d v="2019-04-01T00:00:00"/>
    <n v="50"/>
    <d v="2019-06-10T00:00:00"/>
    <x v="4"/>
    <n v="4"/>
    <n v="4"/>
    <n v="10"/>
    <n v="1"/>
    <s v="Licitación pública"/>
    <s v="CCE-02"/>
    <n v="0"/>
    <s v="N.A."/>
    <s v="BIC o Iglesia Voto Nacional"/>
    <n v="864424000"/>
    <n v="864424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Bienes de Interés Cultural de tipo inmueble intervenidos "/>
    <s v="4. Obras de Intervención en Bienes muebles - inmuebles y sectores que conforman el patrimonio cultural del D.C."/>
    <s v="FONT1114"/>
    <s v="41-Plusvalía"/>
    <s v="01-INFRAESTRUCTURA"/>
    <s v="01-CONSTRUCCION, ADECUACION Y AMPLIACION DE INFRAESTRUCTURA PROPIA DEL SECTOR"/>
    <s v="0525-Recuperación y aprovechamiento de bienes de interés cultural"/>
    <n v="0"/>
    <n v="864424000"/>
    <m/>
    <m/>
    <m/>
    <n v="864424000"/>
    <m/>
    <m/>
    <m/>
    <m/>
    <m/>
    <n v="864424000"/>
    <m/>
    <m/>
    <m/>
    <n v="0"/>
    <m/>
    <n v="1"/>
    <m/>
    <m/>
    <m/>
    <m/>
    <m/>
    <m/>
    <m/>
    <m/>
    <m/>
    <m/>
    <m/>
    <m/>
    <m/>
    <m/>
    <n v="0"/>
    <n v="0"/>
    <m/>
  </r>
  <r>
    <n v="317"/>
    <n v="317"/>
    <b v="1"/>
    <s v="Sí"/>
    <s v="1114. Intervención y conservación de los bienes muebles e inmuebles en sectores de interés cultural del Distrito Capital"/>
    <s v="3-3-1-15-02-17-1114-140"/>
    <s v="30151800;30151900;31211500;31211700;31211800;31211900;40141700;81101505;80111617;80111618;72101500;72121400;72141500;72151900;72152700;72154000;93151516;9314170;"/>
    <s v="Ejecutar las obras por precios unitarios fijos para la restauración de las naves de la Basílica Menor del Sagrado Corazón de Jesús - Iglesia del Voto Nacional."/>
    <s v="(Cód. 317) Ejecutar las obras por precios unitarios fijos para la restauración de las naves de la Basílica Menor del Sagrado Corazón de Jesús - Iglesia del Voto Nacional."/>
    <d v="2019-04-01T00:00:00"/>
    <n v="50"/>
    <d v="2019-06-10T00:00:00"/>
    <x v="4"/>
    <n v="4"/>
    <n v="4"/>
    <n v="10"/>
    <n v="1"/>
    <s v="Licitación pública"/>
    <s v="CCE-02"/>
    <n v="0"/>
    <s v="N.A."/>
    <s v="BIC o Iglesia Voto Nacional"/>
    <n v="1137737275"/>
    <n v="1137737275"/>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Bienes de Interés Cultural de tipo inmueble intervenidos "/>
    <s v="4. Obras de Intervención en Bienes muebles - inmuebles y sectores que conforman el patrimonio cultural del D.C."/>
    <s v="FONT1114"/>
    <s v="555-Impuesto Nacional al Consumo de Telefonía Móvil"/>
    <s v="01-INFRAESTRUCTURA"/>
    <s v="01-CONSTRUCCION, ADECUACION Y AMPLIACION DE INFRAESTRUCTURA PROPIA DEL SECTOR"/>
    <s v="0525-Recuperación y aprovechamiento de bienes de interés cultural"/>
    <n v="0"/>
    <n v="1137737275"/>
    <m/>
    <m/>
    <m/>
    <n v="1137737275"/>
    <m/>
    <m/>
    <m/>
    <m/>
    <m/>
    <n v="1137737275"/>
    <m/>
    <m/>
    <m/>
    <n v="0"/>
    <m/>
    <n v="1"/>
    <m/>
    <m/>
    <m/>
    <m/>
    <m/>
    <m/>
    <m/>
    <m/>
    <m/>
    <m/>
    <m/>
    <m/>
    <m/>
    <m/>
    <n v="0"/>
    <n v="0"/>
    <m/>
  </r>
  <r>
    <n v="317"/>
    <n v="317"/>
    <b v="1"/>
    <s v="Sí"/>
    <s v="1114. Intervención y conservación de los bienes muebles e inmuebles en sectores de interés cultural del Distrito Capital"/>
    <s v="3-3-1-15-02-17-1114-140"/>
    <s v="30151800;30151900;31211500;31211700;31211800;31211900;40141700;81101505;80111617;80111618;72101500;72121400;72141500;72151900;72152700;72154000;93151516;9314170;"/>
    <s v="Ejecutar las obras por precios unitarios fijos para la restauración de las naves de la Basílica Menor del Sagrado Corazón de Jesús - Iglesia del Voto Nacional."/>
    <s v="(Cód. 317) Ejecutar las obras por precios unitarios fijos para la restauración de las naves de la Basílica Menor del Sagrado Corazón de Jesús - Iglesia del Voto Nacional."/>
    <d v="2019-04-01T00:00:00"/>
    <n v="50"/>
    <d v="2019-06-10T00:00:00"/>
    <x v="4"/>
    <n v="4"/>
    <n v="4"/>
    <n v="10"/>
    <n v="1"/>
    <s v="Licitación pública"/>
    <s v="CCE-02"/>
    <n v="0"/>
    <s v="N.A."/>
    <s v="BIC o Iglesia Voto Nacional"/>
    <n v="915089725"/>
    <n v="915089725"/>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Bienes de Interés Cultural de tipo inmueble intervenidos "/>
    <s v="4. Obras de Intervención en Bienes muebles - inmuebles y sectores que conforman el patrimonio cultural del D.C."/>
    <s v="FONT1114"/>
    <s v="555-Impuesto Nacional al Consumo de Telefonía Móvil"/>
    <s v="01-INFRAESTRUCTURA"/>
    <s v="01-CONSTRUCCION, ADECUACION Y AMPLIACION DE INFRAESTRUCTURA PROPIA DEL SECTOR"/>
    <s v="0525-Recuperación y aprovechamiento de bienes de interés cultural"/>
    <n v="0"/>
    <n v="915089725"/>
    <m/>
    <m/>
    <m/>
    <n v="915089725"/>
    <m/>
    <m/>
    <m/>
    <m/>
    <m/>
    <n v="915089725"/>
    <m/>
    <m/>
    <m/>
    <n v="0"/>
    <m/>
    <n v="1"/>
    <m/>
    <m/>
    <m/>
    <m/>
    <m/>
    <m/>
    <m/>
    <m/>
    <m/>
    <m/>
    <m/>
    <m/>
    <m/>
    <m/>
    <n v="0"/>
    <n v="0"/>
    <m/>
  </r>
  <r>
    <n v="317"/>
    <n v="317"/>
    <b v="1"/>
    <s v="Sí"/>
    <s v="1114. Intervención y conservación de los bienes muebles e inmuebles en sectores de interés cultural del Distrito Capital"/>
    <s v="3-3-1-15-02-17-1114-140"/>
    <s v="30151800;30151900;31211500;31211700;31211800;31211900;40141700;81101505;80111617;80111618;72101500;72121400;72141500;72151900;72152700;72154000;93151516;9314170;"/>
    <s v="Ejecutar las obras por precios unitarios fijos para la restauración de las naves de la Basílica Menor del Sagrado Corazón de Jesús - Iglesia del Voto Nacional."/>
    <s v="(Cód. 317) Ejecutar las obras por precios unitarios fijos para la restauración de las naves de la Basílica Menor del Sagrado Corazón de Jesús - Iglesia del Voto Nacional."/>
    <d v="2019-04-01T00:00:00"/>
    <n v="50"/>
    <d v="2019-06-10T00:00:00"/>
    <x v="4"/>
    <n v="4"/>
    <n v="4"/>
    <n v="10"/>
    <n v="1"/>
    <s v="Licitación pública"/>
    <s v="CCE-02"/>
    <n v="0"/>
    <s v="N.A."/>
    <s v="BIC o Iglesia Voto Nacional"/>
    <n v="1677499868"/>
    <n v="1677499868"/>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Bienes de Interés Cultural de tipo inmueble intervenidos "/>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1677499868"/>
    <m/>
    <m/>
    <m/>
    <n v="1677499868"/>
    <m/>
    <m/>
    <m/>
    <m/>
    <m/>
    <n v="1677499868"/>
    <m/>
    <m/>
    <m/>
    <n v="0"/>
    <m/>
    <n v="1"/>
    <m/>
    <m/>
    <m/>
    <m/>
    <m/>
    <m/>
    <m/>
    <m/>
    <m/>
    <m/>
    <m/>
    <m/>
    <m/>
    <m/>
    <n v="0"/>
    <n v="0"/>
    <m/>
  </r>
  <r>
    <s v="N.A."/>
    <s v="N.A."/>
    <b v="0"/>
    <s v="No"/>
    <s v="1114. Intervención y conservación de los bienes muebles e inmuebles en sectores de interés cultural del Distrito Capital"/>
    <s v="3-3-1-15-02-17-1114-140"/>
    <s v="No aplica"/>
    <s v="Pago de trámites y documentación inherente al Proyecto de Intervención de la Iglesia del Voto Nacional del predio ubicado en la Carrera 15 N° 10-43 en la Ciudad de Bogotá, D. C."/>
    <s v="(Cód. N.A.) Pago de trámites y documentación inherente al Proyecto de Intervención de la Iglesia del Voto Nacional del predio ubicado en la Carrera 15 N° 10-43 en la Ciudad de Bogotá, D. C."/>
    <d v="2019-04-01T00:00:00"/>
    <n v="0"/>
    <d v="2019-04-01T00:00:00"/>
    <x v="7"/>
    <n v="4"/>
    <n v="4"/>
    <n v="0"/>
    <n v="0"/>
    <s v="No aplica"/>
    <s v="No aplica"/>
    <n v="0"/>
    <s v="N.A."/>
    <s v="BIC o Iglesia Voto Nacional"/>
    <n v="6000000"/>
    <n v="600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Bienes de Interés Cultural de tipo inmueble intervenidos "/>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6000000"/>
    <m/>
    <m/>
    <m/>
    <n v="6000000"/>
    <m/>
    <m/>
    <m/>
    <m/>
    <m/>
    <n v="6000000"/>
    <m/>
    <m/>
    <m/>
    <n v="0"/>
    <m/>
    <n v="1"/>
    <m/>
    <m/>
    <m/>
    <m/>
    <m/>
    <m/>
    <m/>
    <m/>
    <m/>
    <m/>
    <m/>
    <m/>
    <m/>
    <m/>
    <n v="0"/>
    <n v="0"/>
    <m/>
  </r>
  <r>
    <n v="318"/>
    <n v="318"/>
    <b v="0"/>
    <s v="Sí"/>
    <s v="1114. Intervención y conservación de los bienes muebles e inmuebles en sectores de interés cultural del Distrito Capital"/>
    <s v="3-3-1-15-02-17-1114-140"/>
    <s v="30151800;30151900;31211500;31211700;31211800;31211900;40141700;81101505;80111617;80111618;72101500;72121400;72141500;72151900;72152700;72154000;93151516;9314170;"/>
    <s v="Prestar servicios profesionales al Instituto Distrital de Patrimonio Cultural  para apoyar la revisión y organización de los insumos técnicos y documentación inherente al proyecto de intervención de BIC Voto Nacional."/>
    <s v="(Cód. 318) Prestar servicios profesionales al Instituto Distrital de Patrimonio Cultural  para apoyar la revisión y organización de los insumos técnicos y documentación inherente al proyecto de intervención de BIC Voto Nacional."/>
    <d v="2019-01-15T00:00:00"/>
    <n v="10"/>
    <d v="2019-01-29T00:00:00"/>
    <x v="1"/>
    <n v="1"/>
    <n v="1"/>
    <n v="3"/>
    <n v="1"/>
    <s v="Contratación directa / Prestación de servicios profesionales y de apoyo a la gestión"/>
    <s v="CCE-16"/>
    <n v="0"/>
    <s v="N.A."/>
    <s v="BIC o Iglesia Voto Nacional"/>
    <n v="15846132"/>
    <n v="15846132"/>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Bienes de Interés Cultural de tipo inmueble intervenidos "/>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15846132"/>
    <m/>
    <m/>
    <m/>
    <n v="15846132"/>
    <m/>
    <m/>
    <m/>
    <m/>
    <m/>
    <n v="15846132"/>
    <m/>
    <m/>
    <m/>
    <n v="0"/>
    <m/>
    <n v="1"/>
    <m/>
    <m/>
    <m/>
    <m/>
    <m/>
    <m/>
    <m/>
    <m/>
    <m/>
    <m/>
    <m/>
    <m/>
    <m/>
    <m/>
    <n v="0"/>
    <n v="0"/>
    <m/>
  </r>
  <r>
    <n v="319"/>
    <n v="319"/>
    <b v="0"/>
    <s v="Sí"/>
    <s v="1114. Intervención y conservación de los bienes muebles e inmuebles en sectores de interés cultural del Distrito Capital"/>
    <s v="3-3-1-15-02-17-1114-140"/>
    <s v="80101600;80101604;80111614;80111617;80111610;81101500;81141500;93141700;94101605;94101608;"/>
    <s v="Realizar la interventoría integral del contrato de obra que tiene por objeto: &quot;Ejecutar las obras por precios unitarios fijos para la restauración de las naves de la Basílica Menor del Sagrado Corazón de Jesús - Iglesia del Voto Nacional.&quot;"/>
    <s v="(Cód. 319) Realizar la interventoría integral del contrato de obra que tiene por objeto: &quot;Ejecutar las obras por precios unitarios fijos para la restauración de las naves de la Basílica Menor del Sagrado Corazón de Jesús - Iglesia del Voto Nacional.&quot;"/>
    <d v="2019-04-15T00:00:00"/>
    <n v="45"/>
    <d v="2019-06-17T00:00:00"/>
    <x v="4"/>
    <n v="4"/>
    <n v="4"/>
    <n v="11"/>
    <n v="1"/>
    <s v="Concurso de méritos"/>
    <s v="CCE-04"/>
    <n v="0"/>
    <s v="N.A."/>
    <s v="BIC o Iglesia Voto Nacional"/>
    <n v="832000000"/>
    <n v="83200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Bienes de Interés Cultural de tipo inmueble intervenidos "/>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832000000"/>
    <m/>
    <m/>
    <m/>
    <n v="832000000"/>
    <m/>
    <m/>
    <m/>
    <m/>
    <m/>
    <n v="832000000"/>
    <m/>
    <m/>
    <m/>
    <n v="0"/>
    <m/>
    <n v="1"/>
    <m/>
    <m/>
    <m/>
    <m/>
    <m/>
    <m/>
    <m/>
    <m/>
    <m/>
    <m/>
    <m/>
    <m/>
    <m/>
    <m/>
    <n v="0"/>
    <n v="0"/>
    <m/>
  </r>
  <r>
    <n v="320"/>
    <n v="320"/>
    <b v="0"/>
    <s v="Sí"/>
    <s v="1114. Intervención y conservación de los bienes muebles e inmuebles en sectores de interés cultural del Distrito Capital"/>
    <s v="3-3-1-15-02-17-1114-140"/>
    <s v="72101500;72101507;93141713;81101505;80111617;80111618;72121400;72141500;72151900;72152700;72154000;93151516;93141707;"/>
    <s v="Ejecutar bajo la modalidad de precios unitarios fijos las obras en la Fachada de la Plaza de Toros la Santamaría, en la ciudad de Bogotá D.C. "/>
    <s v="(Cód. 320) Ejecutar bajo la modalidad de precios unitarios fijos las obras en la Fachada de la Plaza de Toros la Santamaría, en la ciudad de Bogotá D.C. "/>
    <d v="2019-05-15T00:00:00"/>
    <n v="50"/>
    <d v="2019-07-24T00:00:00"/>
    <x v="6"/>
    <n v="5"/>
    <n v="5"/>
    <n v="8"/>
    <n v="1"/>
    <s v="Licitación pública"/>
    <s v="CCE-02"/>
    <n v="0"/>
    <s v="N.A."/>
    <s v="BIC o Plaza Santamaría"/>
    <n v="417804600"/>
    <n v="4178046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Bienes de Interés Cultural de tipo inmueble intervenidos "/>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417804600"/>
    <m/>
    <m/>
    <m/>
    <n v="417804600"/>
    <m/>
    <m/>
    <m/>
    <m/>
    <m/>
    <n v="417804600"/>
    <m/>
    <m/>
    <m/>
    <n v="0"/>
    <m/>
    <n v="1"/>
    <m/>
    <m/>
    <m/>
    <m/>
    <m/>
    <m/>
    <m/>
    <m/>
    <m/>
    <m/>
    <m/>
    <m/>
    <m/>
    <m/>
    <n v="0"/>
    <n v="0"/>
    <m/>
  </r>
  <r>
    <s v="N.A."/>
    <s v="N.A."/>
    <b v="0"/>
    <s v="No"/>
    <s v="1114. Intervención y conservación de los bienes muebles e inmuebles en sectores de interés cultural del Distrito Capital"/>
    <s v="3-3-1-15-02-17-1114-140"/>
    <s v="No aplica"/>
    <s v="Pago de trámites y documentación inherente al Proyecto de Intervención en la fachada de la Plaza de Toros La Santamaría."/>
    <s v="(Cód. N.A.) Pago de trámites y documentación inherente al Proyecto de Intervención en la fachada de la Plaza de Toros La Santamaría."/>
    <d v="2019-05-15T00:00:00"/>
    <n v="0"/>
    <d v="2019-05-15T00:00:00"/>
    <x v="3"/>
    <n v="5"/>
    <n v="5"/>
    <n v="0"/>
    <n v="0"/>
    <s v="No aplica"/>
    <s v="No aplica"/>
    <n v="0"/>
    <s v="N.A."/>
    <s v="BIC o Plaza Santamaría"/>
    <n v="6000000"/>
    <n v="600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Bienes de Interés Cultural de tipo inmueble intervenidos "/>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6000000"/>
    <m/>
    <m/>
    <m/>
    <n v="6000000"/>
    <m/>
    <m/>
    <m/>
    <m/>
    <m/>
    <n v="6000000"/>
    <m/>
    <m/>
    <m/>
    <n v="0"/>
    <m/>
    <n v="1"/>
    <m/>
    <m/>
    <m/>
    <m/>
    <m/>
    <m/>
    <m/>
    <m/>
    <m/>
    <m/>
    <m/>
    <m/>
    <m/>
    <m/>
    <n v="0"/>
    <n v="0"/>
    <m/>
  </r>
  <r>
    <n v="321"/>
    <n v="321"/>
    <b v="0"/>
    <s v="Sí"/>
    <s v="1114. Intervención y conservación de los bienes muebles e inmuebles en sectores de interés cultural del Distrito Capital"/>
    <s v="3-3-1-15-02-17-1114-140"/>
    <s v="81101505;80111617;80111618;72101500;72121400;72141500;72151900;72152700;72154000;93151516;93141707;81141500;80101604;80111614;"/>
    <s v="Realizar la interventoría integral de la obra que tiene por objeto &quot;Ejecutar bajo la modalidad de precios unitarios fijos las obras en la Fachada de la Plaza de Toros la Santamaría, en la ciudad de Bogotá D.C. &quot;"/>
    <s v="(Cód. 321) Realizar la interventoría integral de la obra que tiene por objeto &quot;Ejecutar bajo la modalidad de precios unitarios fijos las obras en la Fachada de la Plaza de Toros la Santamaría, en la ciudad de Bogotá D.C. &quot;"/>
    <d v="2019-05-20T00:00:00"/>
    <n v="45"/>
    <d v="2019-07-22T00:00:00"/>
    <x v="6"/>
    <n v="5"/>
    <n v="5"/>
    <n v="9"/>
    <n v="1"/>
    <s v="Concurso de méritos"/>
    <s v="CCE-04"/>
    <n v="0"/>
    <s v="N.A."/>
    <s v="BIC o Plaza Santamaría"/>
    <n v="76195399"/>
    <n v="76195399"/>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Bienes de Interés Cultural de tipo inmueble intervenidos "/>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76195399"/>
    <m/>
    <m/>
    <m/>
    <n v="76195399"/>
    <m/>
    <m/>
    <m/>
    <m/>
    <m/>
    <n v="76195399"/>
    <m/>
    <m/>
    <m/>
    <n v="0"/>
    <m/>
    <n v="1"/>
    <m/>
    <m/>
    <m/>
    <m/>
    <m/>
    <m/>
    <m/>
    <m/>
    <m/>
    <m/>
    <m/>
    <m/>
    <m/>
    <m/>
    <n v="0"/>
    <n v="0"/>
    <m/>
  </r>
  <r>
    <s v="N.A."/>
    <s v="N.A."/>
    <b v="0"/>
    <s v="No"/>
    <s v="1114. Intervención y conservación de los bienes muebles e inmuebles en sectores de interés cultural del Distrito Capital"/>
    <s v="3-3-1-15-02-17-1114-140"/>
    <s v="No aplica"/>
    <s v="Valor presupuestado para adelantar un traslado presupuestal al rubro Pasivos Exigibles por concepto del saldo a favor del Convenio Interadministrativo No. 363 de 2017 suscrito con la Universidad Nacional."/>
    <s v="(Cód. N.A.) Valor presupuestado para adelantar un traslado presupuestal al rubro Pasivos Exigibles por concepto del saldo a favor del Convenio Interadministrativo No. 363 de 2017 suscrito con la Universidad Nacional."/>
    <d v="2019-05-20T00:00:00"/>
    <n v="0"/>
    <d v="2019-05-20T00:00:00"/>
    <x v="3"/>
    <n v="5"/>
    <n v="5"/>
    <n v="0"/>
    <n v="0"/>
    <s v="No aplica"/>
    <s v="No aplica"/>
    <n v="0"/>
    <s v="N.A."/>
    <s v="BIC o Plaza Santamaría"/>
    <n v="38000000"/>
    <n v="3800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Bienes de Interés Cultural de tipo inmueble intervenidos "/>
    <s v="4. Obras de Intervención en Bienes muebles - inmuebles y sectores que conforman el patrimonio cultural del D.C."/>
    <s v="FONT1114"/>
    <m/>
    <s v="Alerta: Seleccione la celda en la comumna AI con el concepto de gasto"/>
    <s v="Alerta: Seleccione la celda en la comumna AI con el concepto de gasto"/>
    <m/>
    <s v="Alerta: Seleccione el Concepto de Gasto primero"/>
    <n v="38000000"/>
    <m/>
    <m/>
    <m/>
    <n v="38000000"/>
    <m/>
    <m/>
    <m/>
    <m/>
    <m/>
    <n v="38000000"/>
    <m/>
    <m/>
    <m/>
    <n v="0"/>
    <m/>
    <n v="1"/>
    <m/>
    <m/>
    <m/>
    <m/>
    <m/>
    <m/>
    <m/>
    <m/>
    <m/>
    <m/>
    <m/>
    <m/>
    <m/>
    <m/>
    <n v="0"/>
    <n v="0"/>
    <m/>
  </r>
  <r>
    <n v="322"/>
    <n v="322"/>
    <b v="0"/>
    <s v="Sí"/>
    <s v="1114. Intervención y conservación de los bienes muebles e inmuebles en sectores de interés cultural del Distrito Capital"/>
    <s v="3-3-1-15-02-17-1114-140"/>
    <s v="81101505;80111617;80111618;72101500;72121400;72141500;72151900;72152700;72154000;93151516;93141707;"/>
    <s v="Ejecutar bajo la modalidad de precios unitarios la obra de intervención de la del inmueble ubicado en la Calle 12 B N° 2-91 denominado Casa Tito."/>
    <s v="(Cód. 322) Ejecutar bajo la modalidad de precios unitarios la obra de intervención de la del inmueble ubicado en la Calle 12 B N° 2-91 denominado Casa Tito."/>
    <d v="2019-06-01T00:00:00"/>
    <n v="50"/>
    <d v="2019-08-09T00:00:00"/>
    <x v="9"/>
    <n v="6"/>
    <n v="6"/>
    <n v="6"/>
    <n v="1"/>
    <s v="Licitación pública"/>
    <s v="CCE-02"/>
    <n v="0"/>
    <s v="N.A."/>
    <s v="BIC o Sede Casa Tito IDPC"/>
    <n v="330900000"/>
    <n v="33090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Bienes de Interés Cultural de tipo inmueble intervenidos "/>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330900000"/>
    <m/>
    <m/>
    <m/>
    <n v="330900000"/>
    <m/>
    <m/>
    <m/>
    <m/>
    <m/>
    <n v="330900000"/>
    <m/>
    <m/>
    <m/>
    <n v="0"/>
    <m/>
    <n v="1"/>
    <m/>
    <m/>
    <m/>
    <m/>
    <m/>
    <m/>
    <m/>
    <m/>
    <m/>
    <m/>
    <m/>
    <m/>
    <m/>
    <m/>
    <n v="0"/>
    <n v="0"/>
    <m/>
  </r>
  <r>
    <s v="N.A."/>
    <s v="N.A."/>
    <b v="0"/>
    <s v="No"/>
    <s v="1114. Intervención y conservación de los bienes muebles e inmuebles en sectores de interés cultural del Distrito Capital"/>
    <s v="3-3-1-15-02-17-1114-140"/>
    <s v="No aplica"/>
    <s v="Pago de expensas con cargo variable para la Licencia de Construcción del predio denominado Casa Tito"/>
    <s v="(Cód. N.A.) Pago de expensas con cargo variable para la Licencia de Construcción del predio denominado Casa Tito"/>
    <d v="2019-06-01T00:00:00"/>
    <n v="0"/>
    <d v="2019-06-01T00:00:00"/>
    <x v="4"/>
    <n v="6"/>
    <n v="6"/>
    <n v="0"/>
    <n v="0"/>
    <s v="No aplica"/>
    <s v="No aplica"/>
    <n v="0"/>
    <s v="N.A."/>
    <s v="BIC o Sede Casa Tito IDPC"/>
    <n v="3000000"/>
    <n v="300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Bienes de Interés Cultural de tipo inmueble intervenidos "/>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3000000"/>
    <m/>
    <m/>
    <m/>
    <n v="3000000"/>
    <m/>
    <m/>
    <m/>
    <m/>
    <m/>
    <n v="3000000"/>
    <m/>
    <m/>
    <m/>
    <n v="0"/>
    <m/>
    <n v="1"/>
    <m/>
    <m/>
    <m/>
    <m/>
    <m/>
    <m/>
    <m/>
    <m/>
    <m/>
    <m/>
    <m/>
    <m/>
    <m/>
    <m/>
    <n v="0"/>
    <n v="0"/>
    <m/>
  </r>
  <r>
    <n v="323"/>
    <n v="323"/>
    <b v="0"/>
    <s v="Sí"/>
    <s v="1114. Intervención y conservación de los bienes muebles e inmuebles en sectores de interés cultural del Distrito Capital"/>
    <s v="3-3-1-15-02-17-1114-140"/>
    <s v="80101600;80101604;80111614;80111617;80111610;81101500;81141500;93141700;94101605;94101608;"/>
    <s v="Realizar la interventoría integral de la obra cuyo objeto es: &quot;Ejecutar bajo la modalidad de precios unitarios la obra de intervención de la del inmueble ubicado en la Calle 12 B N° 2-91 denominado Casa Tito.&quot;"/>
    <s v="(Cód. 323) Realizar la interventoría integral de la obra cuyo objeto es: &quot;Ejecutar bajo la modalidad de precios unitarios la obra de intervención de la del inmueble ubicado en la Calle 12 B N° 2-91 denominado Casa Tito.&quot;"/>
    <d v="2019-06-01T00:00:00"/>
    <n v="45"/>
    <d v="2019-08-02T00:00:00"/>
    <x v="9"/>
    <n v="6"/>
    <n v="6"/>
    <n v="7"/>
    <n v="1"/>
    <s v="Concurso de méritos"/>
    <s v="CCE-04"/>
    <n v="0"/>
    <s v="N.A."/>
    <s v="BIC o Sede Casa Tito IDPC"/>
    <n v="66100000"/>
    <n v="6610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Bienes de Interés Cultural de tipo inmueble intervenidos "/>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66100000"/>
    <m/>
    <m/>
    <m/>
    <n v="66100000"/>
    <m/>
    <m/>
    <m/>
    <m/>
    <m/>
    <n v="66100000"/>
    <m/>
    <m/>
    <m/>
    <n v="0"/>
    <m/>
    <n v="1"/>
    <m/>
    <m/>
    <m/>
    <m/>
    <m/>
    <m/>
    <m/>
    <m/>
    <m/>
    <m/>
    <m/>
    <m/>
    <m/>
    <m/>
    <n v="0"/>
    <n v="0"/>
    <m/>
  </r>
  <r>
    <n v="324"/>
    <n v="324"/>
    <b v="0"/>
    <s v="Sí"/>
    <s v="1114. Intervención y conservación de los bienes muebles e inmuebles en sectores de interés cultural del Distrito Capital"/>
    <s v="3-3-1-15-02-17-1114-140"/>
    <s v="93141707;39121107;"/>
    <s v="Realizar los estudios y diseños para la intervención integral de bienes muebles-inmuebles en el espacio público de la ciudad de Bogotá, D.C."/>
    <s v="(Cód. 324) Realizar los estudios y diseños para la intervención integral de bienes muebles-inmuebles en el espacio público de la ciudad de Bogotá, D.C."/>
    <d v="2019-02-20T00:00:00"/>
    <n v="45"/>
    <d v="2019-04-24T00:00:00"/>
    <x v="7"/>
    <n v="2"/>
    <n v="2"/>
    <n v="4"/>
    <n v="1"/>
    <s v="Concurso de méritos"/>
    <s v="CCE-04"/>
    <n v="0"/>
    <s v="N.A."/>
    <s v="Estudios y diseños para la intervención integral de bienes muebles"/>
    <n v="100000000"/>
    <n v="10000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Monumentos en espacios públicos a intervenir"/>
    <s v="4. Obras de Intervención en Bienes muebles - inmuebles y sectores que conforman el patrimonio cultural del D.C."/>
    <s v="FONT1114"/>
    <s v="12-Otros Distrito"/>
    <s v="01-INFRAESTRUCTURA"/>
    <s v="03-MEJORAMIENTO Y MANTENIMIENTO DE INFRAESTRUCTURA PROPIA DEL SECTOR"/>
    <s v="0103-Administración, mantenimiento y mejoramiento de los bienes muebles e inmuebles ubicados en el espacio público del Distrito Capital"/>
    <n v="1"/>
    <n v="100000000"/>
    <m/>
    <m/>
    <m/>
    <n v="100000000"/>
    <m/>
    <m/>
    <m/>
    <m/>
    <m/>
    <n v="100000000"/>
    <m/>
    <m/>
    <m/>
    <n v="0"/>
    <m/>
    <n v="1"/>
    <m/>
    <m/>
    <m/>
    <m/>
    <m/>
    <m/>
    <m/>
    <m/>
    <m/>
    <m/>
    <m/>
    <m/>
    <m/>
    <m/>
    <n v="0"/>
    <n v="0"/>
    <m/>
  </r>
  <r>
    <n v="325"/>
    <n v="325"/>
    <b v="0"/>
    <s v="Sí"/>
    <s v="1114. Intervención y conservación de los bienes muebles e inmuebles en sectores de interés cultural del Distrito Capital"/>
    <s v="3-3-1-15-02-17-1114-140"/>
    <s v="93141707;"/>
    <s v="Realizar la consultoría para elaborar los estudios técnicos, jurídicos, financieros y diseños definitivos para la construcción de las Galerías comerciales del edificio Liévano primera planta colindante con la carrera 8 entre calle 10 y calle 11."/>
    <s v="(Cód. 325) Realizar la consultoría para elaborar los estudios técnicos, jurídicos, financieros y diseños definitivos para la construcción de las Galerías comerciales del edificio Liévano primera planta colindante con la carrera 8 entre calle 10 y calle 11."/>
    <d v="2019-04-15T00:00:00"/>
    <n v="45"/>
    <d v="2019-06-17T00:00:00"/>
    <x v="4"/>
    <n v="4"/>
    <n v="4"/>
    <n v="5"/>
    <n v="1"/>
    <s v="Concurso de méritos"/>
    <s v="CCE-04"/>
    <n v="0"/>
    <s v="N.A."/>
    <s v="Galerías del Palacio Liévano"/>
    <n v="350000000"/>
    <n v="35000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Bienes de Interés Cultural de tipo inmueble intervenidos "/>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350000000"/>
    <m/>
    <m/>
    <m/>
    <n v="350000000"/>
    <m/>
    <m/>
    <m/>
    <m/>
    <m/>
    <n v="350000000"/>
    <m/>
    <m/>
    <m/>
    <n v="0"/>
    <m/>
    <n v="1"/>
    <m/>
    <m/>
    <m/>
    <m/>
    <m/>
    <m/>
    <m/>
    <m/>
    <m/>
    <m/>
    <m/>
    <m/>
    <m/>
    <m/>
    <n v="0"/>
    <n v="0"/>
    <m/>
  </r>
  <r>
    <n v="326"/>
    <n v="326"/>
    <b v="0"/>
    <s v="Sí"/>
    <s v="1114. Intervención y conservación de los bienes muebles e inmuebles en sectores de interés cultural del Distrito Capital"/>
    <s v="3-3-1-15-02-17-1114-140"/>
    <s v="81101505;80111617;80111618;72101500;72121400;72141500;72151900;72152700;72154000;93151516;93141707;81141500;80101604;80111614;"/>
    <s v="Realizar la intervención y mantenimiento de las Fachadas de las Iglesias Sanfrancisco, Egipto y Candelaria en la ciudad de Bogotá."/>
    <s v="(Cód. 326) Realizar la intervención y mantenimiento de las Fachadas de las Iglesias Sanfrancisco, Egipto y Candelaria en la ciudad de Bogotá."/>
    <d v="2019-05-01T00:00:00"/>
    <n v="50"/>
    <d v="2019-07-10T00:00:00"/>
    <x v="6"/>
    <n v="5"/>
    <n v="5"/>
    <n v="7"/>
    <n v="1"/>
    <s v="Licitación pública"/>
    <s v="CCE-02"/>
    <n v="0"/>
    <s v="N.A."/>
    <s v="Intervención y mantenimiento de las Fachadas de las Iglesias San Francisco, Egipto y Candelaria "/>
    <n v="600000000"/>
    <n v="60000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Programa Fachadas"/>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600000000"/>
    <m/>
    <m/>
    <m/>
    <n v="600000000"/>
    <m/>
    <m/>
    <m/>
    <m/>
    <m/>
    <n v="600000000"/>
    <m/>
    <m/>
    <m/>
    <n v="0"/>
    <m/>
    <n v="1"/>
    <m/>
    <m/>
    <m/>
    <m/>
    <m/>
    <m/>
    <m/>
    <m/>
    <m/>
    <m/>
    <m/>
    <m/>
    <m/>
    <m/>
    <n v="0"/>
    <n v="0"/>
    <m/>
  </r>
  <r>
    <n v="327"/>
    <n v="327"/>
    <b v="0"/>
    <s v="Sí"/>
    <s v="1114. Intervención y conservación de los bienes muebles e inmuebles en sectores de interés cultural del Distrito Capital"/>
    <s v="3-3-1-15-02-17-1114-140"/>
    <s v="80101600;80101604;80111614;80111617;80111610;81101500;81141500;93141700;94101605;94101608;"/>
    <s v="Realizar la interventoría integral para la intervención y mantenimiento de las Fachadas de las Iglesias Sanfrancisco, Egipto y Candelaria en la ciudad de Bogotá."/>
    <s v="(Cód. 327) Realizar la interventoría integral para la intervención y mantenimiento de las Fachadas de las Iglesias Sanfrancisco, Egipto y Candelaria en la ciudad de Bogotá."/>
    <d v="2019-05-01T00:00:00"/>
    <n v="45"/>
    <d v="2019-07-03T00:00:00"/>
    <x v="6"/>
    <n v="5"/>
    <n v="5"/>
    <n v="8"/>
    <n v="1"/>
    <s v="Concurso de méritos"/>
    <s v="CCE-04"/>
    <n v="0"/>
    <s v="N.A."/>
    <s v="Intervención y mantenimiento de las Fachadas de las Iglesias San Francisco, Egipto y Candelaria "/>
    <n v="160000000"/>
    <n v="16000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Programa Fachadas"/>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160000000"/>
    <m/>
    <m/>
    <m/>
    <n v="160000000"/>
    <m/>
    <m/>
    <m/>
    <m/>
    <m/>
    <n v="160000000"/>
    <m/>
    <m/>
    <m/>
    <n v="0"/>
    <m/>
    <n v="1"/>
    <m/>
    <m/>
    <m/>
    <m/>
    <m/>
    <m/>
    <m/>
    <m/>
    <m/>
    <m/>
    <m/>
    <m/>
    <m/>
    <m/>
    <n v="0"/>
    <n v="0"/>
    <m/>
  </r>
  <r>
    <n v="328"/>
    <n v="328"/>
    <b v="0"/>
    <s v="Sí"/>
    <s v="1114. Intervención y conservación de los bienes muebles e inmuebles en sectores de interés cultural del Distrito Capital"/>
    <s v="3-3-1-15-02-17-1114-140"/>
    <s v="25101600;78101800;78121600"/>
    <s v="Contratar el servicio de transporte terrestre de carga con conductor y combustible, para transportar insumos, materiales, herramientas y equipos que requiera el Instituto Distrital de Patrimonio Cultural dentro del perímetro urbano de la ciudad de Bogotá D.C."/>
    <s v="(Cód. 328) Contratar el servicio de transporte terrestre de carga con conductor y combustible, para transportar insumos, materiales, herramientas y equipos que requiera el Instituto Distrital de Patrimonio Cultural dentro del perímetro urbano de la ciudad de Bogotá D.C."/>
    <d v="2019-02-15T00:00:00"/>
    <n v="45"/>
    <d v="2019-04-19T00:00:00"/>
    <x v="7"/>
    <n v="2"/>
    <n v="2"/>
    <n v="9"/>
    <n v="1"/>
    <s v="Subasta inversa"/>
    <s v="CCE-07"/>
    <n v="0"/>
    <s v="Transporte carga"/>
    <s v="Intervención y Protección en Fachadas"/>
    <n v="30000000"/>
    <n v="3000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Programa Fachadas"/>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30000000"/>
    <m/>
    <m/>
    <m/>
    <n v="30000000"/>
    <m/>
    <m/>
    <m/>
    <m/>
    <m/>
    <n v="30000000"/>
    <m/>
    <m/>
    <m/>
    <n v="0"/>
    <m/>
    <n v="1"/>
    <m/>
    <m/>
    <m/>
    <m/>
    <m/>
    <m/>
    <m/>
    <m/>
    <m/>
    <m/>
    <m/>
    <m/>
    <m/>
    <m/>
    <n v="0"/>
    <n v="0"/>
    <m/>
  </r>
  <r>
    <n v="329"/>
    <n v="329"/>
    <b v="0"/>
    <s v="Sí"/>
    <s v="1114. Intervención y conservación de los bienes muebles e inmuebles en sectores de interés cultural del Distrito Capital"/>
    <s v="3-3-1-15-02-17-1114-140"/>
    <s v="23240000;24110000;24141500;27110000;30110000;30151800;30151900;30161500;30161600;30190000;31160000;31200000;31210000;39121700;40140000;31162800;39100000_x000a_"/>
    <s v="Contratar insumos de ferretería, materiales y herramientas requeridas para la ejecución de intervenciones técnicas necesarias para el enlucimiento de fachadas, limpieza y mantenimiento de los Bienes de Interés Cultural muebles en espacio público e instalaciones que se utilizan para la prestación del servicio del Instituto Distrital de Patrimonio Cultural, en la ciudad de Bogotá D.C."/>
    <s v="(Cód. 329) Contratar insumos de ferretería, materiales y herramientas requeridas para la ejecución de intervenciones técnicas necesarias para el enlucimiento de fachadas, limpieza y mantenimiento de los Bienes de Interés Cultural muebles en espacio público e instalaciones que se utilizan para la prestación del servicio del Instituto Distrital de Patrimonio Cultural, en la ciudad de Bogotá D.C."/>
    <d v="2019-02-15T00:00:00"/>
    <n v="45"/>
    <d v="2019-04-19T00:00:00"/>
    <x v="7"/>
    <n v="2"/>
    <n v="2"/>
    <n v="9"/>
    <n v="1"/>
    <s v="Subasta inversa"/>
    <s v="CCE-07"/>
    <n v="0"/>
    <s v="Ferretería"/>
    <s v="Intervención y Protección en Fachadas"/>
    <n v="170048947"/>
    <n v="170048947"/>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Programa Fachadas"/>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170048947"/>
    <m/>
    <m/>
    <m/>
    <n v="170048947"/>
    <m/>
    <m/>
    <m/>
    <m/>
    <m/>
    <n v="170048947"/>
    <m/>
    <m/>
    <m/>
    <n v="0"/>
    <m/>
    <n v="1"/>
    <m/>
    <m/>
    <m/>
    <m/>
    <m/>
    <m/>
    <m/>
    <m/>
    <m/>
    <m/>
    <m/>
    <m/>
    <m/>
    <m/>
    <n v="0"/>
    <n v="0"/>
    <m/>
  </r>
  <r>
    <n v="330"/>
    <n v="330"/>
    <b v="0"/>
    <s v="Sí"/>
    <s v="1114. Intervención y conservación de los bienes muebles e inmuebles en sectores de interés cultural del Distrito Capital"/>
    <s v="3-3-1-15-02-17-1114-140"/>
    <s v="80111618;93141707"/>
    <s v="Prestar servicios de apoyo a la gestión al Instituto Distrital de Patrimonio Cultural en áreas de seguridad industrial y acompañamiento en las labores de campo adelantadas por la Subdirección de Intervención. "/>
    <s v="(Cód. 330) Prestar servicios de apoyo a la gestión al Instituto Distrital de Patrimonio Cultural en áreas de seguridad industrial y acompañamiento en las labores de campo adelantadas por la Subdirección de Intervención. "/>
    <d v="2019-01-15T00:00:00"/>
    <n v="10"/>
    <d v="2019-01-29T00:00:00"/>
    <x v="1"/>
    <n v="1"/>
    <n v="1"/>
    <n v="11"/>
    <n v="1"/>
    <s v="Contratación directa / Prestación de servicios profesionales y de apoyo a la gestión"/>
    <s v="CCE-16"/>
    <n v="0"/>
    <s v="N.A."/>
    <s v="Intervención y Protección en Fachadas"/>
    <n v="35640000"/>
    <n v="3564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Programa Fachadas"/>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35640000"/>
    <m/>
    <m/>
    <m/>
    <n v="35640000"/>
    <m/>
    <m/>
    <m/>
    <m/>
    <m/>
    <n v="35640000"/>
    <m/>
    <m/>
    <m/>
    <n v="0"/>
    <m/>
    <n v="1"/>
    <m/>
    <m/>
    <m/>
    <m/>
    <m/>
    <m/>
    <m/>
    <m/>
    <m/>
    <m/>
    <m/>
    <m/>
    <m/>
    <m/>
    <n v="0"/>
    <n v="0"/>
    <m/>
  </r>
  <r>
    <n v="331"/>
    <n v="331"/>
    <b v="0"/>
    <s v="Sí"/>
    <s v="1114. Intervención y conservación de los bienes muebles e inmuebles en sectores de interés cultural del Distrito Capital"/>
    <s v="3-3-1-15-02-17-1114-140"/>
    <s v="80111618;80111611;93141707;72101500;80101604;80111614;80111617;81101500;93142009"/>
    <s v="Prestar servicios de apoyo a la gestión al Instituto Distrital de Patrimonio Cultural en la administración, el recibo y/o entrega de materiales, herramienta y equipos, control de inventarios y el buen uso de los mismos; en el marco de las acciones del Programa de Enlucimiento de Fachadas. "/>
    <s v="(Cód. 331) Prestar servicios de apoyo a la gestión al Instituto Distrital de Patrimonio Cultural en la administración, el recibo y/o entrega de materiales, herramienta y equipos, control de inventarios y el buen uso de los mismos; en el marco de las acciones del Programa de Enlucimiento de Fachadas. "/>
    <d v="2019-01-15T00:00:00"/>
    <n v="10"/>
    <d v="2019-01-29T00:00:00"/>
    <x v="1"/>
    <n v="1"/>
    <n v="1"/>
    <n v="11"/>
    <n v="1"/>
    <s v="Contratación directa / Prestación de servicios profesionales y de apoyo a la gestión"/>
    <s v="CCE-16"/>
    <n v="0"/>
    <s v="N.A."/>
    <s v="Intervención y Protección en Fachadas"/>
    <n v="32120000"/>
    <n v="3212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Programa Fachadas"/>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32120000"/>
    <m/>
    <m/>
    <m/>
    <n v="32120000"/>
    <m/>
    <m/>
    <m/>
    <m/>
    <m/>
    <n v="32120000"/>
    <m/>
    <m/>
    <m/>
    <n v="0"/>
    <m/>
    <n v="1"/>
    <m/>
    <m/>
    <m/>
    <m/>
    <m/>
    <m/>
    <m/>
    <m/>
    <m/>
    <m/>
    <m/>
    <m/>
    <m/>
    <m/>
    <n v="0"/>
    <n v="0"/>
    <m/>
  </r>
  <r>
    <n v="332"/>
    <n v="332"/>
    <b v="0"/>
    <s v="Sí"/>
    <s v="1114. Intervención y conservación de los bienes muebles e inmuebles en sectores de interés cultural del Distrito Capital"/>
    <s v="3-3-1-15-02-17-1114-140"/>
    <s v="80111618; 93141707"/>
    <s v="Prestar servicios de apoyo a la gestión al Instituto Distrital de Patrimonio Cultural para el monitoreo de las acciones de intervención adelantadas en el marco del Programa de enlucimiento de fachadas &quot;El Patrimonio se Luce&quot;, de acuerdo con la programación establecida."/>
    <s v="(Cód. 332) Prestar servicios de apoyo a la gestión al Instituto Distrital de Patrimonio Cultural para el monitoreo de las acciones de intervención adelantadas en el marco del Programa de enlucimiento de fachadas &quot;El Patrimonio se Luce&quot;, de acuerdo con la programación establecida."/>
    <d v="2019-01-15T00:00:00"/>
    <n v="10"/>
    <d v="2019-01-29T00:00:00"/>
    <x v="1"/>
    <n v="1"/>
    <n v="1"/>
    <n v="11"/>
    <n v="1"/>
    <s v="Contratación directa / Prestación de servicios profesionales y de apoyo a la gestión"/>
    <s v="CCE-16"/>
    <n v="0"/>
    <s v="N.A."/>
    <s v="Intervención y Protección en Fachadas"/>
    <n v="28930000"/>
    <n v="2893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Programa Fachadas"/>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28930000"/>
    <m/>
    <m/>
    <m/>
    <n v="28930000"/>
    <m/>
    <m/>
    <m/>
    <m/>
    <m/>
    <n v="28930000"/>
    <m/>
    <m/>
    <m/>
    <n v="0"/>
    <m/>
    <n v="1"/>
    <m/>
    <m/>
    <m/>
    <m/>
    <m/>
    <m/>
    <m/>
    <m/>
    <m/>
    <m/>
    <m/>
    <m/>
    <m/>
    <m/>
    <n v="0"/>
    <n v="0"/>
    <m/>
  </r>
  <r>
    <n v="333"/>
    <n v="333"/>
    <b v="0"/>
    <s v="Sí"/>
    <s v="1114. Intervención y conservación de los bienes muebles e inmuebles en sectores de interés cultural del Distrito Capital"/>
    <s v="3-3-1-15-02-17-1114-140"/>
    <s v="80111618; 93141707"/>
    <s v="Prestar servicios de apoyo a la gestión al Instituto Distrital de Patrimonio Cultural para el monitoreo de las acciones de intervención adelantadas en el marco del Programa de enlucimiento de fachadas &quot;El Patrimonio se Luce&quot;, de acuerdo con la programación establecida."/>
    <s v="(Cód. 333) Prestar servicios de apoyo a la gestión al Instituto Distrital de Patrimonio Cultural para el monitoreo de las acciones de intervención adelantadas en el marco del Programa de enlucimiento de fachadas &quot;El Patrimonio se Luce&quot;, de acuerdo con la programación establecida."/>
    <d v="2019-01-15T00:00:00"/>
    <n v="10"/>
    <d v="2019-01-29T00:00:00"/>
    <x v="1"/>
    <n v="1"/>
    <n v="1"/>
    <n v="11"/>
    <n v="1"/>
    <s v="Contratación directa / Prestación de servicios profesionales y de apoyo a la gestión"/>
    <s v="CCE-16"/>
    <n v="0"/>
    <s v="N.A."/>
    <s v="Intervención y Protección en Fachadas"/>
    <n v="28930000"/>
    <n v="2893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Programa Fachadas"/>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28930000"/>
    <m/>
    <m/>
    <m/>
    <n v="28930000"/>
    <m/>
    <m/>
    <m/>
    <m/>
    <m/>
    <n v="28930000"/>
    <m/>
    <m/>
    <m/>
    <n v="0"/>
    <m/>
    <n v="1"/>
    <m/>
    <m/>
    <m/>
    <m/>
    <m/>
    <m/>
    <m/>
    <m/>
    <m/>
    <m/>
    <m/>
    <m/>
    <m/>
    <m/>
    <n v="0"/>
    <n v="0"/>
    <m/>
  </r>
  <r>
    <n v="334"/>
    <n v="334"/>
    <b v="0"/>
    <s v="Sí"/>
    <s v="1114. Intervención y conservación de los bienes muebles e inmuebles en sectores de interés cultural del Distrito Capital"/>
    <s v="3-3-1-15-02-17-1114-140"/>
    <s v="80111618; 93141707"/>
    <s v="Prestar servicios de apoyo a la gestión al Instituto Distrital de Patrimonio Cultural para la correcta ejecución de las intervenciones adelantadas por el Programa de enlucimiento de fachadas &quot;El Patrimonio se Luce&quot;, de acuerdo con la programación establecida."/>
    <s v="(Cód. 334) Prestar servicios de apoyo a la gestión al Instituto Distrital de Patrimonio Cultural para la correcta ejecución de las intervenciones adelantadas por el Programa de enlucimiento de fachadas &quot;El Patrimonio se Luce&quot;, de acuerdo con la programación establecida."/>
    <d v="2019-01-18T00:00:00"/>
    <n v="10"/>
    <d v="2019-02-01T00:00:00"/>
    <x v="0"/>
    <n v="1"/>
    <n v="1"/>
    <n v="11"/>
    <n v="1"/>
    <s v="Contratación directa / Prestación de servicios profesionales y de apoyo a la gestión"/>
    <s v="CCE-16"/>
    <n v="0"/>
    <s v="N.A."/>
    <s v="Intervención y Protección en Fachadas"/>
    <n v="21670000"/>
    <n v="2167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Programa Fachadas"/>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21670000"/>
    <m/>
    <m/>
    <m/>
    <n v="21670000"/>
    <m/>
    <m/>
    <m/>
    <m/>
    <m/>
    <n v="21670000"/>
    <m/>
    <m/>
    <m/>
    <n v="0"/>
    <m/>
    <n v="1"/>
    <m/>
    <m/>
    <m/>
    <m/>
    <m/>
    <m/>
    <m/>
    <m/>
    <m/>
    <m/>
    <m/>
    <m/>
    <m/>
    <m/>
    <n v="0"/>
    <n v="0"/>
    <m/>
  </r>
  <r>
    <n v="335"/>
    <n v="335"/>
    <b v="0"/>
    <s v="Sí"/>
    <s v="1114. Intervención y conservación de los bienes muebles e inmuebles en sectores de interés cultural del Distrito Capital"/>
    <s v="3-3-1-15-02-17-1114-140"/>
    <s v="80111618; 93141707"/>
    <s v="Prestar servicios de apoyo a la gestión al Instituto Distrital de Patrimonio Cultural para la correcta ejecución de las intervenciones adelantadas por el Programa de enlucimiento de fachadas &quot;El Patrimonio se Luce&quot;, de acuerdo con la programación establecida."/>
    <s v="(Cód. 335) Prestar servicios de apoyo a la gestión al Instituto Distrital de Patrimonio Cultural para la correcta ejecución de las intervenciones adelantadas por el Programa de enlucimiento de fachadas &quot;El Patrimonio se Luce&quot;, de acuerdo con la programación establecida."/>
    <d v="2019-01-19T00:00:00"/>
    <n v="10"/>
    <d v="2019-02-01T00:00:00"/>
    <x v="0"/>
    <n v="1"/>
    <n v="1"/>
    <n v="11"/>
    <n v="1"/>
    <s v="Contratación directa / Prestación de servicios profesionales y de apoyo a la gestión"/>
    <s v="CCE-16"/>
    <n v="0"/>
    <s v="N.A."/>
    <s v="Intervención y Protección en Fachadas"/>
    <n v="21670000"/>
    <n v="2167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Programa Fachadas"/>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21670000"/>
    <m/>
    <m/>
    <m/>
    <n v="21670000"/>
    <m/>
    <m/>
    <m/>
    <m/>
    <m/>
    <n v="21670000"/>
    <m/>
    <m/>
    <m/>
    <n v="0"/>
    <m/>
    <n v="1"/>
    <m/>
    <m/>
    <m/>
    <m/>
    <m/>
    <m/>
    <m/>
    <m/>
    <m/>
    <m/>
    <m/>
    <m/>
    <m/>
    <m/>
    <n v="0"/>
    <n v="0"/>
    <m/>
  </r>
  <r>
    <n v="336"/>
    <n v="336"/>
    <b v="0"/>
    <s v="Sí"/>
    <s v="1114. Intervención y conservación de los bienes muebles e inmuebles en sectores de interés cultural del Distrito Capital"/>
    <s v="3-3-1-15-02-17-1114-140"/>
    <s v="80111618; 93141707"/>
    <s v="Prestar servicios de apoyo a la gestión al Instituto Distrital de Patrimonio Cultural para la correcta ejecución de las intervenciones adelantadas por el Programa de enlucimiento de fachadas &quot;El Patrimonio se Luce&quot;, de acuerdo con la programación establecida."/>
    <s v="(Cód. 336) Prestar servicios de apoyo a la gestión al Instituto Distrital de Patrimonio Cultural para la correcta ejecución de las intervenciones adelantadas por el Programa de enlucimiento de fachadas &quot;El Patrimonio se Luce&quot;, de acuerdo con la programación establecida."/>
    <d v="2019-01-20T00:00:00"/>
    <n v="10"/>
    <d v="2019-02-01T00:00:00"/>
    <x v="0"/>
    <n v="1"/>
    <n v="1"/>
    <n v="11"/>
    <n v="1"/>
    <s v="Contratación directa / Prestación de servicios profesionales y de apoyo a la gestión"/>
    <s v="CCE-16"/>
    <n v="0"/>
    <s v="N.A."/>
    <s v="Intervención y Protección en Fachadas"/>
    <n v="21670000"/>
    <n v="2167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Programa Fachadas"/>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21670000"/>
    <m/>
    <m/>
    <m/>
    <n v="21670000"/>
    <m/>
    <m/>
    <m/>
    <m/>
    <m/>
    <n v="21670000"/>
    <m/>
    <m/>
    <m/>
    <n v="0"/>
    <m/>
    <n v="1"/>
    <m/>
    <m/>
    <m/>
    <m/>
    <m/>
    <m/>
    <m/>
    <m/>
    <m/>
    <m/>
    <m/>
    <m/>
    <m/>
    <m/>
    <n v="0"/>
    <n v="0"/>
    <m/>
  </r>
  <r>
    <n v="337"/>
    <n v="337"/>
    <b v="0"/>
    <s v="Sí"/>
    <s v="1114. Intervención y conservación de los bienes muebles e inmuebles en sectores de interés cultural del Distrito Capital"/>
    <s v="3-3-1-15-02-17-1114-140"/>
    <s v="80111618; 93141707"/>
    <s v="Prestar servicios de apoyo a la gestión al Instituto Distrital de Patrimonio Cultural para la correcta ejecución de las intervenciones adelantadas por el Programa de enlucimiento de fachadas &quot;El Patrimonio se Luce&quot;, de acuerdo con la programación establecida."/>
    <s v="(Cód. 337) Prestar servicios de apoyo a la gestión al Instituto Distrital de Patrimonio Cultural para la correcta ejecución de las intervenciones adelantadas por el Programa de enlucimiento de fachadas &quot;El Patrimonio se Luce&quot;, de acuerdo con la programación establecida."/>
    <d v="2019-01-20T00:00:00"/>
    <n v="10"/>
    <d v="2019-02-01T00:00:00"/>
    <x v="0"/>
    <n v="1"/>
    <n v="1"/>
    <n v="11"/>
    <n v="1"/>
    <s v="Contratación directa / Prestación de servicios profesionales y de apoyo a la gestión"/>
    <s v="CCE-16"/>
    <n v="0"/>
    <s v="N.A."/>
    <s v="Intervención y Protección en Fachadas"/>
    <n v="21670000"/>
    <n v="2167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Programa Fachadas"/>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21670000"/>
    <m/>
    <m/>
    <m/>
    <n v="21670000"/>
    <m/>
    <m/>
    <m/>
    <m/>
    <m/>
    <n v="21670000"/>
    <m/>
    <m/>
    <m/>
    <n v="0"/>
    <m/>
    <n v="1"/>
    <m/>
    <m/>
    <m/>
    <m/>
    <m/>
    <m/>
    <m/>
    <m/>
    <m/>
    <m/>
    <m/>
    <m/>
    <m/>
    <m/>
    <n v="0"/>
    <n v="0"/>
    <m/>
  </r>
  <r>
    <n v="338"/>
    <n v="338"/>
    <b v="0"/>
    <s v="Sí"/>
    <s v="1114. Intervención y conservación de los bienes muebles e inmuebles en sectores de interés cultural del Distrito Capital"/>
    <s v="3-3-1-15-02-17-1114-140"/>
    <s v="80111618; 93141707"/>
    <s v="Prestar servicios de apoyo a la gestión al Instituto Distrital de Patrimonio Cultural para la correcta ejecución de las intervenciones adelantadas por el Programa de enlucimiento de fachadas &quot;El Patrimonio se Luce&quot;, de acuerdo con la programación establecida."/>
    <s v="(Cód. 338) Prestar servicios de apoyo a la gestión al Instituto Distrital de Patrimonio Cultural para la correcta ejecución de las intervenciones adelantadas por el Programa de enlucimiento de fachadas &quot;El Patrimonio se Luce&quot;, de acuerdo con la programación establecida."/>
    <d v="2019-01-20T00:00:00"/>
    <n v="10"/>
    <d v="2019-02-01T00:00:00"/>
    <x v="0"/>
    <n v="1"/>
    <n v="1"/>
    <n v="11"/>
    <n v="1"/>
    <s v="Contratación directa / Prestación de servicios profesionales y de apoyo a la gestión"/>
    <s v="CCE-16"/>
    <n v="0"/>
    <s v="N.A."/>
    <s v="Intervención y Protección en Fachadas"/>
    <n v="21670000"/>
    <n v="2167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Programa Fachadas"/>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21670000"/>
    <m/>
    <m/>
    <m/>
    <n v="21670000"/>
    <m/>
    <m/>
    <m/>
    <m/>
    <m/>
    <n v="21670000"/>
    <m/>
    <m/>
    <m/>
    <n v="0"/>
    <m/>
    <n v="1"/>
    <m/>
    <m/>
    <m/>
    <m/>
    <m/>
    <m/>
    <m/>
    <m/>
    <m/>
    <m/>
    <m/>
    <m/>
    <m/>
    <m/>
    <n v="0"/>
    <n v="0"/>
    <m/>
  </r>
  <r>
    <n v="339"/>
    <n v="339"/>
    <b v="0"/>
    <s v="Sí"/>
    <s v="1114. Intervención y conservación de los bienes muebles e inmuebles en sectores de interés cultural del Distrito Capital"/>
    <s v="3-3-1-15-02-17-1114-140"/>
    <s v="80111618; 93141707"/>
    <s v="Prestar servicios de apoyo a la gestión al Instituto Distrital de Patrimonio Cultural para la correcta ejecución de las intervenciones adelantadas por el Programa de enlucimiento de fachadas &quot;El Patrimonio se Luce&quot;, de acuerdo con la programación establecida."/>
    <s v="(Cód. 339) Prestar servicios de apoyo a la gestión al Instituto Distrital de Patrimonio Cultural para la correcta ejecución de las intervenciones adelantadas por el Programa de enlucimiento de fachadas &quot;El Patrimonio se Luce&quot;, de acuerdo con la programación establecida."/>
    <d v="2019-01-21T00:00:00"/>
    <n v="10"/>
    <d v="2019-02-04T00:00:00"/>
    <x v="0"/>
    <n v="1"/>
    <n v="1"/>
    <n v="11"/>
    <n v="1"/>
    <s v="Contratación directa / Prestación de servicios profesionales y de apoyo a la gestión"/>
    <s v="CCE-16"/>
    <n v="0"/>
    <s v="N.A."/>
    <s v="Intervención y Protección en Fachadas"/>
    <n v="21670000"/>
    <n v="2167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Programa Fachadas"/>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21670000"/>
    <m/>
    <m/>
    <m/>
    <n v="21670000"/>
    <m/>
    <m/>
    <m/>
    <m/>
    <m/>
    <n v="21670000"/>
    <m/>
    <m/>
    <m/>
    <n v="0"/>
    <m/>
    <n v="1"/>
    <m/>
    <m/>
    <m/>
    <m/>
    <m/>
    <m/>
    <m/>
    <m/>
    <m/>
    <m/>
    <m/>
    <m/>
    <m/>
    <m/>
    <n v="0"/>
    <n v="0"/>
    <m/>
  </r>
  <r>
    <n v="340"/>
    <n v="340"/>
    <b v="0"/>
    <s v="Sí"/>
    <s v="1114. Intervención y conservación de los bienes muebles e inmuebles en sectores de interés cultural del Distrito Capital"/>
    <s v="3-3-1-15-02-17-1114-140"/>
    <s v="80111618; 93141707"/>
    <s v="Prestar servicios de apoyo a la gestión al Instituto Distrital de Patrimonio Cultural para la correcta ejecución de las intervenciones adelantadas por el Programa de enlucimiento de fachadas &quot;El Patrimonio se Luce&quot;, de acuerdo con la programación establecida."/>
    <s v="(Cód. 340) Prestar servicios de apoyo a la gestión al Instituto Distrital de Patrimonio Cultural para la correcta ejecución de las intervenciones adelantadas por el Programa de enlucimiento de fachadas &quot;El Patrimonio se Luce&quot;, de acuerdo con la programación establecida."/>
    <d v="2019-01-22T00:00:00"/>
    <n v="10"/>
    <d v="2019-02-05T00:00:00"/>
    <x v="0"/>
    <n v="1"/>
    <n v="1"/>
    <n v="11"/>
    <n v="1"/>
    <s v="Contratación directa / Prestación de servicios profesionales y de apoyo a la gestión"/>
    <s v="CCE-16"/>
    <n v="0"/>
    <s v="N.A."/>
    <s v="Intervención y Protección en Fachadas"/>
    <n v="21670000"/>
    <n v="2167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Programa Fachadas"/>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21670000"/>
    <m/>
    <m/>
    <m/>
    <n v="21670000"/>
    <m/>
    <m/>
    <m/>
    <m/>
    <m/>
    <n v="21670000"/>
    <m/>
    <m/>
    <m/>
    <n v="0"/>
    <m/>
    <n v="1"/>
    <m/>
    <m/>
    <m/>
    <m/>
    <m/>
    <m/>
    <m/>
    <m/>
    <m/>
    <m/>
    <m/>
    <m/>
    <m/>
    <m/>
    <n v="0"/>
    <n v="0"/>
    <m/>
  </r>
  <r>
    <n v="341"/>
    <n v="341"/>
    <b v="0"/>
    <s v="Sí"/>
    <s v="1114. Intervención y conservación de los bienes muebles e inmuebles en sectores de interés cultural del Distrito Capital"/>
    <s v="3-3-1-15-02-17-1114-140"/>
    <s v="80101604;80111614;93141707"/>
    <s v="Prestar servicios profesionales al Instituto Distrital de Patrimonio Cultural  para apoyar las actividades logísticas y técnicas orientadas a la sensibilización y apropiación de la cultura ciudadana como instrumento de gestión social en el marco del programa de enlucimiento de fachadas &quot;El Patrimonio se Luce&quot;."/>
    <s v="(Cód. 341) Prestar servicios profesionales al Instituto Distrital de Patrimonio Cultural  para apoyar las actividades logísticas y técnicas orientadas a la sensibilización y apropiación de la cultura ciudadana como instrumento de gestión social en el marco del programa de enlucimiento de fachadas &quot;El Patrimonio se Luce&quot;."/>
    <d v="2019-01-15T00:00:00"/>
    <n v="10"/>
    <d v="2019-01-29T00:00:00"/>
    <x v="1"/>
    <n v="1"/>
    <n v="1"/>
    <n v="11"/>
    <n v="1"/>
    <s v="Contratación directa / Prestación de servicios profesionales y de apoyo a la gestión"/>
    <s v="CCE-16"/>
    <n v="0"/>
    <s v="N.A."/>
    <s v="Intervención y Protección en Fachadas"/>
    <n v="53020000"/>
    <n v="5302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Programa Fachadas"/>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53020000"/>
    <m/>
    <m/>
    <m/>
    <n v="53020000"/>
    <m/>
    <m/>
    <m/>
    <m/>
    <m/>
    <n v="53020000"/>
    <m/>
    <m/>
    <m/>
    <n v="0"/>
    <m/>
    <n v="1"/>
    <m/>
    <m/>
    <m/>
    <m/>
    <m/>
    <m/>
    <m/>
    <m/>
    <m/>
    <m/>
    <m/>
    <m/>
    <m/>
    <m/>
    <n v="0"/>
    <n v="0"/>
    <m/>
  </r>
  <r>
    <n v="342"/>
    <n v="342"/>
    <b v="0"/>
    <s v="Sí"/>
    <s v="1114. Intervención y conservación de los bienes muebles e inmuebles en sectores de interés cultural del Distrito Capital"/>
    <s v="3-3-1-15-02-17-1114-140"/>
    <s v="93141707;80101604;80111618;80111614;81101505;80111617;93151516"/>
    <s v="Prestar servicios profesionales al Instituto Distrital de Patrimonio Cultural para apoyar el seguimiento en obra de las jornadas de enlucimiento que realice el programa de Fachadas y de las acciones de intervención sobre Bienes de Interés Cultural en espacio público."/>
    <s v="(Cód. 342) Prestar servicios profesionales al Instituto Distrital de Patrimonio Cultural para apoyar el seguimiento en obra de las jornadas de enlucimiento que realice el programa de Fachadas y de las acciones de intervención sobre Bienes de Interés Cultural en espacio público."/>
    <d v="2019-01-15T00:00:00"/>
    <n v="10"/>
    <d v="2019-01-29T00:00:00"/>
    <x v="1"/>
    <n v="1"/>
    <n v="1"/>
    <n v="11"/>
    <n v="1"/>
    <s v="Contratación directa / Prestación de servicios profesionales y de apoyo a la gestión"/>
    <s v="CCE-16"/>
    <n v="0"/>
    <s v="N.A."/>
    <s v="Intervención y Protección en Fachadas"/>
    <n v="59180000"/>
    <n v="5918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Programa Fachadas"/>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59180000"/>
    <m/>
    <m/>
    <m/>
    <n v="59180000"/>
    <m/>
    <m/>
    <m/>
    <m/>
    <m/>
    <n v="59180000"/>
    <m/>
    <m/>
    <m/>
    <n v="0"/>
    <m/>
    <n v="1"/>
    <m/>
    <m/>
    <m/>
    <m/>
    <m/>
    <m/>
    <m/>
    <m/>
    <m/>
    <m/>
    <m/>
    <m/>
    <m/>
    <m/>
    <n v="0"/>
    <n v="0"/>
    <m/>
  </r>
  <r>
    <n v="343"/>
    <n v="343"/>
    <b v="0"/>
    <s v="Sí"/>
    <s v="1114. Intervención y conservación de los bienes muebles e inmuebles en sectores de interés cultural del Distrito Capital"/>
    <s v="3-3-1-15-02-17-1114-140"/>
    <s v="80111618;93141707"/>
    <s v="Prestar servicios profesionales al Instituto Distrital de Patrimonio Cultural para apoyar el seguimiento técnico y administrativo en sitio de las intervenciones adelantadas por el Programa de Enlucimiento de Fachadas."/>
    <s v="(Cód. 343) Prestar servicios profesionales al Instituto Distrital de Patrimonio Cultural para apoyar el seguimiento técnico y administrativo en sitio de las intervenciones adelantadas por el Programa de Enlucimiento de Fachadas."/>
    <d v="2019-01-15T00:00:00"/>
    <n v="10"/>
    <d v="2019-01-29T00:00:00"/>
    <x v="1"/>
    <n v="1"/>
    <n v="1"/>
    <n v="11"/>
    <n v="1"/>
    <s v="Contratación directa / Prestación de servicios profesionales y de apoyo a la gestión"/>
    <s v="CCE-16"/>
    <n v="0"/>
    <s v="N.A."/>
    <s v="Intervención y Protección en Fachadas"/>
    <n v="52800000"/>
    <n v="5280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Programa Fachadas"/>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52800000"/>
    <m/>
    <m/>
    <m/>
    <n v="52800000"/>
    <m/>
    <m/>
    <m/>
    <m/>
    <m/>
    <n v="52800000"/>
    <m/>
    <m/>
    <m/>
    <n v="0"/>
    <m/>
    <n v="1"/>
    <m/>
    <m/>
    <m/>
    <m/>
    <m/>
    <m/>
    <m/>
    <m/>
    <m/>
    <m/>
    <m/>
    <m/>
    <m/>
    <m/>
    <n v="0"/>
    <n v="0"/>
    <m/>
  </r>
  <r>
    <n v="344"/>
    <n v="344"/>
    <b v="0"/>
    <s v="Sí"/>
    <s v="1114. Intervención y conservación de los bienes muebles e inmuebles en sectores de interés cultural del Distrito Capital"/>
    <s v="3-3-1-15-02-17-1114-140"/>
    <s v="80111617;93141707;80101604;80111614;81101505;80111618;93151516"/>
    <s v="Prestar servicios profesionales al Instituto Distrital de Patrimonio Cultural para apoyar la gestión y seguimiento administrativo de las acciones de intevención en espacio público y fachadas que se adelantan en el marco del Programa Enlucimiento de Fachadas."/>
    <s v="(Cód. 344) Prestar servicios profesionales al Instituto Distrital de Patrimonio Cultural para apoyar la gestión y seguimiento administrativo de las acciones de intevención en espacio público y fachadas que se adelantan en el marco del Programa Enlucimiento de Fachadas."/>
    <d v="2019-01-15T00:00:00"/>
    <n v="10"/>
    <d v="2019-01-29T00:00:00"/>
    <x v="1"/>
    <n v="1"/>
    <n v="1"/>
    <n v="11"/>
    <n v="1"/>
    <s v="Contratación directa / Prestación de servicios profesionales y de apoyo a la gestión"/>
    <s v="CCE-16"/>
    <n v="0"/>
    <s v="N.A."/>
    <s v="Intervención y Protección en Fachadas"/>
    <n v="49830000"/>
    <n v="4983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Programa Fachadas"/>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49830000"/>
    <m/>
    <m/>
    <m/>
    <n v="49830000"/>
    <m/>
    <m/>
    <m/>
    <m/>
    <m/>
    <n v="49830000"/>
    <m/>
    <m/>
    <m/>
    <n v="0"/>
    <m/>
    <n v="1"/>
    <m/>
    <m/>
    <m/>
    <m/>
    <m/>
    <m/>
    <m/>
    <m/>
    <m/>
    <m/>
    <m/>
    <m/>
    <m/>
    <m/>
    <n v="0"/>
    <n v="0"/>
    <m/>
  </r>
  <r>
    <n v="345"/>
    <n v="345"/>
    <b v="0"/>
    <s v="Sí"/>
    <s v="1114. Intervención y conservación de los bienes muebles e inmuebles en sectores de interés cultural del Distrito Capital"/>
    <s v="3-3-1-15-02-17-1114-140"/>
    <s v="93141707;80101604;80111618;80111614;81101505;80111617;93151516"/>
    <s v="Prestar servicios profesionales al Instituto Distrital de Patrimonio Cultural para apoyar las acciones de intervención sobre fachadas y espacio público."/>
    <s v="(Cód. 345) Prestar servicios profesionales al Instituto Distrital de Patrimonio Cultural para apoyar las acciones de intervención sobre fachadas y espacio público."/>
    <d v="2019-01-15T00:00:00"/>
    <n v="10"/>
    <d v="2019-01-29T00:00:00"/>
    <x v="1"/>
    <n v="1"/>
    <n v="1"/>
    <n v="11"/>
    <n v="1"/>
    <s v="Contratación directa / Prestación de servicios profesionales y de apoyo a la gestión"/>
    <s v="CCE-16"/>
    <n v="0"/>
    <s v="N.A."/>
    <s v="Intervención y Protección en Fachadas"/>
    <n v="49830000"/>
    <n v="4983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Programa Fachadas"/>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49830000"/>
    <m/>
    <m/>
    <m/>
    <n v="49830000"/>
    <m/>
    <m/>
    <m/>
    <m/>
    <m/>
    <n v="49830000"/>
    <m/>
    <m/>
    <m/>
    <n v="0"/>
    <m/>
    <n v="1"/>
    <m/>
    <m/>
    <m/>
    <m/>
    <m/>
    <m/>
    <m/>
    <m/>
    <m/>
    <m/>
    <m/>
    <m/>
    <m/>
    <m/>
    <n v="0"/>
    <n v="0"/>
    <m/>
  </r>
  <r>
    <n v="346"/>
    <n v="346"/>
    <b v="0"/>
    <s v="Sí"/>
    <s v="1114. Intervención y conservación de los bienes muebles e inmuebles en sectores de interés cultural del Distrito Capital"/>
    <s v="3-3-1-15-02-17-1114-140"/>
    <s v="93141707;80101604;80111618;80111614;81101505;80111617;93151516"/>
    <s v="Prestar servicios profesionales al Instituto Distrital de Patrimonio Cultural para orientar y verificar la implementación de las acciones de intervención y protección del Programa El Patrimonio se Luce."/>
    <s v="(Cód. 346) Prestar servicios profesionales al Instituto Distrital de Patrimonio Cultural para orientar y verificar la implementación de las acciones de intervención y protección del Programa El Patrimonio se Luce."/>
    <d v="2019-01-15T00:00:00"/>
    <n v="10"/>
    <d v="2019-01-29T00:00:00"/>
    <x v="1"/>
    <n v="1"/>
    <n v="1"/>
    <n v="11"/>
    <n v="1"/>
    <s v="Contratación directa / Prestación de servicios profesionales y de apoyo a la gestión"/>
    <s v="CCE-16"/>
    <n v="0"/>
    <s v="N.A."/>
    <s v="Intervención y Protección en Fachadas"/>
    <n v="72600000"/>
    <n v="7260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Programa Fachadas"/>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72600000"/>
    <m/>
    <m/>
    <m/>
    <n v="72600000"/>
    <m/>
    <m/>
    <m/>
    <m/>
    <m/>
    <n v="72600000"/>
    <m/>
    <m/>
    <m/>
    <n v="0"/>
    <m/>
    <n v="1"/>
    <m/>
    <m/>
    <m/>
    <m/>
    <m/>
    <m/>
    <m/>
    <m/>
    <m/>
    <m/>
    <m/>
    <m/>
    <m/>
    <m/>
    <n v="0"/>
    <n v="0"/>
    <m/>
  </r>
  <r>
    <n v="347"/>
    <n v="347"/>
    <b v="0"/>
    <s v="Sí"/>
    <s v="1114. Intervención y conservación de los bienes muebles e inmuebles en sectores de interés cultural del Distrito Capital"/>
    <s v="3-3-1-15-02-17-1114-140"/>
    <s v="93141707;80101604;80111618;80111614;81101505;80111617;93151516"/>
    <s v="Prestar servicios profesionales al Instituto Distrital de Patrimonio Cultural, apoyando las actividades preliminares de campo, en el marco de las acciones de intevención en espacio público y fachadas."/>
    <s v="(Cód. 347) Prestar servicios profesionales al Instituto Distrital de Patrimonio Cultural, apoyando las actividades preliminares de campo, en el marco de las acciones de intevención en espacio público y fachadas."/>
    <d v="2019-01-15T00:00:00"/>
    <n v="10"/>
    <d v="2019-01-29T00:00:00"/>
    <x v="1"/>
    <n v="1"/>
    <n v="1"/>
    <n v="11"/>
    <n v="1"/>
    <s v="Contratación directa / Prestación de servicios profesionales y de apoyo a la gestión"/>
    <s v="CCE-16"/>
    <n v="0"/>
    <s v="N.A."/>
    <s v="Intervención y Protección en Fachadas"/>
    <n v="44550000"/>
    <n v="4455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Programa Fachadas"/>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44550000"/>
    <m/>
    <m/>
    <m/>
    <n v="44550000"/>
    <m/>
    <m/>
    <m/>
    <m/>
    <m/>
    <n v="44550000"/>
    <m/>
    <m/>
    <m/>
    <n v="0"/>
    <m/>
    <n v="1"/>
    <m/>
    <m/>
    <m/>
    <m/>
    <m/>
    <m/>
    <m/>
    <m/>
    <m/>
    <m/>
    <m/>
    <m/>
    <m/>
    <m/>
    <n v="0"/>
    <n v="0"/>
    <m/>
  </r>
  <r>
    <n v="348"/>
    <n v="348"/>
    <b v="0"/>
    <s v="Sí"/>
    <s v="1114. Intervención y conservación de los bienes muebles e inmuebles en sectores de interés cultural del Distrito Capital"/>
    <s v="3-3-1-15-02-17-1114-140"/>
    <s v="93141707;80101604;80111618;80111614;81101505;80111617;93151516"/>
    <s v="Prestar servicios profesionales al Instituto Distrital de Patrimonio Cultural, apoyando las actividades preliminares de campo, en el marco de las acciones de intevención en espacio público y fachadas."/>
    <s v="(Cód. 348) Prestar servicios profesionales al Instituto Distrital de Patrimonio Cultural, apoyando las actividades preliminares de campo, en el marco de las acciones de intevención en espacio público y fachadas."/>
    <d v="2019-01-15T00:00:00"/>
    <n v="10"/>
    <d v="2019-01-29T00:00:00"/>
    <x v="1"/>
    <n v="1"/>
    <n v="1"/>
    <n v="11"/>
    <n v="1"/>
    <s v="Contratación directa / Prestación de servicios profesionales y de apoyo a la gestión"/>
    <s v="CCE-16"/>
    <n v="0"/>
    <s v="N.A."/>
    <s v="Intervención y Protección en Fachadas"/>
    <n v="44550000"/>
    <n v="4455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Programa Fachadas"/>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44550000"/>
    <m/>
    <m/>
    <m/>
    <n v="44550000"/>
    <m/>
    <m/>
    <m/>
    <m/>
    <m/>
    <n v="44550000"/>
    <m/>
    <m/>
    <m/>
    <n v="0"/>
    <m/>
    <n v="1"/>
    <m/>
    <m/>
    <m/>
    <m/>
    <m/>
    <m/>
    <m/>
    <m/>
    <m/>
    <m/>
    <m/>
    <m/>
    <m/>
    <m/>
    <n v="0"/>
    <n v="0"/>
    <m/>
  </r>
  <r>
    <s v="N.A."/>
    <s v="N.A."/>
    <b v="0"/>
    <s v="No"/>
    <s v="1114. Intervención y conservación de los bienes muebles e inmuebles en sectores de interés cultural del Distrito Capital"/>
    <s v="3-3-1-15-02-17-1114-140"/>
    <s v="No aplica"/>
    <s v="Valor dirigido para reconocer la afiliación de riesgos laborales Nivel 5 de los contratistas de la Subdirección de Intervención."/>
    <s v="(Cód. N.A.) Valor dirigido para reconocer la afiliación de riesgos laborales Nivel 5 de los contratistas de la Subdirección de Intervención."/>
    <s v="No aplica"/>
    <n v="10"/>
    <s v="No aplica"/>
    <x v="2"/>
    <s v="No aplica"/>
    <s v="No aplica"/>
    <n v="11"/>
    <n v="1"/>
    <s v="Contratación directa / Prestación de servicios profesionales y de apoyo a la gestión"/>
    <s v="CCE-16"/>
    <n v="0"/>
    <s v="ARL N. 5"/>
    <s v="Intervención y Protección en Fachadas"/>
    <n v="8281053"/>
    <n v="8281053"/>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Programa Fachadas"/>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8281053"/>
    <m/>
    <m/>
    <m/>
    <n v="8281053"/>
    <m/>
    <m/>
    <m/>
    <m/>
    <m/>
    <n v="8281053"/>
    <m/>
    <m/>
    <m/>
    <n v="0"/>
    <m/>
    <n v="1"/>
    <m/>
    <m/>
    <m/>
    <m/>
    <m/>
    <m/>
    <m/>
    <m/>
    <m/>
    <m/>
    <m/>
    <m/>
    <m/>
    <m/>
    <n v="0"/>
    <n v="0"/>
    <m/>
  </r>
  <r>
    <n v="328"/>
    <n v="328"/>
    <b v="0"/>
    <s v="Sí"/>
    <s v="1114. Intervención y conservación de los bienes muebles e inmuebles en sectores de interés cultural del Distrito Capital"/>
    <s v="3-3-1-15-02-17-1114-140"/>
    <s v="25101600;78101800;78121600"/>
    <s v="Contratar el servicio de transporte terrestre de carga con conductor y combustible, para transportar insumos, materiales, herramientas y equipos que requiera el Instituto Distrital de Patrimonio Cultural dentro del perímetro urbano de la ciudad de Bogotá D.C."/>
    <s v="(Cód. 328) Contratar el servicio de transporte terrestre de carga con conductor y combustible, para transportar insumos, materiales, herramientas y equipos que requiera el Instituto Distrital de Patrimonio Cultural dentro del perímetro urbano de la ciudad de Bogotá D.C."/>
    <d v="2019-02-15T00:00:00"/>
    <n v="45"/>
    <d v="2019-04-19T00:00:00"/>
    <x v="7"/>
    <n v="2"/>
    <n v="2"/>
    <n v="8"/>
    <n v="1"/>
    <s v="Subasta inversa"/>
    <s v="CCE-07"/>
    <n v="0"/>
    <s v="Transporte carga"/>
    <s v="Intervención y Protección en Monumentos del Distrito"/>
    <n v="83309800"/>
    <n v="833098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Monumentos en espacios públicos a intervenir"/>
    <s v="4. Obras de Intervención en Bienes muebles - inmuebles y sectores que conforman el patrimonio cultural del D.C."/>
    <s v="FONT1114"/>
    <s v="12-Otros Distrito"/>
    <s v="01-INFRAESTRUCTURA"/>
    <s v="03-MEJORAMIENTO Y MANTENIMIENTO DE INFRAESTRUCTURA PROPIA DEL SECTOR"/>
    <s v="0103-Administración, mantenimiento y mejoramiento de los bienes muebles e inmuebles ubicados en el espacio público del Distrito Capital"/>
    <n v="1"/>
    <n v="83309800"/>
    <m/>
    <m/>
    <m/>
    <n v="83309800"/>
    <m/>
    <m/>
    <m/>
    <m/>
    <m/>
    <n v="83309800"/>
    <m/>
    <m/>
    <m/>
    <n v="0"/>
    <m/>
    <n v="1"/>
    <m/>
    <m/>
    <m/>
    <m/>
    <m/>
    <m/>
    <m/>
    <m/>
    <m/>
    <m/>
    <m/>
    <m/>
    <m/>
    <m/>
    <n v="0"/>
    <n v="0"/>
    <m/>
  </r>
  <r>
    <n v="329"/>
    <n v="329"/>
    <b v="0"/>
    <s v="Sí"/>
    <s v="1114. Intervención y conservación de los bienes muebles e inmuebles en sectores de interés cultural del Distrito Capital"/>
    <s v="3-3-1-15-02-17-1114-140"/>
    <s v="23240000;24110000;24141500;27110000;30110000;30151800;30151900;30161500;30161600;30190000;31160000;31200000;31210000;39121700;40140000;31162800;39100000_x000a_"/>
    <s v="Contratar insumos de ferretería, materiales y herramientas requeridas para la ejecución de intervenciones técnicas necesarias para el enlucimiento de fachadas, limpieza y mantenimiento de los Bienes de Interés Cultural muebles en espacio público e instalaciones que se utilizan para la prestación del servicio del Instituto Distrital de Patrimonio Cultural, en la ciudad de Bogotá D.C."/>
    <s v="(Cód. 329) Contratar insumos de ferretería, materiales y herramientas requeridas para la ejecución de intervenciones técnicas necesarias para el enlucimiento de fachadas, limpieza y mantenimiento de los Bienes de Interés Cultural muebles en espacio público e instalaciones que se utilizan para la prestación del servicio del Instituto Distrital de Patrimonio Cultural, en la ciudad de Bogotá D.C."/>
    <d v="2019-02-15T00:00:00"/>
    <n v="45"/>
    <d v="2019-04-19T00:00:00"/>
    <x v="7"/>
    <n v="2"/>
    <n v="2"/>
    <n v="9"/>
    <n v="1"/>
    <s v="Subasta inversa"/>
    <s v="CCE-07"/>
    <n v="0"/>
    <s v="Ferretería"/>
    <s v="Intervención y Protección en Monumentos del Distrito"/>
    <n v="211081567"/>
    <n v="211081567"/>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Monumentos en espacios públicos a intervenir"/>
    <s v="4. Obras de Intervención en Bienes muebles - inmuebles y sectores que conforman el patrimonio cultural del D.C."/>
    <s v="FONT1114"/>
    <s v="12-Otros Distrito"/>
    <s v="01-INFRAESTRUCTURA"/>
    <s v="03-MEJORAMIENTO Y MANTENIMIENTO DE INFRAESTRUCTURA PROPIA DEL SECTOR"/>
    <s v="0103-Administración, mantenimiento y mejoramiento de los bienes muebles e inmuebles ubicados en el espacio público del Distrito Capital"/>
    <n v="1"/>
    <n v="211081567"/>
    <m/>
    <m/>
    <m/>
    <n v="211081567"/>
    <m/>
    <m/>
    <m/>
    <m/>
    <m/>
    <n v="211081567"/>
    <m/>
    <m/>
    <m/>
    <n v="0"/>
    <m/>
    <n v="1"/>
    <m/>
    <m/>
    <m/>
    <m/>
    <m/>
    <m/>
    <m/>
    <m/>
    <m/>
    <m/>
    <m/>
    <m/>
    <m/>
    <m/>
    <n v="0"/>
    <n v="0"/>
    <m/>
  </r>
  <r>
    <n v="349"/>
    <n v="349"/>
    <b v="0"/>
    <s v="Sí"/>
    <s v="1114. Intervención y conservación de los bienes muebles e inmuebles en sectores de interés cultural del Distrito Capital"/>
    <s v="3-3-1-15-02-17-1114-140"/>
    <s v="93141707;80111618"/>
    <s v="Prestar servicios de apoyo a la gestión al Instituto Distrital de Patrimonio Cultural para la correcta ejecución de las intervenciones adelantadas sobre bienes muebles en espacio público, de acuerdo con la programación establecida."/>
    <s v="(Cód. 349) Prestar servicios de apoyo a la gestión al Instituto Distrital de Patrimonio Cultural para la correcta ejecución de las intervenciones adelantadas sobre bienes muebles en espacio público, de acuerdo con la programación establecida."/>
    <d v="2019-01-15T00:00:00"/>
    <n v="10"/>
    <d v="2019-01-29T00:00:00"/>
    <x v="1"/>
    <n v="1"/>
    <n v="1"/>
    <n v="10"/>
    <n v="1"/>
    <s v="Contratación directa / Prestación de servicios profesionales y de apoyo a la gestión"/>
    <s v="CCE-16"/>
    <n v="0"/>
    <s v="N.A."/>
    <s v="Intervención y Protección en Monumentos del Distrito"/>
    <n v="26300000"/>
    <n v="2630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Monumentos en espacios públicos a intervenir"/>
    <s v="4. Obras de Intervención en Bienes muebles - inmuebles y sectores que conforman el patrimonio cultural del D.C."/>
    <s v="FONT1114"/>
    <s v="12-Otros Distrito"/>
    <s v="01-INFRAESTRUCTURA"/>
    <s v="03-MEJORAMIENTO Y MANTENIMIENTO DE INFRAESTRUCTURA PROPIA DEL SECTOR"/>
    <s v="0103-Administración, mantenimiento y mejoramiento de los bienes muebles e inmuebles ubicados en el espacio público del Distrito Capital"/>
    <n v="1"/>
    <n v="26300000"/>
    <m/>
    <m/>
    <m/>
    <n v="26300000"/>
    <m/>
    <m/>
    <m/>
    <m/>
    <m/>
    <n v="26300000"/>
    <m/>
    <m/>
    <m/>
    <n v="0"/>
    <m/>
    <n v="1"/>
    <m/>
    <m/>
    <m/>
    <m/>
    <m/>
    <m/>
    <m/>
    <m/>
    <m/>
    <m/>
    <m/>
    <m/>
    <m/>
    <m/>
    <n v="0"/>
    <n v="0"/>
    <m/>
  </r>
  <r>
    <n v="350"/>
    <n v="350"/>
    <b v="0"/>
    <s v="Sí"/>
    <s v="1114. Intervención y conservación de los bienes muebles e inmuebles en sectores de interés cultural del Distrito Capital"/>
    <s v="3-3-1-15-02-17-1114-140"/>
    <s v="93141707;80111618"/>
    <s v="Prestar servicios de apoyo a la gestión al Instituto Distrital de Patrimonio Cultural para la correcta ejecución de las intervenciones de mantenimiento y conservación que se adelantan sobre bienes muebles en espacio público, de acuerdo con la programación establecida."/>
    <s v="(Cód. 350) Prestar servicios de apoyo a la gestión al Instituto Distrital de Patrimonio Cultural para la correcta ejecución de las intervenciones de mantenimiento y conservación que se adelantan sobre bienes muebles en espacio público, de acuerdo con la programación establecida."/>
    <d v="2019-01-15T00:00:00"/>
    <n v="10"/>
    <d v="2019-01-29T00:00:00"/>
    <x v="1"/>
    <n v="1"/>
    <n v="1"/>
    <n v="10"/>
    <n v="1"/>
    <s v="Contratación directa / Prestación de servicios profesionales y de apoyo a la gestión"/>
    <s v="CCE-16"/>
    <n v="0"/>
    <s v="N.A."/>
    <s v="Intervención y Protección en Monumentos del Distrito"/>
    <n v="26300000"/>
    <n v="2630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Monumentos en espacios públicos a intervenir"/>
    <s v="4. Obras de Intervención en Bienes muebles - inmuebles y sectores que conforman el patrimonio cultural del D.C."/>
    <s v="FONT1114"/>
    <s v="12-Otros Distrito"/>
    <s v="01-INFRAESTRUCTURA"/>
    <s v="03-MEJORAMIENTO Y MANTENIMIENTO DE INFRAESTRUCTURA PROPIA DEL SECTOR"/>
    <s v="0103-Administración, mantenimiento y mejoramiento de los bienes muebles e inmuebles ubicados en el espacio público del Distrito Capital"/>
    <n v="1"/>
    <n v="26300000"/>
    <m/>
    <m/>
    <m/>
    <n v="26300000"/>
    <m/>
    <m/>
    <m/>
    <m/>
    <m/>
    <n v="26300000"/>
    <m/>
    <m/>
    <m/>
    <n v="0"/>
    <m/>
    <n v="1"/>
    <m/>
    <m/>
    <m/>
    <m/>
    <m/>
    <m/>
    <m/>
    <m/>
    <m/>
    <m/>
    <m/>
    <m/>
    <m/>
    <m/>
    <n v="0"/>
    <n v="0"/>
    <m/>
  </r>
  <r>
    <n v="351"/>
    <n v="351"/>
    <b v="0"/>
    <s v="Sí"/>
    <s v="1114. Intervención y conservación de los bienes muebles e inmuebles en sectores de interés cultural del Distrito Capital"/>
    <s v="3-3-1-15-02-17-1114-140"/>
    <s v="93141707;80111618"/>
    <s v="Prestar servicios de apoyo a la gestión al Instituto Distrital de Patrimonio Cultural para la correcta ejecución de las intervenciones de mantenimiento y conservación que se adelantan sobre bienes muebles en espacio público, de acuerdo con la programación establecida."/>
    <s v="(Cód. 351) Prestar servicios de apoyo a la gestión al Instituto Distrital de Patrimonio Cultural para la correcta ejecución de las intervenciones de mantenimiento y conservación que se adelantan sobre bienes muebles en espacio público, de acuerdo con la programación establecida."/>
    <d v="2019-01-15T00:00:00"/>
    <n v="10"/>
    <d v="2019-01-29T00:00:00"/>
    <x v="1"/>
    <n v="1"/>
    <n v="1"/>
    <n v="10"/>
    <n v="1"/>
    <s v="Contratación directa / Prestación de servicios profesionales y de apoyo a la gestión"/>
    <s v="CCE-16"/>
    <n v="0"/>
    <s v="N.A."/>
    <s v="Intervención y Protección en Monumentos del Distrito"/>
    <n v="26300000"/>
    <n v="2630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Monumentos en espacios públicos a intervenir"/>
    <s v="4. Obras de Intervención en Bienes muebles - inmuebles y sectores que conforman el patrimonio cultural del D.C."/>
    <s v="FONT1114"/>
    <s v="12-Otros Distrito"/>
    <s v="01-INFRAESTRUCTURA"/>
    <s v="03-MEJORAMIENTO Y MANTENIMIENTO DE INFRAESTRUCTURA PROPIA DEL SECTOR"/>
    <s v="0103-Administración, mantenimiento y mejoramiento de los bienes muebles e inmuebles ubicados en el espacio público del Distrito Capital"/>
    <n v="1"/>
    <n v="26300000"/>
    <m/>
    <m/>
    <m/>
    <n v="26300000"/>
    <m/>
    <m/>
    <m/>
    <m/>
    <m/>
    <n v="26300000"/>
    <m/>
    <m/>
    <m/>
    <n v="0"/>
    <m/>
    <n v="1"/>
    <m/>
    <m/>
    <m/>
    <m/>
    <m/>
    <m/>
    <m/>
    <m/>
    <m/>
    <m/>
    <m/>
    <m/>
    <m/>
    <m/>
    <n v="0"/>
    <n v="0"/>
    <m/>
  </r>
  <r>
    <n v="352"/>
    <n v="352"/>
    <b v="0"/>
    <s v="Sí"/>
    <s v="1114. Intervención y conservación de los bienes muebles e inmuebles en sectores de interés cultural del Distrito Capital"/>
    <s v="3-3-1-15-02-17-1114-140"/>
    <s v="93141707;80111618"/>
    <s v="Prestar servicios de apoyo a la gestión al Instituto Distrital de Patrimonio Cultural para la correcta ejecución de las intervenciones de mantenimiento y conservación que se adelantan sobre bienes muebles en espacio público, de acuerdo con la programación establecida."/>
    <s v="(Cód. 352) Prestar servicios de apoyo a la gestión al Instituto Distrital de Patrimonio Cultural para la correcta ejecución de las intervenciones de mantenimiento y conservación que se adelantan sobre bienes muebles en espacio público, de acuerdo con la programación establecida."/>
    <d v="2019-01-15T00:00:00"/>
    <n v="10"/>
    <d v="2019-01-29T00:00:00"/>
    <x v="1"/>
    <n v="1"/>
    <n v="1"/>
    <n v="10"/>
    <n v="1"/>
    <s v="Contratación directa / Prestación de servicios profesionales y de apoyo a la gestión"/>
    <s v="CCE-16"/>
    <n v="0"/>
    <s v="N.A."/>
    <s v="Intervención y Protección en Monumentos del Distrito"/>
    <n v="26300000"/>
    <n v="2630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Monumentos en espacios públicos a intervenir"/>
    <s v="4. Obras de Intervención en Bienes muebles - inmuebles y sectores que conforman el patrimonio cultural del D.C."/>
    <s v="FONT1114"/>
    <s v="12-Otros Distrito"/>
    <s v="01-INFRAESTRUCTURA"/>
    <s v="03-MEJORAMIENTO Y MANTENIMIENTO DE INFRAESTRUCTURA PROPIA DEL SECTOR"/>
    <s v="0103-Administración, mantenimiento y mejoramiento de los bienes muebles e inmuebles ubicados en el espacio público del Distrito Capital"/>
    <n v="1"/>
    <n v="26300000"/>
    <m/>
    <m/>
    <m/>
    <n v="26300000"/>
    <m/>
    <m/>
    <m/>
    <m/>
    <m/>
    <n v="26300000"/>
    <m/>
    <m/>
    <m/>
    <n v="0"/>
    <m/>
    <n v="1"/>
    <m/>
    <m/>
    <m/>
    <m/>
    <m/>
    <m/>
    <m/>
    <m/>
    <m/>
    <m/>
    <m/>
    <m/>
    <m/>
    <m/>
    <n v="0"/>
    <n v="0"/>
    <m/>
  </r>
  <r>
    <n v="353"/>
    <n v="353"/>
    <b v="0"/>
    <s v="Sí"/>
    <s v="1114. Intervención y conservación de los bienes muebles e inmuebles en sectores de interés cultural del Distrito Capital"/>
    <s v="3-3-1-15-02-17-1114-140"/>
    <s v="93141707;80111618"/>
    <s v="Prestar servicios de apoyo a la gestión al Instituto Distrital de Patrimonio Cultural para la correcta ejecución de las intervenciones de mantenimiento y conservación que se adelantan sobre bienes muebles en espacio público, de acuerdo con la programación establecida."/>
    <s v="(Cód. 353) Prestar servicios de apoyo a la gestión al Instituto Distrital de Patrimonio Cultural para la correcta ejecución de las intervenciones de mantenimiento y conservación que se adelantan sobre bienes muebles en espacio público, de acuerdo con la programación establecida."/>
    <d v="2019-01-15T00:00:00"/>
    <n v="10"/>
    <d v="2019-01-29T00:00:00"/>
    <x v="1"/>
    <n v="1"/>
    <n v="1"/>
    <n v="10"/>
    <n v="1"/>
    <s v="Contratación directa / Prestación de servicios profesionales y de apoyo a la gestión"/>
    <s v="CCE-16"/>
    <n v="0"/>
    <s v="N.A."/>
    <s v="Intervención y Protección en Monumentos del Distrito"/>
    <n v="26300000"/>
    <n v="2630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Monumentos en espacios públicos a intervenir"/>
    <s v="4. Obras de Intervención en Bienes muebles - inmuebles y sectores que conforman el patrimonio cultural del D.C."/>
    <s v="FONT1114"/>
    <s v="12-Otros Distrito"/>
    <s v="01-INFRAESTRUCTURA"/>
    <s v="03-MEJORAMIENTO Y MANTENIMIENTO DE INFRAESTRUCTURA PROPIA DEL SECTOR"/>
    <s v="0103-Administración, mantenimiento y mejoramiento de los bienes muebles e inmuebles ubicados en el espacio público del Distrito Capital"/>
    <n v="1"/>
    <n v="26300000"/>
    <m/>
    <m/>
    <m/>
    <n v="26300000"/>
    <m/>
    <m/>
    <m/>
    <m/>
    <m/>
    <n v="26300000"/>
    <m/>
    <m/>
    <m/>
    <n v="0"/>
    <m/>
    <n v="1"/>
    <m/>
    <m/>
    <m/>
    <m/>
    <m/>
    <m/>
    <m/>
    <m/>
    <m/>
    <m/>
    <m/>
    <m/>
    <m/>
    <m/>
    <n v="0"/>
    <n v="0"/>
    <m/>
  </r>
  <r>
    <n v="354"/>
    <n v="354"/>
    <b v="0"/>
    <s v="Sí"/>
    <s v="1114. Intervención y conservación de los bienes muebles e inmuebles en sectores de interés cultural del Distrito Capital"/>
    <s v="3-3-1-15-02-17-1114-140"/>
    <s v="93141707;80111618"/>
    <s v="Prestar servicios de apoyo a la gestión al Instituto Distrital de Patrimonio Cultural para la correcta ejecución de las intervenciones de mantenimiento y conservación que se adelantan sobre bienes muebles en espacio público, de acuerdo con la programación establecida."/>
    <s v="(Cód. 354) Prestar servicios de apoyo a la gestión al Instituto Distrital de Patrimonio Cultural para la correcta ejecución de las intervenciones de mantenimiento y conservación que se adelantan sobre bienes muebles en espacio público, de acuerdo con la programación establecida."/>
    <d v="2019-01-15T00:00:00"/>
    <n v="10"/>
    <d v="2019-01-29T00:00:00"/>
    <x v="1"/>
    <n v="1"/>
    <n v="1"/>
    <n v="10"/>
    <n v="1"/>
    <s v="Contratación directa / Prestación de servicios profesionales y de apoyo a la gestión"/>
    <s v="CCE-16"/>
    <n v="0"/>
    <s v="N.A."/>
    <s v="Intervención y Protección en Monumentos del Distrito"/>
    <n v="26300000"/>
    <n v="2630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Monumentos en espacios públicos a intervenir"/>
    <s v="4. Obras de Intervención en Bienes muebles - inmuebles y sectores que conforman el patrimonio cultural del D.C."/>
    <s v="FONT1114"/>
    <s v="12-Otros Distrito"/>
    <s v="01-INFRAESTRUCTURA"/>
    <s v="03-MEJORAMIENTO Y MANTENIMIENTO DE INFRAESTRUCTURA PROPIA DEL SECTOR"/>
    <s v="0103-Administración, mantenimiento y mejoramiento de los bienes muebles e inmuebles ubicados en el espacio público del Distrito Capital"/>
    <n v="1"/>
    <n v="26300000"/>
    <m/>
    <m/>
    <m/>
    <n v="26300000"/>
    <m/>
    <m/>
    <m/>
    <m/>
    <m/>
    <n v="26300000"/>
    <m/>
    <m/>
    <m/>
    <n v="0"/>
    <m/>
    <n v="1"/>
    <m/>
    <m/>
    <m/>
    <m/>
    <m/>
    <m/>
    <m/>
    <m/>
    <m/>
    <m/>
    <m/>
    <m/>
    <m/>
    <m/>
    <n v="0"/>
    <n v="0"/>
    <m/>
  </r>
  <r>
    <n v="355"/>
    <n v="355"/>
    <b v="0"/>
    <s v="Sí"/>
    <s v="1114. Intervención y conservación de los bienes muebles e inmuebles en sectores de interés cultural del Distrito Capital"/>
    <s v="3-3-1-15-02-17-1114-140"/>
    <s v="93141707;80101604"/>
    <s v="Prestar servicios profesionales al Instituto Distrital de Patrimonio Cultural para acompañar el seguimiento a las acciones de intervención de los bienes muebles - inmuebles en el espacio público y colecciones públicas de la ciudad de Bogotá. D.C."/>
    <s v="(Cód. 355) Prestar servicios profesionales al Instituto Distrital de Patrimonio Cultural para acompañar el seguimiento a las acciones de intervención de los bienes muebles - inmuebles en el espacio público y colecciones públicas de la ciudad de Bogotá. D.C."/>
    <d v="2019-01-15T00:00:00"/>
    <n v="10"/>
    <d v="2019-01-29T00:00:00"/>
    <x v="1"/>
    <n v="1"/>
    <n v="1"/>
    <n v="10"/>
    <n v="1"/>
    <s v="Contratación directa / Prestación de servicios profesionales y de apoyo a la gestión"/>
    <s v="CCE-16"/>
    <n v="0"/>
    <s v="N.A."/>
    <s v="Intervención y Protección en Monumentos del Distrito"/>
    <n v="48200000"/>
    <n v="4820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Monumentos en espacios públicos a intervenir"/>
    <s v="4. Obras de Intervención en Bienes muebles - inmuebles y sectores que conforman el patrimonio cultural del D.C."/>
    <s v="FONT1114"/>
    <s v="12-Otros Distrito"/>
    <s v="01-INFRAESTRUCTURA"/>
    <s v="03-MEJORAMIENTO Y MANTENIMIENTO DE INFRAESTRUCTURA PROPIA DEL SECTOR"/>
    <s v="0103-Administración, mantenimiento y mejoramiento de los bienes muebles e inmuebles ubicados en el espacio público del Distrito Capital"/>
    <n v="1"/>
    <n v="48200000"/>
    <m/>
    <m/>
    <m/>
    <n v="48200000"/>
    <m/>
    <m/>
    <m/>
    <m/>
    <m/>
    <n v="48200000"/>
    <m/>
    <m/>
    <m/>
    <n v="0"/>
    <m/>
    <n v="1"/>
    <m/>
    <m/>
    <m/>
    <m/>
    <m/>
    <m/>
    <m/>
    <m/>
    <m/>
    <m/>
    <m/>
    <m/>
    <m/>
    <m/>
    <n v="0"/>
    <n v="0"/>
    <m/>
  </r>
  <r>
    <n v="356"/>
    <n v="356"/>
    <b v="0"/>
    <s v="Sí"/>
    <s v="1114. Intervención y conservación de los bienes muebles e inmuebles en sectores de interés cultural del Distrito Capital"/>
    <s v="3-3-1-15-02-17-1114-140"/>
    <n v="93141707"/>
    <s v="Prestar servicios profesionales al Instituto Distrital de Patrimonio Cultural para apoyar el seguimiento desde la disciplina de conservación - restauración a las actividades de mantenimiento, administración y conservación de los bienes muebles - inmuebles en el espacio público de Bogotá D.C. "/>
    <s v="(Cód. 356) Prestar servicios profesionales al Instituto Distrital de Patrimonio Cultural para apoyar el seguimiento desde la disciplina de conservación - restauración a las actividades de mantenimiento, administración y conservación de los bienes muebles - inmuebles en el espacio público de Bogotá D.C. "/>
    <d v="2019-01-15T00:00:00"/>
    <n v="10"/>
    <d v="2019-01-29T00:00:00"/>
    <x v="1"/>
    <n v="1"/>
    <n v="1"/>
    <n v="10"/>
    <n v="1"/>
    <s v="Contratación directa / Prestación de servicios profesionales y de apoyo a la gestión"/>
    <s v="CCE-16"/>
    <n v="0"/>
    <s v="N.A."/>
    <s v="Intervención y Protección en Monumentos del Distrito"/>
    <n v="48200000"/>
    <n v="4820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Monumentos en espacios públicos a intervenir"/>
    <s v="4. Obras de Intervención en Bienes muebles - inmuebles y sectores que conforman el patrimonio cultural del D.C."/>
    <s v="FONT1114"/>
    <s v="12-Otros Distrito"/>
    <s v="01-INFRAESTRUCTURA"/>
    <s v="03-MEJORAMIENTO Y MANTENIMIENTO DE INFRAESTRUCTURA PROPIA DEL SECTOR"/>
    <s v="0103-Administración, mantenimiento y mejoramiento de los bienes muebles e inmuebles ubicados en el espacio público del Distrito Capital"/>
    <n v="1"/>
    <n v="48200000"/>
    <m/>
    <m/>
    <m/>
    <n v="48200000"/>
    <m/>
    <m/>
    <m/>
    <m/>
    <m/>
    <n v="48200000"/>
    <m/>
    <m/>
    <m/>
    <n v="0"/>
    <m/>
    <n v="1"/>
    <m/>
    <m/>
    <m/>
    <m/>
    <m/>
    <m/>
    <m/>
    <m/>
    <m/>
    <m/>
    <m/>
    <m/>
    <m/>
    <m/>
    <n v="0"/>
    <n v="0"/>
    <m/>
  </r>
  <r>
    <n v="357"/>
    <n v="357"/>
    <b v="0"/>
    <s v="Sí"/>
    <s v="1114. Intervención y conservación de los bienes muebles e inmuebles en sectores de interés cultural del Distrito Capital"/>
    <s v="3-3-1-15-02-17-1114-140"/>
    <n v="93141707"/>
    <s v="Prestar servicios profesionales al Instituto Distrital de Patrimonio Cultural para apoyar el seguimiento desde la disciplina de conservación - restauración a las actividades de mantenimiento, administración y conservación de los bienes muebles - inmuebles en el espacio público de Bogotá D.C. "/>
    <s v="(Cód. 357) Prestar servicios profesionales al Instituto Distrital de Patrimonio Cultural para apoyar el seguimiento desde la disciplina de conservación - restauración a las actividades de mantenimiento, administración y conservación de los bienes muebles - inmuebles en el espacio público de Bogotá D.C. "/>
    <d v="2019-01-15T00:00:00"/>
    <n v="10"/>
    <d v="2019-01-29T00:00:00"/>
    <x v="1"/>
    <n v="1"/>
    <n v="1"/>
    <n v="10"/>
    <n v="1"/>
    <s v="Contratación directa / Prestación de servicios profesionales y de apoyo a la gestión"/>
    <s v="CCE-16"/>
    <n v="0"/>
    <s v="N.A."/>
    <s v="Intervención y Protección en Monumentos del Distrito"/>
    <n v="48200000"/>
    <n v="4820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Monumentos en espacios públicos a intervenir"/>
    <s v="4. Obras de Intervención en Bienes muebles - inmuebles y sectores que conforman el patrimonio cultural del D.C."/>
    <s v="FONT1114"/>
    <s v="12-Otros Distrito"/>
    <s v="01-INFRAESTRUCTURA"/>
    <s v="03-MEJORAMIENTO Y MANTENIMIENTO DE INFRAESTRUCTURA PROPIA DEL SECTOR"/>
    <s v="0103-Administración, mantenimiento y mejoramiento de los bienes muebles e inmuebles ubicados en el espacio público del Distrito Capital"/>
    <n v="1"/>
    <n v="48200000"/>
    <m/>
    <m/>
    <m/>
    <n v="48200000"/>
    <m/>
    <m/>
    <m/>
    <m/>
    <m/>
    <n v="48200000"/>
    <m/>
    <m/>
    <m/>
    <n v="0"/>
    <m/>
    <n v="1"/>
    <m/>
    <m/>
    <m/>
    <m/>
    <m/>
    <m/>
    <m/>
    <m/>
    <m/>
    <m/>
    <m/>
    <m/>
    <m/>
    <m/>
    <n v="0"/>
    <n v="0"/>
    <m/>
  </r>
  <r>
    <n v="358"/>
    <n v="358"/>
    <b v="0"/>
    <s v="Sí"/>
    <s v="1114. Intervención y conservación de los bienes muebles e inmuebles en sectores de interés cultural del Distrito Capital"/>
    <s v="3-3-1-15-02-17-1114-140"/>
    <n v="93141707"/>
    <s v="Prestar servicios profesionales al Instituto Distrital de Patrimonio Cultural para apoyar el seguimiento desde la disciplina de conservación - restauración a las actividades de mantenimiento, administración y conservación de los bienes muebles - inmuebles en el espacio público de Bogotá D.C. "/>
    <s v="(Cód. 358) Prestar servicios profesionales al Instituto Distrital de Patrimonio Cultural para apoyar el seguimiento desde la disciplina de conservación - restauración a las actividades de mantenimiento, administración y conservación de los bienes muebles - inmuebles en el espacio público de Bogotá D.C. "/>
    <d v="2019-01-15T00:00:00"/>
    <n v="10"/>
    <d v="2019-01-29T00:00:00"/>
    <x v="1"/>
    <n v="1"/>
    <n v="1"/>
    <n v="8"/>
    <n v="1"/>
    <s v="Contratación directa / Prestación de servicios profesionales y de apoyo a la gestión"/>
    <s v="CCE-16"/>
    <n v="0"/>
    <s v="N.A."/>
    <s v="Intervención y Protección en Monumentos del Distrito"/>
    <n v="38560000"/>
    <n v="3856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Monumentos en espacios públicos a intervenir"/>
    <s v="4. Obras de Intervención en Bienes muebles - inmuebles y sectores que conforman el patrimonio cultural del D.C."/>
    <s v="FONT1114"/>
    <s v="12-Otros Distrito"/>
    <s v="01-INFRAESTRUCTURA"/>
    <s v="03-MEJORAMIENTO Y MANTENIMIENTO DE INFRAESTRUCTURA PROPIA DEL SECTOR"/>
    <s v="0103-Administración, mantenimiento y mejoramiento de los bienes muebles e inmuebles ubicados en el espacio público del Distrito Capital"/>
    <n v="1"/>
    <n v="38560000"/>
    <m/>
    <m/>
    <m/>
    <n v="38560000"/>
    <m/>
    <m/>
    <m/>
    <m/>
    <m/>
    <n v="38560000"/>
    <m/>
    <m/>
    <m/>
    <n v="0"/>
    <m/>
    <n v="1"/>
    <m/>
    <m/>
    <m/>
    <m/>
    <m/>
    <m/>
    <m/>
    <m/>
    <m/>
    <m/>
    <m/>
    <m/>
    <m/>
    <m/>
    <n v="0"/>
    <n v="0"/>
    <m/>
  </r>
  <r>
    <n v="359"/>
    <n v="359"/>
    <b v="0"/>
    <s v="Sí"/>
    <s v="1114. Intervención y conservación de los bienes muebles e inmuebles en sectores de interés cultural del Distrito Capital"/>
    <s v="3-3-1-15-02-17-1114-140"/>
    <s v="93141707;80111618"/>
    <s v="Prestar servicios profesionales al Instituto Distrital de Patrimonio Cultural para apoyar el seguimiento técnico en sitio de las intervenciones adelantadas sobre bienes muebles en espacio público de Bogotá D.C."/>
    <s v="(Cód. 359) Prestar servicios profesionales al Instituto Distrital de Patrimonio Cultural para apoyar el seguimiento técnico en sitio de las intervenciones adelantadas sobre bienes muebles en espacio público de Bogotá D.C."/>
    <d v="2019-01-15T00:00:00"/>
    <n v="10"/>
    <d v="2019-01-29T00:00:00"/>
    <x v="1"/>
    <n v="1"/>
    <n v="1"/>
    <n v="10"/>
    <n v="1"/>
    <s v="Contratación directa / Prestación de servicios profesionales y de apoyo a la gestión"/>
    <s v="CCE-16"/>
    <n v="0"/>
    <s v="N.A."/>
    <s v="Intervención y Protección en Monumentos del Distrito"/>
    <n v="48000000"/>
    <n v="4800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Monumentos en espacios públicos a intervenir"/>
    <s v="4. Obras de Intervención en Bienes muebles - inmuebles y sectores que conforman el patrimonio cultural del D.C."/>
    <s v="FONT1114"/>
    <s v="12-Otros Distrito"/>
    <s v="01-INFRAESTRUCTURA"/>
    <s v="03-MEJORAMIENTO Y MANTENIMIENTO DE INFRAESTRUCTURA PROPIA DEL SECTOR"/>
    <s v="0103-Administración, mantenimiento y mejoramiento de los bienes muebles e inmuebles ubicados en el espacio público del Distrito Capital"/>
    <n v="1"/>
    <n v="48000000"/>
    <m/>
    <m/>
    <m/>
    <n v="48000000"/>
    <m/>
    <m/>
    <m/>
    <m/>
    <m/>
    <n v="48000000"/>
    <m/>
    <m/>
    <m/>
    <n v="0"/>
    <m/>
    <n v="1"/>
    <m/>
    <m/>
    <m/>
    <m/>
    <m/>
    <m/>
    <m/>
    <m/>
    <m/>
    <m/>
    <m/>
    <m/>
    <m/>
    <m/>
    <n v="0"/>
    <n v="0"/>
    <m/>
  </r>
  <r>
    <n v="360"/>
    <n v="360"/>
    <b v="0"/>
    <s v="Sí"/>
    <s v="1114. Intervención y conservación de los bienes muebles e inmuebles en sectores de interés cultural del Distrito Capital"/>
    <s v="3-3-1-15-02-17-1114-140"/>
    <s v="93141707;80101604"/>
    <s v="Prestar servicios profesionales al Instituto Distrital de Patrimonio Cultural para apoyar la gestión del Grupo de Bienes Muebles en las actividades relacionadas con la intervención y conservación de patrimonio mueble ubicado en el espación público de Bogotá, en especial bajo el Programa Adopta un Monumento de la entidad."/>
    <s v="(Cód. 360) Prestar servicios profesionales al Instituto Distrital de Patrimonio Cultural para apoyar la gestión del Grupo de Bienes Muebles en las actividades relacionadas con la intervención y conservación de patrimonio mueble ubicado en el espación público de Bogotá, en especial bajo el Programa Adopta un Monumento de la entidad."/>
    <d v="2019-01-15T00:00:00"/>
    <n v="10"/>
    <d v="2019-01-29T00:00:00"/>
    <x v="1"/>
    <n v="1"/>
    <n v="1"/>
    <n v="8"/>
    <n v="1"/>
    <s v="Contratación directa / Prestación de servicios profesionales y de apoyo a la gestión"/>
    <s v="CCE-16"/>
    <n v="0"/>
    <s v="N.A."/>
    <s v="Intervención y Protección en Monumentos del Distrito"/>
    <n v="32960000"/>
    <n v="3296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Monumentos en espacios públicos a intervenir"/>
    <s v="4. Obras de Intervención en Bienes muebles - inmuebles y sectores que conforman el patrimonio cultural del D.C."/>
    <s v="FONT1114"/>
    <s v="12-Otros Distrito"/>
    <s v="01-INFRAESTRUCTURA"/>
    <s v="03-MEJORAMIENTO Y MANTENIMIENTO DE INFRAESTRUCTURA PROPIA DEL SECTOR"/>
    <s v="0103-Administración, mantenimiento y mejoramiento de los bienes muebles e inmuebles ubicados en el espacio público del Distrito Capital"/>
    <n v="1"/>
    <n v="32960000"/>
    <m/>
    <m/>
    <m/>
    <n v="32960000"/>
    <m/>
    <m/>
    <m/>
    <m/>
    <m/>
    <n v="32960000"/>
    <m/>
    <m/>
    <m/>
    <n v="0"/>
    <m/>
    <n v="1"/>
    <m/>
    <m/>
    <m/>
    <m/>
    <m/>
    <m/>
    <m/>
    <m/>
    <m/>
    <m/>
    <m/>
    <m/>
    <m/>
    <m/>
    <n v="0"/>
    <n v="0"/>
    <m/>
  </r>
  <r>
    <n v="361"/>
    <n v="361"/>
    <b v="0"/>
    <s v="Sí"/>
    <s v="1114. Intervención y conservación de los bienes muebles e inmuebles en sectores de interés cultural del Distrito Capital"/>
    <s v="3-3-1-15-02-17-1114-140"/>
    <s v="93141707;80101604"/>
    <s v="Prestar servicios profesionales al Instituto Distrital de Patrimonio Cultural para orientar y realizar el fomento y seguimiento de las acciones de administración, mantenimiento, conservación y restauración de los bienes muebles de la ciudad de Bogotá. D.C."/>
    <s v="(Cód. 361) Prestar servicios profesionales al Instituto Distrital de Patrimonio Cultural para orientar y realizar el fomento y seguimiento de las acciones de administración, mantenimiento, conservación y restauración de los bienes muebles de la ciudad de Bogotá. D.C."/>
    <d v="2019-01-15T00:00:00"/>
    <n v="10"/>
    <d v="2019-01-29T00:00:00"/>
    <x v="1"/>
    <n v="1"/>
    <n v="1"/>
    <n v="11"/>
    <n v="1"/>
    <s v="Contratación directa / Prestación de servicios profesionales y de apoyo a la gestión"/>
    <s v="CCE-16"/>
    <n v="0"/>
    <s v="N.A."/>
    <s v="Intervención y Protección en Monumentos del Distrito"/>
    <n v="96250000"/>
    <n v="9625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Monumentos en espacios públicos a intervenir"/>
    <s v="4. Obras de Intervención en Bienes muebles - inmuebles y sectores que conforman el patrimonio cultural del D.C."/>
    <s v="FONT1114"/>
    <s v="12-Otros Distrito"/>
    <s v="01-INFRAESTRUCTURA"/>
    <s v="03-MEJORAMIENTO Y MANTENIMIENTO DE INFRAESTRUCTURA PROPIA DEL SECTOR"/>
    <s v="0103-Administración, mantenimiento y mejoramiento de los bienes muebles e inmuebles ubicados en el espacio público del Distrito Capital"/>
    <n v="1"/>
    <n v="96250000"/>
    <m/>
    <m/>
    <m/>
    <n v="96250000"/>
    <m/>
    <m/>
    <m/>
    <m/>
    <m/>
    <n v="96250000"/>
    <m/>
    <m/>
    <m/>
    <n v="0"/>
    <m/>
    <n v="1"/>
    <m/>
    <m/>
    <m/>
    <m/>
    <m/>
    <m/>
    <m/>
    <m/>
    <m/>
    <m/>
    <m/>
    <m/>
    <m/>
    <m/>
    <n v="0"/>
    <n v="0"/>
    <m/>
  </r>
  <r>
    <n v="362"/>
    <n v="362"/>
    <b v="0"/>
    <s v="Sí"/>
    <s v="1114. Intervención y conservación de los bienes muebles e inmuebles en sectores de interés cultural del Distrito Capital"/>
    <s v="3-3-1-15-02-17-1114-140"/>
    <s v="93141707;80111618"/>
    <s v="Prestar servicios profesionales al Instituto Distrital de Patrimonio Cultural para orientar, guiar y realizar el seguimiento técnico de las intervenciones adelantadas por la entidad en Bienes Muebles ubicados en el espacio público de Bogotá D.C."/>
    <s v="(Cód. 362) Prestar servicios profesionales al Instituto Distrital de Patrimonio Cultural para orientar, guiar y realizar el seguimiento técnico de las intervenciones adelantadas por la entidad en Bienes Muebles ubicados en el espacio público de Bogotá D.C."/>
    <d v="2019-01-15T00:00:00"/>
    <n v="10"/>
    <d v="2019-01-29T00:00:00"/>
    <x v="1"/>
    <n v="1"/>
    <n v="1"/>
    <n v="10"/>
    <n v="1"/>
    <s v="Contratación directa / Prestación de servicios profesionales y de apoyo a la gestión"/>
    <s v="CCE-16"/>
    <n v="0"/>
    <s v="N.A."/>
    <s v="Intervención y Protección en Monumentos del Distrito"/>
    <n v="51500000"/>
    <n v="5150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Monumentos en espacios públicos a intervenir"/>
    <s v="4. Obras de Intervención en Bienes muebles - inmuebles y sectores que conforman el patrimonio cultural del D.C."/>
    <s v="FONT1114"/>
    <s v="12-Otros Distrito"/>
    <s v="01-INFRAESTRUCTURA"/>
    <s v="03-MEJORAMIENTO Y MANTENIMIENTO DE INFRAESTRUCTURA PROPIA DEL SECTOR"/>
    <s v="0103-Administración, mantenimiento y mejoramiento de los bienes muebles e inmuebles ubicados en el espacio público del Distrito Capital"/>
    <n v="1"/>
    <n v="51500000"/>
    <m/>
    <m/>
    <m/>
    <n v="51500000"/>
    <m/>
    <m/>
    <m/>
    <m/>
    <m/>
    <n v="51500000"/>
    <m/>
    <m/>
    <m/>
    <n v="0"/>
    <m/>
    <n v="1"/>
    <m/>
    <m/>
    <m/>
    <m/>
    <m/>
    <m/>
    <m/>
    <m/>
    <m/>
    <m/>
    <m/>
    <m/>
    <m/>
    <m/>
    <n v="0"/>
    <n v="0"/>
    <m/>
  </r>
  <r>
    <n v="363"/>
    <n v="363"/>
    <b v="0"/>
    <s v="Sí"/>
    <s v="1114. Intervención y conservación de los bienes muebles e inmuebles en sectores de interés cultural del Distrito Capital"/>
    <s v="3-3-1-15-02-17-1114-140"/>
    <s v="93141707;80101604"/>
    <s v="Prestar servicios profesionales al Instituto Distrital de Patrimonio Cultural para realizar la gestión interinstitucional (público-privada) del Programa Adopta un Monumento para la protección, mantenimiento, administración y conservación de los bienes muebles - inmuebles en el espacio público de Bogotá, D.C."/>
    <s v="(Cód. 363) Prestar servicios profesionales al Instituto Distrital de Patrimonio Cultural para realizar la gestión interinstitucional (público-privada) del Programa Adopta un Monumento para la protección, mantenimiento, administración y conservación de los bienes muebles - inmuebles en el espacio público de Bogotá, D.C."/>
    <d v="2019-01-15T00:00:00"/>
    <n v="10"/>
    <d v="2019-01-29T00:00:00"/>
    <x v="1"/>
    <n v="1"/>
    <n v="1"/>
    <n v="10"/>
    <n v="1"/>
    <s v="Contratación directa / Prestación de servicios profesionales y de apoyo a la gestión"/>
    <s v="CCE-16"/>
    <n v="0"/>
    <s v="N.A."/>
    <s v="Intervención y Protección en Monumentos del Distrito"/>
    <n v="66000000"/>
    <n v="6600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Monumentos en espacios públicos a intervenir"/>
    <s v="4. Obras de Intervención en Bienes muebles - inmuebles y sectores que conforman el patrimonio cultural del D.C."/>
    <s v="FONT1114"/>
    <s v="12-Otros Distrito"/>
    <s v="01-INFRAESTRUCTURA"/>
    <s v="03-MEJORAMIENTO Y MANTENIMIENTO DE INFRAESTRUCTURA PROPIA DEL SECTOR"/>
    <s v="0103-Administración, mantenimiento y mejoramiento de los bienes muebles e inmuebles ubicados en el espacio público del Distrito Capital"/>
    <n v="1"/>
    <n v="66000000"/>
    <m/>
    <m/>
    <m/>
    <n v="66000000"/>
    <m/>
    <m/>
    <m/>
    <m/>
    <m/>
    <n v="66000000"/>
    <m/>
    <m/>
    <m/>
    <n v="0"/>
    <m/>
    <n v="1"/>
    <m/>
    <m/>
    <m/>
    <m/>
    <m/>
    <m/>
    <m/>
    <m/>
    <m/>
    <m/>
    <m/>
    <m/>
    <m/>
    <m/>
    <n v="0"/>
    <n v="0"/>
    <m/>
  </r>
  <r>
    <n v="364"/>
    <n v="364"/>
    <b v="0"/>
    <s v="Sí"/>
    <s v="1114. Intervención y conservación de los bienes muebles e inmuebles en sectores de interés cultural del Distrito Capital"/>
    <s v="3-3-1-15-02-17-1114-140"/>
    <s v="12163800;12181500;12191600;15101500;41113000;41121800;47131800;51102700;51171500;51191700"/>
    <s v="Suministro de productos químicos e insumos especiales requeridos para las intervenciones técnicas que se realizan sobre los Bienes de Interés Cultural muebles e inmuebles en la ciudad de Bogotá D.C."/>
    <s v="(Cód. 364) Suministro de productos químicos e insumos especiales requeridos para las intervenciones técnicas que se realizan sobre los Bienes de Interés Cultural muebles e inmuebles en la ciudad de Bogotá D.C."/>
    <d v="2019-03-01T00:00:00"/>
    <n v="45"/>
    <d v="2019-05-03T00:00:00"/>
    <x v="3"/>
    <n v="3"/>
    <n v="3"/>
    <n v="6"/>
    <n v="1"/>
    <s v="Subasta inversa"/>
    <s v="CCE-07"/>
    <n v="0"/>
    <s v="Insumos químicos"/>
    <s v="Intervención y Protección en Monumentos del Distrito"/>
    <n v="60636970"/>
    <n v="6063697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Monumentos en espacios públicos a intervenir"/>
    <s v="4. Obras de Intervención en Bienes muebles - inmuebles y sectores que conforman el patrimonio cultural del D.C."/>
    <s v="FONT1114"/>
    <s v="12-Otros Distrito"/>
    <s v="01-INFRAESTRUCTURA"/>
    <s v="03-MEJORAMIENTO Y MANTENIMIENTO DE INFRAESTRUCTURA PROPIA DEL SECTOR"/>
    <s v="0103-Administración, mantenimiento y mejoramiento de los bienes muebles e inmuebles ubicados en el espacio público del Distrito Capital"/>
    <n v="1"/>
    <n v="60636970"/>
    <m/>
    <m/>
    <m/>
    <n v="60636970"/>
    <m/>
    <m/>
    <m/>
    <m/>
    <m/>
    <n v="60636970"/>
    <m/>
    <m/>
    <m/>
    <n v="0"/>
    <m/>
    <n v="1"/>
    <m/>
    <m/>
    <m/>
    <m/>
    <m/>
    <m/>
    <m/>
    <m/>
    <m/>
    <m/>
    <m/>
    <m/>
    <m/>
    <m/>
    <n v="0"/>
    <n v="0"/>
    <m/>
  </r>
  <r>
    <s v="N.A."/>
    <s v="N.A."/>
    <b v="0"/>
    <s v="No"/>
    <s v="1114. Intervención y conservación de los bienes muebles e inmuebles en sectores de interés cultural del Distrito Capital"/>
    <s v="3-3-1-15-02-17-1114-140"/>
    <s v="No aplica"/>
    <s v="Valor dirigido para reconocer la afiliación de riesgos laborales Nivel 5 de los contratistas de la Subdirección de Intervención."/>
    <s v="(Cód. N.A.) Valor dirigido para reconocer la afiliación de riesgos laborales Nivel 5 de los contratistas de la Subdirección de Intervención."/>
    <s v="No aplica"/>
    <n v="10"/>
    <s v="No aplica"/>
    <x v="2"/>
    <s v="No aplica"/>
    <s v="No aplica"/>
    <n v="11"/>
    <n v="1"/>
    <s v="Contratación directa / Prestación de servicios profesionales y de apoyo a la gestión"/>
    <s v="CCE-16"/>
    <n v="0"/>
    <s v="ARL N. 5"/>
    <s v="Intervención y Protección en Monumentos del Distrito"/>
    <n v="12301663"/>
    <n v="12301663"/>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Monumentos en espacios públicos a intervenir"/>
    <s v="4. Obras de Intervención en Bienes muebles - inmuebles y sectores que conforman el patrimonio cultural del D.C."/>
    <s v="FONT1114"/>
    <s v="12-Otros Distrito"/>
    <s v="01-INFRAESTRUCTURA"/>
    <s v="03-MEJORAMIENTO Y MANTENIMIENTO DE INFRAESTRUCTURA PROPIA DEL SECTOR"/>
    <s v="0103-Administración, mantenimiento y mejoramiento de los bienes muebles e inmuebles ubicados en el espacio público del Distrito Capital"/>
    <n v="1"/>
    <n v="12301663"/>
    <m/>
    <m/>
    <m/>
    <n v="12301663"/>
    <m/>
    <m/>
    <m/>
    <m/>
    <m/>
    <n v="12301663"/>
    <m/>
    <m/>
    <m/>
    <n v="0"/>
    <m/>
    <n v="1"/>
    <m/>
    <m/>
    <m/>
    <m/>
    <m/>
    <m/>
    <m/>
    <m/>
    <m/>
    <m/>
    <m/>
    <m/>
    <m/>
    <m/>
    <n v="0"/>
    <n v="0"/>
    <m/>
  </r>
  <r>
    <n v="365"/>
    <n v="365"/>
    <b v="0"/>
    <s v="Sí"/>
    <s v="1114. Intervención y conservación de los bienes muebles e inmuebles en sectores de interés cultural del Distrito Capital"/>
    <s v="3-3-1-15-02-17-1114-140"/>
    <s v="81141500;80101604;80111614;81101505;80111617;80111618;72101500;72121400;72141500;72151900;72152700;72154000;93151516;93141707;"/>
    <s v="Ejecución de obras de primeros auxilios requeridas en el monumento a Los Héroes en la ciudad de Bogotá, D.C."/>
    <s v="(Cód. 365) Ejecución de obras de primeros auxilios requeridas en el monumento a Los Héroes en la ciudad de Bogotá, D.C."/>
    <d v="2019-05-15T00:00:00"/>
    <n v="45"/>
    <d v="2019-07-17T00:00:00"/>
    <x v="6"/>
    <n v="5"/>
    <n v="5"/>
    <n v="5"/>
    <n v="1"/>
    <s v="Menor cuantía"/>
    <s v="CCE-06"/>
    <n v="0"/>
    <s v="N.A."/>
    <s v="Monumento a Los Héroes"/>
    <n v="140000000"/>
    <n v="14000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Monumentos en espacios públicos a intervenir"/>
    <s v="4. Obras de Intervención en Bienes muebles - inmuebles y sectores que conforman el patrimonio cultural del D.C."/>
    <s v="FONT1114"/>
    <s v="12-Otros Distrito"/>
    <s v="01-INFRAESTRUCTURA"/>
    <s v="03-MEJORAMIENTO Y MANTENIMIENTO DE INFRAESTRUCTURA PROPIA DEL SECTOR"/>
    <s v="0103-Administración, mantenimiento y mejoramiento de los bienes muebles e inmuebles ubicados en el espacio público del Distrito Capital"/>
    <n v="1"/>
    <n v="140000000"/>
    <m/>
    <m/>
    <m/>
    <n v="140000000"/>
    <m/>
    <m/>
    <m/>
    <m/>
    <m/>
    <n v="140000000"/>
    <m/>
    <m/>
    <m/>
    <n v="0"/>
    <m/>
    <n v="1"/>
    <m/>
    <m/>
    <m/>
    <m/>
    <m/>
    <m/>
    <m/>
    <m/>
    <m/>
    <m/>
    <m/>
    <m/>
    <m/>
    <m/>
    <n v="0"/>
    <n v="0"/>
    <m/>
  </r>
  <r>
    <n v="366"/>
    <n v="366"/>
    <b v="0"/>
    <s v="Sí"/>
    <s v="1114. Intervención y conservación de los bienes muebles e inmuebles en sectores de interés cultural del Distrito Capital"/>
    <s v="3-3-1-15-02-17-1114-140"/>
    <s v="81141500;80101604;80111614;81101505;80111617;80111618;72101500;72121400;72141500;72151900;72152700;72154000;93151516;93141707;"/>
    <s v="Ejecución de obras requeridas en el monumento Banderas en la ciudad de Bogotá, D.C."/>
    <s v="(Cód. 366) Ejecución de obras requeridas en el monumento Banderas en la ciudad de Bogotá, D.C."/>
    <d v="2019-05-30T00:00:00"/>
    <n v="50"/>
    <d v="2019-08-08T00:00:00"/>
    <x v="9"/>
    <n v="5"/>
    <n v="5"/>
    <n v="6"/>
    <n v="1"/>
    <s v="Licitación pública"/>
    <s v="CCE-02"/>
    <n v="0"/>
    <s v="N.A."/>
    <s v="Monumento Banderas"/>
    <n v="2000000000"/>
    <n v="200000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Monumentos en espacios públicos a intervenir"/>
    <s v="4. Obras de Intervención en Bienes muebles - inmuebles y sectores que conforman el patrimonio cultural del D.C."/>
    <s v="FONT1114"/>
    <s v="12-Otros Distrito"/>
    <s v="01-INFRAESTRUCTURA"/>
    <s v="03-MEJORAMIENTO Y MANTENIMIENTO DE INFRAESTRUCTURA PROPIA DEL SECTOR"/>
    <s v="0103-Administración, mantenimiento y mejoramiento de los bienes muebles e inmuebles ubicados en el espacio público del Distrito Capital"/>
    <n v="1"/>
    <n v="2000000000"/>
    <m/>
    <m/>
    <m/>
    <n v="2000000000"/>
    <m/>
    <m/>
    <m/>
    <m/>
    <m/>
    <n v="2000000000"/>
    <m/>
    <m/>
    <m/>
    <n v="0"/>
    <m/>
    <n v="1"/>
    <m/>
    <m/>
    <m/>
    <m/>
    <m/>
    <m/>
    <m/>
    <m/>
    <m/>
    <m/>
    <m/>
    <m/>
    <m/>
    <m/>
    <n v="0"/>
    <n v="0"/>
    <m/>
  </r>
  <r>
    <n v="367"/>
    <n v="367"/>
    <b v="0"/>
    <s v="Sí"/>
    <s v="1114. Intervención y conservación de los bienes muebles e inmuebles en sectores de interés cultural del Distrito Capital"/>
    <s v="3-3-1-15-02-17-1114-140"/>
    <s v="81101701;80101600;80101604;93141707;81101516"/>
    <s v="Realizar el proyecto eléctrico y de iluminación para el monumento Simón Bolívar ubicado en la Plaza de Bolívar."/>
    <s v="(Cód. 367) Realizar el proyecto eléctrico y de iluminación para el monumento Simón Bolívar ubicado en la Plaza de Bolívar."/>
    <d v="2019-04-01T00:00:00"/>
    <n v="45"/>
    <d v="2019-06-03T00:00:00"/>
    <x v="4"/>
    <n v="4"/>
    <n v="4"/>
    <n v="3"/>
    <n v="1"/>
    <s v="Menor cuantía"/>
    <s v="CCE-06"/>
    <n v="0"/>
    <s v="N.A."/>
    <s v="Monumento Simón Bolívar ubicado en la Plaza de Bolívar (Iluminación)"/>
    <n v="100000000"/>
    <n v="10000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Monumentos en espacios públicos a intervenir"/>
    <s v="4. Obras de Intervención en Bienes muebles - inmuebles y sectores que conforman el patrimonio cultural del D.C."/>
    <s v="FONT1114"/>
    <s v="12-Otros Distrito"/>
    <s v="01-INFRAESTRUCTURA"/>
    <s v="03-MEJORAMIENTO Y MANTENIMIENTO DE INFRAESTRUCTURA PROPIA DEL SECTOR"/>
    <s v="0103-Administración, mantenimiento y mejoramiento de los bienes muebles e inmuebles ubicados en el espacio público del Distrito Capital"/>
    <n v="1"/>
    <n v="100000000"/>
    <m/>
    <m/>
    <m/>
    <n v="100000000"/>
    <m/>
    <m/>
    <m/>
    <m/>
    <m/>
    <n v="100000000"/>
    <m/>
    <m/>
    <m/>
    <n v="0"/>
    <m/>
    <n v="1"/>
    <m/>
    <m/>
    <m/>
    <m/>
    <m/>
    <m/>
    <m/>
    <m/>
    <m/>
    <m/>
    <m/>
    <m/>
    <m/>
    <m/>
    <n v="0"/>
    <n v="0"/>
    <m/>
  </r>
  <r>
    <n v="368"/>
    <n v="368"/>
    <b v="0"/>
    <s v="Sí"/>
    <s v="1114. Intervención y conservación de los bienes muebles e inmuebles en sectores de interés cultural del Distrito Capital"/>
    <s v="3-3-1-15-02-17-1114-140"/>
    <s v="80101604;93141707 "/>
    <s v="Prestar servicios al Instituto Distrital de Patrimonio Cultural para apoyar el seguimiento administrativo y jurídico de los procesos contractuales y proyectos de intervención a cargo de la Subdirección de Intervención."/>
    <s v="(Cód. 368) Prestar servicios al Instituto Distrital de Patrimonio Cultural para apoyar el seguimiento administrativo y jurídico de los procesos contractuales y proyectos de intervención a cargo de la Subdirección de Intervención."/>
    <d v="2019-01-25T00:00:00"/>
    <n v="10"/>
    <d v="2019-02-08T00:00:00"/>
    <x v="0"/>
    <n v="1"/>
    <n v="1"/>
    <n v="11"/>
    <n v="1"/>
    <s v="Contratación directa / Prestación de servicios profesionales y de apoyo a la gestión"/>
    <s v="CCE-16"/>
    <n v="0"/>
    <s v="N.A."/>
    <s v="Personal de apoyo transversal"/>
    <n v="38280000"/>
    <n v="3828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Bienes de Interés Cultural de tipo inmueble intervenidos "/>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38280000"/>
    <m/>
    <m/>
    <m/>
    <n v="38280000"/>
    <m/>
    <m/>
    <m/>
    <m/>
    <m/>
    <n v="38280000"/>
    <m/>
    <m/>
    <m/>
    <n v="0"/>
    <m/>
    <n v="1"/>
    <m/>
    <m/>
    <m/>
    <m/>
    <m/>
    <m/>
    <m/>
    <m/>
    <m/>
    <m/>
    <m/>
    <m/>
    <m/>
    <m/>
    <n v="0"/>
    <n v="0"/>
    <m/>
  </r>
  <r>
    <n v="369"/>
    <n v="369"/>
    <b v="0"/>
    <s v="Sí"/>
    <s v="1114. Intervención y conservación de los bienes muebles e inmuebles en sectores de interés cultural del Distrito Capital"/>
    <s v="3-3-1-15-02-17-1114-140"/>
    <s v="80111600;80101604"/>
    <s v="Prestar servicios de apoyo a la gestión al Instituto Distrital de Patrimonio Cultural en actividades técnicas y de seguimiento en los procesos de ejecución y terminación de proyectos de obra, interventoría o convenios ejecutados por el Instituto."/>
    <s v="(Cód. 369) Prestar servicios de apoyo a la gestión al Instituto Distrital de Patrimonio Cultural en actividades técnicas y de seguimiento en los procesos de ejecución y terminación de proyectos de obra, interventoría o convenios ejecutados por el Instituto."/>
    <d v="2019-01-20T00:00:00"/>
    <n v="10"/>
    <d v="2019-02-01T00:00:00"/>
    <x v="0"/>
    <n v="1"/>
    <n v="1"/>
    <n v="10"/>
    <n v="1"/>
    <s v="Contratación directa / Prestación de servicios profesionales y de apoyo a la gestión"/>
    <s v="CCE-16"/>
    <n v="0"/>
    <s v="N.A."/>
    <s v="Personal de apoyo transversal"/>
    <n v="53300000"/>
    <n v="5330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Bienes de Interés Cultural de tipo inmueble intervenidos "/>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53300000"/>
    <m/>
    <m/>
    <m/>
    <n v="53300000"/>
    <m/>
    <m/>
    <m/>
    <m/>
    <m/>
    <n v="53300000"/>
    <m/>
    <m/>
    <m/>
    <n v="0"/>
    <m/>
    <n v="1"/>
    <m/>
    <m/>
    <m/>
    <m/>
    <m/>
    <m/>
    <m/>
    <m/>
    <m/>
    <m/>
    <m/>
    <m/>
    <m/>
    <m/>
    <n v="0"/>
    <n v="0"/>
    <m/>
  </r>
  <r>
    <n v="370"/>
    <n v="370"/>
    <b v="0"/>
    <s v="Sí"/>
    <s v="1114. Intervención y conservación de los bienes muebles e inmuebles en sectores de interés cultural del Distrito Capital"/>
    <s v="3-3-1-15-02-17-1114-140"/>
    <s v="80111601;80111701;80161504"/>
    <s v="Prestar servicios de apoyo a la gestión al Instituto Distrital de Patrimonio Cultural en actividades técnicas y de seguimiento en los procesos de ejecución y terminación de proyectos de obra, interventoría o convenios ejecutados por el Instituto."/>
    <s v="(Cód. 370) Prestar servicios de apoyo a la gestión al Instituto Distrital de Patrimonio Cultural en actividades técnicas y de seguimiento en los procesos de ejecución y terminación de proyectos de obra, interventoría o convenios ejecutados por el Instituto."/>
    <d v="2019-02-02T00:00:00"/>
    <n v="10"/>
    <d v="2019-02-15T00:00:00"/>
    <x v="0"/>
    <n v="2"/>
    <n v="2"/>
    <n v="11"/>
    <n v="1"/>
    <s v="Contratación directa / Prestación de servicios profesionales y de apoyo a la gestión"/>
    <s v="CCE-16"/>
    <n v="0"/>
    <s v="N.A."/>
    <s v="Personal de apoyo transversal"/>
    <n v="38280000"/>
    <n v="3828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Bienes de Interés Cultural de tipo inmueble intervenidos "/>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38280000"/>
    <m/>
    <m/>
    <m/>
    <n v="38280000"/>
    <m/>
    <m/>
    <m/>
    <m/>
    <m/>
    <n v="38280000"/>
    <m/>
    <m/>
    <m/>
    <n v="0"/>
    <m/>
    <n v="1"/>
    <m/>
    <m/>
    <m/>
    <m/>
    <m/>
    <m/>
    <m/>
    <m/>
    <m/>
    <m/>
    <m/>
    <m/>
    <m/>
    <m/>
    <n v="0"/>
    <n v="0"/>
    <m/>
  </r>
  <r>
    <n v="371"/>
    <n v="371"/>
    <b v="0"/>
    <s v="Sí"/>
    <s v="1114. Intervención y conservación de los bienes muebles e inmuebles en sectores de interés cultural del Distrito Capital"/>
    <s v="3-3-1-15-02-17-1114-140"/>
    <s v="80111601;80161504;80161501"/>
    <s v="Prestar servicios de apoyo a la gestión al Instituto Distrital de Patrimonio Cultural en la asistencia y desarrollo de actividades operativas de la Subdirección de Intervención."/>
    <s v="(Cód. 371) Prestar servicios de apoyo a la gestión al Instituto Distrital de Patrimonio Cultural en la asistencia y desarrollo de actividades operativas de la Subdirección de Intervención."/>
    <d v="2019-01-15T00:00:00"/>
    <n v="10"/>
    <d v="2019-01-29T00:00:00"/>
    <x v="1"/>
    <n v="1"/>
    <n v="1"/>
    <n v="11"/>
    <n v="1"/>
    <s v="Contratación directa / Prestación de servicios profesionales y de apoyo a la gestión"/>
    <s v="CCE-16"/>
    <n v="0"/>
    <s v="N.A."/>
    <s v="Personal de apoyo transversal"/>
    <n v="34100000"/>
    <n v="3410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Bienes de Interés Cultural de tipo inmueble intervenidos "/>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34100000"/>
    <m/>
    <m/>
    <m/>
    <n v="34100000"/>
    <m/>
    <m/>
    <m/>
    <m/>
    <m/>
    <n v="34100000"/>
    <m/>
    <m/>
    <m/>
    <n v="0"/>
    <m/>
    <n v="1"/>
    <m/>
    <m/>
    <m/>
    <m/>
    <m/>
    <m/>
    <m/>
    <m/>
    <m/>
    <m/>
    <m/>
    <m/>
    <m/>
    <m/>
    <n v="0"/>
    <n v="0"/>
    <m/>
  </r>
  <r>
    <n v="372"/>
    <n v="372"/>
    <b v="0"/>
    <s v="Sí"/>
    <s v="1114. Intervención y conservación de los bienes muebles e inmuebles en sectores de interés cultural del Distrito Capital"/>
    <s v="3-3-1-15-02-17-1114-140"/>
    <s v="80111601;80161504;80161501"/>
    <s v="Prestar servicios de apoyo a la gestión al Instituto Distrital de Patrimonio Cultural para acompañar la recepción, registro de documentos y expedientes en el marco de los procesos adelantados por la Subdirección de Intervención."/>
    <s v="(Cód. 372) Prestar servicios de apoyo a la gestión al Instituto Distrital de Patrimonio Cultural para acompañar la recepción, registro de documentos y expedientes en el marco de los procesos adelantados por la Subdirección de Intervención."/>
    <d v="2019-01-15T00:00:00"/>
    <n v="10"/>
    <d v="2019-01-29T00:00:00"/>
    <x v="1"/>
    <n v="1"/>
    <n v="1"/>
    <n v="8"/>
    <n v="1"/>
    <s v="Contratación directa / Prestación de servicios profesionales y de apoyo a la gestión"/>
    <s v="CCE-16"/>
    <n v="0"/>
    <s v="N.A."/>
    <s v="Personal de apoyo transversal"/>
    <n v="22800000"/>
    <n v="2280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Bienes de Interés Cultural de tipo inmueble intervenidos "/>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22800000"/>
    <m/>
    <m/>
    <m/>
    <n v="22800000"/>
    <m/>
    <m/>
    <m/>
    <m/>
    <m/>
    <n v="22800000"/>
    <m/>
    <m/>
    <m/>
    <n v="0"/>
    <m/>
    <n v="1"/>
    <m/>
    <m/>
    <m/>
    <m/>
    <m/>
    <m/>
    <m/>
    <m/>
    <m/>
    <m/>
    <m/>
    <m/>
    <m/>
    <m/>
    <n v="0"/>
    <n v="0"/>
    <m/>
  </r>
  <r>
    <n v="373"/>
    <n v="373"/>
    <b v="0"/>
    <s v="Sí"/>
    <s v="1114. Intervención y conservación de los bienes muebles e inmuebles en sectores de interés cultural del Distrito Capital"/>
    <s v="3-3-1-15-02-17-1114-140"/>
    <s v="93141707;80101604"/>
    <s v="Prestar servicios de apoyo administrativo al Instituto Distrital de Patrimonio Cultural en los procesos contractuales de la Subdirección de Intervención."/>
    <s v="(Cód. 373) Prestar servicios de apoyo administrativo al Instituto Distrital de Patrimonio Cultural en los procesos contractuales de la Subdirección de Intervención."/>
    <d v="2019-01-30T00:00:00"/>
    <n v="10"/>
    <d v="2019-02-13T00:00:00"/>
    <x v="0"/>
    <n v="1"/>
    <n v="1"/>
    <n v="11"/>
    <n v="1"/>
    <s v="Contratación directa / Prestación de servicios profesionales y de apoyo a la gestión"/>
    <s v="CCE-16"/>
    <n v="0"/>
    <s v="N.A."/>
    <s v="Personal de apoyo transversal"/>
    <n v="38170000"/>
    <n v="3817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Bienes de Interés Cultural de tipo inmueble intervenidos "/>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38170000"/>
    <m/>
    <m/>
    <m/>
    <n v="38170000"/>
    <m/>
    <m/>
    <m/>
    <m/>
    <m/>
    <n v="38170000"/>
    <m/>
    <m/>
    <m/>
    <n v="0"/>
    <m/>
    <n v="1"/>
    <m/>
    <m/>
    <m/>
    <m/>
    <m/>
    <m/>
    <m/>
    <m/>
    <m/>
    <m/>
    <m/>
    <m/>
    <m/>
    <m/>
    <n v="0"/>
    <n v="0"/>
    <m/>
  </r>
  <r>
    <n v="374"/>
    <n v="374"/>
    <b v="0"/>
    <s v="Sí"/>
    <s v="1114. Intervención y conservación de los bienes muebles e inmuebles en sectores de interés cultural del Distrito Capital"/>
    <s v="3-3-1-15-02-17-1114-140"/>
    <s v="80111600;93141500;80161504"/>
    <s v="Prestar servicios profesionales al  Instituto Distrital de Patrimonio Cultural apoyando la estructuración e implementación de estrategias de gestión social y participación ciudadana para el reconocimiento y valoración del patrimonio en el marco de los planes, programas y proyectos de preservación del patrimonio cultural del Distrito Capital."/>
    <s v="(Cód. 374) Prestar servicios profesionales al  Instituto Distrital de Patrimonio Cultural apoyando la estructuración e implementación de estrategias de gestión social y participación ciudadana para el reconocimiento y valoración del patrimonio en el marco de los planes, programas y proyectos de preservación del patrimonio cultural del Distrito Capital."/>
    <d v="2019-01-15T00:00:00"/>
    <n v="10"/>
    <d v="2019-01-29T00:00:00"/>
    <x v="1"/>
    <n v="1"/>
    <n v="1"/>
    <n v="11"/>
    <n v="1"/>
    <s v="Contratación directa / Prestación de servicios profesionales y de apoyo a la gestión"/>
    <s v="CCE-16"/>
    <n v="0"/>
    <s v="N.A."/>
    <s v="Personal de apoyo transversal"/>
    <n v="61160000"/>
    <n v="6116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Bienes de Interés Cultural de tipo inmueble intervenidos "/>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61160000"/>
    <m/>
    <m/>
    <m/>
    <n v="61160000"/>
    <m/>
    <m/>
    <m/>
    <m/>
    <m/>
    <n v="61160000"/>
    <m/>
    <m/>
    <m/>
    <n v="0"/>
    <m/>
    <n v="1"/>
    <m/>
    <m/>
    <m/>
    <m/>
    <m/>
    <m/>
    <m/>
    <m/>
    <m/>
    <m/>
    <m/>
    <m/>
    <m/>
    <m/>
    <n v="0"/>
    <n v="0"/>
    <m/>
  </r>
  <r>
    <n v="375"/>
    <n v="375"/>
    <b v="0"/>
    <s v="Sí"/>
    <s v="1114. Intervención y conservación de los bienes muebles e inmuebles en sectores de interés cultural del Distrito Capital"/>
    <s v="3-3-1-15-02-17-1114-140"/>
    <s v="80111600;80101604"/>
    <s v="Prestar servicios profesionales al Instituto Distrital de Patrimonio Cultural apoyando la estructuración técnica de los procesos precontractuales para las acciones de gestión e intervención del patrimonio cultural del Distrito Capital."/>
    <s v="(Cód. 375) Prestar servicios profesionales al Instituto Distrital de Patrimonio Cultural apoyando la estructuración técnica de los procesos precontractuales para las acciones de gestión e intervención del patrimonio cultural del Distrito Capital."/>
    <d v="2019-01-19T00:00:00"/>
    <n v="10"/>
    <d v="2019-02-01T00:00:00"/>
    <x v="0"/>
    <n v="1"/>
    <n v="1"/>
    <n v="9"/>
    <n v="1"/>
    <s v="Contratación directa / Prestación de servicios profesionales y de apoyo a la gestión"/>
    <s v="CCE-16"/>
    <n v="0"/>
    <s v="N.A."/>
    <s v="Personal de apoyo transversal"/>
    <n v="59580000"/>
    <n v="5958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Bienes de Interés Cultural de tipo inmueble intervenidos "/>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59580000"/>
    <m/>
    <m/>
    <m/>
    <n v="59580000"/>
    <m/>
    <m/>
    <m/>
    <m/>
    <m/>
    <n v="59580000"/>
    <m/>
    <m/>
    <m/>
    <n v="0"/>
    <m/>
    <n v="1"/>
    <m/>
    <m/>
    <m/>
    <m/>
    <m/>
    <m/>
    <m/>
    <m/>
    <m/>
    <m/>
    <m/>
    <m/>
    <m/>
    <m/>
    <n v="0"/>
    <n v="0"/>
    <m/>
  </r>
  <r>
    <n v="376"/>
    <n v="376"/>
    <b v="0"/>
    <s v="Sí"/>
    <s v="1114. Intervención y conservación de los bienes muebles e inmuebles en sectores de interés cultural del Distrito Capital"/>
    <s v="3-3-1-15-02-17-1114-140"/>
    <s v="80111600;80101604"/>
    <s v="Prestar servicios profesionales al Instituto Distrital de Patrimonio Cultural apoyando la estructuración técnica de los procesos precontractuales para las acciones de gestión e intervención del patrimonio cultural del Distrito Capital."/>
    <s v="(Cód. 376) Prestar servicios profesionales al Instituto Distrital de Patrimonio Cultural apoyando la estructuración técnica de los procesos precontractuales para las acciones de gestión e intervención del patrimonio cultural del Distrito Capital."/>
    <d v="2019-01-21T00:00:00"/>
    <n v="10"/>
    <d v="2019-02-04T00:00:00"/>
    <x v="0"/>
    <n v="1"/>
    <n v="1"/>
    <n v="9"/>
    <n v="1"/>
    <s v="Contratación directa / Prestación de servicios profesionales y de apoyo a la gestión"/>
    <s v="CCE-16"/>
    <n v="0"/>
    <s v="N.A."/>
    <s v="Personal de apoyo transversal"/>
    <n v="53010000"/>
    <n v="5301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Bienes de Interés Cultural de tipo inmueble intervenidos "/>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53010000"/>
    <m/>
    <m/>
    <m/>
    <n v="53010000"/>
    <m/>
    <m/>
    <m/>
    <m/>
    <m/>
    <n v="53010000"/>
    <m/>
    <m/>
    <m/>
    <n v="0"/>
    <m/>
    <n v="1"/>
    <m/>
    <m/>
    <m/>
    <m/>
    <m/>
    <m/>
    <m/>
    <m/>
    <m/>
    <m/>
    <m/>
    <m/>
    <m/>
    <m/>
    <n v="0"/>
    <n v="0"/>
    <m/>
  </r>
  <r>
    <n v="377"/>
    <n v="377"/>
    <b v="0"/>
    <s v="Sí"/>
    <s v="1114. Intervención y conservación de los bienes muebles e inmuebles en sectores de interés cultural del Distrito Capital"/>
    <s v="3-3-1-15-02-17-1114-140"/>
    <s v="80121704"/>
    <s v="Prestar servicios profesionales al Instituto Distrital de Patrimonio Cultural apoyando la estructuración técnica de los procesos precontractuales para las acciones de gestión e intervención del patrimonio cultural del Distrito Capital."/>
    <s v="(Cód. 377) Prestar servicios profesionales al Instituto Distrital de Patrimonio Cultural apoyando la estructuración técnica de los procesos precontractuales para las acciones de gestión e intervención del patrimonio cultural del Distrito Capital."/>
    <d v="2019-01-22T00:00:00"/>
    <n v="10"/>
    <d v="2019-02-05T00:00:00"/>
    <x v="0"/>
    <n v="1"/>
    <n v="1"/>
    <n v="9"/>
    <n v="1"/>
    <s v="Contratación directa / Prestación de servicios profesionales y de apoyo a la gestión"/>
    <s v="CCE-16"/>
    <n v="0"/>
    <s v="N.A."/>
    <s v="Personal de apoyo transversal"/>
    <n v="53010000"/>
    <n v="5301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Bienes de Interés Cultural de tipo inmueble intervenidos "/>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53010000"/>
    <m/>
    <m/>
    <m/>
    <n v="53010000"/>
    <m/>
    <m/>
    <m/>
    <m/>
    <m/>
    <n v="53010000"/>
    <m/>
    <m/>
    <m/>
    <n v="0"/>
    <m/>
    <n v="1"/>
    <m/>
    <m/>
    <m/>
    <m/>
    <m/>
    <m/>
    <m/>
    <m/>
    <m/>
    <m/>
    <m/>
    <m/>
    <m/>
    <m/>
    <n v="0"/>
    <n v="0"/>
    <m/>
  </r>
  <r>
    <n v="378"/>
    <n v="378"/>
    <b v="0"/>
    <s v="Sí"/>
    <s v="1114. Intervención y conservación de los bienes muebles e inmuebles en sectores de interés cultural del Distrito Capital"/>
    <s v="3-3-1-15-02-17-1114-140"/>
    <s v="80111601;80111701"/>
    <s v="Prestar servicios profesionales al Instituto Distrital de Patrimonio Cultural en la planeación, seguimiento y control de la ejecución administrativa y de metas del proyecto de inversión de la Subdirección de Intervención."/>
    <s v="(Cód. 378) Prestar servicios profesionales al Instituto Distrital de Patrimonio Cultural en la planeación, seguimiento y control de la ejecución administrativa y de metas del proyecto de inversión de la Subdirección de Intervención."/>
    <d v="2019-01-27T00:00:00"/>
    <n v="10"/>
    <d v="2019-02-08T00:00:00"/>
    <x v="0"/>
    <n v="1"/>
    <n v="1"/>
    <n v="10"/>
    <n v="1"/>
    <s v="Contratación directa / Prestación de servicios profesionales y de apoyo a la gestión"/>
    <s v="CCE-16"/>
    <n v="0"/>
    <s v="N.A."/>
    <s v="Personal de apoyo transversal"/>
    <n v="58700000"/>
    <n v="5870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Bienes de Interés Cultural de tipo inmueble intervenidos "/>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58700000"/>
    <m/>
    <m/>
    <m/>
    <n v="58700000"/>
    <m/>
    <m/>
    <m/>
    <m/>
    <m/>
    <n v="58700000"/>
    <m/>
    <m/>
    <m/>
    <n v="0"/>
    <m/>
    <n v="1"/>
    <m/>
    <m/>
    <m/>
    <m/>
    <m/>
    <m/>
    <m/>
    <m/>
    <m/>
    <m/>
    <m/>
    <m/>
    <m/>
    <m/>
    <n v="0"/>
    <n v="0"/>
    <m/>
  </r>
  <r>
    <n v="379"/>
    <n v="379"/>
    <b v="0"/>
    <s v="Sí"/>
    <s v="1114. Intervención y conservación de los bienes muebles e inmuebles en sectores de interés cultural del Distrito Capital"/>
    <s v="3-3-1-15-02-17-1114-140"/>
    <s v="80111601;80111701;80161504"/>
    <s v="Prestar servicios profesionales al Instituto Distrital de Patrimonio Cultural en las actividades administrativas y de apoyo a la ejecución de los proyectos de inversión de la Subdirección de Intervención."/>
    <s v="(Cód. 379) Prestar servicios profesionales al Instituto Distrital de Patrimonio Cultural en las actividades administrativas y de apoyo a la ejecución de los proyectos de inversión de la Subdirección de Intervención."/>
    <d v="2019-01-28T00:00:00"/>
    <n v="10"/>
    <d v="2019-02-11T00:00:00"/>
    <x v="0"/>
    <n v="1"/>
    <n v="1"/>
    <n v="11"/>
    <n v="1"/>
    <s v="Contratación directa / Prestación de servicios profesionales y de apoyo a la gestión"/>
    <s v="CCE-16"/>
    <n v="0"/>
    <s v="N.A."/>
    <s v="Personal de apoyo transversal"/>
    <n v="54010000"/>
    <n v="5401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Bienes de Interés Cultural de tipo inmueble intervenidos "/>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54010000"/>
    <m/>
    <m/>
    <m/>
    <n v="54010000"/>
    <m/>
    <m/>
    <m/>
    <m/>
    <m/>
    <n v="54010000"/>
    <m/>
    <m/>
    <m/>
    <n v="0"/>
    <m/>
    <n v="1"/>
    <m/>
    <m/>
    <m/>
    <m/>
    <m/>
    <m/>
    <m/>
    <m/>
    <m/>
    <m/>
    <m/>
    <m/>
    <m/>
    <m/>
    <n v="0"/>
    <n v="0"/>
    <m/>
  </r>
  <r>
    <n v="380"/>
    <n v="380"/>
    <b v="0"/>
    <s v="Sí"/>
    <s v="1114. Intervención y conservación de los bienes muebles e inmuebles en sectores de interés cultural del Distrito Capital"/>
    <s v="3-3-1-15-02-17-1114-140"/>
    <s v="80161504"/>
    <s v="Prestar servicios profesionales al Instituto Distrital de Patrimonio Cultural para apoyar el apoyo jurídico en las etapas de estructuración y ejecución de los contratos que requiera la subdirección de intervención de conformidad con las normas vigentes que rigen la contratación pública. "/>
    <s v="(Cód. 380) Prestar servicios profesionales al Instituto Distrital de Patrimonio Cultural para apoyar el apoyo jurídico en las etapas de estructuración y ejecución de los contratos que requiera la subdirección de intervención de conformidad con las normas vigentes que rigen la contratación pública. "/>
    <d v="2019-01-24T00:00:00"/>
    <n v="10"/>
    <d v="2019-02-07T00:00:00"/>
    <x v="0"/>
    <n v="1"/>
    <n v="1"/>
    <n v="10"/>
    <n v="1"/>
    <s v="Contratación directa / Prestación de servicios profesionales y de apoyo a la gestión"/>
    <s v="CCE-16"/>
    <n v="0"/>
    <s v="N.A."/>
    <s v="Personal de apoyo transversal"/>
    <n v="55000000"/>
    <n v="5500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Bienes de Interés Cultural de tipo inmueble intervenidos "/>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55000000"/>
    <m/>
    <m/>
    <m/>
    <n v="55000000"/>
    <m/>
    <m/>
    <m/>
    <m/>
    <m/>
    <n v="55000000"/>
    <m/>
    <m/>
    <m/>
    <n v="0"/>
    <m/>
    <n v="1"/>
    <m/>
    <m/>
    <m/>
    <m/>
    <m/>
    <m/>
    <m/>
    <m/>
    <m/>
    <m/>
    <m/>
    <m/>
    <m/>
    <m/>
    <n v="0"/>
    <n v="0"/>
    <m/>
  </r>
  <r>
    <n v="381"/>
    <n v="381"/>
    <b v="0"/>
    <s v="Sí"/>
    <s v="1114. Intervención y conservación de los bienes muebles e inmuebles en sectores de interés cultural del Distrito Capital"/>
    <s v="3-3-1-15-02-17-1114-140"/>
    <s v="80111600;80101604"/>
    <s v="Prestar servicios profesionales al Instituto Distrital de Patrimonio Cultural para apoyar la estructuración técnica y presupuestos de los procesos de selección que se desarrollan para la gestión e intervención del patrimonio cultural del Distrito Capital."/>
    <s v="(Cód. 381) Prestar servicios profesionales al Instituto Distrital de Patrimonio Cultural para apoyar la estructuración técnica y presupuestos de los procesos de selección que se desarrollan para la gestión e intervención del patrimonio cultural del Distrito Capital."/>
    <d v="2019-01-18T00:00:00"/>
    <n v="10"/>
    <d v="2019-02-01T00:00:00"/>
    <x v="0"/>
    <n v="1"/>
    <n v="1"/>
    <n v="9"/>
    <n v="1"/>
    <s v="Contratación directa / Prestación de servicios profesionales y de apoyo a la gestión"/>
    <s v="CCE-16"/>
    <n v="0"/>
    <s v="N.A."/>
    <s v="Personal de apoyo transversal"/>
    <n v="59580000"/>
    <n v="5958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Bienes de Interés Cultural de tipo inmueble intervenidos "/>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59580000"/>
    <m/>
    <m/>
    <m/>
    <n v="59580000"/>
    <m/>
    <m/>
    <m/>
    <m/>
    <m/>
    <n v="59580000"/>
    <m/>
    <m/>
    <m/>
    <n v="0"/>
    <m/>
    <n v="1"/>
    <m/>
    <m/>
    <m/>
    <m/>
    <m/>
    <m/>
    <m/>
    <m/>
    <m/>
    <m/>
    <m/>
    <m/>
    <m/>
    <m/>
    <n v="0"/>
    <n v="0"/>
    <m/>
  </r>
  <r>
    <n v="382"/>
    <n v="382"/>
    <b v="0"/>
    <s v="Sí"/>
    <s v="1114. Intervención y conservación de los bienes muebles e inmuebles en sectores de interés cultural del Distrito Capital"/>
    <s v="3-3-1-15-02-17-1114-140"/>
    <s v="80101604;80111601;93151501;93151502"/>
    <s v="Prestar servicios profesionales al Instituto Distrital de Patrimonio Cultural para apoyar la planeación y control administrativo y de la gestión financiera, en el desarrollo de las acciones de intervención y protección del patrimonio cultural del Distrito Capital."/>
    <s v="(Cód. 382) Prestar servicios profesionales al Instituto Distrital de Patrimonio Cultural para apoyar la planeación y control administrativo y de la gestión financiera, en el desarrollo de las acciones de intervención y protección del patrimonio cultural del Distrito Capital."/>
    <d v="2019-01-26T00:00:00"/>
    <n v="10"/>
    <d v="2019-02-08T00:00:00"/>
    <x v="0"/>
    <n v="1"/>
    <n v="1"/>
    <n v="11"/>
    <n v="1"/>
    <s v="Contratación directa / Prestación de servicios profesionales y de apoyo a la gestión"/>
    <s v="CCE-16"/>
    <n v="0"/>
    <s v="N.A."/>
    <s v="Personal de apoyo transversal"/>
    <n v="57200000"/>
    <n v="5720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Bienes de Interés Cultural de tipo inmueble intervenidos "/>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57200000"/>
    <m/>
    <m/>
    <m/>
    <n v="57200000"/>
    <m/>
    <m/>
    <m/>
    <m/>
    <m/>
    <n v="57200000"/>
    <m/>
    <m/>
    <m/>
    <n v="0"/>
    <m/>
    <n v="1"/>
    <m/>
    <m/>
    <m/>
    <m/>
    <m/>
    <m/>
    <m/>
    <m/>
    <m/>
    <m/>
    <m/>
    <m/>
    <m/>
    <m/>
    <n v="0"/>
    <n v="0"/>
    <m/>
  </r>
  <r>
    <n v="383"/>
    <n v="383"/>
    <b v="0"/>
    <s v="Sí"/>
    <s v="1114. Intervención y conservación de los bienes muebles e inmuebles en sectores de interés cultural del Distrito Capital"/>
    <s v="3-3-1-15-02-17-1114-140"/>
    <s v="93141707;80101604;93142009"/>
    <s v="Prestar servicios profesionales al Instituto Distrital de Patrimonio Cultural para brindar asesoría técnica y seguimiento integral de los procesos y acciones de protección e intervención del patrimonio cultural a cargo de la Subdirección de Intervención."/>
    <s v="(Cód. 383) Prestar servicios profesionales al Instituto Distrital de Patrimonio Cultural para brindar asesoría técnica y seguimiento integral de los procesos y acciones de protección e intervención del patrimonio cultural a cargo de la Subdirección de Intervención."/>
    <d v="2019-01-16T00:00:00"/>
    <n v="10"/>
    <d v="2019-01-30T00:00:00"/>
    <x v="1"/>
    <n v="1"/>
    <n v="1"/>
    <n v="11"/>
    <n v="1"/>
    <s v="Contratación directa / Prestación de servicios profesionales y de apoyo a la gestión"/>
    <s v="CCE-16"/>
    <n v="0"/>
    <s v="N.A."/>
    <s v="Personal de apoyo transversal"/>
    <n v="90640000"/>
    <n v="9064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Bienes de Interés Cultural de tipo inmueble intervenidos "/>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90640000"/>
    <m/>
    <m/>
    <m/>
    <n v="90640000"/>
    <m/>
    <m/>
    <m/>
    <m/>
    <m/>
    <n v="90640000"/>
    <m/>
    <m/>
    <m/>
    <n v="0"/>
    <m/>
    <n v="1"/>
    <m/>
    <m/>
    <m/>
    <m/>
    <m/>
    <m/>
    <m/>
    <m/>
    <m/>
    <m/>
    <m/>
    <m/>
    <m/>
    <m/>
    <n v="0"/>
    <n v="0"/>
    <m/>
  </r>
  <r>
    <n v="384"/>
    <n v="384"/>
    <b v="0"/>
    <s v="Sí"/>
    <s v="1114. Intervención y conservación de los bienes muebles e inmuebles en sectores de interés cultural del Distrito Capital"/>
    <s v="3-3-1-15-02-17-1114-140"/>
    <s v="80101604;80111618"/>
    <s v="Prestar servicios profesionales al Instituto Distrital de Patrimonio Cultural para brindar soporte, seguimiento y apoyo a los procesos y proyectos de intervención y/o protección de patrimonio cultural, para garantizar su desarrollo y cumplimiento."/>
    <s v="(Cód. 384) Prestar servicios profesionales al Instituto Distrital de Patrimonio Cultural para brindar soporte, seguimiento y apoyo a los procesos y proyectos de intervención y/o protección de patrimonio cultural, para garantizar su desarrollo y cumplimiento."/>
    <d v="2019-01-31T00:00:00"/>
    <n v="10"/>
    <d v="2019-02-14T00:00:00"/>
    <x v="0"/>
    <n v="1"/>
    <n v="1"/>
    <n v="10"/>
    <n v="1"/>
    <s v="Contratación directa / Prestación de servicios profesionales y de apoyo a la gestión"/>
    <s v="CCE-16"/>
    <n v="0"/>
    <s v="N.A."/>
    <s v="Personal de apoyo transversal"/>
    <n v="54900000"/>
    <n v="5490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Bienes de Interés Cultural de tipo inmueble intervenidos "/>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54900000"/>
    <m/>
    <m/>
    <m/>
    <n v="54900000"/>
    <m/>
    <m/>
    <m/>
    <m/>
    <m/>
    <n v="54900000"/>
    <m/>
    <m/>
    <m/>
    <n v="0"/>
    <m/>
    <n v="1"/>
    <m/>
    <m/>
    <m/>
    <m/>
    <m/>
    <m/>
    <m/>
    <m/>
    <m/>
    <m/>
    <m/>
    <m/>
    <m/>
    <m/>
    <n v="0"/>
    <n v="0"/>
    <m/>
  </r>
  <r>
    <n v="385"/>
    <n v="385"/>
    <b v="0"/>
    <s v="Sí"/>
    <s v="1114. Intervención y conservación de los bienes muebles e inmuebles en sectores de interés cultural del Distrito Capital"/>
    <s v="3-3-1-15-02-17-1114-140"/>
    <s v="80121704"/>
    <s v="Prestar servicios profesionales al Instituto Distrital de Patrimonio Cultural para el apoyo y acompañamiento jurídico en las etapas de estructuración, ejecución y liquidación de los contratos que requiera la subdirección de intervención de conformidad con las normas vigentes que rigen la contratación pública. "/>
    <s v="(Cód. 385) Prestar servicios profesionales al Instituto Distrital de Patrimonio Cultural para el apoyo y acompañamiento jurídico en las etapas de estructuración, ejecución y liquidación de los contratos que requiera la subdirección de intervención de conformidad con las normas vigentes que rigen la contratación pública. "/>
    <d v="2019-01-23T00:00:00"/>
    <n v="10"/>
    <d v="2019-02-06T00:00:00"/>
    <x v="0"/>
    <n v="1"/>
    <n v="1"/>
    <n v="11"/>
    <n v="1"/>
    <s v="Contratación directa / Prestación de servicios profesionales y de apoyo a la gestión"/>
    <s v="CCE-16"/>
    <n v="0"/>
    <s v="N.A."/>
    <s v="Personal de apoyo transversal"/>
    <n v="93500000"/>
    <n v="9350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Bienes de Interés Cultural de tipo inmueble intervenidos "/>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93500000"/>
    <m/>
    <m/>
    <m/>
    <n v="93500000"/>
    <m/>
    <m/>
    <m/>
    <m/>
    <m/>
    <n v="93500000"/>
    <m/>
    <m/>
    <m/>
    <n v="0"/>
    <m/>
    <n v="1"/>
    <m/>
    <m/>
    <m/>
    <m/>
    <m/>
    <m/>
    <m/>
    <m/>
    <m/>
    <m/>
    <m/>
    <m/>
    <m/>
    <m/>
    <n v="0"/>
    <n v="0"/>
    <m/>
  </r>
  <r>
    <n v="386"/>
    <n v="386"/>
    <b v="0"/>
    <s v="Sí"/>
    <s v="1114. Intervención y conservación de los bienes muebles e inmuebles en sectores de interés cultural del Distrito Capital"/>
    <s v="3-3-1-15-02-17-1114-140"/>
    <s v="80111600;80161504"/>
    <s v="Prestar servicios profesionales al Instituto Distrital de Patrimonio Cultural para realizar el acompañamiento de los contratos relacionados con la ejecución de la restauración integral de la Iglesia del Voto Nacional."/>
    <s v="(Cód. 386) Prestar servicios profesionales al Instituto Distrital de Patrimonio Cultural para realizar el acompañamiento de los contratos relacionados con la ejecución de la restauración integral de la Iglesia del Voto Nacional."/>
    <d v="2019-02-01T00:00:00"/>
    <n v="10"/>
    <d v="2019-02-15T00:00:00"/>
    <x v="0"/>
    <n v="2"/>
    <n v="2"/>
    <n v="11"/>
    <n v="1"/>
    <s v="Contratación directa / Prestación de servicios profesionales y de apoyo a la gestión"/>
    <s v="CCE-16"/>
    <n v="0"/>
    <s v="N.A."/>
    <s v="Personal de apoyo transversal"/>
    <n v="91740000"/>
    <n v="9174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Bienes de Interés Cultural de tipo inmueble intervenidos "/>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91740000"/>
    <m/>
    <m/>
    <m/>
    <n v="91740000"/>
    <m/>
    <m/>
    <m/>
    <m/>
    <m/>
    <n v="91740000"/>
    <m/>
    <m/>
    <m/>
    <n v="0"/>
    <m/>
    <n v="1"/>
    <m/>
    <m/>
    <m/>
    <m/>
    <m/>
    <m/>
    <m/>
    <m/>
    <m/>
    <m/>
    <m/>
    <m/>
    <m/>
    <m/>
    <n v="0"/>
    <n v="0"/>
    <m/>
  </r>
  <r>
    <n v="387"/>
    <n v="387"/>
    <b v="0"/>
    <s v="Sí"/>
    <s v="1114. Intervención y conservación de los bienes muebles e inmuebles en sectores de interés cultural del Distrito Capital"/>
    <s v="3-3-1-15-02-17-1114-140"/>
    <s v="93141707;80101604"/>
    <s v="Prestar servicios profesionales al Instituto Distrital de Patrimonio Cultural para realizar el monitoreo, seguimiento y apoyo a los procesos y proyectos de intervención y/o protección de patrimonio cultural, para garantizar su desarrollo y cumplimiento."/>
    <s v="(Cód. 387) Prestar servicios profesionales al Instituto Distrital de Patrimonio Cultural para realizar el monitoreo, seguimiento y apoyo a los procesos y proyectos de intervención y/o protección de patrimonio cultural, para garantizar su desarrollo y cumplimiento."/>
    <d v="2019-01-15T00:00:00"/>
    <n v="10"/>
    <d v="2019-01-29T00:00:00"/>
    <x v="1"/>
    <n v="1"/>
    <n v="1"/>
    <n v="11"/>
    <n v="1"/>
    <s v="Contratación directa / Prestación de servicios profesionales y de apoyo a la gestión"/>
    <s v="CCE-16"/>
    <n v="0"/>
    <s v="N.A."/>
    <s v="Personal de apoyo transversal"/>
    <n v="88000000"/>
    <n v="8800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Bienes de Interés Cultural de tipo inmueble intervenidos "/>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88000000"/>
    <m/>
    <m/>
    <m/>
    <n v="88000000"/>
    <m/>
    <m/>
    <m/>
    <m/>
    <m/>
    <n v="88000000"/>
    <m/>
    <m/>
    <m/>
    <n v="0"/>
    <m/>
    <n v="1"/>
    <m/>
    <m/>
    <m/>
    <m/>
    <m/>
    <m/>
    <m/>
    <m/>
    <m/>
    <m/>
    <m/>
    <m/>
    <m/>
    <m/>
    <n v="0"/>
    <n v="0"/>
    <m/>
  </r>
  <r>
    <n v="388"/>
    <n v="388"/>
    <b v="0"/>
    <s v="Sí"/>
    <s v="1114. Intervención y conservación de los bienes muebles e inmuebles en sectores de interés cultural del Distrito Capital"/>
    <s v="3-3-1-15-02-17-1114-140"/>
    <s v="80101600;80101604;80111617;80111614"/>
    <s v="Prestar servicios profesionales al Instituto Distrital de Patrimonio Cultural para realizar la planificación, programación y control de las acciones de intervención y protección a cargo de la Subdirección de Intervención."/>
    <s v="(Cód. 388) Prestar servicios profesionales al Instituto Distrital de Patrimonio Cultural para realizar la planificación, programación y control de las acciones de intervención y protección a cargo de la Subdirección de Intervención."/>
    <d v="2019-01-17T00:00:00"/>
    <n v="10"/>
    <d v="2019-01-31T00:00:00"/>
    <x v="1"/>
    <n v="1"/>
    <n v="1"/>
    <n v="9"/>
    <n v="1"/>
    <s v="Contratación directa / Prestación de servicios profesionales y de apoyo a la gestión"/>
    <s v="CCE-16"/>
    <n v="0"/>
    <s v="N.A."/>
    <s v="Personal de apoyo transversal"/>
    <n v="48960000"/>
    <n v="4896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Bienes de Interés Cultural de tipo inmueble intervenidos "/>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48960000"/>
    <m/>
    <m/>
    <m/>
    <n v="48960000"/>
    <m/>
    <m/>
    <m/>
    <m/>
    <m/>
    <n v="48960000"/>
    <m/>
    <m/>
    <m/>
    <n v="0"/>
    <m/>
    <n v="1"/>
    <m/>
    <m/>
    <m/>
    <m/>
    <m/>
    <m/>
    <m/>
    <m/>
    <m/>
    <m/>
    <m/>
    <m/>
    <m/>
    <m/>
    <n v="0"/>
    <n v="0"/>
    <m/>
  </r>
  <r>
    <n v="389"/>
    <n v="389"/>
    <b v="0"/>
    <s v="Sí"/>
    <s v="1114. Intervención y conservación de los bienes muebles e inmuebles en sectores de interés cultural del Distrito Capital"/>
    <s v="3-3-1-15-02-17-1114-140"/>
    <s v="80111600;80111614;93141707"/>
    <s v="Prestar servicios profesionales al Instituto Distrital de Patrimonio Cultural, para acompañar la revisión de los estudios y emisión de conceptos de las obras de intervención que desarrolle la Entidad."/>
    <s v="(Cód. 389) Prestar servicios profesionales al Instituto Distrital de Patrimonio Cultural, para acompañar la revisión de los estudios y emisión de conceptos de las obras de intervención que desarrolle la Entidad."/>
    <d v="2019-01-15T00:00:00"/>
    <n v="10"/>
    <d v="2019-01-29T00:00:00"/>
    <x v="1"/>
    <n v="1"/>
    <n v="1"/>
    <n v="10"/>
    <n v="1"/>
    <s v="Contratación directa / Prestación de servicios profesionales y de apoyo a la gestión"/>
    <s v="CCE-16"/>
    <n v="0"/>
    <s v="N.A."/>
    <s v="Personal de apoyo transversal"/>
    <n v="87500000"/>
    <n v="8750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Bienes de Interés Cultural de tipo inmueble intervenidos "/>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87500000"/>
    <m/>
    <m/>
    <m/>
    <n v="87500000"/>
    <m/>
    <m/>
    <m/>
    <m/>
    <m/>
    <n v="87500000"/>
    <m/>
    <m/>
    <m/>
    <n v="0"/>
    <m/>
    <n v="1"/>
    <m/>
    <m/>
    <m/>
    <m/>
    <m/>
    <m/>
    <m/>
    <m/>
    <m/>
    <m/>
    <m/>
    <m/>
    <m/>
    <m/>
    <n v="0"/>
    <n v="0"/>
    <m/>
  </r>
  <r>
    <n v="390"/>
    <n v="390"/>
    <b v="0"/>
    <s v="Sí"/>
    <s v="1114. Intervención y conservación de los bienes muebles e inmuebles en sectores de interés cultural del Distrito Capital"/>
    <s v="3-3-1-15-02-17-1114-140"/>
    <s v="80111600;93141707;80101604;80111618;"/>
    <s v="Prestar servicios profesionales especializados para apoyar al Instituto Distrital de Patrimonio Cultural en los temas relacionados con estructuración y ejecución de obras en proyectos de conservación y restauración en bienes inmuebles de interés cultural."/>
    <s v="(Cód. 390) Prestar servicios profesionales especializados para apoyar al Instituto Distrital de Patrimonio Cultural en los temas relacionados con estructuración y ejecución de obras en proyectos de conservación y restauración en bienes inmuebles de interés cultural."/>
    <d v="2019-01-15T00:00:00"/>
    <n v="10"/>
    <d v="2019-01-29T00:00:00"/>
    <x v="1"/>
    <n v="1"/>
    <n v="1"/>
    <n v="10"/>
    <n v="1"/>
    <s v="Contratación directa / Prestación de servicios profesionales y de apoyo a la gestión"/>
    <s v="CCE-16"/>
    <n v="0"/>
    <s v="N.A."/>
    <s v="Personal de apoyo transversal"/>
    <n v="72000000"/>
    <n v="7200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Bienes de Interés Cultural de tipo inmueble intervenidos "/>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72000000"/>
    <m/>
    <m/>
    <m/>
    <n v="72000000"/>
    <m/>
    <m/>
    <m/>
    <m/>
    <m/>
    <n v="72000000"/>
    <m/>
    <m/>
    <m/>
    <n v="0"/>
    <m/>
    <n v="1"/>
    <m/>
    <m/>
    <m/>
    <m/>
    <m/>
    <m/>
    <m/>
    <m/>
    <m/>
    <m/>
    <m/>
    <m/>
    <m/>
    <m/>
    <n v="0"/>
    <n v="0"/>
    <m/>
  </r>
  <r>
    <n v="391"/>
    <n v="391"/>
    <b v="0"/>
    <s v="Sí"/>
    <s v="1114. Intervención y conservación de los bienes muebles e inmuebles en sectores de interés cultural del Distrito Capital"/>
    <s v="3-3-1-15-02-17-1114-140"/>
    <s v="80111601;80111701;80161504"/>
    <s v="Prestar servicios profesionales para apoyar las actividades técnicas y operativas para el desarrollo de los proyectos de protección e intervención del patrimonio a cargo de la Subdirección de Intervención."/>
    <s v="(Cód. 391) Prestar servicios profesionales para apoyar las actividades técnicas y operativas para el desarrollo de los proyectos de protección e intervención del patrimonio a cargo de la Subdirección de Intervención."/>
    <d v="2019-01-29T00:00:00"/>
    <n v="10"/>
    <d v="2019-02-12T00:00:00"/>
    <x v="0"/>
    <n v="1"/>
    <n v="1"/>
    <n v="11"/>
    <n v="1"/>
    <s v="Contratación directa / Prestación de servicios profesionales y de apoyo a la gestión"/>
    <s v="CCE-16"/>
    <n v="0"/>
    <s v="N.A."/>
    <s v="Personal de apoyo transversal"/>
    <n v="45320000"/>
    <n v="4532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Bienes de Interés Cultural de tipo inmueble intervenidos "/>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45320000"/>
    <m/>
    <m/>
    <m/>
    <n v="45320000"/>
    <m/>
    <m/>
    <m/>
    <m/>
    <m/>
    <n v="45320000"/>
    <m/>
    <m/>
    <m/>
    <n v="0"/>
    <m/>
    <n v="1"/>
    <m/>
    <m/>
    <m/>
    <m/>
    <m/>
    <m/>
    <m/>
    <m/>
    <m/>
    <m/>
    <m/>
    <m/>
    <m/>
    <m/>
    <n v="0"/>
    <n v="0"/>
    <m/>
  </r>
  <r>
    <n v="392"/>
    <n v="392"/>
    <b v="0"/>
    <s v="Sí"/>
    <s v="1114. Intervención y conservación de los bienes muebles e inmuebles en sectores de interés cultural del Distrito Capital"/>
    <s v="3-3-1-15-02-17-1114-140"/>
    <s v="80101604;80111618"/>
    <s v="Prestar servicios profesionales para apoyar las actividades técnicas y operativas para el desarrollo de los proyectos de protección e intervención del patrimonio a cargo de la Subdirección de Intervención."/>
    <s v="(Cód. 392) Prestar servicios profesionales para apoyar las actividades técnicas y operativas para el desarrollo de los proyectos de protección e intervención del patrimonio a cargo de la Subdirección de Intervención."/>
    <d v="2019-01-20T00:00:00"/>
    <n v="10"/>
    <d v="2019-02-01T00:00:00"/>
    <x v="0"/>
    <n v="1"/>
    <n v="1"/>
    <n v="9"/>
    <n v="1"/>
    <s v="Contratación directa / Prestación de servicios profesionales y de apoyo a la gestión"/>
    <s v="CCE-16"/>
    <n v="0"/>
    <s v="N.A."/>
    <s v="Personal de apoyo transversal"/>
    <n v="36450000"/>
    <n v="3645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Bienes de Interés Cultural de tipo inmueble intervenidos "/>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36450000"/>
    <m/>
    <m/>
    <m/>
    <n v="36450000"/>
    <m/>
    <m/>
    <m/>
    <m/>
    <m/>
    <n v="36450000"/>
    <m/>
    <m/>
    <m/>
    <n v="0"/>
    <m/>
    <n v="1"/>
    <m/>
    <m/>
    <m/>
    <m/>
    <m/>
    <m/>
    <m/>
    <m/>
    <m/>
    <m/>
    <m/>
    <m/>
    <m/>
    <m/>
    <n v="0"/>
    <n v="0"/>
    <m/>
  </r>
  <r>
    <n v="393"/>
    <n v="393"/>
    <b v="0"/>
    <s v="Sí"/>
    <s v="1114. Intervención y conservación de los bienes muebles e inmuebles en sectores de interés cultural del Distrito Capital"/>
    <s v="3-3-1-15-02-17-1114-140"/>
    <s v="81151705;93141707"/>
    <s v="Prestar servicios profesionales al Instituto Distrital de Patrimonio Cultural para apoyar el desarrollo y seguimiento del manejo arqueológico en los proyectos de Intervención en los que el Instituto se vea involucrado."/>
    <s v="(Cód. 393) Prestar servicios profesionales al Instituto Distrital de Patrimonio Cultural para apoyar el desarrollo y seguimiento del manejo arqueológico en los proyectos de Intervención en los que el Instituto se vea involucrado."/>
    <d v="2019-01-20T00:00:00"/>
    <n v="10"/>
    <d v="2019-02-01T00:00:00"/>
    <x v="0"/>
    <n v="1"/>
    <n v="1"/>
    <n v="10"/>
    <n v="1"/>
    <s v="Contratación directa / Prestación de servicios profesionales y de apoyo a la gestión"/>
    <s v="CCE-16"/>
    <n v="0"/>
    <s v="N.A."/>
    <s v="Personal de seguimiento arqueológico"/>
    <n v="55600000"/>
    <n v="5560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Actividades de seguimiento arqueológico en intervenciones y acciones sobre bienes de interés cultural"/>
    <s v="4. Obras de Intervención en Bienes muebles - inmuebles y sectores que conforman el patrimonio cultural del D.C."/>
    <s v="FONT1114"/>
    <s v="12-Otros Distrito"/>
    <s v="03-RECURSO HUMANO"/>
    <s v="04-GASTOS DE PERSONAL OPERATIVO"/>
    <s v="0316-Personal de apoyo para las actividades de valoración, protección y conservación del Patrimonio Cultural"/>
    <n v="0"/>
    <n v="55600000"/>
    <m/>
    <m/>
    <m/>
    <n v="55600000"/>
    <m/>
    <m/>
    <m/>
    <m/>
    <m/>
    <n v="55600000"/>
    <m/>
    <m/>
    <m/>
    <n v="0"/>
    <m/>
    <n v="1"/>
    <m/>
    <m/>
    <m/>
    <m/>
    <m/>
    <m/>
    <m/>
    <m/>
    <m/>
    <m/>
    <m/>
    <m/>
    <m/>
    <m/>
    <n v="0"/>
    <n v="0"/>
    <m/>
  </r>
  <r>
    <n v="394"/>
    <n v="394"/>
    <b v="0"/>
    <s v="Sí"/>
    <s v="1114. Intervención y conservación de los bienes muebles e inmuebles en sectores de interés cultural del Distrito Capital"/>
    <s v="3-3-1-15-02-17-1114-140"/>
    <s v="81151705;93141707"/>
    <s v="Prestar servicios profesionales al Instituto Distrital de Patrimonio Cultural para orientar el acompañamiento y seguimiento en el desarrollo del manejo arqueológico en los proyectos de Intervención en los que el Instituto se vea involucrado."/>
    <s v="(Cód. 394) Prestar servicios profesionales al Instituto Distrital de Patrimonio Cultural para orientar el acompañamiento y seguimiento en el desarrollo del manejo arqueológico en los proyectos de Intervención en los que el Instituto se vea involucrado."/>
    <d v="2019-01-20T00:00:00"/>
    <n v="10"/>
    <d v="2019-02-01T00:00:00"/>
    <x v="0"/>
    <n v="1"/>
    <n v="1"/>
    <n v="10"/>
    <n v="1"/>
    <s v="Contratación directa / Prestación de servicios profesionales y de apoyo a la gestión"/>
    <s v="CCE-16"/>
    <n v="0"/>
    <s v="N.A."/>
    <s v="Personal de seguimiento arqueológico"/>
    <n v="66400000"/>
    <n v="6640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Actividades de seguimiento arqueológico en intervenciones y acciones sobre bienes de interés cultural"/>
    <s v="4. Obras de Intervención en Bienes muebles - inmuebles y sectores que conforman el patrimonio cultural del D.C."/>
    <s v="FONT1114"/>
    <s v="12-Otros Distrito"/>
    <s v="03-RECURSO HUMANO"/>
    <s v="04-GASTOS DE PERSONAL OPERATIVO"/>
    <s v="0316-Personal de apoyo para las actividades de valoración, protección y conservación del Patrimonio Cultural"/>
    <n v="0"/>
    <n v="66400000"/>
    <m/>
    <m/>
    <m/>
    <n v="66400000"/>
    <m/>
    <m/>
    <m/>
    <m/>
    <m/>
    <n v="66400000"/>
    <m/>
    <m/>
    <m/>
    <n v="0"/>
    <m/>
    <n v="1"/>
    <m/>
    <m/>
    <m/>
    <m/>
    <m/>
    <m/>
    <m/>
    <m/>
    <m/>
    <m/>
    <m/>
    <m/>
    <m/>
    <m/>
    <n v="0"/>
    <n v="0"/>
    <m/>
  </r>
  <r>
    <s v="N.A."/>
    <s v="N.A."/>
    <b v="0"/>
    <s v="No"/>
    <s v="1114. Intervención y conservación de los bienes muebles e inmuebles en sectores de interés cultural del Distrito Capital"/>
    <s v="3-3-1-15-02-17-1114-140"/>
    <s v="No aplica"/>
    <s v="Valor dirigido para reconocer la afiliación de riesgos laborales Nivel 5 de los contratistas de la Subdirección de Intervención."/>
    <s v="(Cód. N.A.) Valor dirigido para reconocer la afiliación de riesgos laborales Nivel 5 de los contratistas de la Subdirección de Intervención."/>
    <s v="No aplica"/>
    <n v="10"/>
    <s v="No aplica"/>
    <x v="2"/>
    <s v="No aplica"/>
    <s v="No aplica"/>
    <n v="10"/>
    <n v="1"/>
    <s v="Contratación directa / Prestación de servicios profesionales y de apoyo a la gestión"/>
    <s v="CCE-16"/>
    <n v="0"/>
    <s v="ARL N. 5"/>
    <s v="Personal de seguimiento arqueológico"/>
    <n v="4000000"/>
    <n v="400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Actividades de seguimiento arqueológico en intervenciones y acciones sobre bienes de interés cultural"/>
    <s v="4. Obras de Intervención en Bienes muebles - inmuebles y sectores que conforman el patrimonio cultural del D.C."/>
    <s v="FONT1114"/>
    <s v="12-Otros Distrito"/>
    <s v="03-RECURSO HUMANO"/>
    <s v="04-GASTOS DE PERSONAL OPERATIVO"/>
    <s v="0316-Personal de apoyo para las actividades de valoración, protección y conservación del Patrimonio Cultural"/>
    <n v="0"/>
    <n v="4000000"/>
    <m/>
    <m/>
    <m/>
    <n v="4000000"/>
    <m/>
    <m/>
    <m/>
    <m/>
    <m/>
    <n v="4000000"/>
    <m/>
    <m/>
    <m/>
    <n v="0"/>
    <m/>
    <n v="1"/>
    <m/>
    <m/>
    <m/>
    <m/>
    <m/>
    <m/>
    <m/>
    <m/>
    <m/>
    <m/>
    <m/>
    <m/>
    <m/>
    <m/>
    <n v="0"/>
    <n v="0"/>
    <m/>
  </r>
  <r>
    <s v="N.A."/>
    <s v="N.A."/>
    <b v="1"/>
    <s v="No"/>
    <s v="1114. Intervención y conservación de los bienes muebles e inmuebles en sectores de interés cultural del Distrito Capital"/>
    <s v="3-3-1-15-02-17-1114-140"/>
    <s v="81151705;93141707"/>
    <s v="Valor dirigido para reconocer la afiliación de riesgos laborales Nivel 5 de los contratistas de la Subdirección de Intervención."/>
    <s v="(Cód. N.A.) Valor dirigido para reconocer la afiliación de riesgos laborales Nivel 5 de los contratistas de la Subdirección de Intervención."/>
    <s v="No aplica"/>
    <n v="10"/>
    <s v="No aplica"/>
    <x v="2"/>
    <s v="No aplica"/>
    <s v="No aplica"/>
    <n v="11"/>
    <n v="1"/>
    <s v="Contratación directa / Prestación de servicios profesionales y de apoyo a la gestión"/>
    <s v="CCE-16"/>
    <n v="0"/>
    <s v="ARL N. 5"/>
    <m/>
    <n v="4810000"/>
    <n v="4810000"/>
    <n v="0"/>
    <n v="0"/>
    <s v="ASESORA JURIDICA"/>
    <s v="CO-DC-11001"/>
    <s v="Carolina Fernández Borda (Subdirección de Intervención)"/>
    <s v="3550800"/>
    <s v="carolina.fernandez@idpc.gov.co"/>
    <s v="ME20181114"/>
    <s v="COMP1114"/>
    <s v="CONC1114"/>
    <s v="Intervenir Bienes de Interés Cultural del Distrito Capital, a través de obras de adecuación, ampliación, conservación, consolidación estructural, rehabilitación, mantenimiento y/o restauración"/>
    <s v="Bienes de Interés Cultural de tipo inmueble intervenidos "/>
    <s v="4. Obras de Intervención en Bienes muebles - inmuebles y sectores que conforman el patrimonio cultural del D.C."/>
    <s v="FONT1114"/>
    <s v="12-Otros Distrito"/>
    <s v="01-INFRAESTRUCTURA"/>
    <s v="01-CONSTRUCCION, ADECUACION Y AMPLIACION DE INFRAESTRUCTURA PROPIA DEL SECTOR"/>
    <s v="0525-Recuperación y aprovechamiento de bienes de interés cultural"/>
    <n v="0"/>
    <n v="4810000"/>
    <m/>
    <m/>
    <m/>
    <n v="4810000"/>
    <m/>
    <m/>
    <m/>
    <m/>
    <m/>
    <n v="4810000"/>
    <m/>
    <m/>
    <m/>
    <n v="0"/>
    <m/>
    <n v="1"/>
    <m/>
    <m/>
    <m/>
    <m/>
    <m/>
    <m/>
    <m/>
    <m/>
    <m/>
    <m/>
    <m/>
    <m/>
    <m/>
    <m/>
    <n v="0"/>
    <n v="0"/>
    <m/>
  </r>
  <r>
    <n v="395"/>
    <n v="395"/>
    <b v="0"/>
    <s v="Sí"/>
    <s v="Funcionamiento Gastos Generales"/>
    <s v="3-1-2-00-00-00-0000-00"/>
    <s v="76111500;90101700;72102103;"/>
    <s v="Contratar la prestación del servicio integral de aseo, cafetería y fumigación, incluidos los insumos, para las sedes del Instituto Distrital de Patrimonio Cultural."/>
    <s v="(Cód. 395) Contratar la prestación del servicio integral de aseo, cafetería y fumigación, incluidos los insumos, para las sedes del Instituto Distrital de Patrimonio Cultural."/>
    <d v="2019-02-05T00:00:00"/>
    <n v="10"/>
    <d v="2019-02-19T00:00:00"/>
    <x v="0"/>
    <n v="2"/>
    <n v="2"/>
    <n v="10"/>
    <n v="1"/>
    <s v="Acuerdo marco de precios"/>
    <s v="CCE-99"/>
    <n v="0"/>
    <s v="Aseo y cafetería"/>
    <s v="aseo "/>
    <n v="120000000"/>
    <n v="120000000"/>
    <n v="0"/>
    <n v="0"/>
    <s v="ASESORA JURIDICA"/>
    <s v="CO-DC-11001"/>
    <s v="Juan Fernando Acosta Mirkow (Subdirección de Gestión Corporativa)"/>
    <s v="3550800"/>
    <s v="juan.acosta@idpc.gov.co"/>
    <s v="No aplica"/>
    <s v="No aplica"/>
    <s v="No aplica"/>
    <m/>
    <m/>
    <s v="Alerta: Seleccione la celda en la comumna B con el nombre del proyecto"/>
    <s v="No aplica"/>
    <m/>
    <s v="Alerta: Seleccione la celda en la comumna AI con el concepto de gasto"/>
    <s v="Alerta: Seleccione la celda en la comumna AI con el concepto de gasto"/>
    <m/>
    <s v="Alerta: Seleccione el Concepto de Gasto primero"/>
    <n v="120000000"/>
    <m/>
    <m/>
    <m/>
    <n v="120000000"/>
    <m/>
    <m/>
    <m/>
    <m/>
    <m/>
    <n v="120000000"/>
    <m/>
    <m/>
    <m/>
    <n v="0"/>
    <m/>
    <n v="1"/>
    <m/>
    <m/>
    <m/>
    <m/>
    <m/>
    <m/>
    <m/>
    <m/>
    <m/>
    <m/>
    <m/>
    <m/>
    <m/>
    <m/>
    <n v="0"/>
    <n v="0"/>
    <m/>
  </r>
  <r>
    <n v="396"/>
    <n v="396"/>
    <b v="0"/>
    <s v="Sí"/>
    <s v="Funcionamiento Gastos Generales"/>
    <s v="3-1-2-00-00-00-0000-00"/>
    <n v="84131501"/>
    <s v="Contratar un programa de seguros que ampare los bienes e intereses patrimoniales del Instituto Distrital de Patrimonio Cultural y aquellos por los cuales sea o llegare a ser responsable."/>
    <s v="(Cód. 396) Contratar un programa de seguros que ampare los bienes e intereses patrimoniales del Instituto Distrital de Patrimonio Cultural y aquellos por los cuales sea o llegare a ser responsable."/>
    <d v="2019-05-01T00:00:00"/>
    <n v="50"/>
    <d v="2019-07-10T00:00:00"/>
    <x v="6"/>
    <n v="5"/>
    <n v="5"/>
    <n v="8"/>
    <n v="1"/>
    <s v="Licitación pública"/>
    <s v="CCE-02"/>
    <n v="0"/>
    <s v="Seguros"/>
    <s v="seguros"/>
    <n v="250000000"/>
    <n v="250000000"/>
    <n v="0"/>
    <n v="0"/>
    <s v="ASESORA JURIDICA"/>
    <s v="CO-DC-11001"/>
    <s v="Juan Fernando Acosta Mirkow (Subdirección de Gestión Corporativa)"/>
    <s v="3550800"/>
    <s v="juan.acosta@idpc.gov.co"/>
    <s v="No aplica"/>
    <s v="No aplica"/>
    <s v="No aplica"/>
    <m/>
    <m/>
    <s v="Alerta: Seleccione la celda en la comumna B con el nombre del proyecto"/>
    <s v="No aplica"/>
    <m/>
    <s v="Alerta: Seleccione la celda en la comumna AI con el concepto de gasto"/>
    <s v="Alerta: Seleccione la celda en la comumna AI con el concepto de gasto"/>
    <m/>
    <s v="Alerta: Seleccione el Concepto de Gasto primero"/>
    <n v="250000000"/>
    <m/>
    <m/>
    <m/>
    <n v="250000000"/>
    <m/>
    <m/>
    <m/>
    <m/>
    <m/>
    <n v="250000000"/>
    <m/>
    <m/>
    <m/>
    <n v="0"/>
    <m/>
    <n v="1"/>
    <m/>
    <m/>
    <m/>
    <m/>
    <m/>
    <m/>
    <m/>
    <m/>
    <m/>
    <m/>
    <m/>
    <m/>
    <m/>
    <m/>
    <n v="0"/>
    <n v="0"/>
    <m/>
  </r>
  <r>
    <n v="397"/>
    <n v="397"/>
    <b v="0"/>
    <s v="Sí"/>
    <s v="Funcionamiento Gastos Generales"/>
    <s v="3-1-2-00-00-00-0000-00"/>
    <s v="80111600;92121500;92121700;92121701;"/>
    <s v="Prestación de los servicios de vigilancia y seguridad privada, en la modalidad de vigilancia fija armada, con medios técnicos y tecnológicos, a los bienes muebles e inmuebles que conforman el patrimonio de la entidad y de los cuales es o llegare a ser legalmente responsable."/>
    <s v="(Cód. 397) Prestación de los servicios de vigilancia y seguridad privada, en la modalidad de vigilancia fija armada, con medios técnicos y tecnológicos, a los bienes muebles e inmuebles que conforman el patrimonio de la entidad y de los cuales es o llegare a ser legalmente responsable."/>
    <d v="2019-03-15T00:00:00"/>
    <n v="50"/>
    <d v="2019-05-24T00:00:00"/>
    <x v="3"/>
    <n v="3"/>
    <n v="3"/>
    <n v="7"/>
    <n v="1"/>
    <s v="Licitación pública"/>
    <s v="CCE-02"/>
    <n v="0"/>
    <s v="Vigilancia"/>
    <s v="vigilancia"/>
    <n v="193789594"/>
    <n v="193789594"/>
    <n v="0"/>
    <n v="0"/>
    <s v="ASESORA JURIDICA"/>
    <s v="CO-DC-11001"/>
    <s v="Juan Fernando Acosta Mirkow (Subdirección de Gestión Corporativa)"/>
    <s v="3550800"/>
    <s v="juan.acosta@idpc.gov.co"/>
    <s v="No aplica"/>
    <s v="No aplica"/>
    <s v="No aplica"/>
    <m/>
    <m/>
    <s v="Alerta: Seleccione la celda en la comumna B con el nombre del proyecto"/>
    <s v="No aplica"/>
    <m/>
    <s v="Alerta: Seleccione la celda en la comumna AI con el concepto de gasto"/>
    <s v="Alerta: Seleccione la celda en la comumna AI con el concepto de gasto"/>
    <m/>
    <s v="Alerta: Seleccione el Concepto de Gasto primero"/>
    <n v="193789594"/>
    <m/>
    <m/>
    <m/>
    <n v="193789594"/>
    <m/>
    <m/>
    <m/>
    <m/>
    <m/>
    <n v="193789594"/>
    <m/>
    <m/>
    <m/>
    <n v="0"/>
    <m/>
    <n v="1"/>
    <m/>
    <m/>
    <m/>
    <m/>
    <m/>
    <m/>
    <m/>
    <m/>
    <m/>
    <m/>
    <m/>
    <m/>
    <m/>
    <m/>
    <n v="0"/>
    <n v="0"/>
    <m/>
  </r>
  <r>
    <n v="398"/>
    <n v="398"/>
    <b v="0"/>
    <s v="Sí"/>
    <s v="Funcionamiento Gastos Generales"/>
    <s v="3-1-2-00-00-00-0000-00"/>
    <s v="80111600;92121500;92121700;92121701;"/>
    <s v="Adición y prorroga al contrato 305 de 2018 que tiene por objeto: prestación de los servicios de vigilancia y seguridad privada, en la modalidad de vigilancia fija armada, con medios técnicos y tecnológicos, a los bienes muebles e inmuebles que conforman el patrimonio de la entidad y de los cuales es o llegare a ser legalmente responsable."/>
    <s v="(Cód. 398) Adición y prorroga al contrato 305 de 2018 que tiene por objeto: prestación de los servicios de vigilancia y seguridad privada, en la modalidad de vigilancia fija armada, con medios técnicos y tecnológicos, a los bienes muebles e inmuebles que conforman el patrimonio de la entidad y de los cuales es o llegare a ser legalmente responsable."/>
    <d v="2019-01-16T00:00:00"/>
    <n v="50"/>
    <d v="2019-03-27T00:00:00"/>
    <x v="5"/>
    <n v="1"/>
    <n v="1"/>
    <n v="105"/>
    <n v="0"/>
    <s v="Licitación pública"/>
    <s v="CCE-02"/>
    <n v="0"/>
    <s v="Vigilancia (Adición)"/>
    <s v="vigilancia"/>
    <n v="206210406"/>
    <n v="206210406"/>
    <n v="0"/>
    <n v="0"/>
    <s v="ASESORA JURIDICA"/>
    <s v="CO-DC-11001"/>
    <s v="Juan Fernando Acosta Mirkow (Subdirección de Gestión Corporativa)"/>
    <s v="3550800"/>
    <s v="juan.acosta@idpc.gov.co"/>
    <s v="No aplica"/>
    <s v="No aplica"/>
    <s v="No aplica"/>
    <m/>
    <m/>
    <s v="Alerta: Seleccione la celda en la comumna B con el nombre del proyecto"/>
    <s v="No aplica"/>
    <m/>
    <s v="Alerta: Seleccione la celda en la comumna AI con el concepto de gasto"/>
    <s v="Alerta: Seleccione la celda en la comumna AI con el concepto de gasto"/>
    <m/>
    <s v="Alerta: Seleccione el Concepto de Gasto primero"/>
    <n v="206210406"/>
    <m/>
    <m/>
    <m/>
    <n v="206210406"/>
    <m/>
    <m/>
    <m/>
    <m/>
    <m/>
    <n v="206210406"/>
    <m/>
    <m/>
    <m/>
    <n v="0"/>
    <m/>
    <n v="1"/>
    <m/>
    <m/>
    <m/>
    <m/>
    <m/>
    <m/>
    <m/>
    <m/>
    <m/>
    <m/>
    <m/>
    <m/>
    <m/>
    <m/>
    <n v="0"/>
    <n v="0"/>
    <m/>
  </r>
  <r>
    <n v="399"/>
    <n v="399"/>
    <b v="0"/>
    <s v="Sí"/>
    <s v="Funcionamiento Gastos Generales"/>
    <s v="3-1-2-00-00-00-0000-00"/>
    <s v="43191508;43191511"/>
    <s v="Contratar el servicio de telefonía IP para las sedes del IDPC"/>
    <s v="(Cód. 399) Contratar el servicio de telefonía IP para las sedes del IDPC"/>
    <d v="2019-06-15T00:00:00"/>
    <n v="50"/>
    <d v="2019-08-23T00:00:00"/>
    <x v="9"/>
    <n v="6"/>
    <n v="6"/>
    <n v="1"/>
    <n v="2"/>
    <s v="Licitación pública"/>
    <s v="CCE-02"/>
    <n v="0"/>
    <s v="N.A."/>
    <m/>
    <n v="100000000"/>
    <n v="100000000"/>
    <n v="0"/>
    <n v="0"/>
    <s v="ASESORA JURIDICA"/>
    <s v="CO-DC-11001"/>
    <s v="Juan Fernando Acosta Mirkow (Subdirección de Gestión Corporativa)"/>
    <s v="3550800"/>
    <s v="juan.acosta@idpc.gov.co"/>
    <s v="No aplica"/>
    <s v="No aplica"/>
    <s v="No aplica"/>
    <m/>
    <m/>
    <s v="Alerta: Seleccione la celda en la comumna B con el nombre del proyecto"/>
    <s v="No aplica"/>
    <m/>
    <s v="Alerta: Seleccione la celda en la comumna AI con el concepto de gasto"/>
    <s v="Alerta: Seleccione la celda en la comumna AI con el concepto de gasto"/>
    <m/>
    <s v="Alerta: Seleccione el Concepto de Gasto primero"/>
    <n v="100000000"/>
    <m/>
    <m/>
    <m/>
    <n v="100000000"/>
    <m/>
    <m/>
    <m/>
    <m/>
    <m/>
    <n v="100000000"/>
    <m/>
    <m/>
    <m/>
    <n v="0"/>
    <m/>
    <n v="1"/>
    <m/>
    <m/>
    <m/>
    <m/>
    <m/>
    <m/>
    <m/>
    <m/>
    <m/>
    <m/>
    <m/>
    <m/>
    <m/>
    <m/>
    <n v="0"/>
    <n v="0"/>
    <m/>
  </r>
  <r>
    <n v="400"/>
    <n v="400"/>
    <b v="0"/>
    <s v="Sí"/>
    <s v="Funcionamiento Gastos Generales"/>
    <s v="3-1-2-00-00-00-0000-00"/>
    <s v="43211507;43211600;43212100;43211503;43201827;43201802"/>
    <s v="Adquisición de equipos de cómputo y periféricos requeridos para el desarrollo administrativo y misional del Instituto Distrital de Patrimonio Cultural."/>
    <s v="(Cód. 400) Adquisición de equipos de cómputo y periféricos requeridos para el desarrollo administrativo y misional del Instituto Distrital de Patrimonio Cultural."/>
    <d v="2019-03-15T00:00:00"/>
    <n v="45"/>
    <d v="2019-05-17T00:00:00"/>
    <x v="3"/>
    <n v="3"/>
    <n v="3"/>
    <n v="1"/>
    <n v="1"/>
    <s v="Subasta inversa"/>
    <s v="CCE-07"/>
    <n v="0"/>
    <s v="Adquisición de computadores y equipos de computación"/>
    <m/>
    <n v="18000000"/>
    <n v="18000000"/>
    <n v="0"/>
    <n v="0"/>
    <s v="ASESORA JURIDICA"/>
    <s v="CO-DC-11001"/>
    <s v="Juan Fernando Acosta Mirkow (Subdirección de Gestión Corporativa)"/>
    <s v="3550800"/>
    <s v="juan.acosta@idpc.gov.co"/>
    <s v="No aplica"/>
    <s v="No aplica"/>
    <s v="No aplica"/>
    <m/>
    <m/>
    <s v="Alerta: Seleccione la celda en la comumna B con el nombre del proyecto"/>
    <s v="No aplica"/>
    <m/>
    <s v="Alerta: Seleccione la celda en la comumna AI con el concepto de gasto"/>
    <s v="Alerta: Seleccione la celda en la comumna AI con el concepto de gasto"/>
    <m/>
    <s v="Alerta: Seleccione el Concepto de Gasto primero"/>
    <n v="18000000"/>
    <m/>
    <m/>
    <m/>
    <n v="18000000"/>
    <m/>
    <m/>
    <m/>
    <m/>
    <m/>
    <n v="18000000"/>
    <m/>
    <m/>
    <m/>
    <n v="0"/>
    <m/>
    <n v="1"/>
    <m/>
    <m/>
    <m/>
    <m/>
    <m/>
    <m/>
    <m/>
    <m/>
    <m/>
    <m/>
    <m/>
    <m/>
    <m/>
    <m/>
    <n v="0"/>
    <n v="0"/>
    <m/>
  </r>
  <r>
    <n v="401"/>
    <n v="401"/>
    <b v="0"/>
    <s v="Sí"/>
    <s v="Funcionamiento Gastos Generales"/>
    <s v="3-1-2-00-00-00-0000-00"/>
    <s v="80161800;81112401;81112400"/>
    <s v="Contratar el alquiler e instalación de computadores de escritorio con su respectiva configuración y puesta en funcionamiento en las instalaciones del Instituto Distrital de Patrimonio Cultural."/>
    <s v="(Cód. 401) Contratar el alquiler e instalación de computadores de escritorio con su respectiva configuración y puesta en funcionamiento en las instalaciones del Instituto Distrital de Patrimonio Cultural."/>
    <d v="2019-03-15T00:00:00"/>
    <n v="10"/>
    <d v="2019-03-29T00:00:00"/>
    <x v="5"/>
    <n v="3"/>
    <n v="3"/>
    <n v="7"/>
    <n v="1"/>
    <s v="Acuerdo marco de precios"/>
    <s v="CCE-99"/>
    <n v="0"/>
    <s v="Alquiler e instalación de computadores"/>
    <m/>
    <n v="40000000"/>
    <n v="40000000"/>
    <n v="0"/>
    <n v="0"/>
    <s v="ASESORA JURIDICA"/>
    <s v="CO-DC-11001"/>
    <s v="Juan Fernando Acosta Mirkow (Subdirección de Gestión Corporativa)"/>
    <s v="3550800"/>
    <s v="juan.acosta@idpc.gov.co"/>
    <s v="No aplica"/>
    <s v="No aplica"/>
    <s v="No aplica"/>
    <m/>
    <m/>
    <s v="Alerta: Seleccione la celda en la comumna B con el nombre del proyecto"/>
    <s v="No aplica"/>
    <m/>
    <s v="Alerta: Seleccione la celda en la comumna AI con el concepto de gasto"/>
    <s v="Alerta: Seleccione la celda en la comumna AI con el concepto de gasto"/>
    <m/>
    <s v="Alerta: Seleccione el Concepto de Gasto primero"/>
    <n v="40000000"/>
    <m/>
    <m/>
    <m/>
    <n v="40000000"/>
    <m/>
    <m/>
    <m/>
    <m/>
    <m/>
    <n v="40000000"/>
    <m/>
    <m/>
    <m/>
    <n v="0"/>
    <m/>
    <n v="1"/>
    <m/>
    <m/>
    <m/>
    <m/>
    <m/>
    <m/>
    <m/>
    <m/>
    <m/>
    <m/>
    <m/>
    <m/>
    <m/>
    <m/>
    <n v="0"/>
    <n v="0"/>
    <m/>
  </r>
  <r>
    <n v="402"/>
    <n v="402"/>
    <b v="0"/>
    <s v="Sí"/>
    <s v="Funcionamiento Gastos Generales"/>
    <s v="3-1-2-00-00-00-0000-00"/>
    <s v="43201402;43201835;43212200;43212201;43232907;71151106;"/>
    <s v="Contratar la renovación y ampliación del almacenamiento de la solución de respaldo de información para el Instituto Distrital de Patrimonio Cultural."/>
    <s v="(Cód. 402) Contratar la renovación y ampliación del almacenamiento de la solución de respaldo de información para el Instituto Distrital de Patrimonio Cultural."/>
    <d v="2019-02-15T00:00:00"/>
    <n v="45"/>
    <d v="2019-04-19T00:00:00"/>
    <x v="7"/>
    <n v="2"/>
    <n v="2"/>
    <n v="10"/>
    <n v="1"/>
    <s v="Menor cuantía"/>
    <s v="CCE-06"/>
    <n v="0"/>
    <s v="Back-up"/>
    <m/>
    <n v="32000000"/>
    <n v="32000000"/>
    <n v="0"/>
    <n v="0"/>
    <s v="ASESORA JURIDICA"/>
    <s v="CO-DC-11001"/>
    <s v="Juan Fernando Acosta Mirkow (Subdirección de Gestión Corporativa)"/>
    <s v="3550800"/>
    <s v="juan.acosta@idpc.gov.co"/>
    <s v="No aplica"/>
    <s v="No aplica"/>
    <s v="No aplica"/>
    <m/>
    <m/>
    <s v="Alerta: Seleccione la celda en la comumna B con el nombre del proyecto"/>
    <s v="No aplica"/>
    <m/>
    <s v="Alerta: Seleccione la celda en la comumna AI con el concepto de gasto"/>
    <s v="Alerta: Seleccione la celda en la comumna AI con el concepto de gasto"/>
    <m/>
    <s v="Alerta: Seleccione el Concepto de Gasto primero"/>
    <n v="32000000"/>
    <m/>
    <m/>
    <m/>
    <n v="32000000"/>
    <m/>
    <m/>
    <m/>
    <m/>
    <m/>
    <n v="32000000"/>
    <m/>
    <m/>
    <m/>
    <n v="0"/>
    <m/>
    <n v="1"/>
    <m/>
    <m/>
    <m/>
    <m/>
    <m/>
    <m/>
    <m/>
    <m/>
    <m/>
    <m/>
    <m/>
    <m/>
    <m/>
    <m/>
    <n v="0"/>
    <n v="0"/>
    <m/>
  </r>
  <r>
    <n v="403"/>
    <n v="403"/>
    <b v="0"/>
    <s v="Sí"/>
    <s v="Funcionamiento Gastos Generales"/>
    <s v="3-1-2-00-00-00-0000-00"/>
    <s v="23240000;24110000;24141500;27110000;30110000;30151800;30151900;30161500;30161600;30190000;31160000;31200000;31210000;39121700;40140000;31162800;39100000;"/>
    <s v="Contratar insumos de ferretería, materiales y herramientas requeridas para la ejecución de intervenciones técnicas necesarias para el enlucimiento de fachadas, limpieza y mantenimiento de los Bienes de Interés Cultural muebles en espacio público e instalaciones que se utilizan para la prestación del servicio del Instituto Distrital de Patrimonio Cultural en la ciudad de Bogotá D.C."/>
    <s v="(Cód. 403) Contratar insumos de ferretería, materiales y herramientas requeridas para la ejecución de intervenciones técnicas necesarias para el enlucimiento de fachadas, limpieza y mantenimiento de los Bienes de Interés Cultural muebles en espacio público e instalaciones que se utilizan para la prestación del servicio del Instituto Distrital de Patrimonio Cultural en la ciudad de Bogotá D.C."/>
    <d v="2019-02-15T00:00:00"/>
    <n v="45"/>
    <d v="2019-04-19T00:00:00"/>
    <x v="7"/>
    <n v="2"/>
    <n v="2"/>
    <n v="9"/>
    <n v="1"/>
    <s v="Subasta inversa"/>
    <s v="CCE-07"/>
    <n v="0"/>
    <s v="Ferretería"/>
    <m/>
    <n v="32000000"/>
    <n v="32000000"/>
    <n v="0"/>
    <n v="0"/>
    <s v="ASESORA JURIDICA"/>
    <s v="CO-DC-11001"/>
    <s v="Juan Fernando Acosta Mirkow (Subdirección de Gestión Corporativa)"/>
    <s v="3550800"/>
    <s v="juan.acosta@idpc.gov.co"/>
    <s v="No aplica"/>
    <s v="No aplica"/>
    <s v="No aplica"/>
    <m/>
    <m/>
    <s v="Alerta: Seleccione la celda en la comumna B con el nombre del proyecto"/>
    <s v="No aplica"/>
    <m/>
    <s v="Alerta: Seleccione la celda en la comumna AI con el concepto de gasto"/>
    <s v="Alerta: Seleccione la celda en la comumna AI con el concepto de gasto"/>
    <m/>
    <s v="Alerta: Seleccione el Concepto de Gasto primero"/>
    <n v="32000000"/>
    <m/>
    <m/>
    <m/>
    <n v="32000000"/>
    <m/>
    <m/>
    <m/>
    <m/>
    <m/>
    <n v="32000000"/>
    <m/>
    <m/>
    <m/>
    <n v="0"/>
    <m/>
    <n v="1"/>
    <m/>
    <m/>
    <m/>
    <m/>
    <m/>
    <m/>
    <m/>
    <m/>
    <m/>
    <m/>
    <m/>
    <m/>
    <m/>
    <m/>
    <n v="0"/>
    <n v="0"/>
    <m/>
  </r>
  <r>
    <n v="404"/>
    <n v="404"/>
    <b v="0"/>
    <s v="Sí"/>
    <s v="Funcionamiento Gastos Generales"/>
    <s v="3-1-2-00-00-00-0000-00"/>
    <s v="43231500;81111500;"/>
    <s v="Contratar el actualización, mantenimiento y soporte del Software SIIGO del Instituto Distrital de Patrimonio Cultural."/>
    <s v="(Cód. 404) Contratar el actualización, mantenimiento y soporte del Software SIIGO del Instituto Distrital de Patrimonio Cultural."/>
    <d v="2019-02-15T00:00:00"/>
    <n v="10"/>
    <d v="2019-03-01T00:00:00"/>
    <x v="5"/>
    <n v="2"/>
    <n v="2"/>
    <n v="1"/>
    <n v="2"/>
    <s v="Contratación directa"/>
    <s v="CCE-16"/>
    <n v="0"/>
    <s v="Licencias de software"/>
    <m/>
    <n v="15000000"/>
    <n v="15000000"/>
    <n v="0"/>
    <n v="0"/>
    <s v="ASESORA JURIDICA"/>
    <s v="CO-DC-11001"/>
    <s v="Juan Fernando Acosta Mirkow (Subdirección de Gestión Corporativa)"/>
    <s v="3550800"/>
    <s v="juan.acosta@idpc.gov.co"/>
    <s v="No aplica"/>
    <s v="No aplica"/>
    <s v="No aplica"/>
    <m/>
    <m/>
    <s v="Alerta: Seleccione la celda en la comumna B con el nombre del proyecto"/>
    <s v="No aplica"/>
    <m/>
    <s v="Alerta: Seleccione la celda en la comumna AI con el concepto de gasto"/>
    <s v="Alerta: Seleccione la celda en la comumna AI con el concepto de gasto"/>
    <m/>
    <s v="Alerta: Seleccione el Concepto de Gasto primero"/>
    <n v="15000000"/>
    <m/>
    <m/>
    <m/>
    <n v="15000000"/>
    <m/>
    <m/>
    <m/>
    <m/>
    <m/>
    <n v="15000000"/>
    <m/>
    <m/>
    <m/>
    <n v="0"/>
    <m/>
    <n v="1"/>
    <m/>
    <m/>
    <m/>
    <m/>
    <m/>
    <m/>
    <m/>
    <m/>
    <m/>
    <m/>
    <m/>
    <m/>
    <m/>
    <m/>
    <n v="0"/>
    <n v="0"/>
    <m/>
  </r>
  <r>
    <n v="405"/>
    <n v="405"/>
    <b v="0"/>
    <s v="Sí"/>
    <s v="Funcionamiento Gastos Generales"/>
    <s v="3-1-2-00-00-00-0000-00"/>
    <s v="43201402;"/>
    <s v="Adquirir la renovación de las licencias, soporte y capacitación del Equipo de Seguridad Perimetral Fortigate 100D de propiedad del Instituto Distrital de Patrimonio Cultural."/>
    <s v="(Cód. 405) Adquirir la renovación de las licencias, soporte y capacitación del Equipo de Seguridad Perimetral Fortigate 100D de propiedad del Instituto Distrital de Patrimonio Cultural."/>
    <d v="2019-02-15T00:00:00"/>
    <n v="25"/>
    <d v="2019-03-22T00:00:00"/>
    <x v="5"/>
    <n v="2"/>
    <n v="2"/>
    <n v="1"/>
    <n v="2"/>
    <s v="Mínima cuantía"/>
    <s v="CCE-10"/>
    <n v="0"/>
    <s v="Licencias de software"/>
    <m/>
    <n v="13000000"/>
    <n v="13000000"/>
    <n v="0"/>
    <n v="0"/>
    <s v="ASESORA JURIDICA"/>
    <s v="CO-DC-11001"/>
    <s v="Juan Fernando Acosta Mirkow (Subdirección de Gestión Corporativa)"/>
    <s v="3550800"/>
    <s v="juan.acosta@idpc.gov.co"/>
    <s v="No aplica"/>
    <s v="No aplica"/>
    <s v="No aplica"/>
    <m/>
    <m/>
    <s v="Alerta: Seleccione la celda en la comumna B con el nombre del proyecto"/>
    <s v="No aplica"/>
    <m/>
    <s v="Alerta: Seleccione la celda en la comumna AI con el concepto de gasto"/>
    <s v="Alerta: Seleccione la celda en la comumna AI con el concepto de gasto"/>
    <m/>
    <s v="Alerta: Seleccione el Concepto de Gasto primero"/>
    <n v="13000000"/>
    <m/>
    <m/>
    <m/>
    <n v="13000000"/>
    <m/>
    <m/>
    <m/>
    <m/>
    <m/>
    <n v="13000000"/>
    <m/>
    <m/>
    <m/>
    <n v="0"/>
    <m/>
    <n v="1"/>
    <m/>
    <m/>
    <m/>
    <m/>
    <m/>
    <m/>
    <m/>
    <m/>
    <m/>
    <m/>
    <m/>
    <m/>
    <m/>
    <m/>
    <n v="0"/>
    <n v="0"/>
    <m/>
  </r>
  <r>
    <n v="406"/>
    <n v="406"/>
    <b v="0"/>
    <s v="Sí"/>
    <s v="Funcionamiento Gastos Generales"/>
    <s v="3-1-2-00-00-00-0000-00"/>
    <s v="43231500;81111500"/>
    <s v="Contratar la adquisición de licencias de software para los equipos de cómputo de Instituto Distrital de Patrimonio Cultural."/>
    <s v="(Cód. 406) Contratar la adquisición de licencias de software para los equipos de cómputo de Instituto Distrital de Patrimonio Cultural."/>
    <d v="2019-03-15T00:00:00"/>
    <n v="45"/>
    <d v="2019-05-17T00:00:00"/>
    <x v="3"/>
    <n v="3"/>
    <n v="3"/>
    <n v="1"/>
    <n v="2"/>
    <s v="Menor cuantía"/>
    <s v="CCE-06"/>
    <n v="0"/>
    <s v="Licencias de software"/>
    <m/>
    <n v="35000000"/>
    <n v="35000000"/>
    <n v="0"/>
    <n v="0"/>
    <s v="ASESORA JURIDICA"/>
    <s v="CO-DC-11001"/>
    <s v="Juan Fernando Acosta Mirkow (Subdirección de Gestión Corporativa)"/>
    <s v="3550800"/>
    <s v="juan.acosta@idpc.gov.co"/>
    <s v="No aplica"/>
    <s v="No aplica"/>
    <s v="No aplica"/>
    <m/>
    <m/>
    <s v="Alerta: Seleccione la celda en la comumna B con el nombre del proyecto"/>
    <s v="No aplica"/>
    <m/>
    <s v="Alerta: Seleccione la celda en la comumna AI con el concepto de gasto"/>
    <s v="Alerta: Seleccione la celda en la comumna AI con el concepto de gasto"/>
    <m/>
    <s v="Alerta: Seleccione el Concepto de Gasto primero"/>
    <n v="35000000"/>
    <m/>
    <m/>
    <m/>
    <n v="35000000"/>
    <m/>
    <m/>
    <m/>
    <m/>
    <m/>
    <n v="35000000"/>
    <m/>
    <m/>
    <m/>
    <n v="0"/>
    <m/>
    <n v="1"/>
    <m/>
    <m/>
    <m/>
    <m/>
    <m/>
    <m/>
    <m/>
    <m/>
    <m/>
    <m/>
    <m/>
    <m/>
    <m/>
    <m/>
    <n v="0"/>
    <n v="0"/>
    <m/>
  </r>
  <r>
    <n v="407"/>
    <n v="407"/>
    <b v="0"/>
    <s v="Sí"/>
    <s v="Funcionamiento Gastos Generales"/>
    <s v="3-1-2-00-00-00-0000-00"/>
    <s v="43233201;43233203;43233205;81112208;43231512;"/>
    <s v="Adquirir la renovación y actualización de licencias de software antivirus del Instituto Distrital de Patrimonio Cultural."/>
    <s v="(Cód. 407) Adquirir la renovación y actualización de licencias de software antivirus del Instituto Distrital de Patrimonio Cultural."/>
    <d v="2019-04-01T00:00:00"/>
    <n v="25"/>
    <d v="2019-05-06T00:00:00"/>
    <x v="3"/>
    <n v="4"/>
    <n v="4"/>
    <n v="10"/>
    <n v="1"/>
    <s v="Mínima cuantía"/>
    <s v="CCE-10"/>
    <n v="0"/>
    <s v="Licencias de software"/>
    <m/>
    <n v="20000000"/>
    <n v="20000000"/>
    <n v="0"/>
    <n v="0"/>
    <s v="ASESORA JURIDICA"/>
    <s v="CO-DC-11001"/>
    <s v="Juan Fernando Acosta Mirkow (Subdirección de Gestión Corporativa)"/>
    <s v="3550800"/>
    <s v="juan.acosta@idpc.gov.co"/>
    <s v="No aplica"/>
    <s v="No aplica"/>
    <s v="No aplica"/>
    <m/>
    <m/>
    <s v="Alerta: Seleccione la celda en la comumna B con el nombre del proyecto"/>
    <s v="No aplica"/>
    <m/>
    <s v="Alerta: Seleccione la celda en la comumna AI con el concepto de gasto"/>
    <s v="Alerta: Seleccione la celda en la comumna AI con el concepto de gasto"/>
    <m/>
    <s v="Alerta: Seleccione el Concepto de Gasto primero"/>
    <n v="20000000"/>
    <m/>
    <m/>
    <m/>
    <n v="20000000"/>
    <m/>
    <m/>
    <m/>
    <m/>
    <m/>
    <n v="20000000"/>
    <m/>
    <m/>
    <m/>
    <n v="0"/>
    <m/>
    <n v="1"/>
    <m/>
    <m/>
    <m/>
    <m/>
    <m/>
    <m/>
    <m/>
    <m/>
    <m/>
    <m/>
    <m/>
    <m/>
    <m/>
    <m/>
    <n v="0"/>
    <n v="0"/>
    <m/>
  </r>
  <r>
    <n v="408"/>
    <n v="408"/>
    <b v="0"/>
    <s v="Sí"/>
    <s v="Funcionamiento Gastos Generales"/>
    <s v="3-1-2-00-00-00-0000-00"/>
    <s v="43231500;81111500;"/>
    <s v="Contratar la actualización, mantenimiento y soporte del software de talento humano y nómina del Instituto Distrital de Patrimonio Cultural."/>
    <s v="(Cód. 408) Contratar la actualización, mantenimiento y soporte del software de talento humano y nómina del Instituto Distrital de Patrimonio Cultural."/>
    <d v="2019-05-15T00:00:00"/>
    <n v="0"/>
    <d v="2019-05-15T00:00:00"/>
    <x v="3"/>
    <n v="5"/>
    <n v="5"/>
    <n v="1"/>
    <n v="2"/>
    <s v="Contratación directa (con ofertas)"/>
    <s v="CCE-05"/>
    <n v="0"/>
    <s v="Licencias de software"/>
    <m/>
    <n v="6000000"/>
    <n v="6000000"/>
    <n v="0"/>
    <n v="0"/>
    <s v="ASESORA JURIDICA"/>
    <s v="CO-DC-11001"/>
    <s v="Juan Fernando Acosta Mirkow (Subdirección de Gestión Corporativa)"/>
    <s v="3550800"/>
    <s v="juan.acosta@idpc.gov.co"/>
    <s v="No aplica"/>
    <s v="No aplica"/>
    <s v="No aplica"/>
    <m/>
    <m/>
    <s v="Alerta: Seleccione la celda en la comumna B con el nombre del proyecto"/>
    <s v="No aplica"/>
    <m/>
    <s v="Alerta: Seleccione la celda en la comumna AI con el concepto de gasto"/>
    <s v="Alerta: Seleccione la celda en la comumna AI con el concepto de gasto"/>
    <m/>
    <s v="Alerta: Seleccione el Concepto de Gasto primero"/>
    <n v="6000000"/>
    <m/>
    <m/>
    <m/>
    <n v="6000000"/>
    <m/>
    <m/>
    <m/>
    <m/>
    <m/>
    <n v="6000000"/>
    <m/>
    <m/>
    <m/>
    <n v="0"/>
    <m/>
    <n v="1"/>
    <m/>
    <m/>
    <m/>
    <m/>
    <m/>
    <m/>
    <m/>
    <m/>
    <m/>
    <m/>
    <m/>
    <m/>
    <m/>
    <m/>
    <n v="0"/>
    <n v="0"/>
    <m/>
  </r>
  <r>
    <n v="409"/>
    <n v="409"/>
    <b v="0"/>
    <s v="Sí"/>
    <s v="Funcionamiento Gastos Generales"/>
    <s v="3-1-2-00-00-00-0000-00"/>
    <s v="72101506;72154010;"/>
    <s v="Prestación de servicios para el mantenimiento preventivo y correctivo del ascensor de casa Museo de Bogotá Calle 10 No.3-45-51-55."/>
    <s v="(Cód. 409) Prestación de servicios para el mantenimiento preventivo y correctivo del ascensor de casa Museo de Bogotá Calle 10 No.3-45-51-55."/>
    <d v="2019-02-15T00:00:00"/>
    <n v="25"/>
    <d v="2019-03-22T00:00:00"/>
    <x v="5"/>
    <n v="2"/>
    <n v="2"/>
    <n v="10"/>
    <n v="1"/>
    <s v="Mínima cuantía"/>
    <s v="CCE-10"/>
    <n v="0"/>
    <s v="Mantenimiento ascensores"/>
    <m/>
    <n v="9000000"/>
    <n v="9000000"/>
    <n v="0"/>
    <n v="0"/>
    <s v="ASESORA JURIDICA"/>
    <s v="CO-DC-11001"/>
    <s v="Juan Fernando Acosta Mirkow (Subdirección de Gestión Corporativa)"/>
    <s v="3550800"/>
    <s v="juan.acosta@idpc.gov.co"/>
    <s v="No aplica"/>
    <s v="No aplica"/>
    <s v="No aplica"/>
    <m/>
    <m/>
    <s v="Alerta: Seleccione la celda en la comumna B con el nombre del proyecto"/>
    <s v="No aplica"/>
    <m/>
    <s v="Alerta: Seleccione la celda en la comumna AI con el concepto de gasto"/>
    <s v="Alerta: Seleccione la celda en la comumna AI con el concepto de gasto"/>
    <m/>
    <s v="Alerta: Seleccione el Concepto de Gasto primero"/>
    <n v="9000000"/>
    <m/>
    <m/>
    <m/>
    <n v="9000000"/>
    <m/>
    <m/>
    <m/>
    <m/>
    <m/>
    <n v="9000000"/>
    <m/>
    <m/>
    <m/>
    <n v="0"/>
    <m/>
    <n v="1"/>
    <m/>
    <m/>
    <m/>
    <m/>
    <m/>
    <m/>
    <m/>
    <m/>
    <m/>
    <m/>
    <m/>
    <m/>
    <m/>
    <m/>
    <n v="0"/>
    <n v="0"/>
    <m/>
  </r>
  <r>
    <n v="410"/>
    <n v="410"/>
    <b v="0"/>
    <s v="Sí"/>
    <s v="Funcionamiento Gastos Generales"/>
    <s v="3-1-2-00-00-00-0000-00"/>
    <s v="72101506;72154010;"/>
    <s v="Prestación de servicios para el mantenimiento preventivo y correctivo del ascensor de casa Museo de Bogotá Cra 4 No.10-02."/>
    <s v="(Cód. 410) Prestación de servicios para el mantenimiento preventivo y correctivo del ascensor de casa Museo de Bogotá Cra 4 No.10-02."/>
    <d v="2019-03-15T00:00:00"/>
    <n v="25"/>
    <d v="2019-04-19T00:00:00"/>
    <x v="7"/>
    <n v="3"/>
    <n v="3"/>
    <n v="10"/>
    <n v="1"/>
    <s v="Mínima cuantía"/>
    <s v="CCE-10"/>
    <n v="0"/>
    <s v="Mantenimiento ascensores"/>
    <m/>
    <n v="5500000"/>
    <n v="5500000"/>
    <n v="0"/>
    <n v="0"/>
    <s v="ASESORA JURIDICA"/>
    <s v="CO-DC-11001"/>
    <s v="Juan Fernando Acosta Mirkow (Subdirección de Gestión Corporativa)"/>
    <s v="3550800"/>
    <s v="juan.acosta@idpc.gov.co"/>
    <s v="No aplica"/>
    <s v="No aplica"/>
    <s v="No aplica"/>
    <m/>
    <m/>
    <s v="Alerta: Seleccione la celda en la comumna B con el nombre del proyecto"/>
    <s v="No aplica"/>
    <m/>
    <s v="Alerta: Seleccione la celda en la comumna AI con el concepto de gasto"/>
    <s v="Alerta: Seleccione la celda en la comumna AI con el concepto de gasto"/>
    <m/>
    <s v="Alerta: Seleccione el Concepto de Gasto primero"/>
    <n v="5500000"/>
    <m/>
    <m/>
    <m/>
    <n v="5500000"/>
    <m/>
    <m/>
    <m/>
    <m/>
    <m/>
    <n v="5500000"/>
    <m/>
    <m/>
    <m/>
    <n v="0"/>
    <m/>
    <n v="1"/>
    <m/>
    <m/>
    <m/>
    <m/>
    <m/>
    <m/>
    <m/>
    <m/>
    <m/>
    <m/>
    <m/>
    <m/>
    <m/>
    <m/>
    <n v="0"/>
    <n v="0"/>
    <m/>
  </r>
  <r>
    <n v="411"/>
    <n v="411"/>
    <b v="0"/>
    <s v="Sí"/>
    <s v="Funcionamiento Gastos Generales"/>
    <s v="3-1-2-00-00-00-0000-00"/>
    <s v="72101506;72154010;"/>
    <s v="Contratar el mantenimiento correctivo preventivo del ascensor de carga de la sede demoninada el Palomar del Príncipe del Instituto Distrital de Patrimonio Cultural."/>
    <s v="(Cód. 411) Contratar el mantenimiento correctivo preventivo del ascensor de carga de la sede demoninada el Palomar del Príncipe del Instituto Distrital de Patrimonio Cultural."/>
    <d v="2019-03-15T00:00:00"/>
    <n v="25"/>
    <d v="2019-04-19T00:00:00"/>
    <x v="7"/>
    <n v="3"/>
    <n v="3"/>
    <n v="8"/>
    <n v="1"/>
    <s v="Mínima cuantía"/>
    <s v="CCE-10"/>
    <n v="0"/>
    <s v="Mantenimiento ascensores"/>
    <m/>
    <n v="5000000"/>
    <n v="5000000"/>
    <n v="0"/>
    <n v="0"/>
    <s v="ASESORA JURIDICA"/>
    <s v="CO-DC-11001"/>
    <s v="Juan Fernando Acosta Mirkow (Subdirección de Gestión Corporativa)"/>
    <s v="3550800"/>
    <s v="juan.acosta@idpc.gov.co"/>
    <s v="No aplica"/>
    <s v="No aplica"/>
    <s v="No aplica"/>
    <m/>
    <m/>
    <s v="Alerta: Seleccione la celda en la comumna B con el nombre del proyecto"/>
    <s v="No aplica"/>
    <m/>
    <s v="Alerta: Seleccione la celda en la comumna AI con el concepto de gasto"/>
    <s v="Alerta: Seleccione la celda en la comumna AI con el concepto de gasto"/>
    <m/>
    <s v="Alerta: Seleccione el Concepto de Gasto primero"/>
    <n v="5000000"/>
    <m/>
    <m/>
    <m/>
    <n v="5000000"/>
    <m/>
    <m/>
    <m/>
    <m/>
    <m/>
    <n v="5000000"/>
    <m/>
    <m/>
    <m/>
    <n v="0"/>
    <m/>
    <n v="1"/>
    <m/>
    <m/>
    <m/>
    <m/>
    <m/>
    <m/>
    <m/>
    <m/>
    <m/>
    <m/>
    <m/>
    <m/>
    <m/>
    <m/>
    <n v="0"/>
    <n v="0"/>
    <m/>
  </r>
  <r>
    <n v="412"/>
    <n v="412"/>
    <b v="0"/>
    <s v="Sí"/>
    <s v="Funcionamiento Gastos Generales"/>
    <s v="3-1-2-00-00-00-0000-00"/>
    <s v="72154066;72103302;"/>
    <s v="Contratar el mantenimiento preventivo y correctivo de equipos de cómputo, impresoras, servidores, plantas telefónicas y UPS del Instituto Distrital de Patrimonio Cultural."/>
    <s v="(Cód. 412) Contratar el mantenimiento preventivo y correctivo de equipos de cómputo, impresoras, servidores, plantas telefónicas y UPS del Instituto Distrital de Patrimonio Cultural."/>
    <d v="2019-02-15T00:00:00"/>
    <n v="25"/>
    <d v="2019-03-22T00:00:00"/>
    <x v="5"/>
    <n v="2"/>
    <n v="2"/>
    <n v="10"/>
    <n v="1"/>
    <s v="Mínima cuantía"/>
    <s v="CCE-10"/>
    <n v="0"/>
    <s v="Mantenimiento equipos de cómputo"/>
    <m/>
    <n v="21000000"/>
    <n v="21000000"/>
    <n v="0"/>
    <n v="0"/>
    <s v="ASESORA JURIDICA"/>
    <s v="CO-DC-11001"/>
    <s v="Juan Fernando Acosta Mirkow (Subdirección de Gestión Corporativa)"/>
    <s v="3550800"/>
    <s v="juan.acosta@idpc.gov.co"/>
    <s v="No aplica"/>
    <s v="No aplica"/>
    <s v="No aplica"/>
    <m/>
    <m/>
    <s v="Alerta: Seleccione la celda en la comumna B con el nombre del proyecto"/>
    <s v="No aplica"/>
    <m/>
    <s v="Alerta: Seleccione la celda en la comumna AI con el concepto de gasto"/>
    <s v="Alerta: Seleccione la celda en la comumna AI con el concepto de gasto"/>
    <m/>
    <s v="Alerta: Seleccione el Concepto de Gasto primero"/>
    <n v="21000000"/>
    <m/>
    <m/>
    <m/>
    <n v="21000000"/>
    <m/>
    <m/>
    <m/>
    <m/>
    <m/>
    <n v="21000000"/>
    <m/>
    <m/>
    <m/>
    <n v="0"/>
    <m/>
    <n v="1"/>
    <m/>
    <m/>
    <m/>
    <m/>
    <m/>
    <m/>
    <m/>
    <m/>
    <m/>
    <m/>
    <m/>
    <m/>
    <m/>
    <m/>
    <n v="0"/>
    <n v="0"/>
    <m/>
  </r>
  <r>
    <n v="413"/>
    <n v="413"/>
    <b v="0"/>
    <s v="Sí"/>
    <s v="Funcionamiento Gastos Generales"/>
    <s v="3-1-2-00-00-00-0000-00"/>
    <s v="43231600;32131023;"/>
    <s v="Adquisición de certificados de firma digital para el componente tecnológico que soporta el proceso de gestión de pagos del sistema OPGET, de la Secretaría Distrital de Hacienda, firmas de archivos digitales a entidades estatales, respectivo dispositivo criptográfico de almacenamiento del certificado digital (Token)."/>
    <s v="(Cód. 413) Adquisición de certificados de firma digital para el componente tecnológico que soporta el proceso de gestión de pagos del sistema OPGET, de la Secretaría Distrital de Hacienda, firmas de archivos digitales a entidades estatales, respectivo dispositivo criptográfico de almacenamiento del certificado digital (Token)."/>
    <d v="2019-05-02T00:00:00"/>
    <n v="25"/>
    <d v="2019-06-06T00:00:00"/>
    <x v="4"/>
    <n v="5"/>
    <n v="5"/>
    <n v="1"/>
    <n v="2"/>
    <s v="Mínima cuantía"/>
    <s v="CCE-10"/>
    <n v="0"/>
    <s v="N.A."/>
    <m/>
    <n v="1300000"/>
    <n v="1300000"/>
    <n v="0"/>
    <n v="0"/>
    <s v="ASESORA JURIDICA"/>
    <s v="CO-DC-11001"/>
    <s v="Juan Fernando Acosta Mirkow (Subdirección de Gestión Corporativa)"/>
    <s v="3550800"/>
    <s v="juan.acosta@idpc.gov.co"/>
    <s v="No aplica"/>
    <s v="No aplica"/>
    <s v="No aplica"/>
    <m/>
    <m/>
    <s v="Alerta: Seleccione la celda en la comumna B con el nombre del proyecto"/>
    <s v="No aplica"/>
    <m/>
    <s v="Alerta: Seleccione la celda en la comumna AI con el concepto de gasto"/>
    <s v="Alerta: Seleccione la celda en la comumna AI con el concepto de gasto"/>
    <m/>
    <s v="Alerta: Seleccione el Concepto de Gasto primero"/>
    <n v="1300000"/>
    <m/>
    <m/>
    <m/>
    <n v="1300000"/>
    <m/>
    <m/>
    <m/>
    <m/>
    <m/>
    <n v="1300000"/>
    <m/>
    <m/>
    <m/>
    <n v="0"/>
    <m/>
    <n v="1"/>
    <m/>
    <m/>
    <m/>
    <m/>
    <m/>
    <m/>
    <m/>
    <m/>
    <m/>
    <m/>
    <m/>
    <m/>
    <m/>
    <m/>
    <n v="0"/>
    <n v="0"/>
    <m/>
  </r>
  <r>
    <n v="414"/>
    <n v="414"/>
    <b v="0"/>
    <s v="Sí"/>
    <s v="Funcionamiento Gastos Generales"/>
    <s v="3-1-2-00-00-00-0000-00"/>
    <s v="25172504;"/>
    <s v="Contratar el suministro de llantas para los vehículos del Instituto Distrital de Patrimonio Cultural."/>
    <s v="(Cód. 414) Contratar el suministro de llantas para los vehículos del Instituto Distrital de Patrimonio Cultural."/>
    <d v="2019-05-28T00:00:00"/>
    <n v="10"/>
    <d v="2019-06-11T00:00:00"/>
    <x v="4"/>
    <n v="5"/>
    <n v="5"/>
    <n v="1"/>
    <n v="1"/>
    <s v="Acuerdo marco de precios"/>
    <s v="CCE-99"/>
    <n v="0"/>
    <s v="N.A."/>
    <m/>
    <n v="3000000"/>
    <n v="3000000"/>
    <n v="0"/>
    <n v="0"/>
    <s v="ASESORA JURIDICA"/>
    <s v="CO-DC-11001"/>
    <s v="Juan Fernando Acosta Mirkow (Subdirección de Gestión Corporativa)"/>
    <s v="3550800"/>
    <s v="juan.acosta@idpc.gov.co"/>
    <s v="No aplica"/>
    <s v="No aplica"/>
    <s v="No aplica"/>
    <m/>
    <m/>
    <s v="Alerta: Seleccione la celda en la comumna B con el nombre del proyecto"/>
    <s v="No aplica"/>
    <m/>
    <s v="Alerta: Seleccione la celda en la comumna AI con el concepto de gasto"/>
    <s v="Alerta: Seleccione la celda en la comumna AI con el concepto de gasto"/>
    <m/>
    <s v="Alerta: Seleccione el Concepto de Gasto primero"/>
    <n v="3000000"/>
    <m/>
    <m/>
    <m/>
    <n v="3000000"/>
    <m/>
    <m/>
    <m/>
    <m/>
    <m/>
    <n v="3000000"/>
    <m/>
    <m/>
    <m/>
    <n v="0"/>
    <m/>
    <n v="1"/>
    <m/>
    <m/>
    <m/>
    <m/>
    <m/>
    <m/>
    <m/>
    <m/>
    <m/>
    <m/>
    <m/>
    <m/>
    <m/>
    <m/>
    <n v="0"/>
    <n v="0"/>
    <m/>
  </r>
  <r>
    <n v="415"/>
    <n v="415"/>
    <b v="0"/>
    <s v="Sí"/>
    <s v="Funcionamiento Gastos Generales"/>
    <s v="3-1-2-00-00-00-0000-00"/>
    <s v="15101506;"/>
    <s v="Contratar el suministro de combustible para los vehículos del Instituto Distrital de Patrimonio Cultural."/>
    <s v="(Cód. 415) Contratar el suministro de combustible para los vehículos del Instituto Distrital de Patrimonio Cultural."/>
    <d v="2019-09-18T00:00:00"/>
    <n v="10"/>
    <d v="2019-10-02T00:00:00"/>
    <x v="8"/>
    <n v="9"/>
    <n v="9"/>
    <n v="4"/>
    <n v="1"/>
    <s v="Acuerdo marco de precios"/>
    <s v="CCE-99"/>
    <n v="0"/>
    <s v="N.A."/>
    <m/>
    <n v="6000000"/>
    <n v="6000000"/>
    <n v="0"/>
    <n v="0"/>
    <s v="ASESORA JURIDICA"/>
    <s v="CO-DC-11001"/>
    <s v="Juan Fernando Acosta Mirkow (Subdirección de Gestión Corporativa)"/>
    <s v="3550800"/>
    <s v="juan.acosta@idpc.gov.co"/>
    <s v="No aplica"/>
    <s v="No aplica"/>
    <s v="No aplica"/>
    <m/>
    <m/>
    <s v="Alerta: Seleccione la celda en la comumna B con el nombre del proyecto"/>
    <s v="No aplica"/>
    <m/>
    <s v="Alerta: Seleccione la celda en la comumna AI con el concepto de gasto"/>
    <s v="Alerta: Seleccione la celda en la comumna AI con el concepto de gasto"/>
    <m/>
    <s v="Alerta: Seleccione el Concepto de Gasto primero"/>
    <n v="6000000"/>
    <m/>
    <m/>
    <m/>
    <n v="6000000"/>
    <m/>
    <m/>
    <m/>
    <m/>
    <m/>
    <n v="6000000"/>
    <m/>
    <m/>
    <m/>
    <n v="0"/>
    <m/>
    <n v="1"/>
    <m/>
    <m/>
    <m/>
    <m/>
    <m/>
    <m/>
    <m/>
    <m/>
    <m/>
    <m/>
    <m/>
    <m/>
    <m/>
    <m/>
    <n v="0"/>
    <n v="0"/>
    <m/>
  </r>
  <r>
    <n v="416"/>
    <n v="416"/>
    <b v="0"/>
    <s v="Sí"/>
    <s v="Funcionamiento Gastos Generales"/>
    <s v="3-1-2-00-00-00-0000-00"/>
    <s v="44101500;"/>
    <s v="Contratar el arrendamiento de equipos de fotocopiado multifuncional, incluido el mantenimiento y soporte técnico preventivo y correctivo programado, con suministro de tóner permanente, así como soporte técnico extraordinario cada vez que se requiera"/>
    <s v="(Cód. 416) Contratar el arrendamiento de equipos de fotocopiado multifuncional, incluido el mantenimiento y soporte técnico preventivo y correctivo programado, con suministro de tóner permanente, así como soporte técnico extraordinario cada vez que se requiera"/>
    <d v="2019-02-15T00:00:00"/>
    <n v="25"/>
    <d v="2019-03-22T00:00:00"/>
    <x v="5"/>
    <n v="2"/>
    <n v="2"/>
    <n v="10"/>
    <n v="1"/>
    <s v="Mínima cuantía"/>
    <s v="CCE-10"/>
    <n v="0"/>
    <s v="N.A."/>
    <m/>
    <n v="15000000"/>
    <n v="15000000"/>
    <n v="0"/>
    <n v="0"/>
    <s v="ASESORA JURIDICA"/>
    <s v="CO-DC-11001"/>
    <s v="Juan Fernando Acosta Mirkow (Subdirección de Gestión Corporativa)"/>
    <s v="3550800"/>
    <s v="juan.acosta@idpc.gov.co"/>
    <s v="No aplica"/>
    <s v="No aplica"/>
    <s v="No aplica"/>
    <m/>
    <m/>
    <s v="Alerta: Seleccione la celda en la comumna B con el nombre del proyecto"/>
    <s v="No aplica"/>
    <m/>
    <s v="Alerta: Seleccione la celda en la comumna AI con el concepto de gasto"/>
    <s v="Alerta: Seleccione la celda en la comumna AI con el concepto de gasto"/>
    <m/>
    <s v="Alerta: Seleccione el Concepto de Gasto primero"/>
    <n v="15000000"/>
    <m/>
    <m/>
    <m/>
    <n v="15000000"/>
    <m/>
    <m/>
    <m/>
    <m/>
    <m/>
    <n v="15000000"/>
    <m/>
    <m/>
    <m/>
    <n v="0"/>
    <m/>
    <n v="1"/>
    <m/>
    <m/>
    <m/>
    <m/>
    <m/>
    <m/>
    <m/>
    <m/>
    <m/>
    <m/>
    <m/>
    <m/>
    <m/>
    <m/>
    <n v="0"/>
    <n v="0"/>
    <m/>
  </r>
  <r>
    <n v="417"/>
    <n v="417"/>
    <b v="0"/>
    <s v="Sí"/>
    <s v="Funcionamiento Gastos Generales"/>
    <s v="3-1-2-00-00-00-0000-00"/>
    <s v="78102205;"/>
    <s v="Contratar la prestación de servicios de mensajería externa para el Instituto Distrital de Patrimonio Cultural."/>
    <s v="(Cód. 417) Contratar la prestación de servicios de mensajería externa para el Instituto Distrital de Patrimonio Cultural."/>
    <d v="2019-04-02T00:00:00"/>
    <n v="25"/>
    <d v="2019-05-07T00:00:00"/>
    <x v="3"/>
    <n v="4"/>
    <n v="4"/>
    <n v="10"/>
    <n v="1"/>
    <s v="Mínima cuantía"/>
    <s v="CCE-10"/>
    <n v="0"/>
    <s v="N.A."/>
    <m/>
    <n v="15000000"/>
    <n v="15000000"/>
    <n v="0"/>
    <n v="0"/>
    <s v="ASESORA JURIDICA"/>
    <s v="CO-DC-11001"/>
    <s v="Juan Fernando Acosta Mirkow (Subdirección de Gestión Corporativa)"/>
    <s v="3550800"/>
    <s v="juan.acosta@idpc.gov.co"/>
    <s v="No aplica"/>
    <s v="No aplica"/>
    <s v="No aplica"/>
    <m/>
    <m/>
    <s v="Alerta: Seleccione la celda en la comumna B con el nombre del proyecto"/>
    <s v="No aplica"/>
    <m/>
    <s v="Alerta: Seleccione la celda en la comumna AI con el concepto de gasto"/>
    <s v="Alerta: Seleccione la celda en la comumna AI con el concepto de gasto"/>
    <m/>
    <s v="Alerta: Seleccione el Concepto de Gasto primero"/>
    <n v="15000000"/>
    <m/>
    <m/>
    <m/>
    <n v="15000000"/>
    <m/>
    <m/>
    <m/>
    <m/>
    <m/>
    <n v="15000000"/>
    <m/>
    <m/>
    <m/>
    <n v="0"/>
    <m/>
    <n v="1"/>
    <m/>
    <m/>
    <m/>
    <m/>
    <m/>
    <m/>
    <m/>
    <m/>
    <m/>
    <m/>
    <m/>
    <m/>
    <m/>
    <m/>
    <n v="0"/>
    <n v="0"/>
    <m/>
  </r>
  <r>
    <n v="418"/>
    <n v="418"/>
    <b v="0"/>
    <s v="Sí"/>
    <s v="Funcionamiento Gastos Generales"/>
    <s v="3-1-2-00-00-00-0000-00"/>
    <s v="43233501;81112102;"/>
    <s v="Contratar la renovación de los servicios de Google Apps y Google Vault (copias de respaldo) que incluye el correo electrónico, herramientas de colaboración y comunicación para el dominio Instituto Distrital de Patrimonio Cultural.gov.co del Instituto Distrital de Patrimonio Cultural, basado en tecnologías de computación en la nube."/>
    <s v="(Cód. 418) Contratar la renovación de los servicios de Google Apps y Google Vault (copias de respaldo) que incluye el correo electrónico, herramientas de colaboración y comunicación para el dominio Instituto Distrital de Patrimonio Cultural.gov.co del Instituto Distrital de Patrimonio Cultural, basado en tecnologías de computación en la nube."/>
    <d v="2019-04-01T00:00:00"/>
    <n v="10"/>
    <d v="2019-04-15T00:00:00"/>
    <x v="7"/>
    <n v="4"/>
    <n v="4"/>
    <n v="1"/>
    <n v="2"/>
    <s v="Acuerdo marco de precios"/>
    <s v="CCE-99"/>
    <n v="0"/>
    <s v="N.A."/>
    <m/>
    <n v="100000000"/>
    <n v="100000000"/>
    <n v="0"/>
    <n v="0"/>
    <s v="ASESORA JURIDICA"/>
    <s v="CO-DC-11001"/>
    <s v="Juan Fernando Acosta Mirkow (Subdirección de Gestión Corporativa)"/>
    <s v="3550800"/>
    <s v="juan.acosta@idpc.gov.co"/>
    <s v="No aplica"/>
    <s v="No aplica"/>
    <s v="No aplica"/>
    <m/>
    <m/>
    <s v="Alerta: Seleccione la celda en la comumna B con el nombre del proyecto"/>
    <s v="No aplica"/>
    <m/>
    <s v="Alerta: Seleccione la celda en la comumna AI con el concepto de gasto"/>
    <s v="Alerta: Seleccione la celda en la comumna AI con el concepto de gasto"/>
    <m/>
    <s v="Alerta: Seleccione el Concepto de Gasto primero"/>
    <n v="100000000"/>
    <m/>
    <m/>
    <m/>
    <n v="100000000"/>
    <m/>
    <m/>
    <m/>
    <m/>
    <m/>
    <n v="100000000"/>
    <m/>
    <m/>
    <m/>
    <n v="0"/>
    <m/>
    <n v="1"/>
    <m/>
    <m/>
    <m/>
    <m/>
    <m/>
    <m/>
    <m/>
    <m/>
    <m/>
    <m/>
    <m/>
    <m/>
    <m/>
    <m/>
    <n v="0"/>
    <n v="0"/>
    <m/>
  </r>
  <r>
    <n v="419"/>
    <n v="419"/>
    <b v="0"/>
    <s v="Sí"/>
    <s v="Funcionamiento Gastos Generales"/>
    <s v="3-1-2-00-00-00-0000-00"/>
    <s v="55101531;"/>
    <s v="Suscripción a libro electrónico denominado Contratación Estatal en Colombia www.contratacionestatal.com en la modalidad de licencia de uso."/>
    <s v="(Cód. 419) Suscripción a libro electrónico denominado Contratación Estatal en Colombia www.contratacionestatal.com en la modalidad de licencia de uso."/>
    <d v="2019-01-15T00:00:00"/>
    <n v="0"/>
    <d v="2019-01-15T00:00:00"/>
    <x v="1"/>
    <n v="1"/>
    <n v="1"/>
    <n v="1"/>
    <n v="2"/>
    <s v="Contratación directa (con ofertas)"/>
    <s v="CCE-05"/>
    <n v="0"/>
    <s v="N.A."/>
    <m/>
    <n v="1000000"/>
    <n v="1000000"/>
    <n v="0"/>
    <n v="0"/>
    <s v="ASESORA JURIDICA"/>
    <s v="CO-DC-11001"/>
    <s v="Juan Fernando Acosta Mirkow (Subdirección de Gestión Corporativa)"/>
    <s v="3550800"/>
    <s v="juan.acosta@idpc.gov.co"/>
    <s v="No aplica"/>
    <s v="No aplica"/>
    <s v="No aplica"/>
    <m/>
    <m/>
    <s v="Alerta: Seleccione la celda en la comumna B con el nombre del proyecto"/>
    <s v="No aplica"/>
    <m/>
    <s v="Alerta: Seleccione la celda en la comumna AI con el concepto de gasto"/>
    <s v="Alerta: Seleccione la celda en la comumna AI con el concepto de gasto"/>
    <m/>
    <s v="Alerta: Seleccione el Concepto de Gasto primero"/>
    <n v="1000000"/>
    <m/>
    <m/>
    <m/>
    <n v="1000000"/>
    <m/>
    <m/>
    <m/>
    <m/>
    <m/>
    <n v="1000000"/>
    <m/>
    <m/>
    <m/>
    <n v="0"/>
    <m/>
    <n v="1"/>
    <m/>
    <m/>
    <m/>
    <m/>
    <m/>
    <m/>
    <m/>
    <m/>
    <m/>
    <m/>
    <m/>
    <m/>
    <m/>
    <m/>
    <n v="0"/>
    <n v="0"/>
    <m/>
  </r>
  <r>
    <n v="420"/>
    <n v="420"/>
    <b v="0"/>
    <s v="Sí"/>
    <s v="Funcionamiento Gastos Generales"/>
    <s v="3-1-2-00-00-00-0000-00"/>
    <s v="78181507;"/>
    <s v="Prestación de servicios para el mantenimiento preventivo y correctivo de los vehículos del Instituto Distrital de Patrimonio Cultural, con suministros de repuestos, baterías y accesorios."/>
    <s v="(Cód. 420) Prestación de servicios para el mantenimiento preventivo y correctivo de los vehículos del Instituto Distrital de Patrimonio Cultural, con suministros de repuestos, baterías y accesorios."/>
    <d v="2019-03-15T00:00:00"/>
    <n v="25"/>
    <d v="2019-04-19T00:00:00"/>
    <x v="7"/>
    <n v="3"/>
    <n v="3"/>
    <n v="10"/>
    <n v="1"/>
    <s v="Mínima cuantía"/>
    <s v="CCE-10"/>
    <n v="0"/>
    <s v="N.A."/>
    <m/>
    <n v="23000000"/>
    <n v="23000000"/>
    <n v="0"/>
    <n v="0"/>
    <s v="ASESORA JURIDICA"/>
    <s v="CO-DC-11001"/>
    <s v="Juan Fernando Acosta Mirkow (Subdirección de Gestión Corporativa)"/>
    <s v="3550800"/>
    <s v="juan.acosta@idpc.gov.co"/>
    <s v="No aplica"/>
    <s v="No aplica"/>
    <s v="No aplica"/>
    <m/>
    <m/>
    <s v="Alerta: Seleccione la celda en la comumna B con el nombre del proyecto"/>
    <s v="No aplica"/>
    <m/>
    <s v="Alerta: Seleccione la celda en la comumna AI con el concepto de gasto"/>
    <s v="Alerta: Seleccione la celda en la comumna AI con el concepto de gasto"/>
    <m/>
    <s v="Alerta: Seleccione el Concepto de Gasto primero"/>
    <n v="23000000"/>
    <m/>
    <m/>
    <m/>
    <n v="23000000"/>
    <m/>
    <m/>
    <m/>
    <m/>
    <m/>
    <n v="23000000"/>
    <m/>
    <m/>
    <m/>
    <n v="0"/>
    <m/>
    <n v="1"/>
    <m/>
    <m/>
    <m/>
    <m/>
    <m/>
    <m/>
    <m/>
    <m/>
    <m/>
    <m/>
    <m/>
    <m/>
    <m/>
    <m/>
    <n v="0"/>
    <n v="0"/>
    <m/>
  </r>
  <r>
    <n v="421"/>
    <n v="421"/>
    <b v="0"/>
    <s v="Sí"/>
    <s v="Funcionamiento Gastos Generales"/>
    <s v="3-1-2-00-00-00-0000-00"/>
    <s v="46191601;"/>
    <s v="Contratar la revisión, recarga y mantenimiento de los extintores del Instituto Distrital de Patrimonio Cultural."/>
    <s v="(Cód. 421) Contratar la revisión, recarga y mantenimiento de los extintores del Instituto Distrital de Patrimonio Cultural."/>
    <d v="2019-07-15T00:00:00"/>
    <n v="25"/>
    <d v="2019-08-19T00:00:00"/>
    <x v="9"/>
    <n v="7"/>
    <n v="7"/>
    <n v="1"/>
    <n v="1"/>
    <s v="Mínima cuantía"/>
    <s v="CCE-10"/>
    <n v="0"/>
    <s v="N.A."/>
    <m/>
    <n v="5000000"/>
    <n v="5000000"/>
    <n v="0"/>
    <n v="0"/>
    <s v="ASESORA JURIDICA"/>
    <s v="CO-DC-11001"/>
    <s v="Juan Fernando Acosta Mirkow (Subdirección de Gestión Corporativa)"/>
    <s v="3550800"/>
    <s v="juan.acosta@idpc.gov.co"/>
    <s v="No aplica"/>
    <s v="No aplica"/>
    <s v="No aplica"/>
    <m/>
    <m/>
    <s v="Alerta: Seleccione la celda en la comumna B con el nombre del proyecto"/>
    <s v="No aplica"/>
    <m/>
    <s v="Alerta: Seleccione la celda en la comumna AI con el concepto de gasto"/>
    <s v="Alerta: Seleccione la celda en la comumna AI con el concepto de gasto"/>
    <m/>
    <s v="Alerta: Seleccione el Concepto de Gasto primero"/>
    <n v="5000000"/>
    <m/>
    <m/>
    <m/>
    <n v="5000000"/>
    <m/>
    <m/>
    <m/>
    <m/>
    <m/>
    <n v="5000000"/>
    <m/>
    <m/>
    <m/>
    <n v="0"/>
    <m/>
    <n v="1"/>
    <m/>
    <m/>
    <m/>
    <m/>
    <m/>
    <m/>
    <m/>
    <m/>
    <m/>
    <m/>
    <m/>
    <m/>
    <m/>
    <m/>
    <n v="0"/>
    <n v="0"/>
    <m/>
  </r>
  <r>
    <n v="422"/>
    <n v="422"/>
    <b v="0"/>
    <s v="Sí"/>
    <s v="Funcionamiento Gastos Generales"/>
    <s v="3-1-2-00-00-00-0000-00"/>
    <s v="72154022;"/>
    <s v="Prestar servicios para el mantenimiento preventivo y correctivo de las bombas hidráulicas y lavado de tanques de los inmuebles de propiedad del Instituto Distrital de Patrimonio Cultural."/>
    <s v="(Cód. 422) Prestar servicios para el mantenimiento preventivo y correctivo de las bombas hidráulicas y lavado de tanques de los inmuebles de propiedad del Instituto Distrital de Patrimonio Cultural."/>
    <d v="2019-03-15T00:00:00"/>
    <n v="25"/>
    <d v="2019-04-19T00:00:00"/>
    <x v="7"/>
    <n v="3"/>
    <n v="3"/>
    <n v="10"/>
    <n v="1"/>
    <s v="Mínima cuantía"/>
    <s v="CCE-10"/>
    <n v="0"/>
    <s v="N.A."/>
    <m/>
    <n v="20000000"/>
    <n v="20000000"/>
    <n v="0"/>
    <n v="0"/>
    <s v="ASESORA JURIDICA"/>
    <s v="CO-DC-11001"/>
    <s v="Juan Fernando Acosta Mirkow (Subdirección de Gestión Corporativa)"/>
    <s v="3550800"/>
    <s v="juan.acosta@idpc.gov.co"/>
    <s v="No aplica"/>
    <s v="No aplica"/>
    <s v="No aplica"/>
    <m/>
    <m/>
    <s v="Alerta: Seleccione la celda en la comumna B con el nombre del proyecto"/>
    <s v="No aplica"/>
    <m/>
    <s v="Alerta: Seleccione la celda en la comumna AI con el concepto de gasto"/>
    <s v="Alerta: Seleccione la celda en la comumna AI con el concepto de gasto"/>
    <m/>
    <s v="Alerta: Seleccione el Concepto de Gasto primero"/>
    <n v="20000000"/>
    <m/>
    <m/>
    <m/>
    <n v="20000000"/>
    <m/>
    <m/>
    <m/>
    <m/>
    <m/>
    <n v="20000000"/>
    <m/>
    <m/>
    <m/>
    <n v="0"/>
    <m/>
    <n v="1"/>
    <m/>
    <m/>
    <m/>
    <m/>
    <m/>
    <m/>
    <m/>
    <m/>
    <m/>
    <m/>
    <m/>
    <m/>
    <m/>
    <m/>
    <n v="0"/>
    <n v="0"/>
    <m/>
  </r>
  <r>
    <n v="423"/>
    <n v="423"/>
    <b v="0"/>
    <s v="Sí"/>
    <s v="Funcionamiento Gastos Generales"/>
    <s v="3-1-2-00-00-00-0000-00"/>
    <n v="80141607"/>
    <s v="Contratar el servicio de catering y apoyo logístico para los eventos institucionales."/>
    <s v="(Cód. 423) Contratar el servicio de catering y apoyo logístico para los eventos institucionales."/>
    <d v="2019-03-15T00:00:00"/>
    <n v="25"/>
    <d v="2019-04-19T00:00:00"/>
    <x v="7"/>
    <n v="3"/>
    <n v="3"/>
    <n v="7"/>
    <n v="1"/>
    <s v="Mínima cuantía"/>
    <s v="CCE-10"/>
    <n v="0"/>
    <s v="Logística"/>
    <m/>
    <n v="8000000"/>
    <n v="8000000"/>
    <n v="0"/>
    <n v="0"/>
    <s v="ASESORA JURIDICA"/>
    <s v="CO-DC-11001"/>
    <s v="Juan Fernando Acosta Mirkow (Subdirección de Gestión Corporativa)"/>
    <s v="3550800"/>
    <s v="juan.acosta@idpc.gov.co"/>
    <s v="No aplica"/>
    <s v="No aplica"/>
    <s v="No aplica"/>
    <m/>
    <m/>
    <s v="Alerta: Seleccione la celda en la comumna B con el nombre del proyecto"/>
    <s v="No aplica"/>
    <m/>
    <s v="Alerta: Seleccione la celda en la comumna AI con el concepto de gasto"/>
    <s v="Alerta: Seleccione la celda en la comumna AI con el concepto de gasto"/>
    <m/>
    <s v="Alerta: Seleccione el Concepto de Gasto primero"/>
    <n v="8000000"/>
    <m/>
    <m/>
    <m/>
    <n v="8000000"/>
    <m/>
    <m/>
    <m/>
    <m/>
    <m/>
    <n v="8000000"/>
    <m/>
    <m/>
    <m/>
    <n v="0"/>
    <m/>
    <n v="1"/>
    <m/>
    <m/>
    <m/>
    <m/>
    <m/>
    <m/>
    <m/>
    <m/>
    <m/>
    <m/>
    <m/>
    <m/>
    <m/>
    <m/>
    <n v="0"/>
    <n v="0"/>
    <m/>
  </r>
  <r>
    <n v="424"/>
    <n v="424"/>
    <b v="0"/>
    <s v="Sí"/>
    <s v="Funcionamiento Gastos Generales"/>
    <s v="3-1-2-00-00-00-0000-00"/>
    <s v="76122304;"/>
    <s v="Contratar la prestación de servicio de recolección, transporte, tratamiento y/o disposición final de los residuos peligrosos producidos durante la gestión del Instituto Distrital de Patrimonio Cultural."/>
    <s v="(Cód. 424) Contratar la prestación de servicio de recolección, transporte, tratamiento y/o disposición final de los residuos peligrosos producidos durante la gestión del Instituto Distrital de Patrimonio Cultural."/>
    <d v="2019-03-15T00:00:00"/>
    <n v="25"/>
    <d v="2019-04-19T00:00:00"/>
    <x v="7"/>
    <n v="3"/>
    <n v="3"/>
    <n v="8"/>
    <n v="1"/>
    <s v="Mínima cuantía"/>
    <s v="CCE-10"/>
    <n v="0"/>
    <s v="N.A."/>
    <m/>
    <n v="3000000"/>
    <n v="3000000"/>
    <n v="0"/>
    <n v="0"/>
    <s v="ASESORA JURIDICA"/>
    <s v="CO-DC-11001"/>
    <s v="Juan Fernando Acosta Mirkow (Subdirección de Gestión Corporativa)"/>
    <s v="3550800"/>
    <s v="juan.acosta@idpc.gov.co"/>
    <s v="No aplica"/>
    <s v="No aplica"/>
    <s v="No aplica"/>
    <m/>
    <m/>
    <s v="Alerta: Seleccione la celda en la comumna B con el nombre del proyecto"/>
    <s v="No aplica"/>
    <m/>
    <s v="Alerta: Seleccione la celda en la comumna AI con el concepto de gasto"/>
    <s v="Alerta: Seleccione la celda en la comumna AI con el concepto de gasto"/>
    <m/>
    <s v="Alerta: Seleccione el Concepto de Gasto primero"/>
    <n v="3000000"/>
    <m/>
    <m/>
    <m/>
    <n v="3000000"/>
    <m/>
    <m/>
    <m/>
    <m/>
    <m/>
    <n v="3000000"/>
    <m/>
    <m/>
    <m/>
    <n v="0"/>
    <m/>
    <n v="1"/>
    <m/>
    <m/>
    <m/>
    <m/>
    <m/>
    <m/>
    <m/>
    <m/>
    <m/>
    <m/>
    <m/>
    <m/>
    <m/>
    <m/>
    <n v="0"/>
    <n v="0"/>
    <m/>
  </r>
  <r>
    <n v="425"/>
    <n v="425"/>
    <b v="0"/>
    <s v="Sí"/>
    <s v="Funcionamiento Gastos Generales"/>
    <s v="3-1-2-00-00-00-0000-00"/>
    <s v="93141808;93141506;86111604;"/>
    <s v="Contratar la prestación de servicios para desarrollar y/o adquirir los bienes y servicios de capacitación, bienestar e incentivos y exámenes médicos ocupacionales para los funcionarios del Instituto Distrital de Patrimonio Cultural."/>
    <s v="(Cód. 425) Contratar la prestación de servicios para desarrollar y/o adquirir los bienes y servicios de capacitación, bienestar e incentivos y exámenes médicos ocupacionales para los funcionarios del Instituto Distrital de Patrimonio Cultural."/>
    <d v="2019-03-15T00:00:00"/>
    <n v="0"/>
    <d v="2019-03-15T00:00:00"/>
    <x v="5"/>
    <n v="3"/>
    <n v="3"/>
    <n v="1"/>
    <n v="1"/>
    <s v="Contratación directa (con ofertas)"/>
    <s v="CCE-05"/>
    <n v="0"/>
    <s v="N.A."/>
    <m/>
    <n v="45000000"/>
    <n v="45000000"/>
    <n v="0"/>
    <n v="0"/>
    <s v="ASESORA JURIDICA"/>
    <s v="CO-DC-11001"/>
    <s v="Juan Fernando Acosta Mirkow (Subdirección de Gestión Corporativa)"/>
    <s v="3550800"/>
    <s v="juan.acosta@idpc.gov.co"/>
    <s v="No aplica"/>
    <s v="No aplica"/>
    <s v="No aplica"/>
    <m/>
    <m/>
    <s v="Alerta: Seleccione la celda en la comumna B con el nombre del proyecto"/>
    <s v="No aplica"/>
    <m/>
    <s v="Alerta: Seleccione la celda en la comumna AI con el concepto de gasto"/>
    <s v="Alerta: Seleccione la celda en la comumna AI con el concepto de gasto"/>
    <m/>
    <s v="Alerta: Seleccione el Concepto de Gasto primero"/>
    <n v="45000000"/>
    <m/>
    <m/>
    <m/>
    <n v="45000000"/>
    <m/>
    <m/>
    <m/>
    <m/>
    <m/>
    <n v="45000000"/>
    <m/>
    <m/>
    <m/>
    <n v="0"/>
    <m/>
    <n v="1"/>
    <m/>
    <m/>
    <m/>
    <m/>
    <m/>
    <m/>
    <m/>
    <m/>
    <m/>
    <m/>
    <m/>
    <m/>
    <m/>
    <m/>
    <n v="0"/>
    <n v="0"/>
    <m/>
  </r>
  <r>
    <s v="N.A."/>
    <s v="N.A."/>
    <b v="0"/>
    <s v="No"/>
    <s v="Funcionamiento Gastos Generales"/>
    <s v="3-1-2-00-00-00-0000-00"/>
    <s v="No aplica"/>
    <s v="Caja menor"/>
    <s v="(Cód. N.A.) Caja menor"/>
    <d v="2019-01-02T00:00:00"/>
    <n v="0"/>
    <d v="2019-01-02T00:00:00"/>
    <x v="1"/>
    <n v="1"/>
    <n v="1"/>
    <n v="1"/>
    <n v="2"/>
    <s v="No aplica"/>
    <s v="No aplica"/>
    <n v="0"/>
    <s v="N.A."/>
    <m/>
    <n v="17800000"/>
    <n v="17800000"/>
    <n v="0"/>
    <n v="0"/>
    <s v="ASESORA JURIDICA"/>
    <s v="CO-DC-11001"/>
    <s v="Juan Fernando Acosta Mirkow (Subdirección de Gestión Corporativa)"/>
    <s v="3550800"/>
    <s v="juan.acosta@idpc.gov.co"/>
    <s v="No aplica"/>
    <s v="No aplica"/>
    <s v="No aplica"/>
    <m/>
    <m/>
    <s v="Alerta: Seleccione la celda en la comumna B con el nombre del proyecto"/>
    <s v="No aplica"/>
    <m/>
    <s v="Alerta: Seleccione la celda en la comumna AI con el concepto de gasto"/>
    <s v="Alerta: Seleccione la celda en la comumna AI con el concepto de gasto"/>
    <m/>
    <s v="Alerta: Seleccione el Concepto de Gasto primero"/>
    <n v="17800000"/>
    <m/>
    <m/>
    <m/>
    <n v="17800000"/>
    <m/>
    <m/>
    <m/>
    <m/>
    <m/>
    <n v="17800000"/>
    <m/>
    <m/>
    <m/>
    <n v="0"/>
    <m/>
    <n v="1"/>
    <m/>
    <m/>
    <m/>
    <m/>
    <m/>
    <m/>
    <m/>
    <m/>
    <m/>
    <m/>
    <m/>
    <m/>
    <m/>
    <m/>
    <n v="0"/>
    <n v="0"/>
    <m/>
  </r>
  <r>
    <n v="426"/>
    <n v="426"/>
    <b v="0"/>
    <s v="Sí"/>
    <s v="Funcionamiento Gastos Generales"/>
    <s v="3-1-2-00-00-00-0000-00"/>
    <s v="44121600;44121700;44110000;44122000;"/>
    <s v="Suministro de papelería, elementos de oficina, útiles escolares y material fungible requeridos para el desarrollo administrativo y misional del Instituto Distrital de Patrimonio Cultural."/>
    <s v="(Cód. 426) Suministro de papelería, elementos de oficina, útiles escolares y material fungible requeridos para el desarrollo administrativo y misional del Instituto Distrital de Patrimonio Cultural."/>
    <d v="2019-03-15T00:00:00"/>
    <n v="45"/>
    <d v="2019-05-17T00:00:00"/>
    <x v="3"/>
    <n v="3"/>
    <n v="3"/>
    <n v="10"/>
    <n v="1"/>
    <s v="Subasta inversa"/>
    <s v="CCE-07"/>
    <n v="0"/>
    <s v="Papelería"/>
    <m/>
    <n v="35000000"/>
    <n v="35000000"/>
    <n v="0"/>
    <n v="0"/>
    <s v="ASESORA JURIDICA"/>
    <s v="CO-DC-11001"/>
    <s v="Juan Fernando Acosta Mirkow (Subdirección de Gestión Corporativa)"/>
    <s v="3550800"/>
    <s v="juan.acosta@idpc.gov.co"/>
    <s v="No aplica"/>
    <s v="No aplica"/>
    <s v="No aplica"/>
    <m/>
    <m/>
    <s v="Alerta: Seleccione la celda en la comumna B con el nombre del proyecto"/>
    <s v="No aplica"/>
    <m/>
    <s v="Alerta: Seleccione la celda en la comumna AI con el concepto de gasto"/>
    <s v="Alerta: Seleccione la celda en la comumna AI con el concepto de gasto"/>
    <m/>
    <s v="Alerta: Seleccione el Concepto de Gasto primero"/>
    <n v="35000000"/>
    <m/>
    <m/>
    <m/>
    <n v="35000000"/>
    <m/>
    <m/>
    <m/>
    <m/>
    <m/>
    <n v="35000000"/>
    <m/>
    <m/>
    <m/>
    <n v="0"/>
    <m/>
    <n v="1"/>
    <m/>
    <m/>
    <m/>
    <m/>
    <m/>
    <m/>
    <m/>
    <m/>
    <m/>
    <m/>
    <m/>
    <m/>
    <m/>
    <m/>
    <n v="0"/>
    <n v="0"/>
    <m/>
  </r>
  <r>
    <s v="N.A."/>
    <s v="N.A."/>
    <b v="0"/>
    <s v="No"/>
    <s v="Funcionamiento Gastos Generales"/>
    <s v="3-1-2-00-00-00-0000-00"/>
    <s v="No aplica"/>
    <s v="Servicios Públicos"/>
    <s v="(Cód. N.A.) Servicios Públicos"/>
    <d v="2019-01-02T00:00:00"/>
    <n v="0"/>
    <d v="2019-01-02T00:00:00"/>
    <x v="1"/>
    <n v="1"/>
    <n v="1"/>
    <n v="1"/>
    <n v="2"/>
    <s v="No aplica"/>
    <s v="No aplica"/>
    <n v="0"/>
    <s v="Servicios públicos"/>
    <m/>
    <n v="131400000"/>
    <n v="131400000"/>
    <n v="0"/>
    <n v="0"/>
    <s v="ASESORA JURIDICA"/>
    <s v="CO-DC-11001"/>
    <s v="Juan Fernando Acosta Mirkow (Subdirección de Gestión Corporativa)"/>
    <s v="3550800"/>
    <s v="juan.acosta@idpc.gov.co"/>
    <s v="No aplica"/>
    <s v="No aplica"/>
    <s v="No aplica"/>
    <m/>
    <m/>
    <s v="Alerta: Seleccione la celda en la comumna B con el nombre del proyecto"/>
    <s v="No aplica"/>
    <m/>
    <s v="Alerta: Seleccione la celda en la comumna AI con el concepto de gasto"/>
    <s v="Alerta: Seleccione la celda en la comumna AI con el concepto de gasto"/>
    <m/>
    <s v="Alerta: Seleccione el Concepto de Gasto primero"/>
    <n v="131400000"/>
    <m/>
    <m/>
    <m/>
    <n v="131400000"/>
    <m/>
    <m/>
    <m/>
    <m/>
    <m/>
    <n v="131400000"/>
    <m/>
    <m/>
    <m/>
    <n v="0"/>
    <m/>
    <n v="1"/>
    <m/>
    <m/>
    <m/>
    <m/>
    <m/>
    <m/>
    <m/>
    <m/>
    <m/>
    <m/>
    <m/>
    <m/>
    <m/>
    <m/>
    <n v="0"/>
    <n v="0"/>
    <m/>
  </r>
  <r>
    <n v="427"/>
    <n v="427"/>
    <b v="0"/>
    <s v="Sí"/>
    <s v="Funcionamiento Gastos Generales"/>
    <s v="3-1-2-00-00-00-0000-00"/>
    <s v="78111808;"/>
    <s v="Contratar el servicio público de transporte terrestre automotor especial incluido conductor para atender la gestión institucional del Instituto Distrital de Patrimonio Cultural."/>
    <s v="(Cód. 427) Contratar el servicio público de transporte terrestre automotor especial incluido conductor para atender la gestión institucional del Instituto Distrital de Patrimonio Cultural."/>
    <d v="2019-02-15T00:00:00"/>
    <n v="45"/>
    <d v="2019-04-19T00:00:00"/>
    <x v="7"/>
    <n v="2"/>
    <n v="2"/>
    <n v="10"/>
    <n v="1"/>
    <s v="Subasta inversa"/>
    <s v="CCE-07"/>
    <n v="0"/>
    <s v="Transporte pasajeros"/>
    <m/>
    <n v="49000000"/>
    <n v="49000000"/>
    <n v="0"/>
    <n v="0"/>
    <s v="ASESORA JURIDICA"/>
    <s v="CO-DC-11001"/>
    <s v="Juan Fernando Acosta Mirkow (Subdirección de Gestión Corporativa)"/>
    <s v="3550800"/>
    <s v="juan.acosta@idpc.gov.co"/>
    <s v="No aplica"/>
    <s v="No aplica"/>
    <s v="No aplica"/>
    <m/>
    <m/>
    <s v="Alerta: Seleccione la celda en la comumna B con el nombre del proyecto"/>
    <s v="No aplica"/>
    <m/>
    <s v="Alerta: Seleccione la celda en la comumna AI con el concepto de gasto"/>
    <s v="Alerta: Seleccione la celda en la comumna AI con el concepto de gasto"/>
    <m/>
    <s v="Alerta: Seleccione el Concepto de Gasto primero"/>
    <n v="49000000"/>
    <m/>
    <m/>
    <m/>
    <n v="49000000"/>
    <m/>
    <m/>
    <m/>
    <m/>
    <m/>
    <n v="49000000"/>
    <m/>
    <m/>
    <m/>
    <n v="0"/>
    <m/>
    <n v="1"/>
    <m/>
    <m/>
    <m/>
    <m/>
    <m/>
    <m/>
    <m/>
    <m/>
    <m/>
    <m/>
    <m/>
    <m/>
    <m/>
    <m/>
    <n v="0"/>
    <n v="0"/>
    <m/>
  </r>
  <r>
    <s v="N.A."/>
    <s v="N.A."/>
    <b v="0"/>
    <s v="No"/>
    <s v="Funcionamiento Servicios Personales indirectos"/>
    <s v="3-1-1-00-00-00-0000-00"/>
    <s v="No aplica"/>
    <s v="planilla riesgo V "/>
    <s v="(Cód. N.A.) planilla riesgo V "/>
    <s v="No aplica"/>
    <n v="0"/>
    <s v="No aplica"/>
    <x v="2"/>
    <s v="No aplica"/>
    <s v="No aplica"/>
    <n v="1"/>
    <n v="0"/>
    <s v="No aplica"/>
    <s v="No aplica"/>
    <n v="0"/>
    <s v="ARL N. 5"/>
    <s v="ARL"/>
    <n v="2040000"/>
    <n v="2040000"/>
    <n v="0"/>
    <n v="0"/>
    <s v="ASESORA JURIDICA"/>
    <s v="CO-DC-11001"/>
    <s v="Juan Fernando Acosta Mirkow (Subdirección de Gestión Corporativa)"/>
    <s v="3550800"/>
    <s v="juan.acosta@idpc.gov.co"/>
    <s v="No aplica"/>
    <s v="Alerta: Seleccione la celda en la comumna B con el nombre del proyecto"/>
    <s v="Alerta: Seleccione la celda en la comumna B con el nombre del proyecto"/>
    <m/>
    <m/>
    <s v="Alerta: Seleccione la celda en la comumna B con el nombre del proyecto"/>
    <s v="Alerta: Seleccione la celda en la comumna B con el nombre del proyecto"/>
    <m/>
    <s v="Alerta: Seleccione la celda en la comumna AI con el concepto de gasto"/>
    <s v="Alerta: Seleccione la celda en la comumna AI con el concepto de gasto"/>
    <m/>
    <s v="Alerta: Seleccione el Concepto de Gasto primero"/>
    <n v="2040000"/>
    <m/>
    <m/>
    <m/>
    <n v="2040000"/>
    <m/>
    <m/>
    <m/>
    <m/>
    <m/>
    <n v="2040000"/>
    <m/>
    <m/>
    <m/>
    <n v="0"/>
    <m/>
    <n v="1"/>
    <m/>
    <m/>
    <m/>
    <m/>
    <m/>
    <m/>
    <m/>
    <m/>
    <m/>
    <m/>
    <m/>
    <m/>
    <m/>
    <m/>
    <n v="0"/>
    <n v="0"/>
    <m/>
  </r>
  <r>
    <n v="428"/>
    <n v="428"/>
    <b v="0"/>
    <s v="Sí"/>
    <s v="Funcionamiento Servicios Personales indirectos"/>
    <s v="3-1-1-00-00-00-0000-00"/>
    <n v="80111600"/>
    <s v="Prestar los servicios de apoyo a la gestión al Instituto Distrital de Patrimonio Cultural para el arreglo y mantenimiento de los jardines y zonas verdes existentes en sus instalaciones."/>
    <s v="(Cód. 428) Prestar los servicios de apoyo a la gestión al Instituto Distrital de Patrimonio Cultural para el arreglo y mantenimiento de los jardines y zonas verdes existentes en sus instalaciones."/>
    <d v="2019-01-20T00:00:00"/>
    <n v="10"/>
    <d v="2019-02-01T00:00:00"/>
    <x v="0"/>
    <n v="1"/>
    <n v="1"/>
    <n v="11"/>
    <n v="1"/>
    <s v="Contratación directa / Prestación de servicios profesionales y de apoyo a la gestión"/>
    <s v="CCE-16"/>
    <n v="0"/>
    <s v="N.A."/>
    <s v="Hugo Pedraza"/>
    <n v="17600000"/>
    <n v="17600000"/>
    <n v="0"/>
    <n v="0"/>
    <s v="ASESORA JURIDICA"/>
    <s v="CO-DC-11001"/>
    <s v="Juan Fernando Acosta Mirkow (Subdirección de Gestión Corporativa)"/>
    <s v="3550800"/>
    <s v="juan.acosta@idpc.gov.co"/>
    <s v="No aplica"/>
    <s v="Alerta: Seleccione la celda en la comumna B con el nombre del proyecto"/>
    <s v="Alerta: Seleccione la celda en la comumna B con el nombre del proyecto"/>
    <m/>
    <m/>
    <s v="Alerta: Seleccione la celda en la comumna B con el nombre del proyecto"/>
    <s v="Alerta: Seleccione la celda en la comumna B con el nombre del proyecto"/>
    <m/>
    <s v="Alerta: Seleccione la celda en la comumna AI con el concepto de gasto"/>
    <s v="Alerta: Seleccione la celda en la comumna AI con el concepto de gasto"/>
    <m/>
    <s v="Alerta: Seleccione el Concepto de Gasto primero"/>
    <n v="17600000"/>
    <m/>
    <m/>
    <m/>
    <n v="17600000"/>
    <m/>
    <m/>
    <m/>
    <m/>
    <m/>
    <n v="17600000"/>
    <m/>
    <m/>
    <m/>
    <n v="0"/>
    <m/>
    <n v="1"/>
    <m/>
    <m/>
    <m/>
    <m/>
    <m/>
    <m/>
    <m/>
    <m/>
    <m/>
    <m/>
    <m/>
    <m/>
    <m/>
    <m/>
    <n v="0"/>
    <n v="0"/>
    <m/>
  </r>
  <r>
    <s v="N.A."/>
    <s v="N.A."/>
    <b v="0"/>
    <s v="No"/>
    <s v="Funcionamiento Servicios Personales indirectos"/>
    <s v="3-1-1-00-00-00-0000-00"/>
    <s v="No aplica"/>
    <s v="Honorarios Junta Directiva"/>
    <s v="(Cód. N.A.) Honorarios Junta Directiva"/>
    <d v="2019-01-20T00:00:00"/>
    <n v="0"/>
    <d v="2019-01-20T00:00:00"/>
    <x v="1"/>
    <n v="1"/>
    <n v="1"/>
    <n v="10"/>
    <n v="1"/>
    <s v="No aplica"/>
    <s v="No aplica"/>
    <n v="0"/>
    <s v="N.A."/>
    <s v="junta"/>
    <n v="15769736"/>
    <n v="15769736"/>
    <n v="0"/>
    <n v="0"/>
    <s v="ASESORA JURIDICA"/>
    <s v="CO-DC-11001"/>
    <s v="Juan Fernando Acosta Mirkow (Subdirección de Gestión Corporativa)"/>
    <s v="3550800"/>
    <s v="juan.acosta@idpc.gov.co"/>
    <s v="No aplica"/>
    <s v="Alerta: Seleccione la celda en la comumna B con el nombre del proyecto"/>
    <s v="Alerta: Seleccione la celda en la comumna B con el nombre del proyecto"/>
    <m/>
    <m/>
    <s v="Alerta: Seleccione la celda en la comumna B con el nombre del proyecto"/>
    <s v="Alerta: Seleccione la celda en la comumna B con el nombre del proyecto"/>
    <m/>
    <s v="Alerta: Seleccione la celda en la comumna AI con el concepto de gasto"/>
    <s v="Alerta: Seleccione la celda en la comumna AI con el concepto de gasto"/>
    <m/>
    <s v="Alerta: Seleccione el Concepto de Gasto primero"/>
    <n v="15769736"/>
    <m/>
    <m/>
    <m/>
    <n v="15769736"/>
    <m/>
    <m/>
    <m/>
    <m/>
    <m/>
    <n v="15769736"/>
    <m/>
    <m/>
    <m/>
    <n v="0"/>
    <m/>
    <n v="1"/>
    <m/>
    <m/>
    <m/>
    <m/>
    <m/>
    <m/>
    <m/>
    <m/>
    <m/>
    <m/>
    <m/>
    <m/>
    <m/>
    <m/>
    <n v="0"/>
    <n v="0"/>
    <m/>
  </r>
  <r>
    <n v="429"/>
    <n v="429"/>
    <b v="0"/>
    <s v="Sí"/>
    <s v="Funcionamiento Servicios Personales indirectos"/>
    <s v="3-1-1-00-00-00-0000-00"/>
    <n v="80111600"/>
    <s v="Prestar servicios de apoyo a la gestión en la conducción de los vehículos de propiedad del Instituto Distrital de Patrimonio Cultural."/>
    <s v="(Cód. 429) Prestar servicios de apoyo a la gestión en la conducción de los vehículos de propiedad del Instituto Distrital de Patrimonio Cultural."/>
    <d v="2019-04-30T00:00:00"/>
    <n v="10"/>
    <d v="2019-05-14T00:00:00"/>
    <x v="3"/>
    <n v="4"/>
    <n v="4"/>
    <n v="7"/>
    <n v="1"/>
    <s v="Contratación directa / Prestación de servicios profesionales y de apoyo a la gestión"/>
    <s v="CCE-16"/>
    <n v="0"/>
    <s v="N.A."/>
    <s v="Por definir"/>
    <n v="16240000"/>
    <n v="16240000"/>
    <n v="0"/>
    <n v="0"/>
    <s v="ASESORA JURIDICA"/>
    <s v="CO-DC-11001"/>
    <s v="Juan Fernando Acosta Mirkow (Subdirección de Gestión Corporativa)"/>
    <s v="3550800"/>
    <s v="juan.acosta@idpc.gov.co"/>
    <s v="No aplica"/>
    <s v="Alerta: Seleccione la celda en la comumna B con el nombre del proyecto"/>
    <s v="Alerta: Seleccione la celda en la comumna B con el nombre del proyecto"/>
    <m/>
    <m/>
    <s v="Alerta: Seleccione la celda en la comumna B con el nombre del proyecto"/>
    <s v="Alerta: Seleccione la celda en la comumna B con el nombre del proyecto"/>
    <m/>
    <s v="Alerta: Seleccione la celda en la comumna AI con el concepto de gasto"/>
    <s v="Alerta: Seleccione la celda en la comumna AI con el concepto de gasto"/>
    <m/>
    <s v="Alerta: Seleccione el Concepto de Gasto primero"/>
    <n v="16240000"/>
    <m/>
    <m/>
    <m/>
    <n v="16240000"/>
    <m/>
    <m/>
    <m/>
    <m/>
    <m/>
    <n v="16240000"/>
    <m/>
    <m/>
    <m/>
    <n v="0"/>
    <m/>
    <n v="1"/>
    <m/>
    <m/>
    <m/>
    <m/>
    <m/>
    <m/>
    <m/>
    <m/>
    <m/>
    <m/>
    <m/>
    <m/>
    <m/>
    <m/>
    <n v="0"/>
    <n v="0"/>
    <m/>
  </r>
  <r>
    <n v="430"/>
    <n v="430"/>
    <b v="0"/>
    <s v="Sí"/>
    <s v="Funcionamiento Servicios Personales indirectos"/>
    <s v="3-1-1-00-00-00-0000-00"/>
    <n v="80111600"/>
    <s v="Prestar servicios de apoyo a la gestión en la conducción y traslado del personal y bienes en los vehículos de propiedad del Instituto Distrital de Patrimonio Cultural."/>
    <s v="(Cód. 430) Prestar servicios de apoyo a la gestión en la conducción y traslado del personal y bienes en los vehículos de propiedad del Instituto Distrital de Patrimonio Cultural."/>
    <d v="2019-01-20T00:00:00"/>
    <n v="10"/>
    <d v="2019-02-01T00:00:00"/>
    <x v="0"/>
    <n v="1"/>
    <n v="1"/>
    <n v="11"/>
    <n v="1"/>
    <s v="Contratación directa / Prestación de servicios profesionales y de apoyo a la gestión"/>
    <s v="CCE-16"/>
    <n v="0"/>
    <s v="N.A."/>
    <s v="Quintiliano García"/>
    <n v="25520000"/>
    <n v="25520000"/>
    <n v="0"/>
    <n v="0"/>
    <s v="ASESORA JURIDICA"/>
    <s v="CO-DC-11001"/>
    <s v="Juan Fernando Acosta Mirkow (Subdirección de Gestión Corporativa)"/>
    <s v="3550800"/>
    <s v="juan.acosta@idpc.gov.co"/>
    <s v="No aplica"/>
    <s v="Alerta: Seleccione la celda en la comumna B con el nombre del proyecto"/>
    <s v="Alerta: Seleccione la celda en la comumna B con el nombre del proyecto"/>
    <m/>
    <m/>
    <s v="Alerta: Seleccione la celda en la comumna B con el nombre del proyecto"/>
    <s v="Alerta: Seleccione la celda en la comumna B con el nombre del proyecto"/>
    <m/>
    <s v="Alerta: Seleccione la celda en la comumna AI con el concepto de gasto"/>
    <s v="Alerta: Seleccione la celda en la comumna AI con el concepto de gasto"/>
    <m/>
    <s v="Alerta: Seleccione el Concepto de Gasto primero"/>
    <n v="25520000"/>
    <m/>
    <m/>
    <m/>
    <n v="25520000"/>
    <m/>
    <m/>
    <m/>
    <m/>
    <m/>
    <n v="25520000"/>
    <m/>
    <m/>
    <m/>
    <n v="0"/>
    <m/>
    <n v="1"/>
    <m/>
    <m/>
    <m/>
    <m/>
    <m/>
    <m/>
    <m/>
    <m/>
    <m/>
    <m/>
    <m/>
    <m/>
    <m/>
    <m/>
    <n v="0"/>
    <n v="0"/>
    <m/>
  </r>
  <r>
    <n v="431"/>
    <n v="431"/>
    <b v="0"/>
    <s v="Sí"/>
    <s v="Funcionamiento Servicios Personales indirectos"/>
    <s v="3-1-1-00-00-00-0000-00"/>
    <n v="80111600"/>
    <s v="Prestar servicios de apoyo a la gestión en el mantenimiento de los bienes de propiedad del  Instituto Distrital de Patrimonio Cultural."/>
    <s v="(Cód. 431) Prestar servicios de apoyo a la gestión en el mantenimiento de los bienes de propiedad del  Instituto Distrital de Patrimonio Cultural."/>
    <d v="2019-01-20T00:00:00"/>
    <n v="10"/>
    <d v="2019-02-01T00:00:00"/>
    <x v="0"/>
    <n v="1"/>
    <n v="1"/>
    <n v="11"/>
    <n v="1"/>
    <s v="Contratación directa / Prestación de servicios profesionales y de apoyo a la gestión"/>
    <s v="CCE-16"/>
    <n v="0"/>
    <s v="N.A."/>
    <s v="Samuel Huerfano"/>
    <n v="17600000"/>
    <n v="17600000"/>
    <n v="0"/>
    <n v="0"/>
    <s v="ASESORA JURIDICA"/>
    <s v="CO-DC-11001"/>
    <s v="Juan Fernando Acosta Mirkow (Subdirección de Gestión Corporativa)"/>
    <s v="3550800"/>
    <s v="juan.acosta@idpc.gov.co"/>
    <s v="No aplica"/>
    <s v="Alerta: Seleccione la celda en la comumna B con el nombre del proyecto"/>
    <s v="Alerta: Seleccione la celda en la comumna B con el nombre del proyecto"/>
    <m/>
    <m/>
    <s v="Alerta: Seleccione la celda en la comumna B con el nombre del proyecto"/>
    <s v="Alerta: Seleccione la celda en la comumna B con el nombre del proyecto"/>
    <m/>
    <s v="Alerta: Seleccione la celda en la comumna AI con el concepto de gasto"/>
    <s v="Alerta: Seleccione la celda en la comumna AI con el concepto de gasto"/>
    <m/>
    <s v="Alerta: Seleccione el Concepto de Gasto primero"/>
    <n v="17600000"/>
    <m/>
    <m/>
    <m/>
    <n v="17600000"/>
    <m/>
    <m/>
    <m/>
    <m/>
    <m/>
    <n v="17600000"/>
    <m/>
    <m/>
    <m/>
    <n v="0"/>
    <m/>
    <n v="1"/>
    <m/>
    <m/>
    <m/>
    <m/>
    <m/>
    <m/>
    <m/>
    <m/>
    <m/>
    <m/>
    <m/>
    <m/>
    <m/>
    <m/>
    <n v="0"/>
    <n v="0"/>
    <m/>
  </r>
  <r>
    <n v="432"/>
    <n v="432"/>
    <b v="0"/>
    <s v="Sí"/>
    <s v="Funcionamiento Servicios Personales indirectos"/>
    <s v="3-1-1-00-00-00-0000-00"/>
    <s v="80111600;"/>
    <s v="Prestar servicios profesionales al Instituto Distrital de Patrimonio Cultural en temas de derecho urbano y administrativo relacionados con la sostenibilidad jurídica del patrimonio cultural del Distrito Capital."/>
    <s v="(Cód. 432) Prestar servicios profesionales al Instituto Distrital de Patrimonio Cultural en temas de derecho urbano y administrativo relacionados con la sostenibilidad jurídica del patrimonio cultural del Distrito Capital."/>
    <d v="2019-01-20T00:00:00"/>
    <n v="10"/>
    <d v="2019-02-01T00:00:00"/>
    <x v="0"/>
    <n v="1"/>
    <n v="1"/>
    <n v="11"/>
    <n v="1"/>
    <s v="Contratación directa / Prestación de servicios profesionales y de apoyo a la gestión"/>
    <s v="CCE-16"/>
    <n v="0"/>
    <s v="N.A."/>
    <s v="Ximena Aguillón"/>
    <n v="109230000"/>
    <n v="109230000"/>
    <n v="0"/>
    <n v="0"/>
    <s v="ASESORA JURIDICA"/>
    <s v="CO-DC-11001"/>
    <s v="Juan Fernando Acosta Mirkow (Dirección General)"/>
    <s v="3550800"/>
    <s v="juan.acosta@idpc.gov.co"/>
    <s v="No aplica"/>
    <s v="Alerta: Seleccione la celda en la comumna B con el nombre del proyecto"/>
    <s v="Alerta: Seleccione la celda en la comumna B con el nombre del proyecto"/>
    <m/>
    <m/>
    <s v="Alerta: Seleccione la celda en la comumna B con el nombre del proyecto"/>
    <s v="Alerta: Seleccione la celda en la comumna B con el nombre del proyecto"/>
    <m/>
    <s v="Alerta: Seleccione la celda en la comumna AI con el concepto de gasto"/>
    <s v="Alerta: Seleccione la celda en la comumna AI con el concepto de gasto"/>
    <m/>
    <s v="Alerta: Seleccione el Concepto de Gasto primero"/>
    <n v="109230000"/>
    <m/>
    <m/>
    <m/>
    <n v="109230000"/>
    <m/>
    <m/>
    <m/>
    <m/>
    <m/>
    <n v="109230000"/>
    <m/>
    <m/>
    <m/>
    <n v="0"/>
    <m/>
    <n v="1"/>
    <m/>
    <m/>
    <m/>
    <m/>
    <m/>
    <m/>
    <m/>
    <m/>
    <m/>
    <m/>
    <m/>
    <m/>
    <m/>
    <m/>
    <n v="0"/>
    <n v="0"/>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1"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3:B14" firstHeaderRow="1" firstDataRow="1" firstDataCol="1"/>
  <pivotFields count="77">
    <pivotField showAll="0"/>
    <pivotField showAll="0"/>
    <pivotField showAll="0"/>
    <pivotField showAll="0"/>
    <pivotField showAll="0"/>
    <pivotField showAll="0"/>
    <pivotField showAll="0"/>
    <pivotField showAll="0"/>
    <pivotField showAll="0"/>
    <pivotField showAll="0"/>
    <pivotField numFmtId="1" showAll="0"/>
    <pivotField showAll="0"/>
    <pivotField axis="axisRow" showAll="0">
      <items count="11">
        <item x="1"/>
        <item x="0"/>
        <item x="5"/>
        <item x="7"/>
        <item x="3"/>
        <item x="4"/>
        <item x="6"/>
        <item x="9"/>
        <item x="8"/>
        <item x="2"/>
        <item t="default"/>
      </items>
    </pivotField>
    <pivotField showAll="0"/>
    <pivotField showAll="0"/>
    <pivotField showAll="0"/>
    <pivotField showAll="0"/>
    <pivotField showAll="0"/>
    <pivotField showAll="0"/>
    <pivotField numFmtId="1" showAll="0"/>
    <pivotField showAll="0"/>
    <pivotField showAll="0"/>
    <pivotField dataField="1" numFmtId="171" showAll="0"/>
    <pivotField numFmtId="171"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showAll="0"/>
    <pivotField showAll="0"/>
    <pivotField showAll="0"/>
    <pivotField numFmtId="3" showAll="0"/>
    <pivotField showAll="0"/>
    <pivotField showAll="0"/>
    <pivotField showAll="0"/>
    <pivotField showAll="0"/>
    <pivotField showAll="0"/>
    <pivotField numFmtId="3" showAll="0"/>
    <pivotField showAll="0"/>
    <pivotField showAll="0"/>
    <pivotField showAll="0"/>
    <pivotField numFmtId="3" showAll="0"/>
    <pivotField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numFmtId="3" showAll="0"/>
    <pivotField showAll="0"/>
  </pivotFields>
  <rowFields count="1">
    <field x="12"/>
  </rowFields>
  <rowItems count="11">
    <i>
      <x/>
    </i>
    <i>
      <x v="1"/>
    </i>
    <i>
      <x v="2"/>
    </i>
    <i>
      <x v="3"/>
    </i>
    <i>
      <x v="4"/>
    </i>
    <i>
      <x v="5"/>
    </i>
    <i>
      <x v="6"/>
    </i>
    <i>
      <x v="7"/>
    </i>
    <i>
      <x v="8"/>
    </i>
    <i>
      <x v="9"/>
    </i>
    <i t="grand">
      <x/>
    </i>
  </rowItems>
  <colItems count="1">
    <i/>
  </colItems>
  <dataFields count="1">
    <dataField name="Suma de Valor total estimado" fld="22" baseField="0" baseItem="0"/>
  </dataFields>
  <formats count="1">
    <format dxfId="13">
      <pivotArea collapsedLevelsAreSubtotals="1" fieldPosition="0">
        <references count="1">
          <reference field="12" count="1">
            <x v="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hyperlink" Target="mailto:juridica@idpc.gov.co" TargetMode="External"/><Relationship Id="rId2" Type="http://schemas.openxmlformats.org/officeDocument/2006/relationships/hyperlink" Target="mailto:juan.acosta@idpc.gov.co" TargetMode="External"/><Relationship Id="rId1" Type="http://schemas.openxmlformats.org/officeDocument/2006/relationships/hyperlink" Target="mailto:carolina.fernandez@idpc.gov.co" TargetMode="External"/><Relationship Id="rId6" Type="http://schemas.openxmlformats.org/officeDocument/2006/relationships/printerSettings" Target="../printerSettings/printerSettings6.bin"/><Relationship Id="rId5" Type="http://schemas.openxmlformats.org/officeDocument/2006/relationships/hyperlink" Target="mailto:cinterno@idpc.gov.co" TargetMode="External"/><Relationship Id="rId4" Type="http://schemas.openxmlformats.org/officeDocument/2006/relationships/hyperlink" Target="mailto:juan.acosta@idpc.gov.co"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AA80"/>
  <sheetViews>
    <sheetView view="pageBreakPreview" topLeftCell="A16" zoomScale="84" zoomScaleNormal="80" zoomScaleSheetLayoutView="84" workbookViewId="0">
      <selection activeCell="B19" sqref="B19"/>
    </sheetView>
  </sheetViews>
  <sheetFormatPr baseColWidth="10" defaultRowHeight="12.75"/>
  <cols>
    <col min="1" max="1" width="39.7109375" customWidth="1"/>
    <col min="2" max="2" width="22.85546875" style="139" customWidth="1"/>
    <col min="3" max="3" width="24.7109375" customWidth="1"/>
    <col min="4" max="4" width="18.5703125" customWidth="1"/>
    <col min="5" max="5" width="15.42578125" customWidth="1"/>
    <col min="6" max="6" width="25.42578125" customWidth="1"/>
    <col min="7" max="7" width="20.28515625" customWidth="1"/>
    <col min="8" max="8" width="13.42578125" customWidth="1"/>
    <col min="9" max="10" width="15" customWidth="1"/>
    <col min="11" max="11" width="13.5703125" customWidth="1"/>
  </cols>
  <sheetData>
    <row r="1" spans="1:27" ht="42.75" customHeight="1">
      <c r="A1" s="739"/>
      <c r="B1" s="307" t="s">
        <v>473</v>
      </c>
      <c r="C1" s="743" t="s">
        <v>474</v>
      </c>
      <c r="D1" s="743"/>
      <c r="E1" s="743"/>
      <c r="F1" s="743"/>
      <c r="G1" s="743"/>
      <c r="H1" s="737" t="s">
        <v>475</v>
      </c>
      <c r="I1" s="737"/>
      <c r="J1" s="736" t="s">
        <v>476</v>
      </c>
      <c r="K1" s="736"/>
      <c r="L1" s="292"/>
      <c r="M1" s="292"/>
      <c r="N1" s="292"/>
      <c r="O1" s="292"/>
      <c r="P1" s="292"/>
      <c r="Q1" s="292"/>
      <c r="R1" s="293"/>
      <c r="T1" s="294"/>
      <c r="U1" s="294"/>
      <c r="V1" s="295"/>
      <c r="X1" s="296"/>
      <c r="Y1" s="296"/>
      <c r="Z1" s="296"/>
      <c r="AA1" s="297"/>
    </row>
    <row r="2" spans="1:27" ht="42.75" customHeight="1">
      <c r="A2" s="739"/>
      <c r="B2" s="307" t="s">
        <v>477</v>
      </c>
      <c r="C2" s="743" t="s">
        <v>478</v>
      </c>
      <c r="D2" s="743"/>
      <c r="E2" s="743"/>
      <c r="F2" s="743"/>
      <c r="G2" s="743"/>
      <c r="H2" s="737" t="s">
        <v>479</v>
      </c>
      <c r="I2" s="737"/>
      <c r="J2" s="736">
        <v>1</v>
      </c>
      <c r="K2" s="736"/>
      <c r="L2" s="298"/>
      <c r="M2" s="298"/>
      <c r="N2" s="298"/>
      <c r="O2" s="298"/>
      <c r="P2" s="298"/>
      <c r="Q2" s="298"/>
      <c r="R2" s="299"/>
      <c r="T2" s="300"/>
      <c r="U2" s="300"/>
      <c r="V2" s="301"/>
      <c r="X2" s="302"/>
      <c r="Y2" s="302"/>
      <c r="Z2" s="302"/>
      <c r="AA2" s="303"/>
    </row>
    <row r="3" spans="1:27" s="304" customFormat="1">
      <c r="A3" s="740" t="s">
        <v>22</v>
      </c>
      <c r="B3" s="740"/>
      <c r="C3" s="740"/>
      <c r="D3" s="740"/>
      <c r="E3" s="740"/>
      <c r="F3" s="740"/>
      <c r="G3" s="740"/>
      <c r="H3" s="741"/>
      <c r="I3" s="741"/>
      <c r="J3" s="741"/>
      <c r="K3" s="741"/>
      <c r="M3" s="305"/>
    </row>
    <row r="4" spans="1:27" s="304" customFormat="1">
      <c r="A4" s="740" t="s">
        <v>89</v>
      </c>
      <c r="B4" s="740"/>
      <c r="C4" s="740"/>
      <c r="D4" s="740"/>
      <c r="E4" s="740"/>
      <c r="F4" s="740"/>
      <c r="G4" s="740"/>
      <c r="H4" s="741"/>
      <c r="I4" s="741"/>
      <c r="J4" s="741"/>
      <c r="K4" s="741"/>
      <c r="M4" s="305"/>
    </row>
    <row r="5" spans="1:27" s="304" customFormat="1">
      <c r="A5" s="740" t="s">
        <v>28</v>
      </c>
      <c r="B5" s="740"/>
      <c r="C5" s="740"/>
      <c r="D5" s="740"/>
      <c r="E5" s="740"/>
      <c r="F5" s="740"/>
      <c r="G5" s="740"/>
      <c r="H5" s="741"/>
      <c r="I5" s="741"/>
      <c r="J5" s="741"/>
      <c r="K5" s="741"/>
      <c r="M5" s="305"/>
    </row>
    <row r="6" spans="1:27" s="304" customFormat="1">
      <c r="A6" s="740" t="s">
        <v>29</v>
      </c>
      <c r="B6" s="740"/>
      <c r="C6" s="740"/>
      <c r="D6" s="740"/>
      <c r="E6" s="740"/>
      <c r="F6" s="740"/>
      <c r="G6" s="740"/>
      <c r="H6" s="741"/>
      <c r="I6" s="741"/>
      <c r="J6" s="741"/>
      <c r="K6" s="741"/>
      <c r="M6" s="305"/>
    </row>
    <row r="7" spans="1:27" s="304" customFormat="1">
      <c r="A7" s="740" t="s">
        <v>30</v>
      </c>
      <c r="B7" s="740"/>
      <c r="C7" s="740"/>
      <c r="D7" s="740"/>
      <c r="E7" s="740"/>
      <c r="F7" s="740"/>
      <c r="G7" s="740"/>
      <c r="H7" s="741"/>
      <c r="I7" s="741"/>
      <c r="J7" s="741"/>
      <c r="K7" s="741"/>
      <c r="M7" s="305"/>
    </row>
    <row r="8" spans="1:27" s="304" customFormat="1">
      <c r="A8" s="740" t="s">
        <v>31</v>
      </c>
      <c r="B8" s="740"/>
      <c r="C8" s="740"/>
      <c r="D8" s="740"/>
      <c r="E8" s="740"/>
      <c r="F8" s="740"/>
      <c r="G8" s="740"/>
      <c r="H8" s="741"/>
      <c r="I8" s="741"/>
      <c r="J8" s="741"/>
      <c r="K8" s="741"/>
      <c r="M8" s="305"/>
    </row>
    <row r="9" spans="1:27" s="304" customFormat="1">
      <c r="A9" s="740"/>
      <c r="B9" s="740"/>
      <c r="C9" s="740"/>
      <c r="D9" s="740"/>
      <c r="E9" s="740"/>
      <c r="F9" s="740"/>
      <c r="G9" s="740"/>
      <c r="H9" s="741"/>
      <c r="I9" s="741"/>
      <c r="J9" s="741"/>
      <c r="K9" s="741"/>
    </row>
    <row r="10" spans="1:27" s="310" customFormat="1">
      <c r="A10" s="309" t="s">
        <v>7</v>
      </c>
      <c r="B10" s="742" t="s">
        <v>16</v>
      </c>
      <c r="C10" s="742"/>
      <c r="D10" s="742"/>
      <c r="E10" s="306"/>
      <c r="F10" s="306"/>
      <c r="G10" s="306"/>
      <c r="H10" s="741"/>
      <c r="I10" s="741"/>
      <c r="J10" s="741"/>
      <c r="K10" s="741"/>
    </row>
    <row r="11" spans="1:27" s="310" customFormat="1">
      <c r="A11" s="309" t="s">
        <v>6</v>
      </c>
      <c r="B11" s="742" t="s">
        <v>17</v>
      </c>
      <c r="C11" s="742"/>
      <c r="D11" s="742"/>
      <c r="E11" s="742"/>
      <c r="F11" s="742"/>
      <c r="G11" s="742"/>
      <c r="H11" s="741"/>
      <c r="I11" s="741"/>
      <c r="J11" s="741"/>
      <c r="K11" s="741"/>
    </row>
    <row r="12" spans="1:27" s="310" customFormat="1">
      <c r="A12" s="311" t="s">
        <v>8</v>
      </c>
      <c r="B12" s="742" t="s">
        <v>18</v>
      </c>
      <c r="C12" s="742"/>
      <c r="D12" s="742"/>
      <c r="E12" s="742"/>
      <c r="F12" s="742"/>
      <c r="G12" s="742"/>
      <c r="H12" s="741"/>
      <c r="I12" s="741"/>
      <c r="J12" s="741"/>
      <c r="K12" s="741"/>
    </row>
    <row r="13" spans="1:27" s="310" customFormat="1">
      <c r="H13" s="741"/>
      <c r="I13" s="741"/>
      <c r="J13" s="741"/>
      <c r="K13" s="741"/>
    </row>
    <row r="14" spans="1:27" s="310" customFormat="1">
      <c r="A14" s="319" t="s">
        <v>11</v>
      </c>
      <c r="B14" s="312">
        <v>43104</v>
      </c>
      <c r="D14" s="308"/>
      <c r="E14" s="308"/>
      <c r="F14" s="308"/>
      <c r="G14" s="308"/>
      <c r="H14" s="741"/>
      <c r="I14" s="741"/>
      <c r="J14" s="741"/>
      <c r="K14" s="741"/>
    </row>
    <row r="15" spans="1:27" s="310" customFormat="1">
      <c r="A15" s="313" t="s">
        <v>9</v>
      </c>
      <c r="B15" s="314"/>
      <c r="C15" s="314"/>
      <c r="D15" s="308"/>
      <c r="E15" s="308"/>
      <c r="F15" s="308"/>
      <c r="G15" s="308"/>
      <c r="H15" s="741"/>
      <c r="I15" s="741"/>
      <c r="J15" s="741"/>
      <c r="K15" s="741"/>
    </row>
    <row r="16" spans="1:27" s="310" customFormat="1">
      <c r="A16" s="315" t="s">
        <v>19</v>
      </c>
      <c r="B16" s="738">
        <v>580000000</v>
      </c>
      <c r="C16" s="738"/>
      <c r="H16" s="316"/>
      <c r="I16" s="317"/>
      <c r="J16" s="318"/>
      <c r="K16" s="318"/>
    </row>
    <row r="17" spans="1:12" ht="38.25">
      <c r="A17" s="10" t="s">
        <v>5</v>
      </c>
      <c r="B17" s="320" t="s">
        <v>0</v>
      </c>
      <c r="C17" s="10" t="s">
        <v>2</v>
      </c>
      <c r="D17" s="10" t="s">
        <v>1</v>
      </c>
      <c r="E17" s="10" t="s">
        <v>13</v>
      </c>
      <c r="F17" s="10" t="s">
        <v>64</v>
      </c>
      <c r="G17" s="10" t="s">
        <v>3</v>
      </c>
      <c r="H17" s="321" t="s">
        <v>353</v>
      </c>
      <c r="I17" s="322" t="s">
        <v>354</v>
      </c>
      <c r="J17" s="322" t="s">
        <v>355</v>
      </c>
      <c r="K17" s="323" t="s">
        <v>356</v>
      </c>
    </row>
    <row r="18" spans="1:12" s="331" customFormat="1" ht="25.5">
      <c r="A18" s="540" t="s">
        <v>466</v>
      </c>
      <c r="B18" s="541">
        <v>490909000</v>
      </c>
      <c r="C18" s="348"/>
      <c r="D18" s="349"/>
      <c r="E18" s="349"/>
      <c r="F18" s="349"/>
      <c r="G18" s="349"/>
      <c r="H18" s="350"/>
      <c r="I18" s="351"/>
      <c r="J18" s="352"/>
      <c r="K18" s="353"/>
    </row>
    <row r="19" spans="1:12" s="4" customFormat="1" ht="127.5">
      <c r="A19" s="188" t="s">
        <v>467</v>
      </c>
      <c r="B19" s="109">
        <f>+SUMIF(Seguimiento_PAA!$AO$32:$AO$967,$A$20,Seguimiento_PAA!$AB$32:$AB$967)</f>
        <v>637000000</v>
      </c>
      <c r="C19" s="189" t="s">
        <v>63</v>
      </c>
      <c r="D19" s="194" t="s">
        <v>98</v>
      </c>
      <c r="E19" s="194" t="s">
        <v>99</v>
      </c>
      <c r="F19" s="194" t="s">
        <v>100</v>
      </c>
      <c r="G19" s="194" t="s">
        <v>101</v>
      </c>
      <c r="H19" s="128"/>
      <c r="I19" s="41"/>
      <c r="J19" s="42"/>
      <c r="K19" s="43"/>
    </row>
    <row r="20" spans="1:12" s="4" customFormat="1" ht="127.5">
      <c r="A20" s="281" t="s">
        <v>309</v>
      </c>
      <c r="B20" s="487">
        <f>+I20</f>
        <v>0</v>
      </c>
      <c r="C20" s="539" t="s">
        <v>63</v>
      </c>
      <c r="D20" s="498" t="s">
        <v>98</v>
      </c>
      <c r="E20" s="498" t="s">
        <v>99</v>
      </c>
      <c r="F20" s="498" t="s">
        <v>100</v>
      </c>
      <c r="G20" s="498" t="s">
        <v>101</v>
      </c>
      <c r="H20" s="532">
        <f>COUNTIF(Seguimiento_PAA!$AO$32:$AO$967,$A$20)</f>
        <v>18</v>
      </c>
      <c r="I20" s="533">
        <f>+SUMIF(Seguimiento_PAA!$AO$32:$AO$967,$A$20,Seguimiento_PAA!$BF$32:$BF$967)</f>
        <v>0</v>
      </c>
      <c r="J20" s="533">
        <f>+SUMIF(Seguimiento_PAA!$AO$32:$AO$967,$A$20,Seguimiento_PAA!$BJ$32:$BJ$967)</f>
        <v>0</v>
      </c>
      <c r="K20" s="534">
        <f>+SUMIF(Seguimiento_PAA!$AO$32:$AO$967,$A$20,Seguimiento_PAA!$CB$32:$CB$967)</f>
        <v>0</v>
      </c>
    </row>
    <row r="21" spans="1:12" s="4" customFormat="1">
      <c r="A21" s="190" t="s">
        <v>97</v>
      </c>
      <c r="B21" s="133">
        <f>B18-SUM(B20:B20)</f>
        <v>490909000</v>
      </c>
      <c r="C21" s="190"/>
      <c r="D21" s="195"/>
      <c r="E21" s="195"/>
      <c r="F21" s="195"/>
      <c r="G21" s="195"/>
      <c r="H21" s="129"/>
      <c r="I21" s="282"/>
      <c r="J21" s="282"/>
      <c r="K21" s="283"/>
    </row>
    <row r="22" spans="1:12" s="331" customFormat="1">
      <c r="A22" s="538" t="s">
        <v>468</v>
      </c>
      <c r="B22" s="487">
        <v>50000000</v>
      </c>
      <c r="C22" s="354"/>
      <c r="D22" s="355"/>
      <c r="E22" s="355"/>
      <c r="F22" s="355"/>
      <c r="G22" s="355"/>
      <c r="H22" s="356"/>
      <c r="I22" s="357"/>
      <c r="J22" s="357"/>
      <c r="K22" s="358"/>
    </row>
    <row r="23" spans="1:12" s="4" customFormat="1" ht="76.5">
      <c r="A23" s="191" t="s">
        <v>469</v>
      </c>
      <c r="B23" s="109">
        <f>+SUMIF(Seguimiento_PAA!$AO$32:$AO$967,$A$24,Seguimiento_PAA!$AB$32:$AB$967)</f>
        <v>0</v>
      </c>
      <c r="C23" s="192" t="s">
        <v>63</v>
      </c>
      <c r="D23" s="196" t="s">
        <v>98</v>
      </c>
      <c r="E23" s="196" t="s">
        <v>117</v>
      </c>
      <c r="F23" s="196" t="s">
        <v>470</v>
      </c>
      <c r="G23" s="196" t="s">
        <v>101</v>
      </c>
      <c r="H23" s="128"/>
      <c r="I23" s="284"/>
      <c r="J23" s="284"/>
      <c r="K23" s="285"/>
    </row>
    <row r="24" spans="1:12" s="4" customFormat="1" ht="76.5">
      <c r="A24" s="192" t="s">
        <v>423</v>
      </c>
      <c r="B24" s="535">
        <f>+I24</f>
        <v>0</v>
      </c>
      <c r="C24" s="536" t="s">
        <v>63</v>
      </c>
      <c r="D24" s="537" t="s">
        <v>98</v>
      </c>
      <c r="E24" s="537" t="s">
        <v>117</v>
      </c>
      <c r="F24" s="537" t="s">
        <v>470</v>
      </c>
      <c r="G24" s="537" t="s">
        <v>101</v>
      </c>
      <c r="H24" s="532">
        <f>COUNTIF(Seguimiento_PAA!$AO$32:$AO$967,$A$24)</f>
        <v>0</v>
      </c>
      <c r="I24" s="533">
        <f>+SUMIF(Seguimiento_PAA!$AO$32:$AO$967,$A$24,Seguimiento_PAA!$BF$32:$BF$967)</f>
        <v>0</v>
      </c>
      <c r="J24" s="533">
        <f>+SUMIF(Seguimiento_PAA!$AO$32:$AO$967,$A$24,Seguimiento_PAA!$BJ$32:$BJ$967)</f>
        <v>0</v>
      </c>
      <c r="K24" s="534">
        <f>+SUMIF(Seguimiento_PAA!$AO$32:$AO$967,$A$24,Seguimiento_PAA!$CB$32:$CB$967)</f>
        <v>0</v>
      </c>
    </row>
    <row r="25" spans="1:12" s="4" customFormat="1">
      <c r="A25" s="193" t="s">
        <v>97</v>
      </c>
      <c r="B25" s="133">
        <f>B22-SUM(B24:B24)</f>
        <v>50000000</v>
      </c>
      <c r="C25" s="190"/>
      <c r="D25" s="195"/>
      <c r="E25" s="195"/>
      <c r="F25" s="195"/>
      <c r="G25" s="195"/>
      <c r="H25" s="129"/>
      <c r="I25" s="282"/>
      <c r="J25" s="282"/>
      <c r="K25" s="283"/>
    </row>
    <row r="26" spans="1:12" s="331" customFormat="1" ht="25.5">
      <c r="A26" s="526" t="s">
        <v>471</v>
      </c>
      <c r="B26" s="487">
        <v>39091000</v>
      </c>
      <c r="C26" s="527"/>
      <c r="D26" s="501"/>
      <c r="E26" s="501"/>
      <c r="F26" s="501"/>
      <c r="G26" s="501"/>
      <c r="H26" s="528"/>
      <c r="I26" s="529"/>
      <c r="J26" s="529"/>
      <c r="K26" s="530"/>
      <c r="L26" s="531"/>
    </row>
    <row r="27" spans="1:12" s="4" customFormat="1" ht="76.5">
      <c r="A27" s="526" t="s">
        <v>472</v>
      </c>
      <c r="B27" s="487">
        <f>+SUMIF(Seguimiento_PAA!$AO$32:$AO$967,$A$28,Seguimiento_PAA!$AB$32:$AB$967)</f>
        <v>0</v>
      </c>
      <c r="C27" s="527" t="s">
        <v>63</v>
      </c>
      <c r="D27" s="501" t="s">
        <v>98</v>
      </c>
      <c r="E27" s="501" t="s">
        <v>118</v>
      </c>
      <c r="F27" s="501" t="s">
        <v>102</v>
      </c>
      <c r="G27" s="501" t="s">
        <v>101</v>
      </c>
      <c r="H27" s="528"/>
      <c r="I27" s="529"/>
      <c r="J27" s="529"/>
      <c r="K27" s="530"/>
      <c r="L27" s="531"/>
    </row>
    <row r="28" spans="1:12" s="4" customFormat="1" ht="76.5">
      <c r="A28" s="527" t="s">
        <v>424</v>
      </c>
      <c r="B28" s="487">
        <f>+I28</f>
        <v>0</v>
      </c>
      <c r="C28" s="527" t="s">
        <v>63</v>
      </c>
      <c r="D28" s="501" t="s">
        <v>98</v>
      </c>
      <c r="E28" s="501" t="s">
        <v>118</v>
      </c>
      <c r="F28" s="501" t="s">
        <v>102</v>
      </c>
      <c r="G28" s="501" t="s">
        <v>101</v>
      </c>
      <c r="H28" s="532">
        <f>COUNTIF(Seguimiento_PAA!$AO$32:$AO$967,$A$28)</f>
        <v>0</v>
      </c>
      <c r="I28" s="533">
        <f>+SUMIF(Seguimiento_PAA!$AO$32:$AO$967,$A$28,Seguimiento_PAA!$BF$32:$BF$967)</f>
        <v>0</v>
      </c>
      <c r="J28" s="533">
        <f>+SUMIF(Seguimiento_PAA!$AO$32:$AO$967,$A$28,Seguimiento_PAA!$BJ$32:$BJ$967)</f>
        <v>0</v>
      </c>
      <c r="K28" s="534">
        <f>+SUMIF(Seguimiento_PAA!$AO$32:$AO$967,$A$28,Seguimiento_PAA!$CB$32:$CB$967)</f>
        <v>0</v>
      </c>
      <c r="L28" s="531"/>
    </row>
    <row r="29" spans="1:12" s="4" customFormat="1">
      <c r="A29" s="193" t="s">
        <v>97</v>
      </c>
      <c r="B29" s="133">
        <f>B26-SUM(B28:B28)</f>
        <v>39091000</v>
      </c>
      <c r="C29" s="103"/>
      <c r="D29" s="103"/>
      <c r="E29" s="103"/>
      <c r="F29" s="103"/>
      <c r="G29" s="103"/>
      <c r="H29" s="129"/>
      <c r="I29" s="106"/>
      <c r="J29" s="107"/>
      <c r="K29" s="108"/>
    </row>
    <row r="30" spans="1:12">
      <c r="A30" s="59" t="s">
        <v>14</v>
      </c>
      <c r="B30" s="134">
        <f>B19+B23+B27</f>
        <v>637000000</v>
      </c>
      <c r="C30" s="32"/>
      <c r="D30" s="33"/>
      <c r="E30" s="32"/>
      <c r="F30" s="32"/>
      <c r="G30" s="34"/>
      <c r="H30" s="33"/>
      <c r="I30" s="35"/>
      <c r="J30" s="36"/>
      <c r="K30" s="37"/>
    </row>
    <row r="31" spans="1:12">
      <c r="A31" s="60" t="s">
        <v>504</v>
      </c>
      <c r="B31" s="135">
        <f>+B26+B22+B18</f>
        <v>580000000</v>
      </c>
      <c r="C31" s="7"/>
      <c r="D31" s="7"/>
      <c r="E31" s="7"/>
      <c r="F31" s="7"/>
      <c r="G31" s="7"/>
      <c r="H31" s="7"/>
      <c r="I31" s="6"/>
      <c r="J31" s="6"/>
      <c r="K31" s="6"/>
    </row>
    <row r="32" spans="1:12" s="291" customFormat="1">
      <c r="A32" s="60"/>
      <c r="B32" s="135"/>
      <c r="C32" s="7"/>
      <c r="D32" s="7"/>
      <c r="E32" s="7"/>
      <c r="F32" s="7"/>
      <c r="G32" s="7"/>
      <c r="H32" s="7"/>
      <c r="I32" s="6"/>
      <c r="J32" s="6"/>
      <c r="K32" s="6"/>
    </row>
    <row r="33" spans="1:11" ht="25.5">
      <c r="A33" s="210" t="s">
        <v>10</v>
      </c>
      <c r="B33" s="211" t="s">
        <v>0</v>
      </c>
      <c r="C33" s="7"/>
      <c r="D33" s="7"/>
      <c r="E33" s="7"/>
      <c r="F33" s="7"/>
      <c r="G33" s="7"/>
      <c r="H33" s="26" t="s">
        <v>353</v>
      </c>
      <c r="I33" s="30" t="s">
        <v>354</v>
      </c>
      <c r="J33" s="30" t="s">
        <v>355</v>
      </c>
      <c r="K33" s="31" t="s">
        <v>356</v>
      </c>
    </row>
    <row r="34" spans="1:11">
      <c r="A34" s="62" t="s">
        <v>12</v>
      </c>
      <c r="B34" s="136">
        <f>+B21+B25+B29</f>
        <v>580000000</v>
      </c>
      <c r="C34" s="7"/>
      <c r="D34" s="7"/>
      <c r="E34" s="7"/>
      <c r="F34" s="7"/>
      <c r="G34" s="13" t="s">
        <v>12</v>
      </c>
      <c r="H34" s="25">
        <f>+SUM(H20,H24,H28)</f>
        <v>18</v>
      </c>
      <c r="I34" s="25">
        <f>+SUM(I20,I24,I28)</f>
        <v>0</v>
      </c>
      <c r="J34" s="25">
        <f>+SUM(J20,J24,J28)</f>
        <v>0</v>
      </c>
      <c r="K34" s="25">
        <f>+SUM(K20,K24,K28)</f>
        <v>0</v>
      </c>
    </row>
    <row r="35" spans="1:11">
      <c r="A35" s="60"/>
      <c r="B35" s="135"/>
      <c r="C35" s="7"/>
      <c r="D35" s="7"/>
      <c r="E35" s="7"/>
      <c r="F35" s="7"/>
      <c r="G35" s="11"/>
      <c r="H35" s="7"/>
      <c r="I35" s="6"/>
      <c r="J35" s="6"/>
      <c r="K35" s="6"/>
    </row>
    <row r="36" spans="1:11">
      <c r="A36" s="74" t="s">
        <v>15</v>
      </c>
      <c r="F36" s="19"/>
    </row>
    <row r="40" spans="1:11">
      <c r="A40" s="20"/>
      <c r="B40" s="140"/>
      <c r="C40" s="23"/>
      <c r="D40" s="24"/>
    </row>
    <row r="41" spans="1:11">
      <c r="A41" s="1"/>
      <c r="B41" s="141"/>
      <c r="C41" s="22"/>
      <c r="D41" s="21"/>
    </row>
    <row r="42" spans="1:11">
      <c r="A42" s="1"/>
      <c r="B42" s="141"/>
      <c r="C42" s="22"/>
      <c r="D42" s="21"/>
    </row>
    <row r="43" spans="1:11">
      <c r="A43" s="1"/>
      <c r="B43" s="141"/>
      <c r="C43" s="22"/>
      <c r="D43" s="21"/>
    </row>
    <row r="44" spans="1:11">
      <c r="B44" s="141"/>
    </row>
    <row r="45" spans="1:11">
      <c r="B45" s="141"/>
    </row>
    <row r="46" spans="1:11">
      <c r="B46" s="141"/>
    </row>
    <row r="47" spans="1:11">
      <c r="B47" s="141"/>
    </row>
    <row r="48" spans="1:11">
      <c r="B48" s="141"/>
    </row>
    <row r="49" spans="1:6">
      <c r="B49" s="141"/>
    </row>
    <row r="50" spans="1:6">
      <c r="B50" s="141"/>
    </row>
    <row r="51" spans="1:6">
      <c r="A51" s="20"/>
      <c r="B51" s="141"/>
    </row>
    <row r="52" spans="1:6">
      <c r="A52" s="1"/>
      <c r="B52" s="141"/>
      <c r="F52" s="8"/>
    </row>
    <row r="53" spans="1:6">
      <c r="A53" s="1"/>
      <c r="B53" s="141"/>
      <c r="F53" s="8"/>
    </row>
    <row r="54" spans="1:6">
      <c r="A54" s="1"/>
      <c r="B54" s="141"/>
      <c r="F54" s="8"/>
    </row>
    <row r="55" spans="1:6">
      <c r="A55" s="1"/>
      <c r="B55" s="141"/>
      <c r="F55" s="8"/>
    </row>
    <row r="56" spans="1:6">
      <c r="B56" s="141"/>
    </row>
    <row r="57" spans="1:6">
      <c r="B57" s="141"/>
    </row>
    <row r="58" spans="1:6">
      <c r="B58"/>
    </row>
    <row r="59" spans="1:6">
      <c r="B59"/>
    </row>
    <row r="60" spans="1:6">
      <c r="B60"/>
    </row>
    <row r="61" spans="1:6">
      <c r="B61"/>
    </row>
    <row r="62" spans="1:6">
      <c r="A62" s="1"/>
      <c r="B62"/>
    </row>
    <row r="63" spans="1:6">
      <c r="A63" s="1"/>
      <c r="B63"/>
    </row>
    <row r="64" spans="1:6">
      <c r="A64" s="1"/>
      <c r="B64"/>
    </row>
    <row r="65" spans="1:2">
      <c r="A65" s="1"/>
      <c r="B65"/>
    </row>
    <row r="66" spans="1:2">
      <c r="A66" s="1"/>
      <c r="B66"/>
    </row>
    <row r="67" spans="1:2">
      <c r="A67" s="1"/>
      <c r="B67"/>
    </row>
    <row r="68" spans="1:2">
      <c r="A68" s="1"/>
      <c r="B68"/>
    </row>
    <row r="69" spans="1:2">
      <c r="A69" s="1"/>
      <c r="B69"/>
    </row>
    <row r="70" spans="1:2">
      <c r="A70" s="1"/>
      <c r="B70" s="141"/>
    </row>
    <row r="71" spans="1:2">
      <c r="A71" s="1"/>
      <c r="B71" s="141"/>
    </row>
    <row r="72" spans="1:2">
      <c r="A72" s="1"/>
      <c r="B72" s="141"/>
    </row>
    <row r="73" spans="1:2">
      <c r="A73" s="1"/>
      <c r="B73" s="141"/>
    </row>
    <row r="74" spans="1:2">
      <c r="A74" s="1"/>
      <c r="B74" s="141"/>
    </row>
    <row r="75" spans="1:2">
      <c r="A75" s="1"/>
      <c r="B75" s="141"/>
    </row>
    <row r="76" spans="1:2">
      <c r="A76" s="1"/>
      <c r="B76" s="141"/>
    </row>
    <row r="77" spans="1:2">
      <c r="A77" s="1"/>
      <c r="B77" s="141"/>
    </row>
    <row r="78" spans="1:2">
      <c r="A78" s="1"/>
      <c r="B78" s="141"/>
    </row>
    <row r="79" spans="1:2">
      <c r="A79" s="1"/>
      <c r="B79" s="141"/>
    </row>
    <row r="80" spans="1:2">
      <c r="A80" s="1"/>
      <c r="B80" s="141"/>
    </row>
  </sheetData>
  <mergeCells count="19">
    <mergeCell ref="C1:G1"/>
    <mergeCell ref="C2:G2"/>
    <mergeCell ref="J1:K1"/>
    <mergeCell ref="J2:K2"/>
    <mergeCell ref="H1:I1"/>
    <mergeCell ref="H2:I2"/>
    <mergeCell ref="B16:C16"/>
    <mergeCell ref="A1:A2"/>
    <mergeCell ref="A3:G3"/>
    <mergeCell ref="H3:K15"/>
    <mergeCell ref="A4:G4"/>
    <mergeCell ref="A5:G5"/>
    <mergeCell ref="A6:G6"/>
    <mergeCell ref="A7:G7"/>
    <mergeCell ref="A8:G8"/>
    <mergeCell ref="A9:G9"/>
    <mergeCell ref="B10:D10"/>
    <mergeCell ref="B11:G11"/>
    <mergeCell ref="B12:G12"/>
  </mergeCells>
  <printOptions horizontalCentered="1" verticalCentered="1"/>
  <pageMargins left="1.0236220472440944" right="0.39370078740157483" top="0" bottom="0" header="0" footer="0"/>
  <pageSetup scale="55" orientation="landscape" r:id="rId1"/>
  <headerFooter alignWithMargins="0"/>
  <rowBreaks count="1" manualBreakCount="1">
    <brk id="2"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W39"/>
  <sheetViews>
    <sheetView zoomScale="80" zoomScaleNormal="80" workbookViewId="0">
      <pane xSplit="1" ySplit="3" topLeftCell="B4" activePane="bottomRight" state="frozen"/>
      <selection pane="topRight" activeCell="B1" sqref="B1"/>
      <selection pane="bottomLeft" activeCell="A4" sqref="A4"/>
      <selection pane="bottomRight" activeCell="A3" sqref="A2:XFD3"/>
    </sheetView>
  </sheetViews>
  <sheetFormatPr baseColWidth="10" defaultRowHeight="12.75"/>
  <cols>
    <col min="1" max="1" width="21.28515625" style="359" bestFit="1" customWidth="1"/>
    <col min="2" max="2" width="24.85546875" style="359" customWidth="1"/>
    <col min="3" max="3" width="7.140625" style="359" customWidth="1"/>
    <col min="4" max="4" width="22.28515625" style="359" customWidth="1"/>
    <col min="5" max="5" width="42" style="359" customWidth="1"/>
    <col min="6" max="6" width="38.5703125" style="359" customWidth="1"/>
    <col min="7" max="7" width="24.7109375" style="359" customWidth="1"/>
    <col min="8" max="8" width="17.5703125" style="359" bestFit="1" customWidth="1"/>
    <col min="9" max="9" width="15.85546875" style="359" hidden="1" customWidth="1"/>
    <col min="10" max="10" width="16.28515625" style="359" hidden="1" customWidth="1"/>
    <col min="11" max="12" width="16.28515625" style="359" customWidth="1"/>
    <col min="13" max="13" width="12.85546875" style="359" customWidth="1"/>
    <col min="14" max="14" width="13.7109375" style="360" customWidth="1"/>
    <col min="15" max="15" width="17.140625" style="359" customWidth="1"/>
    <col min="16" max="16" width="6.7109375" style="359" bestFit="1" customWidth="1"/>
    <col min="17" max="17" width="14.5703125" style="359" bestFit="1" customWidth="1"/>
    <col min="18" max="18" width="6.7109375" style="359" bestFit="1" customWidth="1"/>
    <col min="19" max="19" width="16" style="359" bestFit="1" customWidth="1"/>
    <col min="20" max="20" width="6.7109375" style="440" bestFit="1" customWidth="1"/>
    <col min="21" max="21" width="3.5703125" style="359" customWidth="1"/>
    <col min="22" max="22" width="23" style="359" customWidth="1"/>
    <col min="23" max="23" width="6.7109375" style="440" bestFit="1" customWidth="1"/>
    <col min="24" max="16384" width="11.42578125" style="359"/>
  </cols>
  <sheetData>
    <row r="1" spans="1:23" ht="25.5">
      <c r="A1" s="371" t="s">
        <v>327</v>
      </c>
      <c r="B1" s="371" t="s">
        <v>287</v>
      </c>
      <c r="C1" s="371"/>
      <c r="D1" s="371" t="s">
        <v>188</v>
      </c>
      <c r="E1" s="371" t="s">
        <v>288</v>
      </c>
      <c r="F1" s="371" t="s">
        <v>167</v>
      </c>
      <c r="G1" s="371"/>
      <c r="H1" s="371" t="s">
        <v>487</v>
      </c>
      <c r="I1" s="371" t="s">
        <v>488</v>
      </c>
      <c r="J1" s="371" t="s">
        <v>569</v>
      </c>
      <c r="K1" s="371" t="s">
        <v>592</v>
      </c>
      <c r="L1" s="371" t="s">
        <v>570</v>
      </c>
      <c r="M1" s="662"/>
      <c r="O1" s="371" t="s">
        <v>544</v>
      </c>
      <c r="P1" s="371" t="s">
        <v>546</v>
      </c>
      <c r="Q1" s="371" t="s">
        <v>545</v>
      </c>
      <c r="R1" s="371" t="s">
        <v>546</v>
      </c>
      <c r="S1" s="371" t="s">
        <v>542</v>
      </c>
      <c r="T1" s="406" t="s">
        <v>546</v>
      </c>
      <c r="V1" s="432" t="s">
        <v>554</v>
      </c>
      <c r="W1" s="406" t="s">
        <v>546</v>
      </c>
    </row>
    <row r="2" spans="1:23" hidden="1">
      <c r="A2" s="371"/>
      <c r="B2" s="371"/>
      <c r="C2" s="371"/>
      <c r="D2" s="371"/>
      <c r="E2" s="371"/>
      <c r="F2" s="371"/>
      <c r="G2" s="371"/>
      <c r="H2" s="371"/>
      <c r="I2" s="371"/>
      <c r="J2" s="371"/>
      <c r="K2" s="371"/>
      <c r="L2" s="371"/>
      <c r="M2" s="662"/>
      <c r="O2" s="371"/>
      <c r="P2" s="406">
        <v>0</v>
      </c>
      <c r="Q2" s="371"/>
      <c r="R2" s="406">
        <v>0</v>
      </c>
      <c r="S2" s="371"/>
      <c r="T2" s="406">
        <v>0</v>
      </c>
      <c r="V2" s="399"/>
      <c r="W2" s="406">
        <v>0</v>
      </c>
    </row>
    <row r="3" spans="1:23" hidden="1">
      <c r="A3" s="371"/>
      <c r="B3" s="371"/>
      <c r="C3" s="371"/>
      <c r="D3" s="371"/>
      <c r="E3" s="371"/>
      <c r="F3" s="371"/>
      <c r="G3" s="371"/>
      <c r="H3" s="371"/>
      <c r="I3" s="371"/>
      <c r="J3" s="371"/>
      <c r="K3" s="371"/>
      <c r="L3" s="371"/>
      <c r="M3" s="662"/>
      <c r="O3" s="371"/>
      <c r="P3" s="406">
        <v>1</v>
      </c>
      <c r="Q3" s="371"/>
      <c r="R3" s="406">
        <v>1</v>
      </c>
      <c r="S3" s="371"/>
      <c r="T3" s="406">
        <v>1</v>
      </c>
      <c r="V3" s="399"/>
      <c r="W3" s="406">
        <v>1</v>
      </c>
    </row>
    <row r="4" spans="1:23" ht="25.5">
      <c r="A4" s="366" t="s">
        <v>185</v>
      </c>
      <c r="B4" s="366" t="s">
        <v>332</v>
      </c>
      <c r="C4" s="366" t="str">
        <f>+VLOOKUP(B4,Listas!$A$279:$B$285,2,FALSE)</f>
        <v>01-12</v>
      </c>
      <c r="D4" s="366" t="s">
        <v>194</v>
      </c>
      <c r="E4" s="366" t="s">
        <v>195</v>
      </c>
      <c r="F4" s="366" t="s">
        <v>196</v>
      </c>
      <c r="G4" s="361" t="str">
        <f>CONCATENATE(RIGHT(A4,8),"-",C4,"-",LEFT(D4,2),"-",LEFT(E4,2),"-",LEFT(F4,4))</f>
        <v>1024-124-01-12-04-01-0187</v>
      </c>
      <c r="H4" s="362">
        <f>+SUMIF(Seguimiento_PAA!$B$32:$B$967,Validación_Conceptos!G4,Seguimiento_PAA!$AB$32:$AB$967)</f>
        <v>0</v>
      </c>
      <c r="I4" s="372">
        <v>580000000</v>
      </c>
      <c r="J4" s="372">
        <f t="shared" ref="J4:J26" si="0">+I4-H4</f>
        <v>580000000</v>
      </c>
      <c r="K4" s="372">
        <v>580000000</v>
      </c>
      <c r="L4" s="372">
        <f>+K4-H4</f>
        <v>580000000</v>
      </c>
      <c r="M4" s="663"/>
      <c r="O4" s="362">
        <f>+SUMIF(Seguimiento_PAA!$B$32:$B$967,G4,Seguimiento_PAA!$BF$32:$BF$967)</f>
        <v>0</v>
      </c>
      <c r="P4" s="436">
        <f t="shared" ref="P4:P27" si="1">IFERROR(O4/H4,0)</f>
        <v>0</v>
      </c>
      <c r="Q4" s="362">
        <f>+SUMIF(Seguimiento_PAA!$B$32:$B$967,G4,Seguimiento_PAA!$BJ$32:$BJ$967)</f>
        <v>0</v>
      </c>
      <c r="R4" s="434">
        <f t="shared" ref="R4:R27" si="2">IFERROR(Q4/H4,0)</f>
        <v>0</v>
      </c>
      <c r="S4" s="433">
        <f>+SUMIF(Seguimiento_PAA!$B$32:$B$967,G4,Seguimiento_PAA!$CB$32:$CB$967)</f>
        <v>0</v>
      </c>
      <c r="T4" s="434">
        <f>IFERROR(S4/Q4,0)</f>
        <v>0</v>
      </c>
      <c r="V4" s="433">
        <f t="shared" ref="V4:V27" si="3">+H4-Q4</f>
        <v>0</v>
      </c>
      <c r="W4" s="434">
        <f t="shared" ref="W4:W27" si="4">IFERROR(V4/H4,0)</f>
        <v>0</v>
      </c>
    </row>
    <row r="5" spans="1:23" ht="40.5" customHeight="1">
      <c r="A5" s="366" t="s">
        <v>199</v>
      </c>
      <c r="B5" s="366" t="s">
        <v>332</v>
      </c>
      <c r="C5" s="366" t="str">
        <f>+VLOOKUP(B5,Listas!$A$279:$B$285,2,FALSE)</f>
        <v>01-12</v>
      </c>
      <c r="D5" s="366" t="s">
        <v>194</v>
      </c>
      <c r="E5" s="366" t="s">
        <v>195</v>
      </c>
      <c r="F5" s="366" t="s">
        <v>201</v>
      </c>
      <c r="G5" s="361" t="str">
        <f t="shared" ref="G5:G26" si="5">CONCATENATE(RIGHT(A5,8),"-",C5,"-",LEFT(D5,2),"-",LEFT(E5,2),"-",LEFT(F5,4))</f>
        <v>1112-140-01-12-04-01-0185</v>
      </c>
      <c r="H5" s="362">
        <f>+SUMIF(Seguimiento_PAA!$B$32:$B$967,Validación_Conceptos!G5,Seguimiento_PAA!$AB$32:$AB$967)</f>
        <v>0</v>
      </c>
      <c r="I5" s="372">
        <v>2196538000</v>
      </c>
      <c r="J5" s="372">
        <f t="shared" si="0"/>
        <v>2196538000</v>
      </c>
      <c r="K5" s="372">
        <v>2492338000</v>
      </c>
      <c r="L5" s="372">
        <f>+K5-H5</f>
        <v>2492338000</v>
      </c>
      <c r="M5" s="663"/>
      <c r="O5" s="362">
        <f>+SUMIF(Seguimiento_PAA!$B$32:$B$967,G5,Seguimiento_PAA!$BF$32:$BF$967)</f>
        <v>0</v>
      </c>
      <c r="P5" s="436">
        <f t="shared" si="1"/>
        <v>0</v>
      </c>
      <c r="Q5" s="362">
        <f>+SUMIF(Seguimiento_PAA!$B$32:$B$967,G5,Seguimiento_PAA!$BJ$32:$BJ$967)</f>
        <v>0</v>
      </c>
      <c r="R5" s="434">
        <f t="shared" si="2"/>
        <v>0</v>
      </c>
      <c r="S5" s="362">
        <f>+SUMIF(Seguimiento_PAA!$B$32:$B$967,G5,Seguimiento_PAA!$CB$32:$CB$967)</f>
        <v>0</v>
      </c>
      <c r="T5" s="436">
        <f t="shared" ref="T5:T27" si="6">IFERROR(S5/Q5,0)</f>
        <v>0</v>
      </c>
      <c r="V5" s="362">
        <f t="shared" si="3"/>
        <v>0</v>
      </c>
      <c r="W5" s="436">
        <f t="shared" si="4"/>
        <v>0</v>
      </c>
    </row>
    <row r="6" spans="1:23" ht="42.75" customHeight="1">
      <c r="A6" s="367" t="s">
        <v>214</v>
      </c>
      <c r="B6" s="367" t="s">
        <v>332</v>
      </c>
      <c r="C6" s="367" t="str">
        <f>+VLOOKUP(B6,Listas!$A$279:$B$285,2,FALSE)</f>
        <v>01-12</v>
      </c>
      <c r="D6" s="367" t="s">
        <v>215</v>
      </c>
      <c r="E6" s="367" t="s">
        <v>216</v>
      </c>
      <c r="F6" s="367" t="s">
        <v>422</v>
      </c>
      <c r="G6" s="363" t="str">
        <f t="shared" si="5"/>
        <v>1114-140-01-12-01-01-0525</v>
      </c>
      <c r="H6" s="373">
        <f>+SUMIF(Seguimiento_PAA!$B$32:$B$967,Validación_Conceptos!G6,Seguimiento_PAA!$AB$32:$AB$967)</f>
        <v>0</v>
      </c>
      <c r="I6" s="373">
        <v>8973567000</v>
      </c>
      <c r="J6" s="373">
        <f t="shared" si="0"/>
        <v>8973567000</v>
      </c>
      <c r="K6" s="373">
        <v>8500126472</v>
      </c>
      <c r="L6" s="373">
        <f>+K6-H6</f>
        <v>8500126472</v>
      </c>
      <c r="M6" s="664">
        <f>+L6-N6</f>
        <v>8155521505</v>
      </c>
      <c r="N6" s="661">
        <v>344604967</v>
      </c>
      <c r="O6" s="373">
        <f>+SUMIF(Seguimiento_PAA!$B$32:$B$967,G6,Seguimiento_PAA!$BF$32:$BF$967)</f>
        <v>0</v>
      </c>
      <c r="P6" s="437">
        <f t="shared" si="1"/>
        <v>0</v>
      </c>
      <c r="Q6" s="373">
        <f>+SUMIF(Seguimiento_PAA!$B$32:$B$967,G6,Seguimiento_PAA!$BJ$32:$BJ$967)</f>
        <v>0</v>
      </c>
      <c r="R6" s="434">
        <f t="shared" si="2"/>
        <v>0</v>
      </c>
      <c r="S6" s="362">
        <f>+SUMIF(Seguimiento_PAA!$B$32:$B$967,G6,Seguimiento_PAA!$CB$32:$CB$967)</f>
        <v>0</v>
      </c>
      <c r="T6" s="436">
        <f t="shared" si="6"/>
        <v>0</v>
      </c>
      <c r="V6" s="362">
        <f t="shared" si="3"/>
        <v>0</v>
      </c>
      <c r="W6" s="436">
        <f t="shared" si="4"/>
        <v>0</v>
      </c>
    </row>
    <row r="7" spans="1:23" ht="63" customHeight="1">
      <c r="A7" s="367" t="s">
        <v>214</v>
      </c>
      <c r="B7" s="367" t="s">
        <v>332</v>
      </c>
      <c r="C7" s="367" t="str">
        <f>+VLOOKUP(B7,Listas!$A$279:$B$285,2,FALSE)</f>
        <v>01-12</v>
      </c>
      <c r="D7" s="367" t="s">
        <v>215</v>
      </c>
      <c r="E7" s="367" t="s">
        <v>224</v>
      </c>
      <c r="F7" s="367" t="s">
        <v>225</v>
      </c>
      <c r="G7" s="363" t="str">
        <f t="shared" si="5"/>
        <v>1114-140-01-12-01-03-0103</v>
      </c>
      <c r="H7" s="373">
        <f>+SUMIF(Seguimiento_PAA!$B$32:$B$967,Validación_Conceptos!G7,Seguimiento_PAA!$AB$32:$AB$967)</f>
        <v>0</v>
      </c>
      <c r="I7" s="373">
        <v>905000000</v>
      </c>
      <c r="J7" s="373">
        <f t="shared" si="0"/>
        <v>905000000</v>
      </c>
      <c r="K7" s="373">
        <v>894650757</v>
      </c>
      <c r="L7" s="373">
        <f>+K7-H7</f>
        <v>894650757</v>
      </c>
      <c r="M7" s="664">
        <f>+L7+N7</f>
        <v>899984090</v>
      </c>
      <c r="N7" s="671">
        <v>5333333</v>
      </c>
      <c r="O7" s="373">
        <f>+SUMIF(Seguimiento_PAA!$B$32:$B$967,G7,Seguimiento_PAA!$BF$32:$BF$967)</f>
        <v>0</v>
      </c>
      <c r="P7" s="437">
        <f t="shared" si="1"/>
        <v>0</v>
      </c>
      <c r="Q7" s="373">
        <f>+SUMIF(Seguimiento_PAA!$B$32:$B$967,G7,Seguimiento_PAA!$BJ$32:$BJ$967)</f>
        <v>0</v>
      </c>
      <c r="R7" s="434">
        <f t="shared" si="2"/>
        <v>0</v>
      </c>
      <c r="S7" s="373">
        <f>+SUMIF(Seguimiento_PAA!$B$32:$B$967,G7,Seguimiento_PAA!$CB$32:$CB$967)</f>
        <v>0</v>
      </c>
      <c r="T7" s="437">
        <f t="shared" si="6"/>
        <v>0</v>
      </c>
      <c r="V7" s="373">
        <f t="shared" si="3"/>
        <v>0</v>
      </c>
      <c r="W7" s="437">
        <f t="shared" si="4"/>
        <v>0</v>
      </c>
    </row>
    <row r="8" spans="1:23" ht="42.75" customHeight="1">
      <c r="A8" s="367" t="s">
        <v>214</v>
      </c>
      <c r="B8" s="367" t="s">
        <v>332</v>
      </c>
      <c r="C8" s="367" t="str">
        <f>+VLOOKUP(B8,Listas!$A$279:$B$285,2,FALSE)</f>
        <v>01-12</v>
      </c>
      <c r="D8" s="367" t="s">
        <v>226</v>
      </c>
      <c r="E8" s="367" t="s">
        <v>227</v>
      </c>
      <c r="F8" s="367" t="s">
        <v>228</v>
      </c>
      <c r="G8" s="363" t="str">
        <f t="shared" si="5"/>
        <v>1114-140-01-12-03-04-0316</v>
      </c>
      <c r="H8" s="373">
        <f>+SUMIF(Seguimiento_PAA!$B$32:$B$967,Validación_Conceptos!G8,Seguimiento_PAA!$AB$32:$AB$967)</f>
        <v>0</v>
      </c>
      <c r="I8" s="373">
        <v>1891000000</v>
      </c>
      <c r="J8" s="373">
        <f t="shared" si="0"/>
        <v>1891000000</v>
      </c>
      <c r="K8" s="373">
        <v>1995299481</v>
      </c>
      <c r="L8" s="373">
        <f t="shared" ref="L8:L20" si="7">+K8-H8</f>
        <v>1995299481</v>
      </c>
      <c r="M8" s="664">
        <f>+L8+N8</f>
        <v>2334571115</v>
      </c>
      <c r="N8" s="661">
        <f>335195357+4076277</f>
        <v>339271634</v>
      </c>
      <c r="O8" s="373">
        <f>+SUMIF(Seguimiento_PAA!$B$32:$B$967,G8,Seguimiento_PAA!$BF$32:$BF$967)</f>
        <v>0</v>
      </c>
      <c r="P8" s="437">
        <f t="shared" si="1"/>
        <v>0</v>
      </c>
      <c r="Q8" s="373">
        <f>+SUMIF(Seguimiento_PAA!$B$32:$B$967,G8,Seguimiento_PAA!$BJ$32:$BJ$967)</f>
        <v>0</v>
      </c>
      <c r="R8" s="434">
        <f t="shared" si="2"/>
        <v>0</v>
      </c>
      <c r="S8" s="373">
        <f>+SUMIF(Seguimiento_PAA!$B$32:$B$967,G8,Seguimiento_PAA!$CB$32:$CB$967)</f>
        <v>0</v>
      </c>
      <c r="T8" s="437">
        <f t="shared" si="6"/>
        <v>0</v>
      </c>
      <c r="V8" s="373">
        <f t="shared" si="3"/>
        <v>0</v>
      </c>
      <c r="W8" s="437">
        <f t="shared" si="4"/>
        <v>0</v>
      </c>
    </row>
    <row r="9" spans="1:23" ht="38.25">
      <c r="A9" s="367" t="s">
        <v>214</v>
      </c>
      <c r="B9" s="367" t="s">
        <v>333</v>
      </c>
      <c r="C9" s="367" t="str">
        <f>+VLOOKUP(B9,Listas!$A$279:$B$285,2,FALSE)</f>
        <v>01-265</v>
      </c>
      <c r="D9" s="367" t="s">
        <v>215</v>
      </c>
      <c r="E9" s="367" t="s">
        <v>216</v>
      </c>
      <c r="F9" s="367" t="s">
        <v>422</v>
      </c>
      <c r="G9" s="363" t="str">
        <f t="shared" si="5"/>
        <v>1114-140-01-265-01-01-0525</v>
      </c>
      <c r="H9" s="373">
        <f>+SUMIF(Seguimiento_PAA!$B$32:$B$967,Validación_Conceptos!G9,Seguimiento_PAA!$AB$32:$AB$967)</f>
        <v>0</v>
      </c>
      <c r="I9" s="373">
        <v>2286000</v>
      </c>
      <c r="J9" s="373">
        <f t="shared" si="0"/>
        <v>2286000</v>
      </c>
      <c r="K9" s="373">
        <v>2286000</v>
      </c>
      <c r="L9" s="373">
        <f t="shared" si="7"/>
        <v>2286000</v>
      </c>
      <c r="M9" s="664"/>
      <c r="O9" s="373">
        <f>+SUMIF(Seguimiento_PAA!$B$32:$B$967,G9,Seguimiento_PAA!$BF$32:$BF$967)</f>
        <v>0</v>
      </c>
      <c r="P9" s="437">
        <f t="shared" si="1"/>
        <v>0</v>
      </c>
      <c r="Q9" s="373">
        <f>+SUMIF(Seguimiento_PAA!$B$32:$B$967,G9,Seguimiento_PAA!$BJ$32:$BJ$967)</f>
        <v>0</v>
      </c>
      <c r="R9" s="434">
        <f t="shared" si="2"/>
        <v>0</v>
      </c>
      <c r="S9" s="373">
        <f>+SUMIF(Seguimiento_PAA!$B$32:$B$967,G9,Seguimiento_PAA!$CB$32:$CB$967)</f>
        <v>0</v>
      </c>
      <c r="T9" s="437">
        <f t="shared" si="6"/>
        <v>0</v>
      </c>
      <c r="V9" s="373">
        <f t="shared" si="3"/>
        <v>0</v>
      </c>
      <c r="W9" s="437">
        <f t="shared" si="4"/>
        <v>0</v>
      </c>
    </row>
    <row r="10" spans="1:23" ht="38.25">
      <c r="A10" s="367" t="s">
        <v>214</v>
      </c>
      <c r="B10" s="367" t="s">
        <v>334</v>
      </c>
      <c r="C10" s="367" t="str">
        <f>+VLOOKUP(B10,Listas!$A$279:$B$285,2,FALSE)</f>
        <v>01-41</v>
      </c>
      <c r="D10" s="367" t="s">
        <v>215</v>
      </c>
      <c r="E10" s="367" t="s">
        <v>216</v>
      </c>
      <c r="F10" s="367" t="s">
        <v>422</v>
      </c>
      <c r="G10" s="363" t="str">
        <f t="shared" ref="G10" si="8">CONCATENATE(RIGHT(A10,8),"-",C10,"-",LEFT(D10,2),"-",LEFT(E10,2),"-",LEFT(F10,4))</f>
        <v>1114-140-01-41-01-01-0525</v>
      </c>
      <c r="H10" s="373">
        <f>+SUMIF(Seguimiento_PAA!$B$32:$B$967,Validación_Conceptos!G10,Seguimiento_PAA!$AB$32:$AB$967)</f>
        <v>0</v>
      </c>
      <c r="I10" s="373">
        <v>810173000</v>
      </c>
      <c r="J10" s="373">
        <f t="shared" ref="J10" si="9">+I10-H10</f>
        <v>810173000</v>
      </c>
      <c r="K10" s="373">
        <v>810173000</v>
      </c>
      <c r="L10" s="373">
        <f t="shared" ref="L10" si="10">+K10-H10</f>
        <v>810173000</v>
      </c>
      <c r="M10" s="664"/>
      <c r="O10" s="373">
        <f>+SUMIF(Seguimiento_PAA!$B$32:$B$967,G10,Seguimiento_PAA!$BF$32:$BF$967)</f>
        <v>0</v>
      </c>
      <c r="P10" s="437">
        <f t="shared" ref="P10" si="11">IFERROR(O10/H10,0)</f>
        <v>0</v>
      </c>
      <c r="Q10" s="373">
        <f>+SUMIF(Seguimiento_PAA!$B$32:$B$967,G10,Seguimiento_PAA!$BJ$32:$BJ$967)</f>
        <v>0</v>
      </c>
      <c r="R10" s="434">
        <f t="shared" ref="R10" si="12">IFERROR(Q10/H10,0)</f>
        <v>0</v>
      </c>
      <c r="S10" s="373">
        <f>+SUMIF(Seguimiento_PAA!$B$32:$B$967,G10,Seguimiento_PAA!$CB$32:$CB$967)</f>
        <v>0</v>
      </c>
      <c r="T10" s="437">
        <f t="shared" ref="T10" si="13">IFERROR(S10/Q10,0)</f>
        <v>0</v>
      </c>
      <c r="V10" s="373">
        <f t="shared" ref="V10" si="14">+H10-Q10</f>
        <v>0</v>
      </c>
      <c r="W10" s="437">
        <f t="shared" ref="W10" si="15">IFERROR(V10/H10,0)</f>
        <v>0</v>
      </c>
    </row>
    <row r="11" spans="1:23" ht="38.25">
      <c r="A11" s="367" t="s">
        <v>214</v>
      </c>
      <c r="B11" s="367" t="s">
        <v>571</v>
      </c>
      <c r="C11" s="367" t="str">
        <f>+VLOOKUP(B11,Listas!$A$279:$B$286,2,FALSE)</f>
        <v>01-146</v>
      </c>
      <c r="D11" s="367" t="s">
        <v>215</v>
      </c>
      <c r="E11" s="367" t="s">
        <v>216</v>
      </c>
      <c r="F11" s="367" t="s">
        <v>422</v>
      </c>
      <c r="G11" s="363" t="str">
        <f t="shared" si="5"/>
        <v>1114-140-01-146-01-01-0525</v>
      </c>
      <c r="H11" s="373">
        <f>+SUMIF(Seguimiento_PAA!$B$32:$B$967,Validación_Conceptos!G11,Seguimiento_PAA!$AB$32:$AB$967)</f>
        <v>0</v>
      </c>
      <c r="I11" s="373"/>
      <c r="J11" s="373">
        <f t="shared" si="0"/>
        <v>0</v>
      </c>
      <c r="K11" s="373">
        <v>1700000000</v>
      </c>
      <c r="L11" s="373">
        <f t="shared" si="7"/>
        <v>1700000000</v>
      </c>
      <c r="M11" s="664"/>
      <c r="O11" s="373">
        <f>+SUMIF(Seguimiento_PAA!$B$32:$B$967,G11,Seguimiento_PAA!$BF$32:$BF$967)</f>
        <v>0</v>
      </c>
      <c r="P11" s="437">
        <f t="shared" si="1"/>
        <v>0</v>
      </c>
      <c r="Q11" s="373">
        <f>+SUMIF(Seguimiento_PAA!$B$32:$B$967,G11,Seguimiento_PAA!$BJ$32:$BJ$967)</f>
        <v>0</v>
      </c>
      <c r="R11" s="434">
        <f t="shared" si="2"/>
        <v>0</v>
      </c>
      <c r="S11" s="373">
        <f>+SUMIF(Seguimiento_PAA!$B$32:$B$967,G11,Seguimiento_PAA!$CB$32:$CB$967)</f>
        <v>0</v>
      </c>
      <c r="T11" s="437">
        <f t="shared" si="6"/>
        <v>0</v>
      </c>
      <c r="V11" s="373">
        <f t="shared" si="3"/>
        <v>0</v>
      </c>
      <c r="W11" s="437">
        <f t="shared" si="4"/>
        <v>0</v>
      </c>
    </row>
    <row r="12" spans="1:23" ht="38.25">
      <c r="A12" s="367" t="s">
        <v>214</v>
      </c>
      <c r="B12" s="367" t="s">
        <v>335</v>
      </c>
      <c r="C12" s="367" t="str">
        <f>+VLOOKUP(B12,Listas!$A$279:$B$285,2,FALSE)</f>
        <v>01-555</v>
      </c>
      <c r="D12" s="367" t="s">
        <v>215</v>
      </c>
      <c r="E12" s="367" t="s">
        <v>216</v>
      </c>
      <c r="F12" s="367" t="s">
        <v>422</v>
      </c>
      <c r="G12" s="363" t="str">
        <f t="shared" si="5"/>
        <v>1114-140-01-555-01-01-0525</v>
      </c>
      <c r="H12" s="373">
        <f>+SUMIF(Seguimiento_PAA!$B$32:$B$967,Validación_Conceptos!G12,Seguimiento_PAA!$AB$32:$AB$967)</f>
        <v>0</v>
      </c>
      <c r="I12" s="373">
        <v>1975582000</v>
      </c>
      <c r="J12" s="373">
        <f t="shared" si="0"/>
        <v>1975582000</v>
      </c>
      <c r="K12" s="373">
        <v>1975582000</v>
      </c>
      <c r="L12" s="373">
        <f t="shared" si="7"/>
        <v>1975582000</v>
      </c>
      <c r="M12" s="664"/>
      <c r="O12" s="373">
        <f>+SUMIF(Seguimiento_PAA!$B$32:$B$967,G12,Seguimiento_PAA!$BF$32:$BF$967)</f>
        <v>0</v>
      </c>
      <c r="P12" s="437">
        <f t="shared" si="1"/>
        <v>0</v>
      </c>
      <c r="Q12" s="373">
        <f>+SUMIF(Seguimiento_PAA!$B$32:$B$967,G12,Seguimiento_PAA!$BJ$32:$BJ$967)</f>
        <v>0</v>
      </c>
      <c r="R12" s="434">
        <f t="shared" si="2"/>
        <v>0</v>
      </c>
      <c r="S12" s="373">
        <f>+SUMIF(Seguimiento_PAA!$B$32:$B$967,G12,Seguimiento_PAA!$CB$32:$CB$967)</f>
        <v>0</v>
      </c>
      <c r="T12" s="437">
        <f t="shared" si="6"/>
        <v>0</v>
      </c>
      <c r="V12" s="373">
        <f t="shared" si="3"/>
        <v>0</v>
      </c>
      <c r="W12" s="437">
        <f t="shared" si="4"/>
        <v>0</v>
      </c>
    </row>
    <row r="13" spans="1:23" ht="38.25">
      <c r="A13" s="367" t="s">
        <v>214</v>
      </c>
      <c r="B13" s="367" t="s">
        <v>336</v>
      </c>
      <c r="C13" s="367" t="str">
        <f>+VLOOKUP(B13,Listas!$A$279:$B$285,2,FALSE)</f>
        <v>03-20</v>
      </c>
      <c r="D13" s="367" t="s">
        <v>215</v>
      </c>
      <c r="E13" s="367" t="s">
        <v>216</v>
      </c>
      <c r="F13" s="367" t="s">
        <v>422</v>
      </c>
      <c r="G13" s="363" t="str">
        <f t="shared" si="5"/>
        <v>1114-140-03-20-01-01-0525</v>
      </c>
      <c r="H13" s="373">
        <f>+SUMIF(Seguimiento_PAA!$B$32:$B$967,Validación_Conceptos!G13,Seguimiento_PAA!$AB$32:$AB$967)</f>
        <v>0</v>
      </c>
      <c r="I13" s="373">
        <v>3750000000</v>
      </c>
      <c r="J13" s="373">
        <f t="shared" si="0"/>
        <v>3750000000</v>
      </c>
      <c r="K13" s="373">
        <v>3750000000</v>
      </c>
      <c r="L13" s="373">
        <f t="shared" si="7"/>
        <v>3750000000</v>
      </c>
      <c r="M13" s="664"/>
      <c r="O13" s="373">
        <f>+SUMIF(Seguimiento_PAA!$B$32:$B$967,G13,Seguimiento_PAA!$BF$32:$BF$967)</f>
        <v>0</v>
      </c>
      <c r="P13" s="437">
        <f t="shared" si="1"/>
        <v>0</v>
      </c>
      <c r="Q13" s="373">
        <f>+SUMIF(Seguimiento_PAA!$B$32:$B$967,G13,Seguimiento_PAA!$BJ$32:$BJ$967)</f>
        <v>0</v>
      </c>
      <c r="R13" s="434">
        <f t="shared" si="2"/>
        <v>0</v>
      </c>
      <c r="S13" s="373">
        <f>+SUMIF(Seguimiento_PAA!$B$32:$B$967,G13,Seguimiento_PAA!$CB$32:$CB$967)</f>
        <v>0</v>
      </c>
      <c r="T13" s="437">
        <f t="shared" si="6"/>
        <v>0</v>
      </c>
      <c r="V13" s="373">
        <f t="shared" si="3"/>
        <v>0</v>
      </c>
      <c r="W13" s="437">
        <f t="shared" si="4"/>
        <v>0</v>
      </c>
    </row>
    <row r="14" spans="1:23" ht="38.25">
      <c r="A14" s="367" t="s">
        <v>214</v>
      </c>
      <c r="B14" s="367" t="s">
        <v>337</v>
      </c>
      <c r="C14" s="367" t="str">
        <f>+VLOOKUP(B14,Listas!$A$279:$B$285,2,FALSE)</f>
        <v>03-21</v>
      </c>
      <c r="D14" s="367" t="s">
        <v>215</v>
      </c>
      <c r="E14" s="367" t="s">
        <v>216</v>
      </c>
      <c r="F14" s="367" t="s">
        <v>422</v>
      </c>
      <c r="G14" s="363" t="str">
        <f t="shared" si="5"/>
        <v>1114-140-03-21-01-01-0525</v>
      </c>
      <c r="H14" s="373">
        <f>+SUMIF(Seguimiento_PAA!$B$32:$B$967,Validación_Conceptos!G14,Seguimiento_PAA!$AB$32:$AB$967)</f>
        <v>0</v>
      </c>
      <c r="I14" s="373">
        <v>749942000</v>
      </c>
      <c r="J14" s="373">
        <f t="shared" si="0"/>
        <v>749942000</v>
      </c>
      <c r="K14" s="373">
        <v>749942000</v>
      </c>
      <c r="L14" s="373">
        <f t="shared" si="7"/>
        <v>749942000</v>
      </c>
      <c r="M14" s="664"/>
      <c r="O14" s="373">
        <f>+SUMIF(Seguimiento_PAA!$B$32:$B$967,G14,Seguimiento_PAA!$BF$32:$BF$967)</f>
        <v>0</v>
      </c>
      <c r="P14" s="437">
        <f t="shared" si="1"/>
        <v>0</v>
      </c>
      <c r="Q14" s="373">
        <f>+SUMIF(Seguimiento_PAA!$B$32:$B$967,G14,Seguimiento_PAA!$BJ$32:$BJ$967)</f>
        <v>0</v>
      </c>
      <c r="R14" s="434">
        <f t="shared" si="2"/>
        <v>0</v>
      </c>
      <c r="S14" s="373">
        <f>+SUMIF(Seguimiento_PAA!$B$32:$B$967,G14,Seguimiento_PAA!$CB$32:$CB$967)</f>
        <v>0</v>
      </c>
      <c r="T14" s="437">
        <f t="shared" si="6"/>
        <v>0</v>
      </c>
      <c r="V14" s="373">
        <f t="shared" si="3"/>
        <v>0</v>
      </c>
      <c r="W14" s="437">
        <f t="shared" si="4"/>
        <v>0</v>
      </c>
    </row>
    <row r="15" spans="1:23" ht="51">
      <c r="A15" s="367" t="s">
        <v>214</v>
      </c>
      <c r="B15" s="367" t="s">
        <v>338</v>
      </c>
      <c r="C15" s="367" t="str">
        <f>+VLOOKUP(B15,Listas!$A$279:$B$285,2,FALSE)</f>
        <v>03-490</v>
      </c>
      <c r="D15" s="367" t="s">
        <v>215</v>
      </c>
      <c r="E15" s="367" t="s">
        <v>216</v>
      </c>
      <c r="F15" s="367" t="s">
        <v>422</v>
      </c>
      <c r="G15" s="363" t="str">
        <f t="shared" si="5"/>
        <v>1114-140-03-490-01-01-0525</v>
      </c>
      <c r="H15" s="373">
        <f>+SUMIF(Seguimiento_PAA!$B$32:$B$967,Validación_Conceptos!G15,Seguimiento_PAA!$AB$32:$AB$967)</f>
        <v>0</v>
      </c>
      <c r="I15" s="373">
        <v>450000</v>
      </c>
      <c r="J15" s="373">
        <f t="shared" si="0"/>
        <v>450000</v>
      </c>
      <c r="K15" s="373">
        <v>450000</v>
      </c>
      <c r="L15" s="373">
        <f t="shared" si="7"/>
        <v>450000</v>
      </c>
      <c r="M15" s="664"/>
      <c r="O15" s="373">
        <f>+SUMIF(Seguimiento_PAA!$B$32:$B$967,G15,Seguimiento_PAA!$BF$32:$BF$967)</f>
        <v>0</v>
      </c>
      <c r="P15" s="437">
        <f t="shared" si="1"/>
        <v>0</v>
      </c>
      <c r="Q15" s="373">
        <f>+SUMIF(Seguimiento_PAA!$B$32:$B$967,G15,Seguimiento_PAA!$BJ$32:$BJ$967)</f>
        <v>0</v>
      </c>
      <c r="R15" s="434">
        <f t="shared" si="2"/>
        <v>0</v>
      </c>
      <c r="S15" s="373">
        <f>+SUMIF(Seguimiento_PAA!$B$32:$B$967,G15,Seguimiento_PAA!$CB$32:$CB$967)</f>
        <v>0</v>
      </c>
      <c r="T15" s="437">
        <f t="shared" si="6"/>
        <v>0</v>
      </c>
      <c r="V15" s="373">
        <f t="shared" si="3"/>
        <v>0</v>
      </c>
      <c r="W15" s="437">
        <f t="shared" si="4"/>
        <v>0</v>
      </c>
    </row>
    <row r="16" spans="1:23" ht="38.25">
      <c r="A16" s="368" t="s">
        <v>229</v>
      </c>
      <c r="B16" s="368" t="s">
        <v>332</v>
      </c>
      <c r="C16" s="368" t="str">
        <f>+VLOOKUP(B16,Listas!$A$279:$B$285,2,FALSE)</f>
        <v>01-12</v>
      </c>
      <c r="D16" s="368" t="s">
        <v>226</v>
      </c>
      <c r="E16" s="368" t="s">
        <v>231</v>
      </c>
      <c r="F16" s="368" t="s">
        <v>232</v>
      </c>
      <c r="G16" s="364" t="str">
        <f t="shared" si="5"/>
        <v>1107-158-01-12-03-01-0066</v>
      </c>
      <c r="H16" s="374">
        <f>+SUMIF(Seguimiento_PAA!$B$32:$B$967,Validación_Conceptos!G16,Seguimiento_PAA!$AB$32:$AB$967)</f>
        <v>0</v>
      </c>
      <c r="I16" s="374">
        <v>2859286000</v>
      </c>
      <c r="J16" s="374">
        <f t="shared" si="0"/>
        <v>2859286000</v>
      </c>
      <c r="K16" s="374">
        <v>2825718336</v>
      </c>
      <c r="L16" s="374">
        <f t="shared" si="7"/>
        <v>2825718336</v>
      </c>
      <c r="M16" s="665">
        <f>+L16+N16</f>
        <v>2847518336</v>
      </c>
      <c r="N16" s="661">
        <v>21800000</v>
      </c>
      <c r="O16" s="374">
        <f>+SUMIF(Seguimiento_PAA!$B$32:$B$967,G16,Seguimiento_PAA!$BF$32:$BF$967)</f>
        <v>0</v>
      </c>
      <c r="P16" s="438">
        <f t="shared" si="1"/>
        <v>0</v>
      </c>
      <c r="Q16" s="374">
        <f>+SUMIF(Seguimiento_PAA!$B$32:$B$967,G16,Seguimiento_PAA!$BJ$32:$BJ$967)</f>
        <v>0</v>
      </c>
      <c r="R16" s="434">
        <f t="shared" si="2"/>
        <v>0</v>
      </c>
      <c r="S16" s="373">
        <f>+SUMIF(Seguimiento_PAA!$B$32:$B$967,G16,Seguimiento_PAA!$CB$32:$CB$967)</f>
        <v>0</v>
      </c>
      <c r="T16" s="437">
        <f t="shared" si="6"/>
        <v>0</v>
      </c>
      <c r="V16" s="373">
        <f t="shared" si="3"/>
        <v>0</v>
      </c>
      <c r="W16" s="437">
        <f t="shared" si="4"/>
        <v>0</v>
      </c>
    </row>
    <row r="17" spans="1:23" ht="42" customHeight="1">
      <c r="A17" s="368" t="s">
        <v>229</v>
      </c>
      <c r="B17" s="368" t="s">
        <v>332</v>
      </c>
      <c r="C17" s="368" t="str">
        <f>+VLOOKUP(B17,Listas!$A$279:$B$285,2,FALSE)</f>
        <v>01-12</v>
      </c>
      <c r="D17" s="368" t="s">
        <v>194</v>
      </c>
      <c r="E17" s="369" t="s">
        <v>195</v>
      </c>
      <c r="F17" s="368" t="s">
        <v>201</v>
      </c>
      <c r="G17" s="364" t="str">
        <f t="shared" si="5"/>
        <v>1107-158-01-12-04-01-0185</v>
      </c>
      <c r="H17" s="374">
        <f>+SUMIF(Seguimiento_PAA!$B$32:$B$967,Validación_Conceptos!G17,Seguimiento_PAA!$AB$32:$AB$967)</f>
        <v>0</v>
      </c>
      <c r="I17" s="374">
        <v>1293354000</v>
      </c>
      <c r="J17" s="374">
        <f t="shared" si="0"/>
        <v>1293354000</v>
      </c>
      <c r="K17" s="374">
        <v>1139455024</v>
      </c>
      <c r="L17" s="374">
        <f t="shared" si="7"/>
        <v>1139455024</v>
      </c>
      <c r="M17" s="665">
        <f>+L17-N17</f>
        <v>1102717486</v>
      </c>
      <c r="N17" s="661">
        <v>36737538</v>
      </c>
      <c r="O17" s="374">
        <f>+SUMIF(Seguimiento_PAA!$B$32:$B$967,G17,Seguimiento_PAA!$BF$32:$BF$967)</f>
        <v>0</v>
      </c>
      <c r="P17" s="438">
        <f t="shared" si="1"/>
        <v>0</v>
      </c>
      <c r="Q17" s="374">
        <f>+SUMIF(Seguimiento_PAA!$B$32:$B$967,G17,Seguimiento_PAA!$BJ$32:$BJ$967)</f>
        <v>0</v>
      </c>
      <c r="R17" s="434">
        <f t="shared" si="2"/>
        <v>0</v>
      </c>
      <c r="S17" s="374">
        <f>+SUMIF(Seguimiento_PAA!$B$32:$B$967,G17,Seguimiento_PAA!$CB$32:$CB$967)</f>
        <v>0</v>
      </c>
      <c r="T17" s="438">
        <f t="shared" si="6"/>
        <v>0</v>
      </c>
      <c r="V17" s="374">
        <f t="shared" si="3"/>
        <v>0</v>
      </c>
      <c r="W17" s="438">
        <f t="shared" si="4"/>
        <v>0</v>
      </c>
    </row>
    <row r="18" spans="1:23" ht="25.5">
      <c r="A18" s="368" t="s">
        <v>229</v>
      </c>
      <c r="B18" s="368" t="s">
        <v>332</v>
      </c>
      <c r="C18" s="368" t="str">
        <f>+VLOOKUP(B18,Listas!$A$279:$B$285,2,FALSE)</f>
        <v>01-12</v>
      </c>
      <c r="D18" s="368" t="s">
        <v>194</v>
      </c>
      <c r="E18" s="369" t="s">
        <v>195</v>
      </c>
      <c r="F18" s="368" t="s">
        <v>196</v>
      </c>
      <c r="G18" s="364" t="str">
        <f>CONCATENATE(RIGHT(A18,8),"-",C18,"-",LEFT(D18,2),"-",LEFT(E18,2),"-",LEFT(F18,4))</f>
        <v>1107-158-01-12-04-01-0187</v>
      </c>
      <c r="H18" s="374">
        <f>+SUMIF(Seguimiento_PAA!$B$32:$B$967,Validación_Conceptos!G18,Seguimiento_PAA!$AB$32:$AB$967)</f>
        <v>0</v>
      </c>
      <c r="I18" s="374">
        <v>827085000</v>
      </c>
      <c r="J18" s="374">
        <f t="shared" si="0"/>
        <v>827085000</v>
      </c>
      <c r="K18" s="374">
        <v>864551640</v>
      </c>
      <c r="L18" s="374">
        <f t="shared" si="7"/>
        <v>864551640</v>
      </c>
      <c r="M18" s="665">
        <f>+L18-N18</f>
        <v>879489178</v>
      </c>
      <c r="N18" s="661">
        <v>-14937538</v>
      </c>
      <c r="O18" s="374">
        <f>+SUMIF(Seguimiento_PAA!$B$32:$B$967,G18,Seguimiento_PAA!$BF$32:$BF$967)</f>
        <v>0</v>
      </c>
      <c r="P18" s="438">
        <f t="shared" si="1"/>
        <v>0</v>
      </c>
      <c r="Q18" s="374">
        <f>+SUMIF(Seguimiento_PAA!$B$32:$B$967,G18,Seguimiento_PAA!$BJ$32:$BJ$967)</f>
        <v>0</v>
      </c>
      <c r="R18" s="434">
        <f t="shared" si="2"/>
        <v>0</v>
      </c>
      <c r="S18" s="374">
        <f>+SUMIF(Seguimiento_PAA!$B$32:$B$967,G18,Seguimiento_PAA!$CB$32:$CB$967)</f>
        <v>0</v>
      </c>
      <c r="T18" s="438">
        <f t="shared" si="6"/>
        <v>0</v>
      </c>
      <c r="V18" s="374">
        <f t="shared" si="3"/>
        <v>0</v>
      </c>
      <c r="W18" s="438">
        <f t="shared" si="4"/>
        <v>0</v>
      </c>
    </row>
    <row r="19" spans="1:23" ht="38.25">
      <c r="A19" s="368" t="s">
        <v>229</v>
      </c>
      <c r="B19" s="368" t="s">
        <v>336</v>
      </c>
      <c r="C19" s="368" t="str">
        <f>+VLOOKUP(B19,Listas!$A$279:$B$285,2,FALSE)</f>
        <v>03-20</v>
      </c>
      <c r="D19" s="368" t="s">
        <v>226</v>
      </c>
      <c r="E19" s="368" t="s">
        <v>231</v>
      </c>
      <c r="F19" s="368" t="s">
        <v>232</v>
      </c>
      <c r="G19" s="364" t="str">
        <f t="shared" ref="G19" si="16">CONCATENATE(RIGHT(A19,8),"-",C19,"-",LEFT(D19,2),"-",LEFT(E19,2),"-",LEFT(F19,4))</f>
        <v>1107-158-03-20-03-01-0066</v>
      </c>
      <c r="H19" s="374">
        <f>+SUMIF(Seguimiento_PAA!$B$32:$B$967,Validación_Conceptos!G19,Seguimiento_PAA!$AB$32:$AB$967)</f>
        <v>0</v>
      </c>
      <c r="I19" s="374">
        <v>400000000</v>
      </c>
      <c r="J19" s="374">
        <f t="shared" si="0"/>
        <v>400000000</v>
      </c>
      <c r="K19" s="374">
        <v>400000000</v>
      </c>
      <c r="L19" s="374">
        <f t="shared" ref="L19" si="17">+K19-H19</f>
        <v>400000000</v>
      </c>
      <c r="M19" s="665"/>
      <c r="O19" s="374">
        <f>+SUMIF(Seguimiento_PAA!$B$32:$B$967,G19,Seguimiento_PAA!$BF$32:$BF$967)</f>
        <v>0</v>
      </c>
      <c r="P19" s="438">
        <f t="shared" si="1"/>
        <v>0</v>
      </c>
      <c r="Q19" s="374">
        <f>+SUMIF(Seguimiento_PAA!$B$32:$B$967,G19,Seguimiento_PAA!$BJ$32:$BJ$967)</f>
        <v>0</v>
      </c>
      <c r="R19" s="434">
        <f t="shared" si="2"/>
        <v>0</v>
      </c>
      <c r="S19" s="374">
        <f>+SUMIF(Seguimiento_PAA!$B$32:$B$967,G19,Seguimiento_PAA!$CB$32:$CB$967)</f>
        <v>0</v>
      </c>
      <c r="T19" s="438">
        <f t="shared" ref="T19" si="18">IFERROR(S19/Q19,0)</f>
        <v>0</v>
      </c>
      <c r="V19" s="374">
        <f t="shared" si="3"/>
        <v>0</v>
      </c>
      <c r="W19" s="438">
        <f t="shared" si="4"/>
        <v>0</v>
      </c>
    </row>
    <row r="20" spans="1:23" ht="51">
      <c r="A20" s="368" t="s">
        <v>229</v>
      </c>
      <c r="B20" s="368" t="s">
        <v>337</v>
      </c>
      <c r="C20" s="368" t="str">
        <f>+VLOOKUP(B20,Listas!$A$279:$B$285,2,FALSE)</f>
        <v>03-21</v>
      </c>
      <c r="D20" s="368" t="s">
        <v>194</v>
      </c>
      <c r="E20" s="369" t="s">
        <v>195</v>
      </c>
      <c r="F20" s="368" t="s">
        <v>201</v>
      </c>
      <c r="G20" s="364" t="str">
        <f t="shared" si="5"/>
        <v>1107-158-03-21-04-01-0185</v>
      </c>
      <c r="H20" s="374">
        <f>+SUMIF(Seguimiento_PAA!$B$32:$B$967,Validación_Conceptos!G20,Seguimiento_PAA!$AB$32:$AB$967)</f>
        <v>0</v>
      </c>
      <c r="I20" s="374">
        <v>0</v>
      </c>
      <c r="J20" s="374">
        <f t="shared" si="0"/>
        <v>0</v>
      </c>
      <c r="K20" s="374">
        <v>40000000</v>
      </c>
      <c r="L20" s="374">
        <f t="shared" si="7"/>
        <v>40000000</v>
      </c>
      <c r="M20" s="665"/>
      <c r="O20" s="374">
        <f>+SUMIF(Seguimiento_PAA!$B$32:$B$967,G20,Seguimiento_PAA!$BF$32:$BF$967)</f>
        <v>0</v>
      </c>
      <c r="P20" s="438">
        <f t="shared" si="1"/>
        <v>0</v>
      </c>
      <c r="Q20" s="374">
        <f>+SUMIF(Seguimiento_PAA!$B$32:$B$967,G20,Seguimiento_PAA!$BJ$32:$BJ$967)</f>
        <v>0</v>
      </c>
      <c r="R20" s="434">
        <f t="shared" si="2"/>
        <v>0</v>
      </c>
      <c r="S20" s="374">
        <f>+SUMIF(Seguimiento_PAA!$B$32:$B$967,G20,Seguimiento_PAA!$CB$32:$CB$967)</f>
        <v>0</v>
      </c>
      <c r="T20" s="438">
        <f t="shared" si="6"/>
        <v>0</v>
      </c>
      <c r="V20" s="374">
        <f t="shared" si="3"/>
        <v>0</v>
      </c>
      <c r="W20" s="438">
        <f t="shared" si="4"/>
        <v>0</v>
      </c>
    </row>
    <row r="21" spans="1:23" ht="25.5">
      <c r="A21" s="370" t="s">
        <v>233</v>
      </c>
      <c r="B21" s="370" t="s">
        <v>332</v>
      </c>
      <c r="C21" s="370" t="str">
        <f>+VLOOKUP(B21,Listas!$A$279:$B$285,2,FALSE)</f>
        <v>01-12</v>
      </c>
      <c r="D21" s="370" t="s">
        <v>215</v>
      </c>
      <c r="E21" s="370" t="s">
        <v>224</v>
      </c>
      <c r="F21" s="370" t="s">
        <v>235</v>
      </c>
      <c r="G21" s="365" t="str">
        <f t="shared" si="5"/>
        <v>1110-185-01-12-01-03-0020</v>
      </c>
      <c r="H21" s="375">
        <f>+SUMIF(Seguimiento_PAA!$B$32:$B$967,Validación_Conceptos!G21,Seguimiento_PAA!$AB$32:$AB$967)</f>
        <v>0</v>
      </c>
      <c r="I21" s="375">
        <v>926169000</v>
      </c>
      <c r="J21" s="375">
        <f t="shared" si="0"/>
        <v>926169000</v>
      </c>
      <c r="K21" s="375">
        <v>1232055090</v>
      </c>
      <c r="L21" s="375">
        <f>+K21-H21</f>
        <v>1232055090</v>
      </c>
      <c r="M21" s="666"/>
      <c r="O21" s="375">
        <f>+SUMIF(Seguimiento_PAA!$B$32:$B$967,G21,Seguimiento_PAA!$BF$32:$BF$967)</f>
        <v>0</v>
      </c>
      <c r="P21" s="439">
        <f t="shared" si="1"/>
        <v>0</v>
      </c>
      <c r="Q21" s="375">
        <f>+SUMIF(Seguimiento_PAA!$B$32:$B$967,G21,Seguimiento_PAA!$BJ$32:$BJ$967)</f>
        <v>0</v>
      </c>
      <c r="R21" s="434">
        <f t="shared" si="2"/>
        <v>0</v>
      </c>
      <c r="S21" s="374">
        <f>+SUMIF(Seguimiento_PAA!$B$32:$B$967,G21,Seguimiento_PAA!$CB$32:$CB$967)</f>
        <v>0</v>
      </c>
      <c r="T21" s="438">
        <f t="shared" si="6"/>
        <v>0</v>
      </c>
      <c r="V21" s="374">
        <f t="shared" si="3"/>
        <v>0</v>
      </c>
      <c r="W21" s="438">
        <f t="shared" si="4"/>
        <v>0</v>
      </c>
    </row>
    <row r="22" spans="1:23" ht="38.25">
      <c r="A22" s="370" t="s">
        <v>233</v>
      </c>
      <c r="B22" s="370" t="s">
        <v>332</v>
      </c>
      <c r="C22" s="370" t="str">
        <f>+VLOOKUP(B22,Listas!$A$279:$B$285,2,FALSE)</f>
        <v>01-12</v>
      </c>
      <c r="D22" s="370" t="s">
        <v>236</v>
      </c>
      <c r="E22" s="370" t="s">
        <v>237</v>
      </c>
      <c r="F22" s="370" t="s">
        <v>238</v>
      </c>
      <c r="G22" s="365" t="str">
        <f t="shared" si="5"/>
        <v>1110-185-01-12-02-01-0242</v>
      </c>
      <c r="H22" s="375">
        <f>+SUMIF(Seguimiento_PAA!$B$32:$B$967,Validación_Conceptos!G22,Seguimiento_PAA!$AB$32:$AB$967)</f>
        <v>0</v>
      </c>
      <c r="I22" s="375">
        <v>80000000</v>
      </c>
      <c r="J22" s="375">
        <f t="shared" si="0"/>
        <v>80000000</v>
      </c>
      <c r="K22" s="375">
        <v>70477760</v>
      </c>
      <c r="L22" s="375">
        <f t="shared" ref="L22:L26" si="19">+K22-H22</f>
        <v>70477760</v>
      </c>
      <c r="M22" s="666"/>
      <c r="O22" s="375">
        <f>+SUMIF(Seguimiento_PAA!$B$32:$B$967,G22,Seguimiento_PAA!$BF$32:$BF$967)</f>
        <v>0</v>
      </c>
      <c r="P22" s="439">
        <f t="shared" si="1"/>
        <v>0</v>
      </c>
      <c r="Q22" s="375">
        <f>+SUMIF(Seguimiento_PAA!$B$32:$B$967,G22,Seguimiento_PAA!$BJ$32:$BJ$967)</f>
        <v>0</v>
      </c>
      <c r="R22" s="434">
        <f t="shared" si="2"/>
        <v>0</v>
      </c>
      <c r="S22" s="375">
        <f>+SUMIF(Seguimiento_PAA!$B$32:$B$967,G22,Seguimiento_PAA!$CB$32:$CB$967)</f>
        <v>0</v>
      </c>
      <c r="T22" s="439">
        <f t="shared" si="6"/>
        <v>0</v>
      </c>
      <c r="V22" s="375">
        <f t="shared" si="3"/>
        <v>0</v>
      </c>
      <c r="W22" s="439">
        <f t="shared" si="4"/>
        <v>0</v>
      </c>
    </row>
    <row r="23" spans="1:23" ht="38.25">
      <c r="A23" s="370" t="s">
        <v>233</v>
      </c>
      <c r="B23" s="370" t="s">
        <v>332</v>
      </c>
      <c r="C23" s="370" t="str">
        <f>+VLOOKUP(B23,Listas!$A$279:$B$285,2,FALSE)</f>
        <v>01-12</v>
      </c>
      <c r="D23" s="370" t="s">
        <v>236</v>
      </c>
      <c r="E23" s="370" t="s">
        <v>240</v>
      </c>
      <c r="F23" s="370" t="s">
        <v>239</v>
      </c>
      <c r="G23" s="365" t="str">
        <f t="shared" si="5"/>
        <v>1110-185-01-12-02-03-0114</v>
      </c>
      <c r="H23" s="375">
        <f>+SUMIF(Seguimiento_PAA!$B$32:$B$967,Validación_Conceptos!G23,Seguimiento_PAA!$AB$32:$AB$967)</f>
        <v>0</v>
      </c>
      <c r="I23" s="375">
        <v>13354000</v>
      </c>
      <c r="J23" s="375">
        <f t="shared" si="0"/>
        <v>13354000</v>
      </c>
      <c r="K23" s="375">
        <v>34697460</v>
      </c>
      <c r="L23" s="565">
        <f t="shared" si="19"/>
        <v>34697460</v>
      </c>
      <c r="M23" s="667"/>
      <c r="O23" s="375">
        <f>+SUMIF(Seguimiento_PAA!$B$32:$B$967,G23,Seguimiento_PAA!$BF$32:$BF$967)</f>
        <v>0</v>
      </c>
      <c r="P23" s="439">
        <f t="shared" si="1"/>
        <v>0</v>
      </c>
      <c r="Q23" s="375">
        <f>+SUMIF(Seguimiento_PAA!$B$32:$B$967,G23,Seguimiento_PAA!$BJ$32:$BJ$967)</f>
        <v>0</v>
      </c>
      <c r="R23" s="434">
        <f t="shared" si="2"/>
        <v>0</v>
      </c>
      <c r="S23" s="375">
        <f>+SUMIF(Seguimiento_PAA!$B$32:$B$967,G23,Seguimiento_PAA!$CB$32:$CB$967)</f>
        <v>0</v>
      </c>
      <c r="T23" s="439">
        <f t="shared" si="6"/>
        <v>0</v>
      </c>
      <c r="V23" s="375">
        <f t="shared" si="3"/>
        <v>0</v>
      </c>
      <c r="W23" s="439">
        <f t="shared" si="4"/>
        <v>0</v>
      </c>
    </row>
    <row r="24" spans="1:23" ht="38.25">
      <c r="A24" s="370" t="s">
        <v>233</v>
      </c>
      <c r="B24" s="370" t="s">
        <v>332</v>
      </c>
      <c r="C24" s="370" t="str">
        <f>+VLOOKUP(B24,Listas!$A$279:$B$285,2,FALSE)</f>
        <v>01-12</v>
      </c>
      <c r="D24" s="370" t="s">
        <v>241</v>
      </c>
      <c r="E24" s="370" t="s">
        <v>242</v>
      </c>
      <c r="F24" s="370" t="s">
        <v>243</v>
      </c>
      <c r="G24" s="365" t="str">
        <f t="shared" si="5"/>
        <v>1110-185-01-12-05-02-0020</v>
      </c>
      <c r="H24" s="375">
        <f>+SUMIF(Seguimiento_PAA!$B$32:$B$967,Validación_Conceptos!G24,Seguimiento_PAA!$AB$32:$AB$967)</f>
        <v>0</v>
      </c>
      <c r="I24" s="375">
        <v>3077261000</v>
      </c>
      <c r="J24" s="375">
        <f t="shared" si="0"/>
        <v>3077261000</v>
      </c>
      <c r="K24" s="375">
        <v>3104967779</v>
      </c>
      <c r="L24" s="375">
        <f>+K24-H24</f>
        <v>3104967779</v>
      </c>
      <c r="M24" s="666"/>
      <c r="O24" s="375">
        <f>+SUMIF(Seguimiento_PAA!$B$32:$B$967,G24,Seguimiento_PAA!$BF$32:$BF$967)</f>
        <v>0</v>
      </c>
      <c r="P24" s="439">
        <f t="shared" si="1"/>
        <v>0</v>
      </c>
      <c r="Q24" s="375">
        <f>+SUMIF(Seguimiento_PAA!$B$32:$B$967,G24,Seguimiento_PAA!$BJ$32:$BJ$967)</f>
        <v>0</v>
      </c>
      <c r="R24" s="434">
        <f t="shared" si="2"/>
        <v>0</v>
      </c>
      <c r="S24" s="375">
        <f>+SUMIF(Seguimiento_PAA!$B$32:$B$967,G24,Seguimiento_PAA!$CB$32:$CB$967)</f>
        <v>0</v>
      </c>
      <c r="T24" s="439">
        <f t="shared" si="6"/>
        <v>0</v>
      </c>
      <c r="V24" s="375">
        <f t="shared" si="3"/>
        <v>0</v>
      </c>
      <c r="W24" s="439">
        <f t="shared" si="4"/>
        <v>0</v>
      </c>
    </row>
    <row r="25" spans="1:23" ht="38.25">
      <c r="A25" s="370" t="s">
        <v>233</v>
      </c>
      <c r="B25" s="370" t="s">
        <v>332</v>
      </c>
      <c r="C25" s="370" t="str">
        <f>+VLOOKUP(B25,Listas!$A$279:$B$285,2,FALSE)</f>
        <v>01-12</v>
      </c>
      <c r="D25" s="370" t="s">
        <v>241</v>
      </c>
      <c r="E25" s="370" t="s">
        <v>242</v>
      </c>
      <c r="F25" s="370" t="s">
        <v>244</v>
      </c>
      <c r="G25" s="365" t="str">
        <f t="shared" si="5"/>
        <v>1110-185-01-12-05-02-0152</v>
      </c>
      <c r="H25" s="375">
        <f>+SUMIF(Seguimiento_PAA!$B$32:$B$967,Validación_Conceptos!G25,Seguimiento_PAA!$AB$32:$AB$967)</f>
        <v>0</v>
      </c>
      <c r="I25" s="375">
        <v>410000000</v>
      </c>
      <c r="J25" s="375">
        <f t="shared" si="0"/>
        <v>410000000</v>
      </c>
      <c r="K25" s="375">
        <v>169585911</v>
      </c>
      <c r="L25" s="565">
        <f t="shared" si="19"/>
        <v>169585911</v>
      </c>
      <c r="M25" s="667"/>
      <c r="O25" s="375">
        <f>+SUMIF(Seguimiento_PAA!$B$32:$B$967,G25,Seguimiento_PAA!$BF$32:$BF$967)</f>
        <v>0</v>
      </c>
      <c r="P25" s="439">
        <f t="shared" si="1"/>
        <v>0</v>
      </c>
      <c r="Q25" s="375">
        <f>+SUMIF(Seguimiento_PAA!$B$32:$B$967,G25,Seguimiento_PAA!$BJ$32:$BJ$967)</f>
        <v>0</v>
      </c>
      <c r="R25" s="434">
        <f t="shared" si="2"/>
        <v>0</v>
      </c>
      <c r="S25" s="375">
        <f>+SUMIF(Seguimiento_PAA!$B$32:$B$967,G25,Seguimiento_PAA!$CB$32:$CB$967)</f>
        <v>0</v>
      </c>
      <c r="T25" s="439">
        <f t="shared" si="6"/>
        <v>0</v>
      </c>
      <c r="V25" s="375">
        <f t="shared" si="3"/>
        <v>0</v>
      </c>
      <c r="W25" s="439">
        <f t="shared" si="4"/>
        <v>0</v>
      </c>
    </row>
    <row r="26" spans="1:23" ht="38.25">
      <c r="A26" s="370" t="s">
        <v>233</v>
      </c>
      <c r="B26" s="370" t="s">
        <v>337</v>
      </c>
      <c r="C26" s="370" t="str">
        <f>+VLOOKUP(B26,Listas!$A$279:$B$285,2,FALSE)</f>
        <v>03-21</v>
      </c>
      <c r="D26" s="370" t="s">
        <v>215</v>
      </c>
      <c r="E26" s="370" t="s">
        <v>224</v>
      </c>
      <c r="F26" s="370" t="s">
        <v>235</v>
      </c>
      <c r="G26" s="365" t="str">
        <f t="shared" si="5"/>
        <v>1110-185-03-21-01-03-0020</v>
      </c>
      <c r="H26" s="375">
        <f>+SUMIF(Seguimiento_PAA!$B$32:$B$967,Validación_Conceptos!G26,Seguimiento_PAA!$AB$32:$AB$967)</f>
        <v>0</v>
      </c>
      <c r="I26" s="375">
        <v>159000000</v>
      </c>
      <c r="J26" s="375">
        <f t="shared" si="0"/>
        <v>159000000</v>
      </c>
      <c r="K26" s="375">
        <v>119000000</v>
      </c>
      <c r="L26" s="375">
        <f t="shared" si="19"/>
        <v>119000000</v>
      </c>
      <c r="M26" s="666"/>
      <c r="O26" s="375">
        <f>+SUMIF(Seguimiento_PAA!$B$32:$B$967,G26,Seguimiento_PAA!$BF$32:$BF$967)</f>
        <v>0</v>
      </c>
      <c r="P26" s="439">
        <f t="shared" si="1"/>
        <v>0</v>
      </c>
      <c r="Q26" s="375">
        <f>+SUMIF(Seguimiento_PAA!$B$32:$B$967,G26,Seguimiento_PAA!$BJ$32:$BJ$967)</f>
        <v>0</v>
      </c>
      <c r="R26" s="434">
        <f t="shared" si="2"/>
        <v>0</v>
      </c>
      <c r="S26" s="375">
        <f>+SUMIF(Seguimiento_PAA!$B$32:$B$967,G26,Seguimiento_PAA!$CB$32:$CB$967)</f>
        <v>0</v>
      </c>
      <c r="T26" s="439">
        <f t="shared" si="6"/>
        <v>0</v>
      </c>
      <c r="V26" s="375">
        <f t="shared" si="3"/>
        <v>0</v>
      </c>
      <c r="W26" s="439">
        <f t="shared" si="4"/>
        <v>0</v>
      </c>
    </row>
    <row r="27" spans="1:23">
      <c r="A27" s="774" t="s">
        <v>357</v>
      </c>
      <c r="B27" s="774"/>
      <c r="C27" s="774"/>
      <c r="D27" s="774"/>
      <c r="E27" s="774"/>
      <c r="F27" s="774"/>
      <c r="G27" s="183"/>
      <c r="H27" s="376">
        <f>+SUMIF(Seguimiento_PAA!$B$32:$B$967,Validación_Conceptos!G27,Seguimiento_PAA!$AB$32:$AB$967)</f>
        <v>0</v>
      </c>
      <c r="I27" s="376">
        <f>+SUM(I4:I26)</f>
        <v>31880047000</v>
      </c>
      <c r="J27" s="376">
        <f>+SUM(J4:J26)</f>
        <v>31880047000</v>
      </c>
      <c r="K27" s="376"/>
      <c r="L27" s="376"/>
      <c r="M27" s="668"/>
      <c r="O27" s="376">
        <f>+SUMIF(Seguimiento_PAA!$B$32:$B$967,G27,Seguimiento_PAA!$BF$32:$BF$967)</f>
        <v>0</v>
      </c>
      <c r="P27" s="436">
        <f t="shared" si="1"/>
        <v>0</v>
      </c>
      <c r="Q27" s="376">
        <f>+SUMIF(Seguimiento_PAA!$B$32:$B$967,G27,Seguimiento_PAA!$BJ$32:$BJ$967)</f>
        <v>0</v>
      </c>
      <c r="R27" s="434">
        <f t="shared" si="2"/>
        <v>0</v>
      </c>
      <c r="S27" s="375">
        <f>+SUMIF(Seguimiento_PAA!$B$32:$B$967,G27,Seguimiento_PAA!$CB$32:$CB$967)</f>
        <v>0</v>
      </c>
      <c r="T27" s="439">
        <f t="shared" si="6"/>
        <v>0</v>
      </c>
      <c r="V27" s="375">
        <f t="shared" si="3"/>
        <v>0</v>
      </c>
      <c r="W27" s="439">
        <f t="shared" si="4"/>
        <v>0</v>
      </c>
    </row>
    <row r="28" spans="1:23">
      <c r="H28" s="360"/>
      <c r="I28" s="360"/>
      <c r="O28" s="360"/>
      <c r="P28" s="435"/>
    </row>
    <row r="30" spans="1:23">
      <c r="K30" s="553"/>
    </row>
    <row r="33" spans="12:17">
      <c r="L33" s="553"/>
      <c r="M33" s="553"/>
    </row>
    <row r="36" spans="12:17">
      <c r="Q36" s="553"/>
    </row>
    <row r="37" spans="12:17">
      <c r="Q37" s="553"/>
    </row>
    <row r="39" spans="12:17">
      <c r="L39" s="553"/>
      <c r="M39" s="553"/>
    </row>
  </sheetData>
  <autoFilter ref="A1:W1"/>
  <sortState ref="G31:G51">
    <sortCondition ref="G31"/>
  </sortState>
  <mergeCells count="1">
    <mergeCell ref="A27:F27"/>
  </mergeCells>
  <conditionalFormatting sqref="A4:A9 A20:A26 A11:A18">
    <cfRule type="colorScale" priority="28">
      <colorScale>
        <cfvo type="min"/>
        <cfvo type="percentile" val="50"/>
        <cfvo type="max"/>
        <color rgb="FFF8696B"/>
        <color rgb="FFFFEB84"/>
        <color rgb="FF63BE7B"/>
      </colorScale>
    </cfRule>
  </conditionalFormatting>
  <conditionalFormatting sqref="P2:P3">
    <cfRule type="dataBar" priority="17">
      <dataBar>
        <cfvo type="min"/>
        <cfvo type="max"/>
        <color rgb="FF638EC6"/>
      </dataBar>
      <extLst>
        <ext xmlns:x14="http://schemas.microsoft.com/office/spreadsheetml/2009/9/main" uri="{B025F937-C7B1-47D3-B67F-A62EFF666E3E}">
          <x14:id>{0B9B7F5C-9DC4-4791-ABF5-3710DC230EF6}</x14:id>
        </ext>
      </extLst>
    </cfRule>
  </conditionalFormatting>
  <conditionalFormatting sqref="R2:R9 R20:R27 R11:R18">
    <cfRule type="dataBar" priority="20">
      <dataBar>
        <cfvo type="min"/>
        <cfvo type="max"/>
        <color rgb="FF638EC6"/>
      </dataBar>
      <extLst>
        <ext xmlns:x14="http://schemas.microsoft.com/office/spreadsheetml/2009/9/main" uri="{B025F937-C7B1-47D3-B67F-A62EFF666E3E}">
          <x14:id>{99361042-38A2-4DF4-9657-F910E253D490}</x14:id>
        </ext>
      </extLst>
    </cfRule>
  </conditionalFormatting>
  <conditionalFormatting sqref="T2:T4">
    <cfRule type="dataBar" priority="21">
      <dataBar>
        <cfvo type="min"/>
        <cfvo type="max"/>
        <color rgb="FF638EC6"/>
      </dataBar>
      <extLst>
        <ext xmlns:x14="http://schemas.microsoft.com/office/spreadsheetml/2009/9/main" uri="{B025F937-C7B1-47D3-B67F-A62EFF666E3E}">
          <x14:id>{2452DE91-DC37-4EA0-BC64-D7C9C8067341}</x14:id>
        </ext>
      </extLst>
    </cfRule>
  </conditionalFormatting>
  <conditionalFormatting sqref="P3">
    <cfRule type="dataBar" priority="22">
      <dataBar>
        <cfvo type="min"/>
        <cfvo type="max"/>
        <color rgb="FF638EC6"/>
      </dataBar>
      <extLst>
        <ext xmlns:x14="http://schemas.microsoft.com/office/spreadsheetml/2009/9/main" uri="{B025F937-C7B1-47D3-B67F-A62EFF666E3E}">
          <x14:id>{16E903C9-285A-4588-A999-B60240040F0C}</x14:id>
        </ext>
      </extLst>
    </cfRule>
  </conditionalFormatting>
  <conditionalFormatting sqref="W2:W4">
    <cfRule type="dataBar" priority="18">
      <dataBar>
        <cfvo type="min"/>
        <cfvo type="max"/>
        <color rgb="FF638EC6"/>
      </dataBar>
      <extLst>
        <ext xmlns:x14="http://schemas.microsoft.com/office/spreadsheetml/2009/9/main" uri="{B025F937-C7B1-47D3-B67F-A62EFF666E3E}">
          <x14:id>{10163A07-CF73-4A89-91F3-69E19BF9416D}</x14:id>
        </ext>
      </extLst>
    </cfRule>
  </conditionalFormatting>
  <conditionalFormatting sqref="P2:P9 P20:P27 P11:P18">
    <cfRule type="dataBar" priority="16">
      <dataBar>
        <cfvo type="min"/>
        <cfvo type="max"/>
        <color rgb="FF638EC6"/>
      </dataBar>
      <extLst>
        <ext xmlns:x14="http://schemas.microsoft.com/office/spreadsheetml/2009/9/main" uri="{B025F937-C7B1-47D3-B67F-A62EFF666E3E}">
          <x14:id>{0D057357-61D0-406B-BDCD-176853E1164E}</x14:id>
        </ext>
      </extLst>
    </cfRule>
  </conditionalFormatting>
  <conditionalFormatting sqref="R3:R9 R20:R27 R11:R18">
    <cfRule type="dataBar" priority="15">
      <dataBar>
        <cfvo type="min"/>
        <cfvo type="max"/>
        <color rgb="FF638EC6"/>
      </dataBar>
      <extLst>
        <ext xmlns:x14="http://schemas.microsoft.com/office/spreadsheetml/2009/9/main" uri="{B025F937-C7B1-47D3-B67F-A62EFF666E3E}">
          <x14:id>{CB99AC5A-633E-4B9F-B72E-485490D27CB2}</x14:id>
        </ext>
      </extLst>
    </cfRule>
  </conditionalFormatting>
  <conditionalFormatting sqref="T2:T9 T20:T27 T11:T18">
    <cfRule type="dataBar" priority="14">
      <dataBar>
        <cfvo type="min"/>
        <cfvo type="max"/>
        <color rgb="FF638EC6"/>
      </dataBar>
      <extLst>
        <ext xmlns:x14="http://schemas.microsoft.com/office/spreadsheetml/2009/9/main" uri="{B025F937-C7B1-47D3-B67F-A62EFF666E3E}">
          <x14:id>{97BD6FC2-3E54-4578-AEE4-77F85B4B48CF}</x14:id>
        </ext>
      </extLst>
    </cfRule>
  </conditionalFormatting>
  <conditionalFormatting sqref="W2:W9 W20:W27 W11:W18">
    <cfRule type="dataBar" priority="13">
      <dataBar>
        <cfvo type="min"/>
        <cfvo type="max"/>
        <color rgb="FF638EC6"/>
      </dataBar>
      <extLst>
        <ext xmlns:x14="http://schemas.microsoft.com/office/spreadsheetml/2009/9/main" uri="{B025F937-C7B1-47D3-B67F-A62EFF666E3E}">
          <x14:id>{1CA98B62-CD2B-43EE-80A1-E5D1139758DB}</x14:id>
        </ext>
      </extLst>
    </cfRule>
  </conditionalFormatting>
  <conditionalFormatting sqref="A19">
    <cfRule type="colorScale" priority="12">
      <colorScale>
        <cfvo type="min"/>
        <cfvo type="percentile" val="50"/>
        <cfvo type="max"/>
        <color rgb="FFF8696B"/>
        <color rgb="FFFFEB84"/>
        <color rgb="FF63BE7B"/>
      </colorScale>
    </cfRule>
  </conditionalFormatting>
  <conditionalFormatting sqref="R19">
    <cfRule type="dataBar" priority="11">
      <dataBar>
        <cfvo type="min"/>
        <cfvo type="max"/>
        <color rgb="FF638EC6"/>
      </dataBar>
      <extLst>
        <ext xmlns:x14="http://schemas.microsoft.com/office/spreadsheetml/2009/9/main" uri="{B025F937-C7B1-47D3-B67F-A62EFF666E3E}">
          <x14:id>{15B64C9F-5983-48A6-976F-62105305E628}</x14:id>
        </ext>
      </extLst>
    </cfRule>
  </conditionalFormatting>
  <conditionalFormatting sqref="P19">
    <cfRule type="dataBar" priority="10">
      <dataBar>
        <cfvo type="min"/>
        <cfvo type="max"/>
        <color rgb="FF638EC6"/>
      </dataBar>
      <extLst>
        <ext xmlns:x14="http://schemas.microsoft.com/office/spreadsheetml/2009/9/main" uri="{B025F937-C7B1-47D3-B67F-A62EFF666E3E}">
          <x14:id>{AA82BDDA-0248-440C-8483-7FE26F1B1E00}</x14:id>
        </ext>
      </extLst>
    </cfRule>
  </conditionalFormatting>
  <conditionalFormatting sqref="R19">
    <cfRule type="dataBar" priority="9">
      <dataBar>
        <cfvo type="min"/>
        <cfvo type="max"/>
        <color rgb="FF638EC6"/>
      </dataBar>
      <extLst>
        <ext xmlns:x14="http://schemas.microsoft.com/office/spreadsheetml/2009/9/main" uri="{B025F937-C7B1-47D3-B67F-A62EFF666E3E}">
          <x14:id>{99D82540-D091-4AF5-9C64-20D9C60DB472}</x14:id>
        </ext>
      </extLst>
    </cfRule>
  </conditionalFormatting>
  <conditionalFormatting sqref="T19">
    <cfRule type="dataBar" priority="8">
      <dataBar>
        <cfvo type="min"/>
        <cfvo type="max"/>
        <color rgb="FF638EC6"/>
      </dataBar>
      <extLst>
        <ext xmlns:x14="http://schemas.microsoft.com/office/spreadsheetml/2009/9/main" uri="{B025F937-C7B1-47D3-B67F-A62EFF666E3E}">
          <x14:id>{554B6239-E9E3-4F2E-A54E-A3E7D7C9BA8C}</x14:id>
        </ext>
      </extLst>
    </cfRule>
  </conditionalFormatting>
  <conditionalFormatting sqref="W19">
    <cfRule type="dataBar" priority="7">
      <dataBar>
        <cfvo type="min"/>
        <cfvo type="max"/>
        <color rgb="FF638EC6"/>
      </dataBar>
      <extLst>
        <ext xmlns:x14="http://schemas.microsoft.com/office/spreadsheetml/2009/9/main" uri="{B025F937-C7B1-47D3-B67F-A62EFF666E3E}">
          <x14:id>{F3FC8F8A-1BF4-4B90-981B-22856B9C4639}</x14:id>
        </ext>
      </extLst>
    </cfRule>
  </conditionalFormatting>
  <conditionalFormatting sqref="A10">
    <cfRule type="colorScale" priority="6">
      <colorScale>
        <cfvo type="min"/>
        <cfvo type="percentile" val="50"/>
        <cfvo type="max"/>
        <color rgb="FFF8696B"/>
        <color rgb="FFFFEB84"/>
        <color rgb="FF63BE7B"/>
      </colorScale>
    </cfRule>
  </conditionalFormatting>
  <conditionalFormatting sqref="R10">
    <cfRule type="dataBar" priority="5">
      <dataBar>
        <cfvo type="min"/>
        <cfvo type="max"/>
        <color rgb="FF638EC6"/>
      </dataBar>
      <extLst>
        <ext xmlns:x14="http://schemas.microsoft.com/office/spreadsheetml/2009/9/main" uri="{B025F937-C7B1-47D3-B67F-A62EFF666E3E}">
          <x14:id>{24721DAB-5F48-4B09-A15E-C07E2FFCC4A5}</x14:id>
        </ext>
      </extLst>
    </cfRule>
  </conditionalFormatting>
  <conditionalFormatting sqref="P10">
    <cfRule type="dataBar" priority="4">
      <dataBar>
        <cfvo type="min"/>
        <cfvo type="max"/>
        <color rgb="FF638EC6"/>
      </dataBar>
      <extLst>
        <ext xmlns:x14="http://schemas.microsoft.com/office/spreadsheetml/2009/9/main" uri="{B025F937-C7B1-47D3-B67F-A62EFF666E3E}">
          <x14:id>{96A370FE-E55C-4033-9437-73064385C29D}</x14:id>
        </ext>
      </extLst>
    </cfRule>
  </conditionalFormatting>
  <conditionalFormatting sqref="R10">
    <cfRule type="dataBar" priority="3">
      <dataBar>
        <cfvo type="min"/>
        <cfvo type="max"/>
        <color rgb="FF638EC6"/>
      </dataBar>
      <extLst>
        <ext xmlns:x14="http://schemas.microsoft.com/office/spreadsheetml/2009/9/main" uri="{B025F937-C7B1-47D3-B67F-A62EFF666E3E}">
          <x14:id>{BB7A3E7B-DCF9-4136-A615-FCEDF3A4099E}</x14:id>
        </ext>
      </extLst>
    </cfRule>
  </conditionalFormatting>
  <conditionalFormatting sqref="T10">
    <cfRule type="dataBar" priority="2">
      <dataBar>
        <cfvo type="min"/>
        <cfvo type="max"/>
        <color rgb="FF638EC6"/>
      </dataBar>
      <extLst>
        <ext xmlns:x14="http://schemas.microsoft.com/office/spreadsheetml/2009/9/main" uri="{B025F937-C7B1-47D3-B67F-A62EFF666E3E}">
          <x14:id>{7D592D89-AB7D-4C6B-9402-19B15018B51D}</x14:id>
        </ext>
      </extLst>
    </cfRule>
  </conditionalFormatting>
  <conditionalFormatting sqref="W10">
    <cfRule type="dataBar" priority="1">
      <dataBar>
        <cfvo type="min"/>
        <cfvo type="max"/>
        <color rgb="FF638EC6"/>
      </dataBar>
      <extLst>
        <ext xmlns:x14="http://schemas.microsoft.com/office/spreadsheetml/2009/9/main" uri="{B025F937-C7B1-47D3-B67F-A62EFF666E3E}">
          <x14:id>{509567F0-1EF2-41D6-A7CD-C6F8DEFECE16}</x14:id>
        </ext>
      </extLst>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0B9B7F5C-9DC4-4791-ABF5-3710DC230EF6}">
            <x14:dataBar minLength="0" maxLength="100" gradient="0">
              <x14:cfvo type="autoMin"/>
              <x14:cfvo type="autoMax"/>
              <x14:negativeFillColor rgb="FFFF0000"/>
              <x14:axisColor rgb="FF000000"/>
            </x14:dataBar>
          </x14:cfRule>
          <xm:sqref>P2:P3</xm:sqref>
        </x14:conditionalFormatting>
        <x14:conditionalFormatting xmlns:xm="http://schemas.microsoft.com/office/excel/2006/main">
          <x14:cfRule type="dataBar" id="{99361042-38A2-4DF4-9657-F910E253D490}">
            <x14:dataBar minLength="0" maxLength="100" gradient="0">
              <x14:cfvo type="autoMin"/>
              <x14:cfvo type="autoMax"/>
              <x14:negativeFillColor rgb="FFFF0000"/>
              <x14:axisColor rgb="FF000000"/>
            </x14:dataBar>
          </x14:cfRule>
          <xm:sqref>R2:R9 R20:R27 R11:R18</xm:sqref>
        </x14:conditionalFormatting>
        <x14:conditionalFormatting xmlns:xm="http://schemas.microsoft.com/office/excel/2006/main">
          <x14:cfRule type="dataBar" id="{2452DE91-DC37-4EA0-BC64-D7C9C8067341}">
            <x14:dataBar minLength="0" maxLength="100" gradient="0">
              <x14:cfvo type="autoMin"/>
              <x14:cfvo type="autoMax"/>
              <x14:negativeFillColor rgb="FFFF0000"/>
              <x14:axisColor rgb="FF000000"/>
            </x14:dataBar>
          </x14:cfRule>
          <xm:sqref>T2:T4</xm:sqref>
        </x14:conditionalFormatting>
        <x14:conditionalFormatting xmlns:xm="http://schemas.microsoft.com/office/excel/2006/main">
          <x14:cfRule type="dataBar" id="{16E903C9-285A-4588-A999-B60240040F0C}">
            <x14:dataBar minLength="0" maxLength="100" gradient="0">
              <x14:cfvo type="autoMin"/>
              <x14:cfvo type="autoMax"/>
              <x14:negativeFillColor rgb="FFFF0000"/>
              <x14:axisColor rgb="FF000000"/>
            </x14:dataBar>
          </x14:cfRule>
          <xm:sqref>P3</xm:sqref>
        </x14:conditionalFormatting>
        <x14:conditionalFormatting xmlns:xm="http://schemas.microsoft.com/office/excel/2006/main">
          <x14:cfRule type="dataBar" id="{10163A07-CF73-4A89-91F3-69E19BF9416D}">
            <x14:dataBar minLength="0" maxLength="100" gradient="0">
              <x14:cfvo type="autoMin"/>
              <x14:cfvo type="autoMax"/>
              <x14:negativeFillColor rgb="FFFF0000"/>
              <x14:axisColor rgb="FF000000"/>
            </x14:dataBar>
          </x14:cfRule>
          <xm:sqref>W2:W4</xm:sqref>
        </x14:conditionalFormatting>
        <x14:conditionalFormatting xmlns:xm="http://schemas.microsoft.com/office/excel/2006/main">
          <x14:cfRule type="dataBar" id="{0D057357-61D0-406B-BDCD-176853E1164E}">
            <x14:dataBar minLength="0" maxLength="100" gradient="0">
              <x14:cfvo type="autoMin"/>
              <x14:cfvo type="autoMax"/>
              <x14:negativeFillColor rgb="FFFF0000"/>
              <x14:axisColor rgb="FF000000"/>
            </x14:dataBar>
          </x14:cfRule>
          <xm:sqref>P2:P9 P20:P27 P11:P18</xm:sqref>
        </x14:conditionalFormatting>
        <x14:conditionalFormatting xmlns:xm="http://schemas.microsoft.com/office/excel/2006/main">
          <x14:cfRule type="dataBar" id="{CB99AC5A-633E-4B9F-B72E-485490D27CB2}">
            <x14:dataBar minLength="0" maxLength="100" gradient="0">
              <x14:cfvo type="autoMin"/>
              <x14:cfvo type="autoMax"/>
              <x14:negativeFillColor rgb="FFFF0000"/>
              <x14:axisColor rgb="FF000000"/>
            </x14:dataBar>
          </x14:cfRule>
          <xm:sqref>R3:R9 R20:R27 R11:R18</xm:sqref>
        </x14:conditionalFormatting>
        <x14:conditionalFormatting xmlns:xm="http://schemas.microsoft.com/office/excel/2006/main">
          <x14:cfRule type="dataBar" id="{97BD6FC2-3E54-4578-AEE4-77F85B4B48CF}">
            <x14:dataBar minLength="0" maxLength="100" gradient="0">
              <x14:cfvo type="autoMin"/>
              <x14:cfvo type="autoMax"/>
              <x14:negativeFillColor rgb="FFFF0000"/>
              <x14:axisColor rgb="FF000000"/>
            </x14:dataBar>
          </x14:cfRule>
          <xm:sqref>T2:T9 T20:T27 T11:T18</xm:sqref>
        </x14:conditionalFormatting>
        <x14:conditionalFormatting xmlns:xm="http://schemas.microsoft.com/office/excel/2006/main">
          <x14:cfRule type="dataBar" id="{1CA98B62-CD2B-43EE-80A1-E5D1139758DB}">
            <x14:dataBar minLength="0" maxLength="100" gradient="0">
              <x14:cfvo type="autoMin"/>
              <x14:cfvo type="autoMax"/>
              <x14:negativeFillColor rgb="FFFF0000"/>
              <x14:axisColor rgb="FF000000"/>
            </x14:dataBar>
          </x14:cfRule>
          <xm:sqref>W2:W9 W20:W27 W11:W18</xm:sqref>
        </x14:conditionalFormatting>
        <x14:conditionalFormatting xmlns:xm="http://schemas.microsoft.com/office/excel/2006/main">
          <x14:cfRule type="dataBar" id="{15B64C9F-5983-48A6-976F-62105305E628}">
            <x14:dataBar minLength="0" maxLength="100" gradient="0">
              <x14:cfvo type="autoMin"/>
              <x14:cfvo type="autoMax"/>
              <x14:negativeFillColor rgb="FFFF0000"/>
              <x14:axisColor rgb="FF000000"/>
            </x14:dataBar>
          </x14:cfRule>
          <xm:sqref>R19</xm:sqref>
        </x14:conditionalFormatting>
        <x14:conditionalFormatting xmlns:xm="http://schemas.microsoft.com/office/excel/2006/main">
          <x14:cfRule type="dataBar" id="{AA82BDDA-0248-440C-8483-7FE26F1B1E00}">
            <x14:dataBar minLength="0" maxLength="100" gradient="0">
              <x14:cfvo type="autoMin"/>
              <x14:cfvo type="autoMax"/>
              <x14:negativeFillColor rgb="FFFF0000"/>
              <x14:axisColor rgb="FF000000"/>
            </x14:dataBar>
          </x14:cfRule>
          <xm:sqref>P19</xm:sqref>
        </x14:conditionalFormatting>
        <x14:conditionalFormatting xmlns:xm="http://schemas.microsoft.com/office/excel/2006/main">
          <x14:cfRule type="dataBar" id="{99D82540-D091-4AF5-9C64-20D9C60DB472}">
            <x14:dataBar minLength="0" maxLength="100" gradient="0">
              <x14:cfvo type="autoMin"/>
              <x14:cfvo type="autoMax"/>
              <x14:negativeFillColor rgb="FFFF0000"/>
              <x14:axisColor rgb="FF000000"/>
            </x14:dataBar>
          </x14:cfRule>
          <xm:sqref>R19</xm:sqref>
        </x14:conditionalFormatting>
        <x14:conditionalFormatting xmlns:xm="http://schemas.microsoft.com/office/excel/2006/main">
          <x14:cfRule type="dataBar" id="{554B6239-E9E3-4F2E-A54E-A3E7D7C9BA8C}">
            <x14:dataBar minLength="0" maxLength="100" gradient="0">
              <x14:cfvo type="autoMin"/>
              <x14:cfvo type="autoMax"/>
              <x14:negativeFillColor rgb="FFFF0000"/>
              <x14:axisColor rgb="FF000000"/>
            </x14:dataBar>
          </x14:cfRule>
          <xm:sqref>T19</xm:sqref>
        </x14:conditionalFormatting>
        <x14:conditionalFormatting xmlns:xm="http://schemas.microsoft.com/office/excel/2006/main">
          <x14:cfRule type="dataBar" id="{F3FC8F8A-1BF4-4B90-981B-22856B9C4639}">
            <x14:dataBar minLength="0" maxLength="100" gradient="0">
              <x14:cfvo type="autoMin"/>
              <x14:cfvo type="autoMax"/>
              <x14:negativeFillColor rgb="FFFF0000"/>
              <x14:axisColor rgb="FF000000"/>
            </x14:dataBar>
          </x14:cfRule>
          <xm:sqref>W19</xm:sqref>
        </x14:conditionalFormatting>
        <x14:conditionalFormatting xmlns:xm="http://schemas.microsoft.com/office/excel/2006/main">
          <x14:cfRule type="dataBar" id="{24721DAB-5F48-4B09-A15E-C07E2FFCC4A5}">
            <x14:dataBar minLength="0" maxLength="100" gradient="0">
              <x14:cfvo type="autoMin"/>
              <x14:cfvo type="autoMax"/>
              <x14:negativeFillColor rgb="FFFF0000"/>
              <x14:axisColor rgb="FF000000"/>
            </x14:dataBar>
          </x14:cfRule>
          <xm:sqref>R10</xm:sqref>
        </x14:conditionalFormatting>
        <x14:conditionalFormatting xmlns:xm="http://schemas.microsoft.com/office/excel/2006/main">
          <x14:cfRule type="dataBar" id="{96A370FE-E55C-4033-9437-73064385C29D}">
            <x14:dataBar minLength="0" maxLength="100" gradient="0">
              <x14:cfvo type="autoMin"/>
              <x14:cfvo type="autoMax"/>
              <x14:negativeFillColor rgb="FFFF0000"/>
              <x14:axisColor rgb="FF000000"/>
            </x14:dataBar>
          </x14:cfRule>
          <xm:sqref>P10</xm:sqref>
        </x14:conditionalFormatting>
        <x14:conditionalFormatting xmlns:xm="http://schemas.microsoft.com/office/excel/2006/main">
          <x14:cfRule type="dataBar" id="{BB7A3E7B-DCF9-4136-A615-FCEDF3A4099E}">
            <x14:dataBar minLength="0" maxLength="100" gradient="0">
              <x14:cfvo type="autoMin"/>
              <x14:cfvo type="autoMax"/>
              <x14:negativeFillColor rgb="FFFF0000"/>
              <x14:axisColor rgb="FF000000"/>
            </x14:dataBar>
          </x14:cfRule>
          <xm:sqref>R10</xm:sqref>
        </x14:conditionalFormatting>
        <x14:conditionalFormatting xmlns:xm="http://schemas.microsoft.com/office/excel/2006/main">
          <x14:cfRule type="dataBar" id="{7D592D89-AB7D-4C6B-9402-19B15018B51D}">
            <x14:dataBar minLength="0" maxLength="100" gradient="0">
              <x14:cfvo type="autoMin"/>
              <x14:cfvo type="autoMax"/>
              <x14:negativeFillColor rgb="FFFF0000"/>
              <x14:axisColor rgb="FF000000"/>
            </x14:dataBar>
          </x14:cfRule>
          <xm:sqref>T10</xm:sqref>
        </x14:conditionalFormatting>
        <x14:conditionalFormatting xmlns:xm="http://schemas.microsoft.com/office/excel/2006/main">
          <x14:cfRule type="dataBar" id="{509567F0-1EF2-41D6-A7CD-C6F8DEFECE16}">
            <x14:dataBar minLength="0" maxLength="100" gradient="0">
              <x14:cfvo type="autoMin"/>
              <x14:cfvo type="autoMax"/>
              <x14:negativeFillColor rgb="FFFF0000"/>
              <x14:axisColor rgb="FF000000"/>
            </x14:dataBar>
          </x14:cfRule>
          <xm:sqref>W10</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
    <pageSetUpPr fitToPage="1"/>
  </sheetPr>
  <dimension ref="A1:R352"/>
  <sheetViews>
    <sheetView zoomScaleNormal="100" zoomScaleSheetLayoutView="100" workbookViewId="0">
      <pane ySplit="3" topLeftCell="A4" activePane="bottomLeft" state="frozen"/>
      <selection pane="bottomLeft" activeCell="C18" sqref="C18"/>
    </sheetView>
  </sheetViews>
  <sheetFormatPr baseColWidth="10" defaultRowHeight="12.75"/>
  <cols>
    <col min="1" max="1" width="9" customWidth="1"/>
    <col min="2" max="2" width="70.7109375" style="2" customWidth="1"/>
    <col min="3" max="3" width="28.85546875" style="2" customWidth="1"/>
    <col min="4" max="4" width="11.42578125" customWidth="1"/>
    <col min="5" max="5" width="32.7109375" style="291" customWidth="1"/>
    <col min="6" max="6" width="15.5703125" bestFit="1" customWidth="1"/>
    <col min="7" max="7" width="18.28515625" bestFit="1" customWidth="1"/>
    <col min="8" max="8" width="14.85546875" bestFit="1" customWidth="1"/>
    <col min="9" max="9" width="4" customWidth="1"/>
    <col min="10" max="10" width="11.5703125" customWidth="1"/>
    <col min="11" max="11" width="5.42578125" style="399" bestFit="1" customWidth="1"/>
    <col min="12" max="12" width="12.28515625" customWidth="1"/>
    <col min="13" max="13" width="5" style="399" customWidth="1"/>
    <col min="14" max="14" width="14.5703125" customWidth="1"/>
    <col min="15" max="15" width="6.140625" customWidth="1"/>
    <col min="16" max="16" width="3.42578125" customWidth="1"/>
    <col min="17" max="17" width="15.7109375" customWidth="1"/>
    <col min="18" max="18" width="5.42578125" bestFit="1" customWidth="1"/>
  </cols>
  <sheetData>
    <row r="1" spans="1:18" ht="25.5">
      <c r="A1" s="382" t="s">
        <v>327</v>
      </c>
      <c r="B1" s="371" t="s">
        <v>286</v>
      </c>
      <c r="C1" s="371" t="s">
        <v>287</v>
      </c>
      <c r="D1" s="382" t="s">
        <v>2</v>
      </c>
      <c r="E1" s="382"/>
      <c r="F1" s="382" t="s">
        <v>487</v>
      </c>
      <c r="G1" s="371" t="s">
        <v>555</v>
      </c>
      <c r="H1" s="382" t="s">
        <v>543</v>
      </c>
      <c r="J1" s="371" t="s">
        <v>544</v>
      </c>
      <c r="K1" s="371" t="s">
        <v>546</v>
      </c>
      <c r="L1" s="371" t="s">
        <v>545</v>
      </c>
      <c r="M1" s="371" t="s">
        <v>546</v>
      </c>
      <c r="N1" s="371" t="s">
        <v>542</v>
      </c>
      <c r="O1" s="371" t="s">
        <v>546</v>
      </c>
      <c r="P1" s="2"/>
      <c r="Q1" s="432" t="s">
        <v>552</v>
      </c>
      <c r="R1" s="371" t="s">
        <v>546</v>
      </c>
    </row>
    <row r="2" spans="1:18" s="399" customFormat="1" hidden="1">
      <c r="A2" s="382"/>
      <c r="B2" s="371"/>
      <c r="C2" s="371"/>
      <c r="D2" s="382"/>
      <c r="E2" s="382"/>
      <c r="F2" s="382"/>
      <c r="G2" s="382"/>
      <c r="H2" s="382"/>
      <c r="J2" s="371"/>
      <c r="K2" s="406">
        <v>0</v>
      </c>
      <c r="L2" s="371"/>
      <c r="M2" s="406">
        <v>0</v>
      </c>
      <c r="N2" s="371"/>
      <c r="O2" s="406">
        <v>0</v>
      </c>
      <c r="P2" s="2"/>
      <c r="R2" s="406">
        <v>0</v>
      </c>
    </row>
    <row r="3" spans="1:18" s="399" customFormat="1" hidden="1">
      <c r="A3" s="382"/>
      <c r="B3" s="371"/>
      <c r="C3" s="371"/>
      <c r="D3" s="382"/>
      <c r="E3" s="382"/>
      <c r="F3" s="382"/>
      <c r="G3" s="382"/>
      <c r="H3" s="382"/>
      <c r="J3" s="371"/>
      <c r="K3" s="406">
        <v>1</v>
      </c>
      <c r="L3" s="371"/>
      <c r="M3" s="406">
        <v>1</v>
      </c>
      <c r="N3" s="371"/>
      <c r="O3" s="406">
        <v>1</v>
      </c>
      <c r="P3" s="2"/>
      <c r="R3" s="406">
        <v>1</v>
      </c>
    </row>
    <row r="4" spans="1:18" ht="21.75" customHeight="1">
      <c r="A4" s="383" t="s">
        <v>528</v>
      </c>
      <c r="B4" s="387" t="s">
        <v>423</v>
      </c>
      <c r="C4" s="387" t="s">
        <v>332</v>
      </c>
      <c r="D4" s="387" t="str">
        <f>+VLOOKUP(C4,Listas!$A$279:$B$285,2,FALSE)</f>
        <v>01-12</v>
      </c>
      <c r="E4" s="387" t="str">
        <f>+CONCATENATE(A4,"-",D4,"-",B4)</f>
        <v>1024-124-01-12-Formación a docentes</v>
      </c>
      <c r="F4" s="394">
        <f>+SUMIF(Seguimiento_PAA!$C$32:$C$967,E4,Seguimiento_PAA!$AB$32:$AB$967)</f>
        <v>0</v>
      </c>
      <c r="G4" s="394">
        <v>50000000</v>
      </c>
      <c r="H4" s="394">
        <f>+F4-G4</f>
        <v>-50000000</v>
      </c>
      <c r="I4" s="291"/>
      <c r="J4" s="394">
        <f>+SUMIF(Seguimiento_PAA!$C$32:$C$967,E4,Seguimiento_PAA!$BF$32:$BF$967)</f>
        <v>0</v>
      </c>
      <c r="K4" s="401">
        <f>IFERROR(J4/F4,0)</f>
        <v>0</v>
      </c>
      <c r="L4" s="394">
        <f>+SUMIF(Seguimiento_PAA!$C$32:$C$967,E4,Seguimiento_PAA!$BJ$32:$BJ$967)</f>
        <v>0</v>
      </c>
      <c r="M4" s="401">
        <f>IFERROR(L4/F4,0)</f>
        <v>0</v>
      </c>
      <c r="N4" s="394">
        <f>+SUMIF(Seguimiento_PAA!$C$32:$C$967,E4,Seguimiento_PAA!$CB$32:$CB$967)</f>
        <v>0</v>
      </c>
      <c r="O4" s="401">
        <f>IFERROR(N4/L4,0)</f>
        <v>0</v>
      </c>
      <c r="Q4" s="394">
        <f>+F4-L4</f>
        <v>0</v>
      </c>
      <c r="R4" s="401">
        <f>IFERROR(Q4/F4,0)</f>
        <v>0</v>
      </c>
    </row>
    <row r="5" spans="1:18" ht="24.75" customHeight="1">
      <c r="A5" s="383" t="s">
        <v>528</v>
      </c>
      <c r="B5" s="387" t="s">
        <v>309</v>
      </c>
      <c r="C5" s="387" t="s">
        <v>332</v>
      </c>
      <c r="D5" s="387" t="str">
        <f>+VLOOKUP(C5,Listas!$A$279:$B$285,2,FALSE)</f>
        <v>01-12</v>
      </c>
      <c r="E5" s="387" t="str">
        <f t="shared" ref="E5:E50" si="0">+CONCATENATE(A5,"-",D5,"-",B5)</f>
        <v>1024-124-01-12-Formación en catedra de patrimonio en colegios del distrito capital</v>
      </c>
      <c r="F5" s="394">
        <f>+SUMIF(Seguimiento_PAA!$C$32:$C$967,E5,Seguimiento_PAA!$AB$32:$AB$967)</f>
        <v>0</v>
      </c>
      <c r="G5" s="394">
        <v>490909000</v>
      </c>
      <c r="H5" s="394">
        <f>+F5-G5</f>
        <v>-490909000</v>
      </c>
      <c r="I5" s="291"/>
      <c r="J5" s="394">
        <f>+SUMIF(Seguimiento_PAA!$C$32:$C$967,E5,Seguimiento_PAA!$BF$32:$BF$967)</f>
        <v>0</v>
      </c>
      <c r="K5" s="401">
        <f t="shared" ref="K5:K50" si="1">IFERROR(J5/F5,0)</f>
        <v>0</v>
      </c>
      <c r="L5" s="394">
        <f>+SUMIF(Seguimiento_PAA!$C$32:$C$967,E5,Seguimiento_PAA!$BJ$32:$BJ$967)</f>
        <v>0</v>
      </c>
      <c r="M5" s="401">
        <f t="shared" ref="M5:M50" si="2">IFERROR(L5/F5,0)</f>
        <v>0</v>
      </c>
      <c r="N5" s="394">
        <f>+SUMIF(Seguimiento_PAA!$C$32:$C$967,E5,Seguimiento_PAA!$CB$32:$CB$967)</f>
        <v>0</v>
      </c>
      <c r="O5" s="401">
        <f t="shared" ref="O5:O50" si="3">IFERROR(N5/L5,0)</f>
        <v>0</v>
      </c>
      <c r="Q5" s="394">
        <f t="shared" ref="Q5:Q51" si="4">+F5-L5</f>
        <v>0</v>
      </c>
      <c r="R5" s="401">
        <f>IFERROR(Q5/F5,0)</f>
        <v>0</v>
      </c>
    </row>
    <row r="6" spans="1:18" ht="24" customHeight="1" thickBot="1">
      <c r="A6" s="411" t="s">
        <v>528</v>
      </c>
      <c r="B6" s="412" t="s">
        <v>424</v>
      </c>
      <c r="C6" s="412" t="s">
        <v>332</v>
      </c>
      <c r="D6" s="412" t="str">
        <f>+VLOOKUP(C6,Listas!$A$279:$B$285,2,FALSE)</f>
        <v>01-12</v>
      </c>
      <c r="E6" s="412" t="str">
        <f t="shared" si="0"/>
        <v>1024-124-01-12-Sistematización de la experiencia</v>
      </c>
      <c r="F6" s="413">
        <f>+SUMIF(Seguimiento_PAA!$C$32:$C$967,E6,Seguimiento_PAA!$AB$32:$AB$967)</f>
        <v>0</v>
      </c>
      <c r="G6" s="413">
        <v>39091000</v>
      </c>
      <c r="H6" s="413">
        <f>+F6-G6</f>
        <v>-39091000</v>
      </c>
      <c r="I6" s="291"/>
      <c r="J6" s="413">
        <f>+SUMIF(Seguimiento_PAA!$C$32:$C$967,E6,Seguimiento_PAA!$BF$32:$BF$967)</f>
        <v>0</v>
      </c>
      <c r="K6" s="414">
        <f t="shared" si="1"/>
        <v>0</v>
      </c>
      <c r="L6" s="413">
        <f>+SUMIF(Seguimiento_PAA!$C$32:$C$967,E6,Seguimiento_PAA!$BJ$32:$BJ$967)</f>
        <v>0</v>
      </c>
      <c r="M6" s="414">
        <f t="shared" si="2"/>
        <v>0</v>
      </c>
      <c r="N6" s="413">
        <f>+SUMIF(Seguimiento_PAA!$C$32:$C$967,E6,Seguimiento_PAA!$CB$32:$CB$967)</f>
        <v>0</v>
      </c>
      <c r="O6" s="414">
        <f t="shared" si="3"/>
        <v>0</v>
      </c>
      <c r="Q6" s="413">
        <f t="shared" si="4"/>
        <v>0</v>
      </c>
      <c r="R6" s="414">
        <f>IFERROR(Q6/F6,0)</f>
        <v>0</v>
      </c>
    </row>
    <row r="7" spans="1:18" s="400" customFormat="1" ht="13.5" thickTop="1">
      <c r="A7" s="777" t="s">
        <v>547</v>
      </c>
      <c r="B7" s="777"/>
      <c r="C7" s="777"/>
      <c r="D7" s="408"/>
      <c r="E7" s="408"/>
      <c r="F7" s="409">
        <f>+SUM(F4:F6)</f>
        <v>0</v>
      </c>
      <c r="G7" s="409">
        <f>+SUM(G4:G6)</f>
        <v>580000000</v>
      </c>
      <c r="H7" s="409">
        <f>+SUM(H4:H6)</f>
        <v>-580000000</v>
      </c>
      <c r="J7" s="409">
        <f>+SUM(J4:J6)</f>
        <v>0</v>
      </c>
      <c r="K7" s="410" t="e">
        <f>+J7/F7</f>
        <v>#DIV/0!</v>
      </c>
      <c r="L7" s="409">
        <f>+SUM(L4:L6)</f>
        <v>0</v>
      </c>
      <c r="M7" s="410" t="e">
        <f>+L7/F7</f>
        <v>#DIV/0!</v>
      </c>
      <c r="N7" s="409">
        <f>+SUM(N4:N6)</f>
        <v>0</v>
      </c>
      <c r="O7" s="410" t="e">
        <f>+N7/L7</f>
        <v>#DIV/0!</v>
      </c>
      <c r="Q7" s="409">
        <f t="shared" si="4"/>
        <v>0</v>
      </c>
      <c r="R7" s="410" t="e">
        <f>+Q7/F7</f>
        <v>#DIV/0!</v>
      </c>
    </row>
    <row r="8" spans="1:18" s="400" customFormat="1">
      <c r="A8" s="407"/>
      <c r="B8" s="408"/>
      <c r="C8" s="408"/>
      <c r="D8" s="408"/>
      <c r="E8" s="408"/>
      <c r="F8" s="409"/>
      <c r="G8" s="409"/>
      <c r="H8" s="409"/>
      <c r="J8" s="409"/>
      <c r="K8" s="410"/>
      <c r="L8" s="409"/>
      <c r="M8" s="410"/>
      <c r="N8" s="409"/>
      <c r="O8" s="410"/>
      <c r="Q8" s="409"/>
      <c r="R8" s="410"/>
    </row>
    <row r="9" spans="1:18" ht="23.25" customHeight="1">
      <c r="A9" s="384" t="s">
        <v>529</v>
      </c>
      <c r="B9" s="388" t="s">
        <v>413</v>
      </c>
      <c r="C9" s="388" t="s">
        <v>332</v>
      </c>
      <c r="D9" s="388" t="str">
        <f>+VLOOKUP(C9,Listas!$A$279:$B$285,2,FALSE)</f>
        <v>01-12</v>
      </c>
      <c r="E9" s="388" t="str">
        <f t="shared" si="0"/>
        <v>1112-140-01-12-Instrumentos de gestión, financiación e incentivos</v>
      </c>
      <c r="F9" s="395">
        <f>+SUMIF(Seguimiento_PAA!$C$32:$C$967,E9,Seguimiento_PAA!$AB$32:$AB$967)</f>
        <v>0</v>
      </c>
      <c r="G9" s="395">
        <v>98820000</v>
      </c>
      <c r="H9" s="395">
        <f>+F9-G9</f>
        <v>-98820000</v>
      </c>
      <c r="I9" s="291"/>
      <c r="J9" s="395">
        <f>+SUMIF(Seguimiento_PAA!$C$32:$C$967,E9,Seguimiento_PAA!$BF$32:$BF$967)</f>
        <v>0</v>
      </c>
      <c r="K9" s="402">
        <f t="shared" si="1"/>
        <v>0</v>
      </c>
      <c r="L9" s="395">
        <f>+SUMIF(Seguimiento_PAA!$C$32:$C$967,E9,Seguimiento_PAA!$BJ$32:$BJ$967)</f>
        <v>0</v>
      </c>
      <c r="M9" s="402">
        <f t="shared" si="2"/>
        <v>0</v>
      </c>
      <c r="N9" s="395">
        <f>+SUMIF(Seguimiento_PAA!$C$32:$C$967,E9,Seguimiento_PAA!$CB$32:$CB$967)</f>
        <v>0</v>
      </c>
      <c r="O9" s="402">
        <f t="shared" si="3"/>
        <v>0</v>
      </c>
      <c r="Q9" s="395">
        <f t="shared" si="4"/>
        <v>0</v>
      </c>
      <c r="R9" s="402">
        <f>IFERROR(Q9/F9,0)</f>
        <v>0</v>
      </c>
    </row>
    <row r="10" spans="1:18" ht="22.5" customHeight="1">
      <c r="A10" s="384" t="s">
        <v>529</v>
      </c>
      <c r="B10" s="388" t="s">
        <v>126</v>
      </c>
      <c r="C10" s="388" t="s">
        <v>332</v>
      </c>
      <c r="D10" s="388" t="str">
        <f>+VLOOKUP(C10,Listas!$A$279:$B$285,2,FALSE)</f>
        <v>01-12</v>
      </c>
      <c r="E10" s="388" t="str">
        <f t="shared" si="0"/>
        <v>1112-140-01-12-Plan especial de manejo y protección del centro histórico</v>
      </c>
      <c r="F10" s="395">
        <f>+SUMIF(Seguimiento_PAA!$C$32:$C$967,E10,Seguimiento_PAA!$AB$32:$AB$967)</f>
        <v>0</v>
      </c>
      <c r="G10" s="395">
        <v>1996278000</v>
      </c>
      <c r="H10" s="395">
        <f>+F10-G10</f>
        <v>-1996278000</v>
      </c>
      <c r="I10" s="291"/>
      <c r="J10" s="395">
        <f>+SUMIF(Seguimiento_PAA!$C$32:$C$967,E10,Seguimiento_PAA!$BF$32:$BF$967)</f>
        <v>0</v>
      </c>
      <c r="K10" s="402">
        <f t="shared" si="1"/>
        <v>0</v>
      </c>
      <c r="L10" s="395">
        <f>+SUMIF(Seguimiento_PAA!$C$32:$C$967,E10,Seguimiento_PAA!$BJ$32:$BJ$967)</f>
        <v>0</v>
      </c>
      <c r="M10" s="402">
        <f t="shared" si="2"/>
        <v>0</v>
      </c>
      <c r="N10" s="395">
        <f>+SUMIF(Seguimiento_PAA!$C$32:$C$967,E10,Seguimiento_PAA!$CB$32:$CB$967)</f>
        <v>0</v>
      </c>
      <c r="O10" s="402">
        <f t="shared" si="3"/>
        <v>0</v>
      </c>
      <c r="Q10" s="395">
        <f t="shared" si="4"/>
        <v>0</v>
      </c>
      <c r="R10" s="402">
        <f>IFERROR(Q10/F10,0)</f>
        <v>0</v>
      </c>
    </row>
    <row r="11" spans="1:18" ht="23.25" customHeight="1" thickBot="1">
      <c r="A11" s="417" t="s">
        <v>529</v>
      </c>
      <c r="B11" s="418" t="s">
        <v>127</v>
      </c>
      <c r="C11" s="418" t="s">
        <v>332</v>
      </c>
      <c r="D11" s="418" t="str">
        <f>+VLOOKUP(C11,Listas!$A$279:$B$285,2,FALSE)</f>
        <v>01-12</v>
      </c>
      <c r="E11" s="418" t="str">
        <f t="shared" si="0"/>
        <v>1112-140-01-12-Planes y proyectos urbanos en ámbitos patrimoniales</v>
      </c>
      <c r="F11" s="415">
        <f>+SUMIF(Seguimiento_PAA!$C$32:$C$967,E11,Seguimiento_PAA!$AB$32:$AB$967)</f>
        <v>0</v>
      </c>
      <c r="G11" s="415">
        <v>101440000</v>
      </c>
      <c r="H11" s="415">
        <f>+F11-G11</f>
        <v>-101440000</v>
      </c>
      <c r="I11" s="291"/>
      <c r="J11" s="415">
        <f>+SUMIF(Seguimiento_PAA!$C$32:$C$967,E11,Seguimiento_PAA!$BF$32:$BF$967)</f>
        <v>0</v>
      </c>
      <c r="K11" s="416">
        <f t="shared" si="1"/>
        <v>0</v>
      </c>
      <c r="L11" s="415">
        <f>+SUMIF(Seguimiento_PAA!$C$32:$C$967,E11,Seguimiento_PAA!$BJ$32:$BJ$967)</f>
        <v>0</v>
      </c>
      <c r="M11" s="416">
        <f t="shared" si="2"/>
        <v>0</v>
      </c>
      <c r="N11" s="415">
        <f>+SUMIF(Seguimiento_PAA!$C$32:$C$967,E11,Seguimiento_PAA!$CB$32:$CB$967)</f>
        <v>0</v>
      </c>
      <c r="O11" s="416">
        <f t="shared" si="3"/>
        <v>0</v>
      </c>
      <c r="Q11" s="415">
        <f t="shared" si="4"/>
        <v>0</v>
      </c>
      <c r="R11" s="416">
        <f>IFERROR(Q11/F11,0)</f>
        <v>0</v>
      </c>
    </row>
    <row r="12" spans="1:18" s="400" customFormat="1" ht="13.5" thickTop="1">
      <c r="A12" s="777" t="s">
        <v>548</v>
      </c>
      <c r="B12" s="777"/>
      <c r="C12" s="777"/>
      <c r="D12" s="408"/>
      <c r="E12" s="408"/>
      <c r="F12" s="409">
        <f>+SUM(F9:F11)</f>
        <v>0</v>
      </c>
      <c r="G12" s="409">
        <f>+SUM(G9:G11)</f>
        <v>2196538000</v>
      </c>
      <c r="H12" s="409">
        <f>+SUM(H9:H11)</f>
        <v>-2196538000</v>
      </c>
      <c r="J12" s="409">
        <f>+SUM(J9:J11)</f>
        <v>0</v>
      </c>
      <c r="K12" s="410" t="e">
        <f>+J12/F12</f>
        <v>#DIV/0!</v>
      </c>
      <c r="L12" s="409">
        <f>+SUM(L9:L11)</f>
        <v>0</v>
      </c>
      <c r="M12" s="410" t="e">
        <f>+L12/F12</f>
        <v>#DIV/0!</v>
      </c>
      <c r="N12" s="409">
        <f>+SUM(N9:N11)</f>
        <v>0</v>
      </c>
      <c r="O12" s="410" t="e">
        <f>+N12/L12</f>
        <v>#DIV/0!</v>
      </c>
      <c r="Q12" s="409">
        <f t="shared" si="4"/>
        <v>0</v>
      </c>
      <c r="R12" s="410" t="e">
        <f>+Q12/F12</f>
        <v>#DIV/0!</v>
      </c>
    </row>
    <row r="13" spans="1:18" s="400" customFormat="1">
      <c r="A13" s="407"/>
      <c r="B13" s="408"/>
      <c r="C13" s="408"/>
      <c r="D13" s="408"/>
      <c r="E13" s="408"/>
      <c r="F13" s="409"/>
      <c r="G13" s="409"/>
      <c r="H13" s="409"/>
      <c r="J13" s="409"/>
      <c r="K13" s="410"/>
      <c r="L13" s="409"/>
      <c r="M13" s="410"/>
      <c r="N13" s="409"/>
      <c r="O13" s="410"/>
      <c r="Q13" s="409"/>
      <c r="R13" s="410"/>
    </row>
    <row r="14" spans="1:18" ht="25.5" customHeight="1">
      <c r="A14" s="385" t="s">
        <v>530</v>
      </c>
      <c r="B14" s="570" t="s">
        <v>135</v>
      </c>
      <c r="C14" s="389" t="s">
        <v>332</v>
      </c>
      <c r="D14" s="389" t="str">
        <f>+VLOOKUP(C14,Listas!$A$279:$B$285,2,FALSE)</f>
        <v>01-12</v>
      </c>
      <c r="E14" s="389" t="str">
        <f t="shared" si="0"/>
        <v>1114-140-01-12-Actividades de seguimiento arqueológico en intervenciones y acciones sobre bienes de interés cultural</v>
      </c>
      <c r="F14" s="396">
        <f>+SUMIF(Seguimiento_PAA!$C$32:$C$967,E14,Seguimiento_PAA!$AB$32:$AB$967)</f>
        <v>0</v>
      </c>
      <c r="G14" s="396">
        <v>62000000</v>
      </c>
      <c r="H14" s="396">
        <f>+F14-G14</f>
        <v>-62000000</v>
      </c>
      <c r="I14" s="291"/>
      <c r="J14" s="396">
        <f>+SUMIF(Seguimiento_PAA!$C$32:$C$967,E14,Seguimiento_PAA!$BF$32:$BF$967)</f>
        <v>0</v>
      </c>
      <c r="K14" s="403">
        <f t="shared" si="1"/>
        <v>0</v>
      </c>
      <c r="L14" s="396">
        <f>+SUMIF(Seguimiento_PAA!$C$32:$C$967,E14,Seguimiento_PAA!$BJ$32:$BJ$967)</f>
        <v>0</v>
      </c>
      <c r="M14" s="403">
        <f t="shared" si="2"/>
        <v>0</v>
      </c>
      <c r="N14" s="396">
        <f>+SUMIF(Seguimiento_PAA!$C$32:$C$967,E14,Seguimiento_PAA!$CB$32:$CB$967)</f>
        <v>0</v>
      </c>
      <c r="O14" s="403">
        <f t="shared" si="3"/>
        <v>0</v>
      </c>
      <c r="Q14" s="396">
        <f t="shared" si="4"/>
        <v>0</v>
      </c>
      <c r="R14" s="403">
        <f>IFERROR(Q14/F14,0)</f>
        <v>0</v>
      </c>
    </row>
    <row r="15" spans="1:18" ht="25.5" customHeight="1">
      <c r="A15" s="385" t="s">
        <v>530</v>
      </c>
      <c r="B15" s="570" t="s">
        <v>391</v>
      </c>
      <c r="C15" s="389" t="s">
        <v>332</v>
      </c>
      <c r="D15" s="389" t="str">
        <f>+VLOOKUP(C15,Listas!$A$279:$B$285,2,FALSE)</f>
        <v>01-12</v>
      </c>
      <c r="E15" s="389" t="str">
        <f t="shared" si="0"/>
        <v>1114-140-01-12-Asesoría técnica para la protección y promoción del patrimonio cultural material del distrito capital</v>
      </c>
      <c r="F15" s="396">
        <f>+SUMIF(Seguimiento_PAA!$C$32:$C$967,E15,Seguimiento_PAA!$AB$32:$AB$967)</f>
        <v>0</v>
      </c>
      <c r="G15" s="396">
        <v>1829000000</v>
      </c>
      <c r="H15" s="396">
        <f>+F15-G15</f>
        <v>-1829000000</v>
      </c>
      <c r="I15" s="291"/>
      <c r="J15" s="396">
        <f>+SUMIF(Seguimiento_PAA!$C$32:$C$967,E15,Seguimiento_PAA!$BF$32:$BF$967)</f>
        <v>0</v>
      </c>
      <c r="K15" s="403">
        <f t="shared" si="1"/>
        <v>0</v>
      </c>
      <c r="L15" s="396">
        <f>+SUMIF(Seguimiento_PAA!$C$32:$C$967,E15,Seguimiento_PAA!$BJ$32:$BJ$967)</f>
        <v>0</v>
      </c>
      <c r="M15" s="403">
        <f t="shared" si="2"/>
        <v>0</v>
      </c>
      <c r="N15" s="396">
        <f>+SUMIF(Seguimiento_PAA!$C$32:$C$967,E15,Seguimiento_PAA!$CB$32:$CB$967)</f>
        <v>0</v>
      </c>
      <c r="O15" s="403">
        <f t="shared" si="3"/>
        <v>0</v>
      </c>
      <c r="Q15" s="396">
        <f t="shared" si="4"/>
        <v>0</v>
      </c>
      <c r="R15" s="403">
        <f t="shared" ref="R15:R34" si="5">IFERROR(Q15/F15,0)</f>
        <v>0</v>
      </c>
    </row>
    <row r="16" spans="1:18" ht="25.5" customHeight="1">
      <c r="A16" s="385" t="s">
        <v>530</v>
      </c>
      <c r="B16" s="570" t="s">
        <v>581</v>
      </c>
      <c r="C16" s="389" t="s">
        <v>332</v>
      </c>
      <c r="D16" s="389" t="str">
        <f>+VLOOKUP(C16,Listas!$A$279:$B$285,2,FALSE)</f>
        <v>01-12</v>
      </c>
      <c r="E16" s="389" t="str">
        <f t="shared" si="0"/>
        <v>1114-140-01-12-Bienes de Interés Cultural de tipo inmueble intervenidos  (Proyecto Galerías Liévano)</v>
      </c>
      <c r="F16" s="396">
        <f>+SUMIF(Seguimiento_PAA!$C$32:$C$967,E16,Seguimiento_PAA!$AB$32:$AB$967)</f>
        <v>0</v>
      </c>
      <c r="G16" s="396">
        <v>200000000</v>
      </c>
      <c r="H16" s="396">
        <f t="shared" ref="H16:H34" si="6">+F16-G16</f>
        <v>-200000000</v>
      </c>
      <c r="I16" s="291"/>
      <c r="J16" s="396">
        <f>+SUMIF(Seguimiento_PAA!$C$32:$C$967,E16,Seguimiento_PAA!$BF$32:$BF$967)</f>
        <v>0</v>
      </c>
      <c r="K16" s="403">
        <f t="shared" si="1"/>
        <v>0</v>
      </c>
      <c r="L16" s="396">
        <f>+SUMIF(Seguimiento_PAA!$C$32:$C$967,E16,Seguimiento_PAA!$BJ$32:$BJ$967)</f>
        <v>0</v>
      </c>
      <c r="M16" s="403">
        <f t="shared" si="2"/>
        <v>0</v>
      </c>
      <c r="N16" s="396">
        <f>+SUMIF(Seguimiento_PAA!$C$32:$C$967,E16,Seguimiento_PAA!$CB$32:$CB$967)</f>
        <v>0</v>
      </c>
      <c r="O16" s="403">
        <f t="shared" si="3"/>
        <v>0</v>
      </c>
      <c r="Q16" s="396">
        <f t="shared" si="4"/>
        <v>0</v>
      </c>
      <c r="R16" s="403">
        <f t="shared" si="5"/>
        <v>0</v>
      </c>
    </row>
    <row r="17" spans="1:18" ht="25.5" customHeight="1">
      <c r="A17" s="385" t="s">
        <v>530</v>
      </c>
      <c r="B17" s="570" t="s">
        <v>73</v>
      </c>
      <c r="C17" s="389" t="s">
        <v>332</v>
      </c>
      <c r="D17" s="389" t="str">
        <f>+VLOOKUP(C17,Listas!$A$279:$B$285,2,FALSE)</f>
        <v>01-12</v>
      </c>
      <c r="E17" s="389" t="str">
        <f t="shared" si="0"/>
        <v>1114-140-01-12-Bienes de Interés Cultural de tipo inmueble intervenidos (Casa Colorada)</v>
      </c>
      <c r="F17" s="396">
        <f>+SUMIF(Seguimiento_PAA!$C$32:$C$967,E17,Seguimiento_PAA!$AB$32:$AB$967)</f>
        <v>0</v>
      </c>
      <c r="G17" s="396">
        <v>150000000</v>
      </c>
      <c r="H17" s="396">
        <f t="shared" si="6"/>
        <v>-150000000</v>
      </c>
      <c r="I17" s="291"/>
      <c r="J17" s="396">
        <f>+SUMIF(Seguimiento_PAA!$C$32:$C$967,E17,Seguimiento_PAA!$BF$32:$BF$967)</f>
        <v>0</v>
      </c>
      <c r="K17" s="403">
        <f t="shared" si="1"/>
        <v>0</v>
      </c>
      <c r="L17" s="396">
        <f>+SUMIF(Seguimiento_PAA!$C$32:$C$967,E17,Seguimiento_PAA!$BJ$32:$BJ$967)</f>
        <v>0</v>
      </c>
      <c r="M17" s="403">
        <f t="shared" si="2"/>
        <v>0</v>
      </c>
      <c r="N17" s="396">
        <f>+SUMIF(Seguimiento_PAA!$C$32:$C$967,E17,Seguimiento_PAA!$CB$32:$CB$967)</f>
        <v>0</v>
      </c>
      <c r="O17" s="403">
        <f t="shared" si="3"/>
        <v>0</v>
      </c>
      <c r="Q17" s="396">
        <f t="shared" si="4"/>
        <v>0</v>
      </c>
      <c r="R17" s="403">
        <f t="shared" si="5"/>
        <v>0</v>
      </c>
    </row>
    <row r="18" spans="1:18" ht="25.5" customHeight="1">
      <c r="A18" s="385" t="s">
        <v>530</v>
      </c>
      <c r="B18" s="570" t="s">
        <v>411</v>
      </c>
      <c r="C18" s="389" t="s">
        <v>336</v>
      </c>
      <c r="D18" s="389" t="str">
        <f>+VLOOKUP(C18,Listas!$A$279:$B$285,2,FALSE)</f>
        <v>03-20</v>
      </c>
      <c r="E18" s="389" t="str">
        <f t="shared" si="0"/>
        <v>1114-140-03-20-Bienes de Interés Cultural de tipo inmueble intervenidos (Edificio Claustro del Concejo de Bogotá -rampa-)</v>
      </c>
      <c r="F18" s="396">
        <f>+SUMIF(Seguimiento_PAA!$C$32:$C$967,E18,Seguimiento_PAA!$AB$32:$AB$967)</f>
        <v>0</v>
      </c>
      <c r="G18" s="396">
        <v>191000000</v>
      </c>
      <c r="H18" s="396">
        <f t="shared" si="6"/>
        <v>-191000000</v>
      </c>
      <c r="I18" s="291"/>
      <c r="J18" s="396">
        <f>+SUMIF(Seguimiento_PAA!$C$32:$C$967,E18,Seguimiento_PAA!$BF$32:$BF$967)</f>
        <v>0</v>
      </c>
      <c r="K18" s="403">
        <f t="shared" si="1"/>
        <v>0</v>
      </c>
      <c r="L18" s="396">
        <f>+SUMIF(Seguimiento_PAA!$C$32:$C$967,E18,Seguimiento_PAA!$BJ$32:$BJ$967)</f>
        <v>0</v>
      </c>
      <c r="M18" s="403">
        <f t="shared" si="2"/>
        <v>0</v>
      </c>
      <c r="N18" s="396">
        <f>+SUMIF(Seguimiento_PAA!$C$32:$C$967,E18,Seguimiento_PAA!$CB$32:$CB$967)</f>
        <v>0</v>
      </c>
      <c r="O18" s="403">
        <f t="shared" si="3"/>
        <v>0</v>
      </c>
      <c r="Q18" s="396">
        <f t="shared" si="4"/>
        <v>0</v>
      </c>
      <c r="R18" s="403">
        <f t="shared" si="5"/>
        <v>0</v>
      </c>
    </row>
    <row r="19" spans="1:18" ht="25.5" customHeight="1">
      <c r="A19" s="385" t="s">
        <v>530</v>
      </c>
      <c r="B19" s="570" t="s">
        <v>132</v>
      </c>
      <c r="C19" s="389" t="s">
        <v>336</v>
      </c>
      <c r="D19" s="389" t="str">
        <f>+VLOOKUP(C19,Listas!$A$279:$B$285,2,FALSE)</f>
        <v>03-20</v>
      </c>
      <c r="E19" s="389" t="str">
        <f t="shared" si="0"/>
        <v>1114-140-03-20-Bienes de Interés Cultural de tipo inmueble intervenidos (Ermita de San Miguel - Calle del embudo)</v>
      </c>
      <c r="F19" s="396">
        <f>+SUMIF(Seguimiento_PAA!$C$32:$C$967,E19,Seguimiento_PAA!$AB$32:$AB$967)</f>
        <v>0</v>
      </c>
      <c r="G19" s="396">
        <v>800000000</v>
      </c>
      <c r="H19" s="396">
        <f t="shared" si="6"/>
        <v>-800000000</v>
      </c>
      <c r="I19" s="291"/>
      <c r="J19" s="396">
        <f>+SUMIF(Seguimiento_PAA!$C$32:$C$967,E19,Seguimiento_PAA!$BF$32:$BF$967)</f>
        <v>0</v>
      </c>
      <c r="K19" s="403">
        <f t="shared" si="1"/>
        <v>0</v>
      </c>
      <c r="L19" s="396">
        <f>+SUMIF(Seguimiento_PAA!$C$32:$C$967,E19,Seguimiento_PAA!$BJ$32:$BJ$967)</f>
        <v>0</v>
      </c>
      <c r="M19" s="403">
        <f t="shared" si="2"/>
        <v>0</v>
      </c>
      <c r="N19" s="396">
        <f>+SUMIF(Seguimiento_PAA!$C$32:$C$967,E19,Seguimiento_PAA!$CB$32:$CB$967)</f>
        <v>0</v>
      </c>
      <c r="O19" s="403">
        <f t="shared" si="3"/>
        <v>0</v>
      </c>
      <c r="Q19" s="396">
        <f t="shared" si="4"/>
        <v>0</v>
      </c>
      <c r="R19" s="403">
        <f t="shared" si="5"/>
        <v>0</v>
      </c>
    </row>
    <row r="20" spans="1:18" ht="25.5" customHeight="1">
      <c r="A20" s="385" t="s">
        <v>530</v>
      </c>
      <c r="B20" s="570" t="s">
        <v>580</v>
      </c>
      <c r="C20" s="389" t="s">
        <v>336</v>
      </c>
      <c r="D20" s="389" t="str">
        <f>+VLOOKUP(C20,Listas!$A$279:$B$285,2,FALSE)</f>
        <v>03-20</v>
      </c>
      <c r="E20" s="389" t="str">
        <f t="shared" si="0"/>
        <v>1114-140-03-20-Bienes de Interés Cultural de tipo inmueble intervenidos (La Concordia III etapa  y Galería de Arte Santafe)</v>
      </c>
      <c r="F20" s="396">
        <f>+SUMIF(Seguimiento_PAA!$C$32:$C$967,E20,Seguimiento_PAA!$AB$32:$AB$967)</f>
        <v>0</v>
      </c>
      <c r="G20" s="396">
        <v>1358000000</v>
      </c>
      <c r="H20" s="396">
        <f t="shared" si="6"/>
        <v>-1358000000</v>
      </c>
      <c r="I20" s="291"/>
      <c r="J20" s="396">
        <f>+SUMIF(Seguimiento_PAA!$C$32:$C$967,E20,Seguimiento_PAA!$BF$32:$BF$967)</f>
        <v>0</v>
      </c>
      <c r="K20" s="403">
        <f t="shared" si="1"/>
        <v>0</v>
      </c>
      <c r="L20" s="396">
        <f>+SUMIF(Seguimiento_PAA!$C$32:$C$967,E20,Seguimiento_PAA!$BJ$32:$BJ$967)</f>
        <v>0</v>
      </c>
      <c r="M20" s="403">
        <f t="shared" si="2"/>
        <v>0</v>
      </c>
      <c r="N20" s="396">
        <f>+SUMIF(Seguimiento_PAA!$C$32:$C$967,E20,Seguimiento_PAA!$CB$32:$CB$967)</f>
        <v>0</v>
      </c>
      <c r="O20" s="403">
        <f t="shared" si="3"/>
        <v>0</v>
      </c>
      <c r="Q20" s="396">
        <f t="shared" si="4"/>
        <v>0</v>
      </c>
      <c r="R20" s="403">
        <f t="shared" si="5"/>
        <v>0</v>
      </c>
    </row>
    <row r="21" spans="1:18" ht="25.5" customHeight="1">
      <c r="A21" s="385" t="s">
        <v>530</v>
      </c>
      <c r="B21" s="570" t="s">
        <v>395</v>
      </c>
      <c r="C21" s="389" t="s">
        <v>336</v>
      </c>
      <c r="D21" s="389" t="str">
        <f>+VLOOKUP(C21,Listas!$A$279:$B$285,2,FALSE)</f>
        <v>03-20</v>
      </c>
      <c r="E21" s="389" t="str">
        <f t="shared" si="0"/>
        <v>1114-140-03-20-Bienes de Interés Cultural de tipo inmueble intervenidos (Palacio Liévano -obras de restauración fachada-)</v>
      </c>
      <c r="F21" s="396">
        <f>+SUMIF(Seguimiento_PAA!$C$32:$C$967,E21,Seguimiento_PAA!$AB$32:$AB$967)</f>
        <v>0</v>
      </c>
      <c r="G21" s="396">
        <v>1401000000</v>
      </c>
      <c r="H21" s="396">
        <f t="shared" si="6"/>
        <v>-1401000000</v>
      </c>
      <c r="I21" s="291"/>
      <c r="J21" s="396">
        <f>+SUMIF(Seguimiento_PAA!$C$32:$C$967,E21,Seguimiento_PAA!$BF$32:$BF$967)</f>
        <v>0</v>
      </c>
      <c r="K21" s="403">
        <f t="shared" si="1"/>
        <v>0</v>
      </c>
      <c r="L21" s="396">
        <f>+SUMIF(Seguimiento_PAA!$C$32:$C$967,E21,Seguimiento_PAA!$BJ$32:$BJ$967)</f>
        <v>0</v>
      </c>
      <c r="M21" s="403">
        <f t="shared" si="2"/>
        <v>0</v>
      </c>
      <c r="N21" s="396">
        <f>+SUMIF(Seguimiento_PAA!$C$32:$C$967,E21,Seguimiento_PAA!$CB$32:$CB$967)</f>
        <v>0</v>
      </c>
      <c r="O21" s="403">
        <f t="shared" si="3"/>
        <v>0</v>
      </c>
      <c r="Q21" s="396">
        <f t="shared" si="4"/>
        <v>0</v>
      </c>
      <c r="R21" s="403">
        <f t="shared" si="5"/>
        <v>0</v>
      </c>
    </row>
    <row r="22" spans="1:18" ht="25.5" customHeight="1">
      <c r="A22" s="385" t="s">
        <v>530</v>
      </c>
      <c r="B22" s="570" t="s">
        <v>425</v>
      </c>
      <c r="C22" s="389" t="s">
        <v>332</v>
      </c>
      <c r="D22" s="389" t="str">
        <f>+VLOOKUP(C22,Listas!$A$279:$B$285,2,FALSE)</f>
        <v>01-12</v>
      </c>
      <c r="E22" s="389" t="str">
        <f t="shared" si="0"/>
        <v>1114-140-01-12-Bienes de Interés Cultural de tipo inmueble intervenidos (Plaza Santamaría)</v>
      </c>
      <c r="F22" s="396">
        <f>+SUMIF(Seguimiento_PAA!$C$32:$C$967,E22,Seguimiento_PAA!$AB$32:$AB$967)</f>
        <v>0</v>
      </c>
      <c r="G22" s="396">
        <v>500000000</v>
      </c>
      <c r="H22" s="396">
        <f t="shared" si="6"/>
        <v>-500000000</v>
      </c>
      <c r="I22" s="291"/>
      <c r="J22" s="396">
        <f>+SUMIF(Seguimiento_PAA!$C$32:$C$967,E22,Seguimiento_PAA!$BF$32:$BF$967)</f>
        <v>0</v>
      </c>
      <c r="K22" s="403">
        <f t="shared" si="1"/>
        <v>0</v>
      </c>
      <c r="L22" s="396">
        <f>+SUMIF(Seguimiento_PAA!$C$32:$C$967,E22,Seguimiento_PAA!$BJ$32:$BJ$967)</f>
        <v>0</v>
      </c>
      <c r="M22" s="403">
        <f t="shared" si="2"/>
        <v>0</v>
      </c>
      <c r="N22" s="396">
        <f>+SUMIF(Seguimiento_PAA!$C$32:$C$967,E22,Seguimiento_PAA!$CB$32:$CB$967)</f>
        <v>0</v>
      </c>
      <c r="O22" s="403">
        <f t="shared" si="3"/>
        <v>0</v>
      </c>
      <c r="Q22" s="396">
        <f t="shared" si="4"/>
        <v>0</v>
      </c>
      <c r="R22" s="403">
        <f t="shared" si="5"/>
        <v>0</v>
      </c>
    </row>
    <row r="23" spans="1:18" ht="25.5" customHeight="1">
      <c r="A23" s="385" t="s">
        <v>530</v>
      </c>
      <c r="B23" s="570" t="s">
        <v>71</v>
      </c>
      <c r="C23" s="389" t="s">
        <v>332</v>
      </c>
      <c r="D23" s="389" t="str">
        <f>+VLOOKUP(C23,Listas!$A$279:$B$285,2,FALSE)</f>
        <v>01-12</v>
      </c>
      <c r="E23" s="389" t="str">
        <f t="shared" si="0"/>
        <v>1114-140-01-12-Bienes de Interés Cultural de tipo inmueble intervenidos (sede Casa Tito)</v>
      </c>
      <c r="F23" s="396">
        <f>+SUMIF(Seguimiento_PAA!$C$32:$C$967,E23,Seguimiento_PAA!$AB$32:$AB$967)</f>
        <v>0</v>
      </c>
      <c r="G23" s="396">
        <v>1000000000</v>
      </c>
      <c r="H23" s="396">
        <f t="shared" si="6"/>
        <v>-1000000000</v>
      </c>
      <c r="I23" s="291"/>
      <c r="J23" s="396">
        <f>+SUMIF(Seguimiento_PAA!$C$32:$C$967,E23,Seguimiento_PAA!$BF$32:$BF$967)</f>
        <v>0</v>
      </c>
      <c r="K23" s="403">
        <f t="shared" si="1"/>
        <v>0</v>
      </c>
      <c r="L23" s="396">
        <f>+SUMIF(Seguimiento_PAA!$C$32:$C$967,E23,Seguimiento_PAA!$BJ$32:$BJ$967)</f>
        <v>0</v>
      </c>
      <c r="M23" s="403">
        <f t="shared" si="2"/>
        <v>0</v>
      </c>
      <c r="N23" s="396">
        <f>+SUMIF(Seguimiento_PAA!$C$32:$C$967,E23,Seguimiento_PAA!$CB$32:$CB$967)</f>
        <v>0</v>
      </c>
      <c r="O23" s="403">
        <f t="shared" si="3"/>
        <v>0</v>
      </c>
      <c r="Q23" s="396">
        <f t="shared" si="4"/>
        <v>0</v>
      </c>
      <c r="R23" s="403">
        <f t="shared" si="5"/>
        <v>0</v>
      </c>
    </row>
    <row r="24" spans="1:18" ht="25.5" customHeight="1">
      <c r="A24" s="385" t="s">
        <v>530</v>
      </c>
      <c r="B24" s="570" t="s">
        <v>72</v>
      </c>
      <c r="C24" s="389" t="s">
        <v>332</v>
      </c>
      <c r="D24" s="389" t="str">
        <f>+VLOOKUP(C24,Listas!$A$279:$B$285,2,FALSE)</f>
        <v>01-12</v>
      </c>
      <c r="E24" s="389" t="str">
        <f t="shared" si="0"/>
        <v>1114-140-01-12-Bienes de Interés Cultural de tipo inmueble intervenidos (sede principal)</v>
      </c>
      <c r="F24" s="396">
        <f>+SUMIF(Seguimiento_PAA!$C$32:$C$967,E24,Seguimiento_PAA!$AB$32:$AB$967)</f>
        <v>0</v>
      </c>
      <c r="G24" s="396">
        <v>550000000</v>
      </c>
      <c r="H24" s="396">
        <f t="shared" si="6"/>
        <v>-550000000</v>
      </c>
      <c r="I24" s="291"/>
      <c r="J24" s="396">
        <f>+SUMIF(Seguimiento_PAA!$C$32:$C$967,E24,Seguimiento_PAA!$BF$32:$BF$967)</f>
        <v>0</v>
      </c>
      <c r="K24" s="403">
        <f t="shared" si="1"/>
        <v>0</v>
      </c>
      <c r="L24" s="396">
        <f>+SUMIF(Seguimiento_PAA!$C$32:$C$967,E24,Seguimiento_PAA!$BJ$32:$BJ$967)</f>
        <v>0</v>
      </c>
      <c r="M24" s="403">
        <f t="shared" si="2"/>
        <v>0</v>
      </c>
      <c r="N24" s="396">
        <f>+SUMIF(Seguimiento_PAA!$C$32:$C$967,E24,Seguimiento_PAA!$CB$32:$CB$967)</f>
        <v>0</v>
      </c>
      <c r="O24" s="403">
        <f t="shared" si="3"/>
        <v>0</v>
      </c>
      <c r="Q24" s="396">
        <f t="shared" si="4"/>
        <v>0</v>
      </c>
      <c r="R24" s="403">
        <f t="shared" si="5"/>
        <v>0</v>
      </c>
    </row>
    <row r="25" spans="1:18" ht="25.5" customHeight="1">
      <c r="A25" s="385" t="s">
        <v>530</v>
      </c>
      <c r="B25" s="570" t="s">
        <v>566</v>
      </c>
      <c r="C25" s="389" t="s">
        <v>332</v>
      </c>
      <c r="D25" s="389" t="str">
        <f>+VLOOKUP(C25,Listas!$A$279:$B$285,2,FALSE)</f>
        <v>01-12</v>
      </c>
      <c r="E25" s="389" t="str">
        <f t="shared" si="0"/>
        <v>1114-140-01-12-Bienes de Interés Cultural de tipo inmueble intervenidos (Voto Nacional II etapa cúpula y presbiterio)</v>
      </c>
      <c r="F25" s="396">
        <f>+SUMIF(Seguimiento_PAA!$C$32:$C$967,E25,Seguimiento_PAA!$AB$32:$AB$967)</f>
        <v>0</v>
      </c>
      <c r="G25" s="396">
        <v>4211567000</v>
      </c>
      <c r="H25" s="396">
        <f t="shared" si="6"/>
        <v>-4211567000</v>
      </c>
      <c r="I25" s="291"/>
      <c r="J25" s="396">
        <f>+SUMIF(Seguimiento_PAA!$C$32:$C$967,E25,Seguimiento_PAA!$BF$32:$BF$967)</f>
        <v>0</v>
      </c>
      <c r="K25" s="403">
        <f t="shared" si="1"/>
        <v>0</v>
      </c>
      <c r="L25" s="396">
        <f>+SUMIF(Seguimiento_PAA!$C$32:$C$967,E25,Seguimiento_PAA!$BJ$32:$BJ$967)</f>
        <v>0</v>
      </c>
      <c r="M25" s="403">
        <f t="shared" si="2"/>
        <v>0</v>
      </c>
      <c r="N25" s="396">
        <f>+SUMIF(Seguimiento_PAA!$C$32:$C$967,E25,Seguimiento_PAA!$CB$32:$CB$967)</f>
        <v>0</v>
      </c>
      <c r="O25" s="403">
        <f t="shared" si="3"/>
        <v>0</v>
      </c>
      <c r="Q25" s="396">
        <f t="shared" si="4"/>
        <v>0</v>
      </c>
      <c r="R25" s="403">
        <f t="shared" si="5"/>
        <v>0</v>
      </c>
    </row>
    <row r="26" spans="1:18" ht="25.5" customHeight="1">
      <c r="A26" s="385" t="s">
        <v>530</v>
      </c>
      <c r="B26" s="570" t="s">
        <v>566</v>
      </c>
      <c r="C26" s="389" t="s">
        <v>333</v>
      </c>
      <c r="D26" s="389" t="str">
        <f>+VLOOKUP(C26,Listas!$A$279:$B$285,2,FALSE)</f>
        <v>01-265</v>
      </c>
      <c r="E26" s="389" t="str">
        <f t="shared" si="0"/>
        <v>1114-140-01-265-Bienes de Interés Cultural de tipo inmueble intervenidos (Voto Nacional II etapa cúpula y presbiterio)</v>
      </c>
      <c r="F26" s="396">
        <f>+SUMIF(Seguimiento_PAA!$C$32:$C$967,E26,Seguimiento_PAA!$AB$32:$AB$967)</f>
        <v>0</v>
      </c>
      <c r="G26" s="396">
        <v>2286000</v>
      </c>
      <c r="H26" s="396">
        <f t="shared" si="6"/>
        <v>-2286000</v>
      </c>
      <c r="I26" s="291"/>
      <c r="J26" s="396">
        <f>+SUMIF(Seguimiento_PAA!$C$32:$C$967,E26,Seguimiento_PAA!$BF$32:$BF$967)</f>
        <v>0</v>
      </c>
      <c r="K26" s="403">
        <f t="shared" si="1"/>
        <v>0</v>
      </c>
      <c r="L26" s="396">
        <f>+SUMIF(Seguimiento_PAA!$C$32:$C$967,E26,Seguimiento_PAA!$BJ$32:$BJ$967)</f>
        <v>0</v>
      </c>
      <c r="M26" s="403">
        <f t="shared" si="2"/>
        <v>0</v>
      </c>
      <c r="N26" s="396">
        <f>+SUMIF(Seguimiento_PAA!$C$32:$C$967,E26,Seguimiento_PAA!$CB$32:$CB$967)</f>
        <v>0</v>
      </c>
      <c r="O26" s="403">
        <f t="shared" si="3"/>
        <v>0</v>
      </c>
      <c r="Q26" s="396">
        <f t="shared" si="4"/>
        <v>0</v>
      </c>
      <c r="R26" s="403">
        <f t="shared" si="5"/>
        <v>0</v>
      </c>
    </row>
    <row r="27" spans="1:18" ht="25.5" customHeight="1">
      <c r="A27" s="385" t="s">
        <v>530</v>
      </c>
      <c r="B27" s="570" t="s">
        <v>566</v>
      </c>
      <c r="C27" s="389" t="s">
        <v>334</v>
      </c>
      <c r="D27" s="389" t="str">
        <f>+VLOOKUP(C27,Listas!$A$279:$B$285,2,FALSE)</f>
        <v>01-41</v>
      </c>
      <c r="E27" s="389" t="str">
        <f t="shared" si="0"/>
        <v>1114-140-01-41-Bienes de Interés Cultural de tipo inmueble intervenidos (Voto Nacional II etapa cúpula y presbiterio)</v>
      </c>
      <c r="F27" s="396">
        <f>+SUMIF(Seguimiento_PAA!$C$32:$C$967,E27,Seguimiento_PAA!$AB$32:$AB$967)</f>
        <v>0</v>
      </c>
      <c r="G27" s="396">
        <v>810173000</v>
      </c>
      <c r="H27" s="396">
        <f t="shared" si="6"/>
        <v>-810173000</v>
      </c>
      <c r="I27" s="291"/>
      <c r="J27" s="396">
        <f>+SUMIF(Seguimiento_PAA!$C$32:$C$967,E27,Seguimiento_PAA!$BF$32:$BF$967)</f>
        <v>0</v>
      </c>
      <c r="K27" s="403">
        <f t="shared" si="1"/>
        <v>0</v>
      </c>
      <c r="L27" s="396">
        <f>+SUMIF(Seguimiento_PAA!$C$32:$C$967,E27,Seguimiento_PAA!$BJ$32:$BJ$967)</f>
        <v>0</v>
      </c>
      <c r="M27" s="403">
        <f t="shared" si="2"/>
        <v>0</v>
      </c>
      <c r="N27" s="396">
        <f>+SUMIF(Seguimiento_PAA!$C$32:$C$967,E27,Seguimiento_PAA!$CB$32:$CB$967)</f>
        <v>0</v>
      </c>
      <c r="O27" s="403">
        <f t="shared" si="3"/>
        <v>0</v>
      </c>
      <c r="Q27" s="396">
        <f t="shared" si="4"/>
        <v>0</v>
      </c>
      <c r="R27" s="403">
        <f t="shared" si="5"/>
        <v>0</v>
      </c>
    </row>
    <row r="28" spans="1:18" ht="25.5" customHeight="1">
      <c r="A28" s="385" t="s">
        <v>530</v>
      </c>
      <c r="B28" s="570" t="s">
        <v>566</v>
      </c>
      <c r="C28" s="389" t="s">
        <v>335</v>
      </c>
      <c r="D28" s="389" t="str">
        <f>+VLOOKUP(C28,Listas!$A$279:$B$285,2,FALSE)</f>
        <v>01-555</v>
      </c>
      <c r="E28" s="389" t="str">
        <f t="shared" si="0"/>
        <v>1114-140-01-555-Bienes de Interés Cultural de tipo inmueble intervenidos (Voto Nacional II etapa cúpula y presbiterio)</v>
      </c>
      <c r="F28" s="396">
        <f>+SUMIF(Seguimiento_PAA!$C$32:$C$967,E28,Seguimiento_PAA!$AB$32:$AB$967)</f>
        <v>0</v>
      </c>
      <c r="G28" s="396">
        <v>1925582000</v>
      </c>
      <c r="H28" s="396">
        <f t="shared" si="6"/>
        <v>-1925582000</v>
      </c>
      <c r="I28" s="291"/>
      <c r="J28" s="396">
        <f>+SUMIF(Seguimiento_PAA!$C$32:$C$967,E28,Seguimiento_PAA!$BF$32:$BF$967)</f>
        <v>0</v>
      </c>
      <c r="K28" s="403">
        <f t="shared" si="1"/>
        <v>0</v>
      </c>
      <c r="L28" s="396">
        <f>+SUMIF(Seguimiento_PAA!$C$32:$C$967,E28,Seguimiento_PAA!$BJ$32:$BJ$967)</f>
        <v>0</v>
      </c>
      <c r="M28" s="403">
        <f t="shared" si="2"/>
        <v>0</v>
      </c>
      <c r="N28" s="396">
        <f>+SUMIF(Seguimiento_PAA!$C$32:$C$967,E28,Seguimiento_PAA!$CB$32:$CB$967)</f>
        <v>0</v>
      </c>
      <c r="O28" s="403">
        <f t="shared" si="3"/>
        <v>0</v>
      </c>
      <c r="Q28" s="396">
        <f t="shared" si="4"/>
        <v>0</v>
      </c>
      <c r="R28" s="403">
        <f t="shared" si="5"/>
        <v>0</v>
      </c>
    </row>
    <row r="29" spans="1:18" ht="25.5" customHeight="1">
      <c r="A29" s="385" t="s">
        <v>530</v>
      </c>
      <c r="B29" s="570" t="s">
        <v>566</v>
      </c>
      <c r="C29" s="389" t="s">
        <v>337</v>
      </c>
      <c r="D29" s="389" t="str">
        <f>+VLOOKUP(C29,Listas!$A$279:$B$285,2,FALSE)</f>
        <v>03-21</v>
      </c>
      <c r="E29" s="389" t="str">
        <f t="shared" si="0"/>
        <v>1114-140-03-21-Bienes de Interés Cultural de tipo inmueble intervenidos (Voto Nacional II etapa cúpula y presbiterio)</v>
      </c>
      <c r="F29" s="396">
        <f>+SUMIF(Seguimiento_PAA!$C$32:$C$967,E29,Seguimiento_PAA!$AB$32:$AB$967)</f>
        <v>0</v>
      </c>
      <c r="G29" s="396">
        <v>749942000</v>
      </c>
      <c r="H29" s="396">
        <f t="shared" si="6"/>
        <v>-749942000</v>
      </c>
      <c r="I29" s="291"/>
      <c r="J29" s="396">
        <f>+SUMIF(Seguimiento_PAA!$C$32:$C$967,E29,Seguimiento_PAA!$BF$32:$BF$967)</f>
        <v>0</v>
      </c>
      <c r="K29" s="403">
        <f t="shared" si="1"/>
        <v>0</v>
      </c>
      <c r="L29" s="396">
        <f>+SUMIF(Seguimiento_PAA!$C$32:$C$967,E29,Seguimiento_PAA!$BJ$32:$BJ$967)</f>
        <v>0</v>
      </c>
      <c r="M29" s="403">
        <f t="shared" si="2"/>
        <v>0</v>
      </c>
      <c r="N29" s="396">
        <f>+SUMIF(Seguimiento_PAA!$C$32:$C$967,E29,Seguimiento_PAA!$CB$32:$CB$967)</f>
        <v>0</v>
      </c>
      <c r="O29" s="403">
        <f t="shared" si="3"/>
        <v>0</v>
      </c>
      <c r="Q29" s="396">
        <f t="shared" si="4"/>
        <v>0</v>
      </c>
      <c r="R29" s="403">
        <f t="shared" si="5"/>
        <v>0</v>
      </c>
    </row>
    <row r="30" spans="1:18" ht="25.5" customHeight="1">
      <c r="A30" s="385" t="s">
        <v>530</v>
      </c>
      <c r="B30" s="570" t="s">
        <v>566</v>
      </c>
      <c r="C30" s="389" t="s">
        <v>338</v>
      </c>
      <c r="D30" s="389" t="str">
        <f>+VLOOKUP(C30,Listas!$A$279:$B$285,2,FALSE)</f>
        <v>03-490</v>
      </c>
      <c r="E30" s="389" t="str">
        <f t="shared" si="0"/>
        <v>1114-140-03-490-Bienes de Interés Cultural de tipo inmueble intervenidos (Voto Nacional II etapa cúpula y presbiterio)</v>
      </c>
      <c r="F30" s="396">
        <f>+SUMIF(Seguimiento_PAA!$C$32:$C$967,E30,Seguimiento_PAA!$AB$32:$AB$967)</f>
        <v>0</v>
      </c>
      <c r="G30" s="396">
        <v>450000</v>
      </c>
      <c r="H30" s="396">
        <f t="shared" si="6"/>
        <v>-450000</v>
      </c>
      <c r="I30" s="291"/>
      <c r="J30" s="396">
        <f>+SUMIF(Seguimiento_PAA!$C$32:$C$967,E30,Seguimiento_PAA!$BF$32:$BF$967)</f>
        <v>0</v>
      </c>
      <c r="K30" s="403">
        <f t="shared" si="1"/>
        <v>0</v>
      </c>
      <c r="L30" s="396">
        <f>+SUMIF(Seguimiento_PAA!$C$32:$C$967,E30,Seguimiento_PAA!$BJ$32:$BJ$967)</f>
        <v>0</v>
      </c>
      <c r="M30" s="403">
        <f t="shared" si="2"/>
        <v>0</v>
      </c>
      <c r="N30" s="396">
        <f>+SUMIF(Seguimiento_PAA!$C$32:$C$967,E30,Seguimiento_PAA!$CB$32:$CB$967)</f>
        <v>0</v>
      </c>
      <c r="O30" s="403">
        <f t="shared" si="3"/>
        <v>0</v>
      </c>
      <c r="Q30" s="396">
        <f t="shared" si="4"/>
        <v>0</v>
      </c>
      <c r="R30" s="403">
        <f t="shared" si="5"/>
        <v>0</v>
      </c>
    </row>
    <row r="31" spans="1:18" ht="25.5" customHeight="1">
      <c r="A31" s="385" t="s">
        <v>530</v>
      </c>
      <c r="B31" s="570" t="s">
        <v>312</v>
      </c>
      <c r="C31" s="389" t="s">
        <v>332</v>
      </c>
      <c r="D31" s="389" t="str">
        <f>+VLOOKUP(C31,Listas!$A$279:$B$285,2,FALSE)</f>
        <v>01-12</v>
      </c>
      <c r="E31" s="389" t="str">
        <f t="shared" si="0"/>
        <v>1114-140-01-12-Monumentos en espacios públicos a intervenir</v>
      </c>
      <c r="F31" s="396">
        <f>+SUMIF(Seguimiento_PAA!$C$32:$C$967,E31,Seguimiento_PAA!$AB$32:$AB$967)</f>
        <v>0</v>
      </c>
      <c r="G31" s="396">
        <f>905000000+250000000</f>
        <v>1155000000</v>
      </c>
      <c r="H31" s="396">
        <f t="shared" si="6"/>
        <v>-1155000000</v>
      </c>
      <c r="J31" s="396">
        <f>+SUMIF(Seguimiento_PAA!$C$32:$C$967,E31,Seguimiento_PAA!$BF$32:$BF$967)</f>
        <v>0</v>
      </c>
      <c r="K31" s="403">
        <f t="shared" si="1"/>
        <v>0</v>
      </c>
      <c r="L31" s="396">
        <f>+SUMIF(Seguimiento_PAA!$C$32:$C$967,E31,Seguimiento_PAA!$BJ$32:$BJ$967)</f>
        <v>0</v>
      </c>
      <c r="M31" s="403">
        <f t="shared" si="2"/>
        <v>0</v>
      </c>
      <c r="N31" s="396">
        <f>+SUMIF(Seguimiento_PAA!$C$32:$C$967,E31,Seguimiento_PAA!$CB$32:$CB$967)</f>
        <v>0</v>
      </c>
      <c r="O31" s="403">
        <f t="shared" si="3"/>
        <v>0</v>
      </c>
      <c r="Q31" s="396">
        <f t="shared" si="4"/>
        <v>0</v>
      </c>
      <c r="R31" s="403">
        <f t="shared" si="5"/>
        <v>0</v>
      </c>
    </row>
    <row r="32" spans="1:18" ht="25.5" customHeight="1">
      <c r="A32" s="385" t="s">
        <v>530</v>
      </c>
      <c r="B32" s="570" t="s">
        <v>312</v>
      </c>
      <c r="C32" s="389" t="s">
        <v>335</v>
      </c>
      <c r="D32" s="389" t="str">
        <f>+VLOOKUP(C32,Listas!$A$279:$B$285,2,FALSE)</f>
        <v>01-555</v>
      </c>
      <c r="E32" s="389" t="str">
        <f t="shared" si="0"/>
        <v>1114-140-01-555-Monumentos en espacios públicos a intervenir</v>
      </c>
      <c r="F32" s="396">
        <f>+SUMIF(Seguimiento_PAA!$C$32:$C$967,E32,Seguimiento_PAA!$AB$32:$AB$967)</f>
        <v>0</v>
      </c>
      <c r="G32" s="396">
        <v>50000000</v>
      </c>
      <c r="H32" s="396">
        <f t="shared" si="6"/>
        <v>-50000000</v>
      </c>
      <c r="J32" s="396">
        <f>+SUMIF(Seguimiento_PAA!$C$32:$C$967,E32,Seguimiento_PAA!$BF$32:$BF$967)</f>
        <v>0</v>
      </c>
      <c r="K32" s="403">
        <f t="shared" si="1"/>
        <v>0</v>
      </c>
      <c r="L32" s="396">
        <f>+SUMIF(Seguimiento_PAA!$C$32:$C$967,E32,Seguimiento_PAA!$BJ$32:$BJ$967)</f>
        <v>0</v>
      </c>
      <c r="M32" s="403">
        <f t="shared" si="2"/>
        <v>0</v>
      </c>
      <c r="N32" s="396">
        <f>+SUMIF(Seguimiento_PAA!$C$32:$C$967,E32,Seguimiento_PAA!$CB$32:$CB$967)</f>
        <v>0</v>
      </c>
      <c r="O32" s="403">
        <f t="shared" si="3"/>
        <v>0</v>
      </c>
      <c r="Q32" s="396">
        <f t="shared" si="4"/>
        <v>0</v>
      </c>
      <c r="R32" s="403">
        <f t="shared" si="5"/>
        <v>0</v>
      </c>
    </row>
    <row r="33" spans="1:18" ht="25.5" customHeight="1">
      <c r="A33" s="385" t="s">
        <v>530</v>
      </c>
      <c r="B33" s="570" t="s">
        <v>390</v>
      </c>
      <c r="C33" s="389" t="s">
        <v>332</v>
      </c>
      <c r="D33" s="389" t="str">
        <f>+VLOOKUP(C33,Listas!$A$279:$B$285,2,FALSE)</f>
        <v>01-12</v>
      </c>
      <c r="E33" s="389" t="str">
        <f t="shared" si="0"/>
        <v>1114-140-01-12-Personal de apoyo transversal - Bienes de Interés Cultural de tipo inmueble intervenidos</v>
      </c>
      <c r="F33" s="396">
        <f>+SUMIF(Seguimiento_PAA!$C$32:$C$967,E33,Seguimiento_PAA!$AB$32:$AB$967)</f>
        <v>0</v>
      </c>
      <c r="G33" s="396">
        <v>1112000000</v>
      </c>
      <c r="H33" s="396">
        <f t="shared" si="6"/>
        <v>-1112000000</v>
      </c>
      <c r="J33" s="396">
        <f>+SUMIF(Seguimiento_PAA!$C$32:$C$967,E33,Seguimiento_PAA!$BF$32:$BF$967)</f>
        <v>0</v>
      </c>
      <c r="K33" s="403">
        <f>IFERROR(J33/F33,0)</f>
        <v>0</v>
      </c>
      <c r="L33" s="396">
        <f>+SUMIF(Seguimiento_PAA!$C$32:$C$967,E33,Seguimiento_PAA!$BJ$32:$BJ$967)</f>
        <v>0</v>
      </c>
      <c r="M33" s="403">
        <f>IFERROR(L33/F33,0)</f>
        <v>0</v>
      </c>
      <c r="N33" s="396">
        <f>+SUMIF(Seguimiento_PAA!$C$32:$C$967,E33,Seguimiento_PAA!$CB$32:$CB$967)</f>
        <v>0</v>
      </c>
      <c r="O33" s="403">
        <f>IFERROR(N33/L33,0)</f>
        <v>0</v>
      </c>
      <c r="Q33" s="396">
        <f t="shared" si="4"/>
        <v>0</v>
      </c>
      <c r="R33" s="403">
        <f t="shared" si="5"/>
        <v>0</v>
      </c>
    </row>
    <row r="34" spans="1:18" ht="18.75" customHeight="1" thickBot="1">
      <c r="A34" s="419" t="s">
        <v>530</v>
      </c>
      <c r="B34" s="571" t="s">
        <v>392</v>
      </c>
      <c r="C34" s="420" t="s">
        <v>332</v>
      </c>
      <c r="D34" s="420" t="str">
        <f>+VLOOKUP(C34,Listas!$A$279:$B$285,2,FALSE)</f>
        <v>01-12</v>
      </c>
      <c r="E34" s="420" t="str">
        <f t="shared" si="0"/>
        <v>1114-140-01-12-Programa Fachadas</v>
      </c>
      <c r="F34" s="421">
        <f>+SUMIF(Seguimiento_PAA!$C$32:$C$967,E34,Seguimiento_PAA!$AB$32:$AB$967)</f>
        <v>0</v>
      </c>
      <c r="G34" s="421">
        <v>1000000000</v>
      </c>
      <c r="H34" s="421">
        <f t="shared" si="6"/>
        <v>-1000000000</v>
      </c>
      <c r="J34" s="421">
        <f>+SUMIF(Seguimiento_PAA!$C$32:$C$967,E34,Seguimiento_PAA!$BF$32:$BF$967)</f>
        <v>0</v>
      </c>
      <c r="K34" s="422">
        <f t="shared" si="1"/>
        <v>0</v>
      </c>
      <c r="L34" s="421">
        <f>+SUMIF(Seguimiento_PAA!$C$32:$C$967,E34,Seguimiento_PAA!$BJ$32:$BJ$967)</f>
        <v>0</v>
      </c>
      <c r="M34" s="422">
        <f t="shared" si="2"/>
        <v>0</v>
      </c>
      <c r="N34" s="421">
        <f>+SUMIF(Seguimiento_PAA!$C$32:$C$967,E34,Seguimiento_PAA!$CB$32:$CB$967)</f>
        <v>0</v>
      </c>
      <c r="O34" s="422">
        <f t="shared" si="3"/>
        <v>0</v>
      </c>
      <c r="Q34" s="421">
        <f t="shared" si="4"/>
        <v>0</v>
      </c>
      <c r="R34" s="422">
        <f t="shared" si="5"/>
        <v>0</v>
      </c>
    </row>
    <row r="35" spans="1:18" s="400" customFormat="1" ht="13.5" thickTop="1">
      <c r="A35" s="777" t="s">
        <v>548</v>
      </c>
      <c r="B35" s="777"/>
      <c r="C35" s="777"/>
      <c r="D35" s="408"/>
      <c r="E35" s="408"/>
      <c r="F35" s="409">
        <f>+SUM(F14:F34)</f>
        <v>0</v>
      </c>
      <c r="G35" s="409">
        <f>+SUM(G14:G34)</f>
        <v>19058000000</v>
      </c>
      <c r="H35" s="409">
        <f>+SUM(H14:H34)</f>
        <v>-19058000000</v>
      </c>
      <c r="J35" s="409">
        <f>+SUM(J14:J34)</f>
        <v>0</v>
      </c>
      <c r="K35" s="410" t="e">
        <f>+J35/F35</f>
        <v>#DIV/0!</v>
      </c>
      <c r="L35" s="409">
        <f>+SUM(L14:L34)</f>
        <v>0</v>
      </c>
      <c r="M35" s="410" t="e">
        <f>+L35/F35</f>
        <v>#DIV/0!</v>
      </c>
      <c r="N35" s="409">
        <f>+SUM(N14:N34)</f>
        <v>0</v>
      </c>
      <c r="O35" s="410" t="e">
        <f>+N35/L35</f>
        <v>#DIV/0!</v>
      </c>
      <c r="Q35" s="409">
        <f t="shared" si="4"/>
        <v>0</v>
      </c>
      <c r="R35" s="410" t="e">
        <f>+Q35/F35</f>
        <v>#DIV/0!</v>
      </c>
    </row>
    <row r="36" spans="1:18" s="400" customFormat="1">
      <c r="A36" s="407"/>
      <c r="B36" s="408"/>
      <c r="C36" s="408"/>
      <c r="D36" s="408"/>
      <c r="E36" s="408"/>
      <c r="F36" s="409"/>
      <c r="G36" s="409"/>
      <c r="H36" s="409"/>
      <c r="J36" s="409"/>
      <c r="K36" s="410"/>
      <c r="L36" s="409"/>
      <c r="M36" s="410"/>
      <c r="N36" s="409"/>
      <c r="O36" s="410"/>
      <c r="Q36" s="409"/>
      <c r="R36" s="410"/>
    </row>
    <row r="37" spans="1:18" ht="18.75" customHeight="1">
      <c r="A37" s="369" t="s">
        <v>531</v>
      </c>
      <c r="B37" s="390" t="s">
        <v>54</v>
      </c>
      <c r="C37" s="390" t="s">
        <v>332</v>
      </c>
      <c r="D37" s="390" t="str">
        <f>+VLOOKUP(C37,Listas!$A$279:$B$285,2,FALSE)</f>
        <v>01-12</v>
      </c>
      <c r="E37" s="390" t="str">
        <f t="shared" si="0"/>
        <v>1107-158-01-12-Activación del patrimonio</v>
      </c>
      <c r="F37" s="397">
        <f>+SUMIF(Seguimiento_PAA!$C$32:$C$967,E37,Seguimiento_PAA!$AB$32:$AB$967)</f>
        <v>0</v>
      </c>
      <c r="G37" s="397">
        <v>2201006840</v>
      </c>
      <c r="H37" s="397">
        <f t="shared" ref="H37:H50" si="7">+G37-F37</f>
        <v>2201006840</v>
      </c>
      <c r="J37" s="397">
        <f>+SUMIF(Seguimiento_PAA!$C$32:$C$967,E37,Seguimiento_PAA!$BF$32:$BF$967)</f>
        <v>0</v>
      </c>
      <c r="K37" s="404">
        <f t="shared" si="1"/>
        <v>0</v>
      </c>
      <c r="L37" s="397">
        <f>+SUMIF(Seguimiento_PAA!$C$32:$C$967,E37,Seguimiento_PAA!$BJ$32:$BJ$967)</f>
        <v>0</v>
      </c>
      <c r="M37" s="404">
        <f t="shared" si="2"/>
        <v>0</v>
      </c>
      <c r="N37" s="397">
        <f>+SUMIF(Seguimiento_PAA!$C$32:$C$967,E37,Seguimiento_PAA!$CB$32:$CB$967)</f>
        <v>0</v>
      </c>
      <c r="O37" s="404">
        <f t="shared" si="3"/>
        <v>0</v>
      </c>
      <c r="Q37" s="397">
        <f t="shared" si="4"/>
        <v>0</v>
      </c>
      <c r="R37" s="404">
        <f>IFERROR(Q37/F37,0)</f>
        <v>0</v>
      </c>
    </row>
    <row r="38" spans="1:18" ht="18.75" customHeight="1">
      <c r="A38" s="369" t="s">
        <v>531</v>
      </c>
      <c r="B38" s="390" t="s">
        <v>393</v>
      </c>
      <c r="C38" s="390" t="s">
        <v>332</v>
      </c>
      <c r="D38" s="390" t="str">
        <f>+VLOOKUP(C38,Listas!$A$279:$B$285,2,FALSE)</f>
        <v>01-12</v>
      </c>
      <c r="E38" s="390" t="str">
        <f t="shared" si="0"/>
        <v>1107-158-01-12-Estímulos a iniciativas de la ciudadanía en temas</v>
      </c>
      <c r="F38" s="397">
        <f>+SUMIF(Seguimiento_PAA!$C$32:$C$967,E38,Seguimiento_PAA!$AB$32:$AB$967)</f>
        <v>0</v>
      </c>
      <c r="G38" s="397">
        <v>700262160</v>
      </c>
      <c r="H38" s="397">
        <f t="shared" si="7"/>
        <v>700262160</v>
      </c>
      <c r="J38" s="397">
        <f>+SUMIF(Seguimiento_PAA!$C$32:$C$967,E38,Seguimiento_PAA!$BF$32:$BF$967)</f>
        <v>0</v>
      </c>
      <c r="K38" s="404">
        <f t="shared" si="1"/>
        <v>0</v>
      </c>
      <c r="L38" s="397">
        <f>+SUMIF(Seguimiento_PAA!$C$32:$C$967,E38,Seguimiento_PAA!$BJ$32:$BJ$967)</f>
        <v>0</v>
      </c>
      <c r="M38" s="404">
        <f t="shared" si="2"/>
        <v>0</v>
      </c>
      <c r="N38" s="397">
        <f>+SUMIF(Seguimiento_PAA!$C$32:$C$967,E38,Seguimiento_PAA!$CB$32:$CB$967)</f>
        <v>0</v>
      </c>
      <c r="O38" s="404">
        <f t="shared" si="3"/>
        <v>0</v>
      </c>
      <c r="Q38" s="397">
        <f t="shared" si="4"/>
        <v>0</v>
      </c>
      <c r="R38" s="404">
        <f>IFERROR(Q38/F38,0)</f>
        <v>0</v>
      </c>
    </row>
    <row r="39" spans="1:18" ht="18.75" customHeight="1">
      <c r="A39" s="369" t="s">
        <v>531</v>
      </c>
      <c r="B39" s="390" t="s">
        <v>53</v>
      </c>
      <c r="C39" s="390" t="s">
        <v>332</v>
      </c>
      <c r="D39" s="390" t="str">
        <f>+VLOOKUP(C39,Listas!$A$279:$B$285,2,FALSE)</f>
        <v>01-12</v>
      </c>
      <c r="E39" s="390" t="str">
        <f t="shared" si="0"/>
        <v>1107-158-01-12-Museo de Bogotá en operación</v>
      </c>
      <c r="F39" s="397">
        <f>+SUMIF(Seguimiento_PAA!$C$32:$C$967,E39,Seguimiento_PAA!$AB$32:$AB$967)</f>
        <v>0</v>
      </c>
      <c r="G39" s="397">
        <v>2078456000</v>
      </c>
      <c r="H39" s="397">
        <f t="shared" si="7"/>
        <v>2078456000</v>
      </c>
      <c r="J39" s="397">
        <f>+SUMIF(Seguimiento_PAA!$C$32:$C$967,E39,Seguimiento_PAA!$BF$32:$BF$967)</f>
        <v>0</v>
      </c>
      <c r="K39" s="404">
        <f t="shared" si="1"/>
        <v>0</v>
      </c>
      <c r="L39" s="397">
        <f>+SUMIF(Seguimiento_PAA!$C$32:$C$967,E39,Seguimiento_PAA!$BJ$32:$BJ$967)</f>
        <v>0</v>
      </c>
      <c r="M39" s="404">
        <f t="shared" si="2"/>
        <v>0</v>
      </c>
      <c r="N39" s="397">
        <f>+SUMIF(Seguimiento_PAA!$C$32:$C$967,E39,Seguimiento_PAA!$CB$32:$CB$967)</f>
        <v>0</v>
      </c>
      <c r="O39" s="404">
        <f t="shared" si="3"/>
        <v>0</v>
      </c>
      <c r="Q39" s="397">
        <f t="shared" si="4"/>
        <v>0</v>
      </c>
      <c r="R39" s="404">
        <f>IFERROR(Q39/F39,0)</f>
        <v>0</v>
      </c>
    </row>
    <row r="40" spans="1:18" ht="18.75" customHeight="1" thickBot="1">
      <c r="A40" s="425" t="s">
        <v>531</v>
      </c>
      <c r="B40" s="426" t="s">
        <v>53</v>
      </c>
      <c r="C40" s="426" t="s">
        <v>336</v>
      </c>
      <c r="D40" s="426" t="str">
        <f>+VLOOKUP(C40,Listas!$A$279:$B$285,2,FALSE)</f>
        <v>03-20</v>
      </c>
      <c r="E40" s="426" t="str">
        <f t="shared" si="0"/>
        <v>1107-158-03-20-Museo de Bogotá en operación</v>
      </c>
      <c r="F40" s="423">
        <f>+SUMIF(Seguimiento_PAA!$C$32:$C$967,E40,Seguimiento_PAA!$AB$32:$AB$967)</f>
        <v>0</v>
      </c>
      <c r="G40" s="423">
        <v>400000000</v>
      </c>
      <c r="H40" s="423">
        <f t="shared" si="7"/>
        <v>400000000</v>
      </c>
      <c r="J40" s="423">
        <f>+SUMIF(Seguimiento_PAA!$C$32:$C$967,E40,Seguimiento_PAA!$BF$32:$BF$967)</f>
        <v>0</v>
      </c>
      <c r="K40" s="424">
        <f t="shared" si="1"/>
        <v>0</v>
      </c>
      <c r="L40" s="423">
        <f>+SUMIF(Seguimiento_PAA!$C$32:$C$967,E40,Seguimiento_PAA!$BJ$32:$BJ$967)</f>
        <v>0</v>
      </c>
      <c r="M40" s="424">
        <f t="shared" si="2"/>
        <v>0</v>
      </c>
      <c r="N40" s="423">
        <f>+SUMIF(Seguimiento_PAA!$C$32:$C$967,E40,Seguimiento_PAA!$CB$32:$CB$967)</f>
        <v>0</v>
      </c>
      <c r="O40" s="424">
        <f t="shared" si="3"/>
        <v>0</v>
      </c>
      <c r="Q40" s="423">
        <f t="shared" si="4"/>
        <v>0</v>
      </c>
      <c r="R40" s="424">
        <f>IFERROR(Q40/F40,0)</f>
        <v>0</v>
      </c>
    </row>
    <row r="41" spans="1:18" s="400" customFormat="1" ht="13.5" thickTop="1">
      <c r="A41" s="777" t="s">
        <v>549</v>
      </c>
      <c r="B41" s="777"/>
      <c r="C41" s="777"/>
      <c r="D41" s="408"/>
      <c r="E41" s="408"/>
      <c r="F41" s="409">
        <f>+SUM(F37:F40)</f>
        <v>0</v>
      </c>
      <c r="G41" s="409">
        <f>+SUM(G37:G40)</f>
        <v>5379725000</v>
      </c>
      <c r="H41" s="409">
        <f>+SUM(H37:H40)</f>
        <v>5379725000</v>
      </c>
      <c r="J41" s="409">
        <f>+SUM(J37:J40)</f>
        <v>0</v>
      </c>
      <c r="K41" s="410" t="e">
        <f>+J41/F41</f>
        <v>#DIV/0!</v>
      </c>
      <c r="L41" s="409">
        <f>+SUM(L37:L40)</f>
        <v>0</v>
      </c>
      <c r="M41" s="410" t="e">
        <f>+L41/F41</f>
        <v>#DIV/0!</v>
      </c>
      <c r="N41" s="409">
        <f>+SUM(N37:N40)</f>
        <v>0</v>
      </c>
      <c r="O41" s="410" t="e">
        <f>+N41/L41</f>
        <v>#DIV/0!</v>
      </c>
      <c r="Q41" s="409">
        <f t="shared" si="4"/>
        <v>0</v>
      </c>
      <c r="R41" s="410" t="e">
        <f>+Q41/F41</f>
        <v>#DIV/0!</v>
      </c>
    </row>
    <row r="42" spans="1:18" s="400" customFormat="1">
      <c r="A42" s="407"/>
      <c r="B42" s="408"/>
      <c r="C42" s="408"/>
      <c r="D42" s="408"/>
      <c r="E42" s="408"/>
      <c r="F42" s="409"/>
      <c r="G42" s="409"/>
      <c r="H42" s="409"/>
      <c r="J42" s="409"/>
      <c r="K42" s="410"/>
      <c r="L42" s="409"/>
      <c r="M42" s="410"/>
      <c r="N42" s="409"/>
      <c r="O42" s="410"/>
      <c r="Q42" s="409"/>
      <c r="R42" s="410"/>
    </row>
    <row r="43" spans="1:18" ht="18.75" customHeight="1">
      <c r="A43" s="386" t="s">
        <v>532</v>
      </c>
      <c r="B43" s="391" t="s">
        <v>389</v>
      </c>
      <c r="C43" s="391" t="s">
        <v>332</v>
      </c>
      <c r="D43" s="391" t="str">
        <f>+VLOOKUP(C43,Listas!$A$279:$B$285,2,FALSE)</f>
        <v>01-12</v>
      </c>
      <c r="E43" s="391" t="str">
        <f t="shared" si="0"/>
        <v>1110-185-01-12-Administración y mantenimiento de sedes misionales</v>
      </c>
      <c r="F43" s="398">
        <f>+SUMIF(Seguimiento_PAA!$C$32:$C$967,E43,Seguimiento_PAA!$AB$32:$AB$967)</f>
        <v>0</v>
      </c>
      <c r="G43" s="398">
        <v>926169000</v>
      </c>
      <c r="H43" s="398">
        <f t="shared" si="7"/>
        <v>926169000</v>
      </c>
      <c r="J43" s="398">
        <f>+SUMIF(Seguimiento_PAA!$C$32:$C$967,E43,Seguimiento_PAA!$BF$32:$BF$967)</f>
        <v>0</v>
      </c>
      <c r="K43" s="405">
        <f t="shared" si="1"/>
        <v>0</v>
      </c>
      <c r="L43" s="398">
        <f>+SUMIF(Seguimiento_PAA!$C$32:$C$967,E43,Seguimiento_PAA!$BJ$32:$BJ$967)</f>
        <v>0</v>
      </c>
      <c r="M43" s="405">
        <f t="shared" si="2"/>
        <v>0</v>
      </c>
      <c r="N43" s="398">
        <f>+SUMIF(Seguimiento_PAA!$C$32:$C$967,E43,Seguimiento_PAA!$CB$32:$CB$967)</f>
        <v>0</v>
      </c>
      <c r="O43" s="405">
        <f t="shared" si="3"/>
        <v>0</v>
      </c>
      <c r="Q43" s="398">
        <f t="shared" si="4"/>
        <v>0</v>
      </c>
      <c r="R43" s="405">
        <f>IFERROR(Q43/F43,0)</f>
        <v>0</v>
      </c>
    </row>
    <row r="44" spans="1:18" ht="18.75" customHeight="1">
      <c r="A44" s="386" t="s">
        <v>532</v>
      </c>
      <c r="B44" s="391" t="s">
        <v>389</v>
      </c>
      <c r="C44" s="391" t="s">
        <v>337</v>
      </c>
      <c r="D44" s="391" t="str">
        <f>+VLOOKUP(C44,Listas!$A$279:$B$285,2,FALSE)</f>
        <v>03-21</v>
      </c>
      <c r="E44" s="391" t="str">
        <f t="shared" si="0"/>
        <v>1110-185-03-21-Administración y mantenimiento de sedes misionales</v>
      </c>
      <c r="F44" s="398">
        <f>+SUMIF(Seguimiento_PAA!$C$32:$C$967,E44,Seguimiento_PAA!$AB$32:$AB$967)</f>
        <v>0</v>
      </c>
      <c r="G44" s="398">
        <v>159000000</v>
      </c>
      <c r="H44" s="398">
        <f t="shared" si="7"/>
        <v>159000000</v>
      </c>
      <c r="J44" s="398">
        <f>+SUMIF(Seguimiento_PAA!$C$32:$C$967,E44,Seguimiento_PAA!$BF$32:$BF$967)</f>
        <v>0</v>
      </c>
      <c r="K44" s="405">
        <f t="shared" si="1"/>
        <v>0</v>
      </c>
      <c r="L44" s="398">
        <f>+SUMIF(Seguimiento_PAA!$C$32:$C$967,E44,Seguimiento_PAA!$BJ$32:$BJ$967)</f>
        <v>0</v>
      </c>
      <c r="M44" s="405">
        <f t="shared" si="2"/>
        <v>0</v>
      </c>
      <c r="N44" s="398">
        <f>+SUMIF(Seguimiento_PAA!$C$32:$C$967,E44,Seguimiento_PAA!$CB$32:$CB$967)</f>
        <v>0</v>
      </c>
      <c r="O44" s="405">
        <f t="shared" si="3"/>
        <v>0</v>
      </c>
      <c r="Q44" s="398">
        <f t="shared" si="4"/>
        <v>0</v>
      </c>
      <c r="R44" s="405">
        <f t="shared" ref="R44:R50" si="8">IFERROR(Q44/F44,0)</f>
        <v>0</v>
      </c>
    </row>
    <row r="45" spans="1:18" ht="18.75" customHeight="1">
      <c r="A45" s="386" t="s">
        <v>532</v>
      </c>
      <c r="B45" s="391" t="s">
        <v>104</v>
      </c>
      <c r="C45" s="391" t="s">
        <v>332</v>
      </c>
      <c r="D45" s="391" t="str">
        <f>+VLOOKUP(C45,Listas!$A$279:$B$285,2,FALSE)</f>
        <v>01-12</v>
      </c>
      <c r="E45" s="391" t="str">
        <f t="shared" si="0"/>
        <v>1110-185-01-12-Adquisición de equipos, materiales y suministros</v>
      </c>
      <c r="F45" s="398">
        <f>+SUMIF(Seguimiento_PAA!$C$32:$C$967,E45,Seguimiento_PAA!$AB$32:$AB$967)</f>
        <v>0</v>
      </c>
      <c r="G45" s="398">
        <v>223354000</v>
      </c>
      <c r="H45" s="398">
        <f t="shared" si="7"/>
        <v>223354000</v>
      </c>
      <c r="J45" s="398">
        <f>+SUMIF(Seguimiento_PAA!$C$32:$C$967,E45,Seguimiento_PAA!$BF$32:$BF$967)</f>
        <v>0</v>
      </c>
      <c r="K45" s="405">
        <f t="shared" si="1"/>
        <v>0</v>
      </c>
      <c r="L45" s="398">
        <f>+SUMIF(Seguimiento_PAA!$C$32:$C$967,E45,Seguimiento_PAA!$BJ$32:$BJ$967)</f>
        <v>0</v>
      </c>
      <c r="M45" s="405">
        <f t="shared" si="2"/>
        <v>0</v>
      </c>
      <c r="N45" s="398">
        <f>+SUMIF(Seguimiento_PAA!$C$32:$C$967,E45,Seguimiento_PAA!$CB$32:$CB$967)</f>
        <v>0</v>
      </c>
      <c r="O45" s="405">
        <f t="shared" si="3"/>
        <v>0</v>
      </c>
      <c r="Q45" s="398">
        <f t="shared" si="4"/>
        <v>0</v>
      </c>
      <c r="R45" s="405">
        <f t="shared" si="8"/>
        <v>0</v>
      </c>
    </row>
    <row r="46" spans="1:18" ht="18.75" customHeight="1">
      <c r="A46" s="386" t="s">
        <v>532</v>
      </c>
      <c r="B46" s="391" t="s">
        <v>394</v>
      </c>
      <c r="C46" s="391" t="s">
        <v>332</v>
      </c>
      <c r="D46" s="391" t="str">
        <f>+VLOOKUP(C46,Listas!$A$279:$B$285,2,FALSE)</f>
        <v>01-12</v>
      </c>
      <c r="E46" s="391" t="str">
        <f t="shared" si="0"/>
        <v>1110-185-01-12-Adquisición de vehículos</v>
      </c>
      <c r="F46" s="398">
        <f>+SUMIF(Seguimiento_PAA!$C$32:$C$967,E46,Seguimiento_PAA!$AB$32:$AB$967)</f>
        <v>0</v>
      </c>
      <c r="G46" s="398">
        <v>80000000</v>
      </c>
      <c r="H46" s="398">
        <f t="shared" si="7"/>
        <v>80000000</v>
      </c>
      <c r="J46" s="398">
        <f>+SUMIF(Seguimiento_PAA!$C$32:$C$967,E46,Seguimiento_PAA!$BF$32:$BF$967)</f>
        <v>0</v>
      </c>
      <c r="K46" s="405">
        <f t="shared" si="1"/>
        <v>0</v>
      </c>
      <c r="L46" s="398">
        <f>+SUMIF(Seguimiento_PAA!$C$32:$C$967,E46,Seguimiento_PAA!$BJ$32:$BJ$967)</f>
        <v>0</v>
      </c>
      <c r="M46" s="405">
        <f t="shared" si="2"/>
        <v>0</v>
      </c>
      <c r="N46" s="398">
        <f>+SUMIF(Seguimiento_PAA!$C$32:$C$967,E46,Seguimiento_PAA!$CB$32:$CB$967)</f>
        <v>0</v>
      </c>
      <c r="O46" s="405">
        <f t="shared" si="3"/>
        <v>0</v>
      </c>
      <c r="Q46" s="398">
        <f t="shared" si="4"/>
        <v>0</v>
      </c>
      <c r="R46" s="405">
        <f t="shared" si="8"/>
        <v>0</v>
      </c>
    </row>
    <row r="47" spans="1:18" ht="27" customHeight="1">
      <c r="A47" s="386" t="s">
        <v>532</v>
      </c>
      <c r="B47" s="391" t="s">
        <v>125</v>
      </c>
      <c r="C47" s="391" t="s">
        <v>332</v>
      </c>
      <c r="D47" s="391" t="str">
        <f>+VLOOKUP(C47,Listas!$A$279:$B$285,2,FALSE)</f>
        <v>01-12</v>
      </c>
      <c r="E47" s="391" t="str">
        <f t="shared" si="0"/>
        <v>1110-185-01-12-Desarrollar actividades de comunicación e información</v>
      </c>
      <c r="F47" s="398">
        <f>+SUMIF(Seguimiento_PAA!$C$32:$C$967,E47,Seguimiento_PAA!$AB$32:$AB$967)</f>
        <v>0</v>
      </c>
      <c r="G47" s="398">
        <v>514415363</v>
      </c>
      <c r="H47" s="398">
        <f t="shared" si="7"/>
        <v>514415363</v>
      </c>
      <c r="J47" s="398">
        <f>+SUMIF(Seguimiento_PAA!$C$32:$C$967,E47,Seguimiento_PAA!$BF$32:$BF$967)</f>
        <v>0</v>
      </c>
      <c r="K47" s="405">
        <f t="shared" si="1"/>
        <v>0</v>
      </c>
      <c r="L47" s="398">
        <f>+SUMIF(Seguimiento_PAA!$C$32:$C$967,E47,Seguimiento_PAA!$BJ$32:$BJ$967)</f>
        <v>0</v>
      </c>
      <c r="M47" s="405">
        <f t="shared" si="2"/>
        <v>0</v>
      </c>
      <c r="N47" s="398">
        <f>+SUMIF(Seguimiento_PAA!$C$32:$C$967,E47,Seguimiento_PAA!$CB$32:$CB$967)</f>
        <v>0</v>
      </c>
      <c r="O47" s="405">
        <f t="shared" si="3"/>
        <v>0</v>
      </c>
      <c r="Q47" s="398">
        <f t="shared" si="4"/>
        <v>0</v>
      </c>
      <c r="R47" s="405">
        <f t="shared" si="8"/>
        <v>0</v>
      </c>
    </row>
    <row r="48" spans="1:18" ht="27.75" customHeight="1">
      <c r="A48" s="386" t="s">
        <v>532</v>
      </c>
      <c r="B48" s="391" t="s">
        <v>123</v>
      </c>
      <c r="C48" s="391" t="s">
        <v>332</v>
      </c>
      <c r="D48" s="391" t="str">
        <f>+VLOOKUP(C48,Listas!$A$279:$B$285,2,FALSE)</f>
        <v>01-12</v>
      </c>
      <c r="E48" s="391" t="str">
        <f t="shared" si="0"/>
        <v>1110-185-01-12-Fortalecimiento de los subsistemas del sistema integrado de gestión</v>
      </c>
      <c r="F48" s="398">
        <f>+SUMIF(Seguimiento_PAA!$C$32:$C$967,E48,Seguimiento_PAA!$AB$32:$AB$967)</f>
        <v>0</v>
      </c>
      <c r="G48" s="398">
        <v>606929002</v>
      </c>
      <c r="H48" s="398">
        <f t="shared" si="7"/>
        <v>606929002</v>
      </c>
      <c r="J48" s="398">
        <f>+SUMIF(Seguimiento_PAA!$C$32:$C$967,E48,Seguimiento_PAA!$BF$32:$BF$967)</f>
        <v>0</v>
      </c>
      <c r="K48" s="405">
        <f t="shared" si="1"/>
        <v>0</v>
      </c>
      <c r="L48" s="398">
        <f>+SUMIF(Seguimiento_PAA!$C$32:$C$967,E48,Seguimiento_PAA!$BJ$32:$BJ$967)</f>
        <v>0</v>
      </c>
      <c r="M48" s="405">
        <f t="shared" si="2"/>
        <v>0</v>
      </c>
      <c r="N48" s="398">
        <f>+SUMIF(Seguimiento_PAA!$C$32:$C$967,E48,Seguimiento_PAA!$CB$32:$CB$967)</f>
        <v>0</v>
      </c>
      <c r="O48" s="405">
        <f t="shared" si="3"/>
        <v>0</v>
      </c>
      <c r="Q48" s="398">
        <f t="shared" si="4"/>
        <v>0</v>
      </c>
      <c r="R48" s="405">
        <f t="shared" si="8"/>
        <v>0</v>
      </c>
    </row>
    <row r="49" spans="1:18" ht="27.75" customHeight="1">
      <c r="A49" s="386" t="s">
        <v>532</v>
      </c>
      <c r="B49" s="391" t="s">
        <v>124</v>
      </c>
      <c r="C49" s="391" t="s">
        <v>332</v>
      </c>
      <c r="D49" s="391" t="str">
        <f>+VLOOKUP(C49,Listas!$A$279:$B$285,2,FALSE)</f>
        <v>01-12</v>
      </c>
      <c r="E49" s="391" t="str">
        <f t="shared" si="0"/>
        <v>1110-185-01-12-Personal de apoyo transversal a la gestión institucional</v>
      </c>
      <c r="F49" s="398">
        <f>+SUMIF(Seguimiento_PAA!$C$32:$C$967,E49,Seguimiento_PAA!$AB$32:$AB$967)</f>
        <v>0</v>
      </c>
      <c r="G49" s="398">
        <v>1963022235</v>
      </c>
      <c r="H49" s="398">
        <f t="shared" si="7"/>
        <v>1963022235</v>
      </c>
      <c r="J49" s="398">
        <f>+SUMIF(Seguimiento_PAA!$C$32:$C$967,E49,Seguimiento_PAA!$BF$32:$BF$967)</f>
        <v>0</v>
      </c>
      <c r="K49" s="405">
        <f t="shared" si="1"/>
        <v>0</v>
      </c>
      <c r="L49" s="398">
        <f>+SUMIF(Seguimiento_PAA!$C$32:$C$967,E49,Seguimiento_PAA!$BJ$32:$BJ$967)</f>
        <v>0</v>
      </c>
      <c r="M49" s="405">
        <f t="shared" si="2"/>
        <v>0</v>
      </c>
      <c r="N49" s="398">
        <f>+SUMIF(Seguimiento_PAA!$C$32:$C$967,E49,Seguimiento_PAA!$CB$32:$CB$967)</f>
        <v>0</v>
      </c>
      <c r="O49" s="405">
        <f t="shared" si="3"/>
        <v>0</v>
      </c>
      <c r="Q49" s="398">
        <f t="shared" si="4"/>
        <v>0</v>
      </c>
      <c r="R49" s="405">
        <f t="shared" si="8"/>
        <v>0</v>
      </c>
    </row>
    <row r="50" spans="1:18" ht="31.5" customHeight="1" thickBot="1">
      <c r="A50" s="427" t="s">
        <v>532</v>
      </c>
      <c r="B50" s="428" t="s">
        <v>103</v>
      </c>
      <c r="C50" s="428" t="s">
        <v>332</v>
      </c>
      <c r="D50" s="428" t="str">
        <f>+VLOOKUP(C50,Listas!$A$279:$B$285,2,FALSE)</f>
        <v>01-12</v>
      </c>
      <c r="E50" s="428" t="str">
        <f t="shared" si="0"/>
        <v>1110-185-01-12-Transparencia y atención a la ciudadanía</v>
      </c>
      <c r="F50" s="429">
        <f>+SUMIF(Seguimiento_PAA!$C$32:$C$967,E50,Seguimiento_PAA!$AB$32:$AB$967)</f>
        <v>0</v>
      </c>
      <c r="G50" s="429">
        <v>192894400</v>
      </c>
      <c r="H50" s="429">
        <f t="shared" si="7"/>
        <v>192894400</v>
      </c>
      <c r="J50" s="429">
        <f>+SUMIF(Seguimiento_PAA!$C$32:$C$967,E50,Seguimiento_PAA!$BF$32:$BF$967)</f>
        <v>0</v>
      </c>
      <c r="K50" s="430">
        <f t="shared" si="1"/>
        <v>0</v>
      </c>
      <c r="L50" s="429">
        <f>+SUMIF(Seguimiento_PAA!$C$32:$C$967,E50,Seguimiento_PAA!$BJ$32:$BJ$967)</f>
        <v>0</v>
      </c>
      <c r="M50" s="430">
        <f t="shared" si="2"/>
        <v>0</v>
      </c>
      <c r="N50" s="429">
        <f>+SUMIF(Seguimiento_PAA!$C$32:$C$967,E50,Seguimiento_PAA!$CB$32:$CB$967)</f>
        <v>0</v>
      </c>
      <c r="O50" s="430">
        <f t="shared" si="3"/>
        <v>0</v>
      </c>
      <c r="Q50" s="429">
        <f t="shared" si="4"/>
        <v>0</v>
      </c>
      <c r="R50" s="430">
        <f t="shared" si="8"/>
        <v>0</v>
      </c>
    </row>
    <row r="51" spans="1:18" s="431" customFormat="1" ht="13.5" thickTop="1">
      <c r="A51" s="777" t="s">
        <v>550</v>
      </c>
      <c r="B51" s="777"/>
      <c r="C51" s="777"/>
      <c r="D51" s="408"/>
      <c r="E51" s="408"/>
      <c r="F51" s="409">
        <f>+SUM(F43:F50)</f>
        <v>0</v>
      </c>
      <c r="G51" s="409">
        <f>+SUM(G43:G50)</f>
        <v>4665784000</v>
      </c>
      <c r="H51" s="409">
        <f>+SUM(H47:H50)</f>
        <v>3277261000</v>
      </c>
      <c r="I51" s="400"/>
      <c r="J51" s="409">
        <f>+SUM(J43:J50)</f>
        <v>0</v>
      </c>
      <c r="K51" s="410" t="e">
        <f>+J51/F51</f>
        <v>#DIV/0!</v>
      </c>
      <c r="L51" s="409">
        <f>+SUM(L43:L50)</f>
        <v>0</v>
      </c>
      <c r="M51" s="410" t="e">
        <f>+L51/F51</f>
        <v>#DIV/0!</v>
      </c>
      <c r="N51" s="409">
        <f>+SUM(N43:N50)</f>
        <v>0</v>
      </c>
      <c r="O51" s="410" t="e">
        <f>+N51/L51</f>
        <v>#DIV/0!</v>
      </c>
      <c r="Q51" s="409">
        <f t="shared" si="4"/>
        <v>0</v>
      </c>
      <c r="R51" s="410" t="e">
        <f>+Q51/F51</f>
        <v>#DIV/0!</v>
      </c>
    </row>
    <row r="52" spans="1:18">
      <c r="A52" s="775" t="s">
        <v>551</v>
      </c>
      <c r="B52" s="776"/>
      <c r="C52" s="776"/>
      <c r="D52" s="776"/>
      <c r="E52" s="776"/>
      <c r="F52" s="8">
        <f>+F51+F41+F35+F12+F7</f>
        <v>0</v>
      </c>
    </row>
    <row r="53" spans="1:18">
      <c r="F53" s="360">
        <f>+F52-Seguimiento_PAA!K26</f>
        <v>0</v>
      </c>
    </row>
    <row r="66" spans="3:6">
      <c r="C66" s="286"/>
      <c r="E66" s="274"/>
    </row>
    <row r="68" spans="3:6">
      <c r="C68" s="556"/>
    </row>
    <row r="69" spans="3:6">
      <c r="C69" s="556"/>
      <c r="E69" s="572"/>
      <c r="F69" s="569"/>
    </row>
    <row r="70" spans="3:6">
      <c r="C70" s="556"/>
      <c r="E70" s="359"/>
      <c r="F70" s="569"/>
    </row>
    <row r="71" spans="3:6">
      <c r="C71" s="556"/>
      <c r="E71" s="572"/>
      <c r="F71" s="569"/>
    </row>
    <row r="72" spans="3:6">
      <c r="C72" s="556"/>
      <c r="E72" s="359"/>
      <c r="F72" s="569"/>
    </row>
    <row r="73" spans="3:6">
      <c r="C73" s="556"/>
      <c r="E73" s="572"/>
      <c r="F73" s="569"/>
    </row>
    <row r="74" spans="3:6">
      <c r="C74" s="556"/>
      <c r="E74" s="359"/>
      <c r="F74" s="569"/>
    </row>
    <row r="75" spans="3:6">
      <c r="C75" s="556"/>
      <c r="E75" s="572"/>
      <c r="F75" s="569"/>
    </row>
    <row r="76" spans="3:6">
      <c r="C76" s="556"/>
      <c r="E76" s="359"/>
      <c r="F76" s="569"/>
    </row>
    <row r="77" spans="3:6">
      <c r="C77" s="556"/>
      <c r="E77" s="359"/>
      <c r="F77" s="569"/>
    </row>
    <row r="78" spans="3:6">
      <c r="C78" s="556"/>
      <c r="E78" s="359"/>
      <c r="F78" s="569"/>
    </row>
    <row r="79" spans="3:6">
      <c r="C79" s="556"/>
      <c r="F79" s="569"/>
    </row>
    <row r="80" spans="3:6">
      <c r="C80" s="556"/>
      <c r="F80" s="569"/>
    </row>
    <row r="81" spans="3:6">
      <c r="C81" s="556"/>
      <c r="E81" s="359"/>
      <c r="F81" s="569"/>
    </row>
    <row r="82" spans="3:6">
      <c r="C82" s="556"/>
      <c r="E82" s="359"/>
      <c r="F82" s="569"/>
    </row>
    <row r="83" spans="3:6">
      <c r="C83" s="556"/>
      <c r="E83" s="359"/>
      <c r="F83" s="569"/>
    </row>
    <row r="84" spans="3:6">
      <c r="C84" s="556"/>
      <c r="E84" s="359"/>
      <c r="F84" s="569"/>
    </row>
    <row r="85" spans="3:6">
      <c r="C85" s="556"/>
      <c r="E85" s="359"/>
      <c r="F85" s="569"/>
    </row>
    <row r="86" spans="3:6">
      <c r="C86" s="556"/>
      <c r="E86" s="359"/>
      <c r="F86" s="569"/>
    </row>
    <row r="87" spans="3:6">
      <c r="C87" s="556"/>
      <c r="E87" s="359"/>
      <c r="F87" s="569"/>
    </row>
    <row r="88" spans="3:6">
      <c r="C88" s="556"/>
      <c r="E88" s="359"/>
      <c r="F88" s="569"/>
    </row>
    <row r="89" spans="3:6">
      <c r="C89" s="556"/>
      <c r="E89" s="359"/>
      <c r="F89" s="569"/>
    </row>
    <row r="90" spans="3:6">
      <c r="C90" s="556"/>
      <c r="E90" s="359"/>
      <c r="F90" s="569"/>
    </row>
    <row r="91" spans="3:6">
      <c r="C91" s="556"/>
      <c r="E91" s="359"/>
      <c r="F91" s="569"/>
    </row>
    <row r="92" spans="3:6">
      <c r="C92"/>
    </row>
    <row r="93" spans="3:6">
      <c r="C93"/>
    </row>
    <row r="94" spans="3:6">
      <c r="C94"/>
    </row>
    <row r="95" spans="3:6">
      <c r="C95"/>
    </row>
    <row r="96" spans="3:6">
      <c r="C96"/>
    </row>
    <row r="97" spans="3:3">
      <c r="C97"/>
    </row>
    <row r="98" spans="3:3">
      <c r="C98"/>
    </row>
    <row r="99" spans="3:3">
      <c r="C99"/>
    </row>
    <row r="100" spans="3:3">
      <c r="C100"/>
    </row>
    <row r="101" spans="3:3">
      <c r="C101"/>
    </row>
    <row r="102" spans="3:3">
      <c r="C102"/>
    </row>
    <row r="103" spans="3:3">
      <c r="C103"/>
    </row>
    <row r="104" spans="3:3">
      <c r="C104"/>
    </row>
    <row r="105" spans="3:3">
      <c r="C105"/>
    </row>
    <row r="106" spans="3:3">
      <c r="C106"/>
    </row>
    <row r="107" spans="3:3">
      <c r="C107"/>
    </row>
    <row r="108" spans="3:3">
      <c r="C108"/>
    </row>
    <row r="109" spans="3:3">
      <c r="C109"/>
    </row>
    <row r="110" spans="3:3">
      <c r="C110"/>
    </row>
    <row r="111" spans="3:3">
      <c r="C111"/>
    </row>
    <row r="112" spans="3:3">
      <c r="C112"/>
    </row>
    <row r="113" spans="3:3">
      <c r="C113"/>
    </row>
    <row r="114" spans="3:3">
      <c r="C114"/>
    </row>
    <row r="115" spans="3:3">
      <c r="C115"/>
    </row>
    <row r="116" spans="3:3">
      <c r="C116"/>
    </row>
    <row r="117" spans="3:3">
      <c r="C117"/>
    </row>
    <row r="118" spans="3:3">
      <c r="C118"/>
    </row>
    <row r="119" spans="3:3">
      <c r="C119"/>
    </row>
    <row r="120" spans="3:3">
      <c r="C120"/>
    </row>
    <row r="121" spans="3:3">
      <c r="C121"/>
    </row>
    <row r="122" spans="3:3">
      <c r="C122"/>
    </row>
    <row r="123" spans="3:3">
      <c r="C123"/>
    </row>
    <row r="124" spans="3:3">
      <c r="C124"/>
    </row>
    <row r="125" spans="3:3">
      <c r="C125"/>
    </row>
    <row r="126" spans="3:3">
      <c r="C126"/>
    </row>
    <row r="127" spans="3:3">
      <c r="C127"/>
    </row>
    <row r="128" spans="3:3">
      <c r="C128"/>
    </row>
    <row r="129" spans="3:3">
      <c r="C129"/>
    </row>
    <row r="130" spans="3:3">
      <c r="C130"/>
    </row>
    <row r="131" spans="3:3">
      <c r="C131"/>
    </row>
    <row r="132" spans="3:3">
      <c r="C132"/>
    </row>
    <row r="133" spans="3:3">
      <c r="C133"/>
    </row>
    <row r="134" spans="3:3">
      <c r="C134"/>
    </row>
    <row r="135" spans="3:3">
      <c r="C135"/>
    </row>
    <row r="136" spans="3:3">
      <c r="C136"/>
    </row>
    <row r="137" spans="3:3">
      <c r="C137"/>
    </row>
    <row r="138" spans="3:3">
      <c r="C138"/>
    </row>
    <row r="139" spans="3:3">
      <c r="C139"/>
    </row>
    <row r="140" spans="3:3">
      <c r="C140"/>
    </row>
    <row r="141" spans="3:3">
      <c r="C141"/>
    </row>
    <row r="142" spans="3:3">
      <c r="C142"/>
    </row>
    <row r="143" spans="3:3">
      <c r="C143"/>
    </row>
    <row r="144" spans="3:3">
      <c r="C144"/>
    </row>
    <row r="145" spans="3:3">
      <c r="C145"/>
    </row>
    <row r="146" spans="3:3">
      <c r="C146"/>
    </row>
    <row r="147" spans="3:3">
      <c r="C147"/>
    </row>
    <row r="148" spans="3:3">
      <c r="C148"/>
    </row>
    <row r="149" spans="3:3">
      <c r="C149"/>
    </row>
    <row r="150" spans="3:3">
      <c r="C150"/>
    </row>
    <row r="151" spans="3:3">
      <c r="C151"/>
    </row>
    <row r="152" spans="3:3">
      <c r="C152"/>
    </row>
    <row r="153" spans="3:3">
      <c r="C153"/>
    </row>
    <row r="154" spans="3:3">
      <c r="C154"/>
    </row>
    <row r="155" spans="3:3">
      <c r="C155"/>
    </row>
    <row r="156" spans="3:3">
      <c r="C156"/>
    </row>
    <row r="157" spans="3:3">
      <c r="C157"/>
    </row>
    <row r="158" spans="3:3">
      <c r="C158"/>
    </row>
    <row r="159" spans="3:3">
      <c r="C159"/>
    </row>
    <row r="160" spans="3:3">
      <c r="C160"/>
    </row>
    <row r="161" spans="3:3">
      <c r="C161"/>
    </row>
    <row r="162" spans="3:3">
      <c r="C162"/>
    </row>
    <row r="163" spans="3:3">
      <c r="C163"/>
    </row>
    <row r="164" spans="3:3">
      <c r="C164"/>
    </row>
    <row r="165" spans="3:3">
      <c r="C165"/>
    </row>
    <row r="166" spans="3:3">
      <c r="C166"/>
    </row>
    <row r="167" spans="3:3">
      <c r="C167"/>
    </row>
    <row r="168" spans="3:3">
      <c r="C168"/>
    </row>
    <row r="169" spans="3:3">
      <c r="C169"/>
    </row>
    <row r="170" spans="3:3">
      <c r="C170"/>
    </row>
    <row r="171" spans="3:3">
      <c r="C171"/>
    </row>
    <row r="172" spans="3:3">
      <c r="C172"/>
    </row>
    <row r="173" spans="3:3">
      <c r="C173"/>
    </row>
    <row r="174" spans="3:3">
      <c r="C174"/>
    </row>
    <row r="175" spans="3:3">
      <c r="C175"/>
    </row>
    <row r="176" spans="3:3">
      <c r="C176"/>
    </row>
    <row r="177" spans="3:3">
      <c r="C177"/>
    </row>
    <row r="178" spans="3:3">
      <c r="C178"/>
    </row>
    <row r="179" spans="3:3">
      <c r="C179"/>
    </row>
    <row r="180" spans="3:3">
      <c r="C180"/>
    </row>
    <row r="181" spans="3:3">
      <c r="C181"/>
    </row>
    <row r="182" spans="3:3">
      <c r="C182"/>
    </row>
    <row r="183" spans="3:3">
      <c r="C183"/>
    </row>
    <row r="184" spans="3:3">
      <c r="C184"/>
    </row>
    <row r="185" spans="3:3">
      <c r="C185"/>
    </row>
    <row r="186" spans="3:3">
      <c r="C186"/>
    </row>
    <row r="187" spans="3:3">
      <c r="C187"/>
    </row>
    <row r="188" spans="3:3">
      <c r="C188"/>
    </row>
    <row r="189" spans="3:3">
      <c r="C189"/>
    </row>
    <row r="190" spans="3:3">
      <c r="C190"/>
    </row>
    <row r="191" spans="3:3">
      <c r="C191"/>
    </row>
    <row r="192" spans="3:3">
      <c r="C192"/>
    </row>
    <row r="193" spans="3:3">
      <c r="C193"/>
    </row>
    <row r="194" spans="3:3">
      <c r="C194"/>
    </row>
    <row r="195" spans="3:3">
      <c r="C195"/>
    </row>
    <row r="196" spans="3:3">
      <c r="C196"/>
    </row>
    <row r="197" spans="3:3">
      <c r="C197"/>
    </row>
    <row r="198" spans="3:3">
      <c r="C198"/>
    </row>
    <row r="199" spans="3:3">
      <c r="C199"/>
    </row>
    <row r="200" spans="3:3">
      <c r="C200"/>
    </row>
    <row r="201" spans="3:3">
      <c r="C201"/>
    </row>
    <row r="202" spans="3:3">
      <c r="C202"/>
    </row>
    <row r="203" spans="3:3">
      <c r="C203"/>
    </row>
    <row r="204" spans="3:3">
      <c r="C204"/>
    </row>
    <row r="205" spans="3:3">
      <c r="C205"/>
    </row>
    <row r="206" spans="3:3">
      <c r="C206"/>
    </row>
    <row r="207" spans="3:3">
      <c r="C207"/>
    </row>
    <row r="208" spans="3:3">
      <c r="C208"/>
    </row>
    <row r="209" spans="3:3">
      <c r="C209"/>
    </row>
    <row r="210" spans="3:3">
      <c r="C210"/>
    </row>
    <row r="211" spans="3:3">
      <c r="C211"/>
    </row>
    <row r="212" spans="3:3">
      <c r="C212"/>
    </row>
    <row r="213" spans="3:3">
      <c r="C213"/>
    </row>
    <row r="214" spans="3:3">
      <c r="C214"/>
    </row>
    <row r="215" spans="3:3">
      <c r="C215"/>
    </row>
    <row r="216" spans="3:3">
      <c r="C216"/>
    </row>
    <row r="217" spans="3:3">
      <c r="C217"/>
    </row>
    <row r="218" spans="3:3">
      <c r="C218"/>
    </row>
    <row r="219" spans="3:3">
      <c r="C219"/>
    </row>
    <row r="220" spans="3:3">
      <c r="C220"/>
    </row>
    <row r="221" spans="3:3">
      <c r="C221"/>
    </row>
    <row r="222" spans="3:3">
      <c r="C222"/>
    </row>
    <row r="223" spans="3:3">
      <c r="C223"/>
    </row>
    <row r="224" spans="3:3">
      <c r="C224"/>
    </row>
    <row r="225" spans="3:3">
      <c r="C225"/>
    </row>
    <row r="226" spans="3:3">
      <c r="C226"/>
    </row>
    <row r="227" spans="3:3">
      <c r="C227"/>
    </row>
    <row r="228" spans="3:3">
      <c r="C228"/>
    </row>
    <row r="229" spans="3:3">
      <c r="C229"/>
    </row>
    <row r="230" spans="3:3">
      <c r="C230"/>
    </row>
    <row r="231" spans="3:3">
      <c r="C231"/>
    </row>
    <row r="232" spans="3:3">
      <c r="C232"/>
    </row>
    <row r="233" spans="3:3">
      <c r="C233"/>
    </row>
    <row r="234" spans="3:3">
      <c r="C234"/>
    </row>
    <row r="235" spans="3:3">
      <c r="C235"/>
    </row>
    <row r="236" spans="3:3">
      <c r="C236"/>
    </row>
    <row r="237" spans="3:3">
      <c r="C237"/>
    </row>
    <row r="238" spans="3:3">
      <c r="C238"/>
    </row>
    <row r="239" spans="3:3">
      <c r="C239"/>
    </row>
    <row r="240" spans="3:3">
      <c r="C240"/>
    </row>
    <row r="241" spans="3:3">
      <c r="C241"/>
    </row>
    <row r="242" spans="3:3">
      <c r="C242"/>
    </row>
    <row r="243" spans="3:3">
      <c r="C243"/>
    </row>
    <row r="244" spans="3:3">
      <c r="C244"/>
    </row>
    <row r="245" spans="3:3">
      <c r="C245"/>
    </row>
    <row r="246" spans="3:3">
      <c r="C246"/>
    </row>
    <row r="247" spans="3:3">
      <c r="C247"/>
    </row>
    <row r="248" spans="3:3">
      <c r="C248"/>
    </row>
    <row r="249" spans="3:3">
      <c r="C249"/>
    </row>
    <row r="250" spans="3:3">
      <c r="C250"/>
    </row>
    <row r="251" spans="3:3">
      <c r="C251"/>
    </row>
    <row r="252" spans="3:3">
      <c r="C252"/>
    </row>
    <row r="253" spans="3:3">
      <c r="C253"/>
    </row>
    <row r="254" spans="3:3">
      <c r="C254"/>
    </row>
    <row r="255" spans="3:3">
      <c r="C255"/>
    </row>
    <row r="256" spans="3:3">
      <c r="C256"/>
    </row>
    <row r="257" spans="3:3">
      <c r="C257"/>
    </row>
    <row r="258" spans="3:3">
      <c r="C258"/>
    </row>
    <row r="259" spans="3:3">
      <c r="C259"/>
    </row>
    <row r="260" spans="3:3">
      <c r="C260"/>
    </row>
    <row r="261" spans="3:3">
      <c r="C261"/>
    </row>
    <row r="262" spans="3:3">
      <c r="C262"/>
    </row>
    <row r="263" spans="3:3">
      <c r="C263"/>
    </row>
    <row r="264" spans="3:3">
      <c r="C264"/>
    </row>
    <row r="265" spans="3:3">
      <c r="C265"/>
    </row>
    <row r="266" spans="3:3">
      <c r="C266"/>
    </row>
    <row r="267" spans="3:3">
      <c r="C267"/>
    </row>
    <row r="268" spans="3:3">
      <c r="C268"/>
    </row>
    <row r="269" spans="3:3">
      <c r="C269"/>
    </row>
    <row r="270" spans="3:3">
      <c r="C270"/>
    </row>
    <row r="271" spans="3:3">
      <c r="C271"/>
    </row>
    <row r="272" spans="3:3">
      <c r="C272"/>
    </row>
    <row r="273" spans="3:3">
      <c r="C273"/>
    </row>
    <row r="274" spans="3:3">
      <c r="C274"/>
    </row>
    <row r="275" spans="3:3">
      <c r="C275"/>
    </row>
    <row r="276" spans="3:3">
      <c r="C276"/>
    </row>
    <row r="277" spans="3:3">
      <c r="C277"/>
    </row>
    <row r="278" spans="3:3">
      <c r="C278"/>
    </row>
    <row r="279" spans="3:3">
      <c r="C279"/>
    </row>
    <row r="280" spans="3:3">
      <c r="C280"/>
    </row>
    <row r="281" spans="3:3">
      <c r="C281"/>
    </row>
    <row r="282" spans="3:3">
      <c r="C282"/>
    </row>
    <row r="283" spans="3:3">
      <c r="C283"/>
    </row>
    <row r="284" spans="3:3">
      <c r="C284"/>
    </row>
    <row r="285" spans="3:3">
      <c r="C285"/>
    </row>
    <row r="286" spans="3:3">
      <c r="C286"/>
    </row>
    <row r="287" spans="3:3">
      <c r="C287"/>
    </row>
    <row r="288" spans="3:3">
      <c r="C288"/>
    </row>
    <row r="289" spans="3:3">
      <c r="C289"/>
    </row>
    <row r="290" spans="3:3">
      <c r="C290"/>
    </row>
    <row r="291" spans="3:3">
      <c r="C291"/>
    </row>
    <row r="292" spans="3:3">
      <c r="C292"/>
    </row>
    <row r="293" spans="3:3">
      <c r="C293"/>
    </row>
    <row r="294" spans="3:3">
      <c r="C294"/>
    </row>
    <row r="295" spans="3:3">
      <c r="C295"/>
    </row>
    <row r="296" spans="3:3">
      <c r="C296"/>
    </row>
    <row r="297" spans="3:3">
      <c r="C297"/>
    </row>
    <row r="298" spans="3:3">
      <c r="C298"/>
    </row>
    <row r="299" spans="3:3">
      <c r="C299"/>
    </row>
    <row r="300" spans="3:3">
      <c r="C300"/>
    </row>
    <row r="301" spans="3:3">
      <c r="C301"/>
    </row>
    <row r="302" spans="3:3">
      <c r="C302"/>
    </row>
    <row r="303" spans="3:3">
      <c r="C303"/>
    </row>
    <row r="304" spans="3:3">
      <c r="C304"/>
    </row>
    <row r="305" spans="3:3">
      <c r="C305"/>
    </row>
    <row r="306" spans="3:3">
      <c r="C306"/>
    </row>
    <row r="307" spans="3:3">
      <c r="C307"/>
    </row>
    <row r="308" spans="3:3">
      <c r="C308"/>
    </row>
    <row r="309" spans="3:3">
      <c r="C309"/>
    </row>
    <row r="310" spans="3:3">
      <c r="C310"/>
    </row>
    <row r="311" spans="3:3">
      <c r="C311"/>
    </row>
    <row r="312" spans="3:3">
      <c r="C312"/>
    </row>
    <row r="313" spans="3:3">
      <c r="C313"/>
    </row>
    <row r="314" spans="3:3">
      <c r="C314"/>
    </row>
    <row r="315" spans="3:3">
      <c r="C315"/>
    </row>
    <row r="316" spans="3:3">
      <c r="C316"/>
    </row>
    <row r="317" spans="3:3">
      <c r="C317"/>
    </row>
    <row r="318" spans="3:3">
      <c r="C318"/>
    </row>
    <row r="319" spans="3:3">
      <c r="C319"/>
    </row>
    <row r="320" spans="3:3">
      <c r="C320"/>
    </row>
    <row r="321" spans="3:3">
      <c r="C321"/>
    </row>
    <row r="322" spans="3:3">
      <c r="C322"/>
    </row>
    <row r="323" spans="3:3">
      <c r="C323"/>
    </row>
    <row r="324" spans="3:3">
      <c r="C324"/>
    </row>
    <row r="325" spans="3:3">
      <c r="C325"/>
    </row>
    <row r="326" spans="3:3">
      <c r="C326"/>
    </row>
    <row r="327" spans="3:3">
      <c r="C327"/>
    </row>
    <row r="328" spans="3:3">
      <c r="C328"/>
    </row>
    <row r="329" spans="3:3">
      <c r="C329"/>
    </row>
    <row r="330" spans="3:3">
      <c r="C330"/>
    </row>
    <row r="331" spans="3:3">
      <c r="C331"/>
    </row>
    <row r="332" spans="3:3">
      <c r="C332"/>
    </row>
    <row r="333" spans="3:3">
      <c r="C333"/>
    </row>
    <row r="334" spans="3:3">
      <c r="C334"/>
    </row>
    <row r="335" spans="3:3">
      <c r="C335"/>
    </row>
    <row r="336" spans="3:3">
      <c r="C336"/>
    </row>
    <row r="337" spans="3:3">
      <c r="C337"/>
    </row>
    <row r="338" spans="3:3">
      <c r="C338"/>
    </row>
    <row r="339" spans="3:3">
      <c r="C339"/>
    </row>
    <row r="340" spans="3:3">
      <c r="C340"/>
    </row>
    <row r="341" spans="3:3">
      <c r="C341"/>
    </row>
    <row r="342" spans="3:3">
      <c r="C342"/>
    </row>
    <row r="343" spans="3:3">
      <c r="C343"/>
    </row>
    <row r="344" spans="3:3">
      <c r="C344"/>
    </row>
    <row r="345" spans="3:3">
      <c r="C345"/>
    </row>
    <row r="346" spans="3:3">
      <c r="C346"/>
    </row>
    <row r="347" spans="3:3">
      <c r="C347"/>
    </row>
    <row r="348" spans="3:3">
      <c r="C348"/>
    </row>
    <row r="349" spans="3:3">
      <c r="C349"/>
    </row>
    <row r="350" spans="3:3">
      <c r="C350"/>
    </row>
    <row r="351" spans="3:3">
      <c r="C351"/>
    </row>
    <row r="352" spans="3:3">
      <c r="C352"/>
    </row>
  </sheetData>
  <sortState ref="E69:E88">
    <sortCondition ref="E68"/>
  </sortState>
  <mergeCells count="6">
    <mergeCell ref="A52:E52"/>
    <mergeCell ref="A7:C7"/>
    <mergeCell ref="A12:C12"/>
    <mergeCell ref="A35:C35"/>
    <mergeCell ref="A41:C41"/>
    <mergeCell ref="A51:C51"/>
  </mergeCells>
  <conditionalFormatting sqref="A4:A8 C4:C6 C8">
    <cfRule type="colorScale" priority="20">
      <colorScale>
        <cfvo type="min"/>
        <cfvo type="percentile" val="50"/>
        <cfvo type="max"/>
        <color rgb="FFF8696B"/>
        <color rgb="FFFFEB84"/>
        <color rgb="FF63BE7B"/>
      </colorScale>
    </cfRule>
  </conditionalFormatting>
  <conditionalFormatting sqref="A9">
    <cfRule type="colorScale" priority="19">
      <colorScale>
        <cfvo type="min"/>
        <cfvo type="percentile" val="50"/>
        <cfvo type="max"/>
        <color rgb="FFF8696B"/>
        <color rgb="FFFFEB84"/>
        <color rgb="FF63BE7B"/>
      </colorScale>
    </cfRule>
  </conditionalFormatting>
  <conditionalFormatting sqref="A10:A11 A13">
    <cfRule type="colorScale" priority="18">
      <colorScale>
        <cfvo type="min"/>
        <cfvo type="percentile" val="50"/>
        <cfvo type="max"/>
        <color rgb="FFF8696B"/>
        <color rgb="FFFFEB84"/>
        <color rgb="FF63BE7B"/>
      </colorScale>
    </cfRule>
  </conditionalFormatting>
  <conditionalFormatting sqref="A14:A34 A36">
    <cfRule type="colorScale" priority="17">
      <colorScale>
        <cfvo type="min"/>
        <cfvo type="percentile" val="50"/>
        <cfvo type="max"/>
        <color rgb="FFF8696B"/>
        <color rgb="FFFFEB84"/>
        <color rgb="FF63BE7B"/>
      </colorScale>
    </cfRule>
  </conditionalFormatting>
  <conditionalFormatting sqref="A37:A40 A42">
    <cfRule type="colorScale" priority="16">
      <colorScale>
        <cfvo type="min"/>
        <cfvo type="percentile" val="50"/>
        <cfvo type="max"/>
        <color rgb="FFF8696B"/>
        <color rgb="FFFFEB84"/>
        <color rgb="FF63BE7B"/>
      </colorScale>
    </cfRule>
  </conditionalFormatting>
  <conditionalFormatting sqref="A12">
    <cfRule type="colorScale" priority="6">
      <colorScale>
        <cfvo type="min"/>
        <cfvo type="percentile" val="50"/>
        <cfvo type="max"/>
        <color rgb="FFF8696B"/>
        <color rgb="FFFFEB84"/>
        <color rgb="FF63BE7B"/>
      </colorScale>
    </cfRule>
  </conditionalFormatting>
  <conditionalFormatting sqref="A35">
    <cfRule type="colorScale" priority="5">
      <colorScale>
        <cfvo type="min"/>
        <cfvo type="percentile" val="50"/>
        <cfvo type="max"/>
        <color rgb="FFF8696B"/>
        <color rgb="FFFFEB84"/>
        <color rgb="FF63BE7B"/>
      </colorScale>
    </cfRule>
  </conditionalFormatting>
  <conditionalFormatting sqref="A41">
    <cfRule type="colorScale" priority="4">
      <colorScale>
        <cfvo type="min"/>
        <cfvo type="percentile" val="50"/>
        <cfvo type="max"/>
        <color rgb="FFF8696B"/>
        <color rgb="FFFFEB84"/>
        <color rgb="FF63BE7B"/>
      </colorScale>
    </cfRule>
  </conditionalFormatting>
  <conditionalFormatting sqref="A51">
    <cfRule type="colorScale" priority="3">
      <colorScale>
        <cfvo type="min"/>
        <cfvo type="percentile" val="50"/>
        <cfvo type="max"/>
        <color rgb="FFF8696B"/>
        <color rgb="FFFFEB84"/>
        <color rgb="FF63BE7B"/>
      </colorScale>
    </cfRule>
  </conditionalFormatting>
  <conditionalFormatting sqref="A43:C50">
    <cfRule type="colorScale" priority="268">
      <colorScale>
        <cfvo type="min"/>
        <cfvo type="percentile" val="50"/>
        <cfvo type="max"/>
        <color rgb="FFF8696B"/>
        <color rgb="FFFFEB84"/>
        <color rgb="FF63BE7B"/>
      </colorScale>
    </cfRule>
  </conditionalFormatting>
  <conditionalFormatting sqref="K36:K40 K2:K6 K8:K11 K13:K34 K42:K50">
    <cfRule type="dataBar" priority="269">
      <dataBar>
        <cfvo type="min"/>
        <cfvo type="max"/>
        <color rgb="FF638EC6"/>
      </dataBar>
      <extLst>
        <ext xmlns:x14="http://schemas.microsoft.com/office/spreadsheetml/2009/9/main" uri="{B025F937-C7B1-47D3-B67F-A62EFF666E3E}">
          <x14:id>{26149310-1A7F-4FB6-B0D3-2E2022279711}</x14:id>
        </ext>
      </extLst>
    </cfRule>
  </conditionalFormatting>
  <conditionalFormatting sqref="M36:M40 M2:M6 M8:M11 M13:M34 M42:M50">
    <cfRule type="dataBar" priority="274">
      <dataBar>
        <cfvo type="min"/>
        <cfvo type="max"/>
        <color rgb="FF638EC6"/>
      </dataBar>
      <extLst>
        <ext xmlns:x14="http://schemas.microsoft.com/office/spreadsheetml/2009/9/main" uri="{B025F937-C7B1-47D3-B67F-A62EFF666E3E}">
          <x14:id>{197E1ED2-E92B-4AC8-891A-5F73E552508E}</x14:id>
        </ext>
      </extLst>
    </cfRule>
  </conditionalFormatting>
  <conditionalFormatting sqref="O36:O40 O2:O6 O8:O11 O13:O34 O42:O50">
    <cfRule type="dataBar" priority="279">
      <dataBar>
        <cfvo type="min"/>
        <cfvo type="max"/>
        <color rgb="FF638EC6"/>
      </dataBar>
      <extLst>
        <ext xmlns:x14="http://schemas.microsoft.com/office/spreadsheetml/2009/9/main" uri="{B025F937-C7B1-47D3-B67F-A62EFF666E3E}">
          <x14:id>{434AA48C-D8A2-4B63-8B29-7AEBE45D3AE3}</x14:id>
        </ext>
      </extLst>
    </cfRule>
  </conditionalFormatting>
  <conditionalFormatting sqref="K36:K40 K3:K6 K8:K11 K13:K34 K42:K50">
    <cfRule type="dataBar" priority="284">
      <dataBar>
        <cfvo type="min"/>
        <cfvo type="max"/>
        <color rgb="FF638EC6"/>
      </dataBar>
      <extLst>
        <ext xmlns:x14="http://schemas.microsoft.com/office/spreadsheetml/2009/9/main" uri="{B025F937-C7B1-47D3-B67F-A62EFF666E3E}">
          <x14:id>{B9C79C9D-CC83-4597-829F-5E768ACBD0D2}</x14:id>
        </ext>
      </extLst>
    </cfRule>
  </conditionalFormatting>
  <conditionalFormatting sqref="R36:R40 R42:R50 R2:R6 R8:R11 R13:R34">
    <cfRule type="dataBar" priority="2">
      <dataBar>
        <cfvo type="min"/>
        <cfvo type="max"/>
        <color rgb="FF638EC6"/>
      </dataBar>
      <extLst>
        <ext xmlns:x14="http://schemas.microsoft.com/office/spreadsheetml/2009/9/main" uri="{B025F937-C7B1-47D3-B67F-A62EFF666E3E}">
          <x14:id>{ABBD2081-A0A3-4237-93D1-46C73DC3C6DB}</x14:id>
        </ext>
      </extLst>
    </cfRule>
  </conditionalFormatting>
  <conditionalFormatting sqref="K37:K40 K2:K6 K9:K11 K14:K34 K43:K50">
    <cfRule type="dataBar" priority="1">
      <dataBar>
        <cfvo type="min"/>
        <cfvo type="max"/>
        <color rgb="FF638EC6"/>
      </dataBar>
      <extLst>
        <ext xmlns:x14="http://schemas.microsoft.com/office/spreadsheetml/2009/9/main" uri="{B025F937-C7B1-47D3-B67F-A62EFF666E3E}">
          <x14:id>{25561115-A9AC-498F-9FF8-21E059FC87D5}</x14:id>
        </ext>
      </extLst>
    </cfRule>
  </conditionalFormatting>
  <pageMargins left="0.7" right="0.7" top="0.75" bottom="0.75" header="0.3" footer="0.3"/>
  <pageSetup paperSize="9" scale="53" orientation="landscape" r:id="rId1"/>
  <legacyDrawing r:id="rId2"/>
  <extLst>
    <ext xmlns:x14="http://schemas.microsoft.com/office/spreadsheetml/2009/9/main" uri="{78C0D931-6437-407d-A8EE-F0AAD7539E65}">
      <x14:conditionalFormattings>
        <x14:conditionalFormatting xmlns:xm="http://schemas.microsoft.com/office/excel/2006/main">
          <x14:cfRule type="dataBar" id="{26149310-1A7F-4FB6-B0D3-2E2022279711}">
            <x14:dataBar minLength="0" maxLength="100" border="1" negativeBarBorderColorSameAsPositive="0">
              <x14:cfvo type="autoMin"/>
              <x14:cfvo type="autoMax"/>
              <x14:borderColor rgb="FF638EC6"/>
              <x14:negativeFillColor rgb="FFFF0000"/>
              <x14:negativeBorderColor rgb="FFFF0000"/>
              <x14:axisColor rgb="FF000000"/>
            </x14:dataBar>
          </x14:cfRule>
          <xm:sqref>K36:K40 K2:K6 K8:K11 K13:K34 K42:K50</xm:sqref>
        </x14:conditionalFormatting>
        <x14:conditionalFormatting xmlns:xm="http://schemas.microsoft.com/office/excel/2006/main">
          <x14:cfRule type="dataBar" id="{197E1ED2-E92B-4AC8-891A-5F73E552508E}">
            <x14:dataBar minLength="0" maxLength="100" gradient="0">
              <x14:cfvo type="autoMin"/>
              <x14:cfvo type="autoMax"/>
              <x14:negativeFillColor rgb="FFFF0000"/>
              <x14:axisColor rgb="FF000000"/>
            </x14:dataBar>
          </x14:cfRule>
          <xm:sqref>M36:M40 M2:M6 M8:M11 M13:M34 M42:M50</xm:sqref>
        </x14:conditionalFormatting>
        <x14:conditionalFormatting xmlns:xm="http://schemas.microsoft.com/office/excel/2006/main">
          <x14:cfRule type="dataBar" id="{434AA48C-D8A2-4B63-8B29-7AEBE45D3AE3}">
            <x14:dataBar minLength="0" maxLength="100" gradient="0">
              <x14:cfvo type="autoMin"/>
              <x14:cfvo type="autoMax"/>
              <x14:negativeFillColor rgb="FFFF0000"/>
              <x14:axisColor rgb="FF000000"/>
            </x14:dataBar>
          </x14:cfRule>
          <xm:sqref>O36:O40 O2:O6 O8:O11 O13:O34 O42:O50</xm:sqref>
        </x14:conditionalFormatting>
        <x14:conditionalFormatting xmlns:xm="http://schemas.microsoft.com/office/excel/2006/main">
          <x14:cfRule type="dataBar" id="{B9C79C9D-CC83-4597-829F-5E768ACBD0D2}">
            <x14:dataBar minLength="0" maxLength="100" gradient="0">
              <x14:cfvo type="autoMin"/>
              <x14:cfvo type="autoMax"/>
              <x14:negativeFillColor rgb="FFFF0000"/>
              <x14:axisColor rgb="FF000000"/>
            </x14:dataBar>
          </x14:cfRule>
          <xm:sqref>K36:K40 K3:K6 K8:K11 K13:K34 K42:K50</xm:sqref>
        </x14:conditionalFormatting>
        <x14:conditionalFormatting xmlns:xm="http://schemas.microsoft.com/office/excel/2006/main">
          <x14:cfRule type="dataBar" id="{ABBD2081-A0A3-4237-93D1-46C73DC3C6DB}">
            <x14:dataBar minLength="0" maxLength="100" gradient="0">
              <x14:cfvo type="autoMin"/>
              <x14:cfvo type="autoMax"/>
              <x14:negativeFillColor rgb="FFFF0000"/>
              <x14:axisColor rgb="FF000000"/>
            </x14:dataBar>
          </x14:cfRule>
          <xm:sqref>R36:R40 R42:R50 R2:R6 R8:R11 R13:R34</xm:sqref>
        </x14:conditionalFormatting>
        <x14:conditionalFormatting xmlns:xm="http://schemas.microsoft.com/office/excel/2006/main">
          <x14:cfRule type="dataBar" id="{25561115-A9AC-498F-9FF8-21E059FC87D5}">
            <x14:dataBar minLength="0" maxLength="100" gradient="0">
              <x14:cfvo type="autoMin"/>
              <x14:cfvo type="autoMax"/>
              <x14:negativeFillColor rgb="FFFF0000"/>
              <x14:axisColor rgb="FF000000"/>
            </x14:dataBar>
          </x14:cfRule>
          <xm:sqref>K37:K40 K2:K6 K9:K11 K14:K34 K43:K50</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H66"/>
  <sheetViews>
    <sheetView workbookViewId="0">
      <selection activeCell="D36" sqref="A34:F36"/>
    </sheetView>
  </sheetViews>
  <sheetFormatPr baseColWidth="10" defaultRowHeight="12.75"/>
  <cols>
    <col min="3" max="3" width="13.85546875" bestFit="1" customWidth="1"/>
    <col min="4" max="4" width="37" customWidth="1"/>
  </cols>
  <sheetData>
    <row r="1" spans="1:6">
      <c r="A1" s="266" t="s">
        <v>427</v>
      </c>
      <c r="B1" s="265"/>
      <c r="C1" s="265"/>
      <c r="D1" s="265"/>
      <c r="E1" s="265"/>
      <c r="F1" s="265"/>
    </row>
    <row r="2" spans="1:6">
      <c r="A2" s="267">
        <v>43101</v>
      </c>
      <c r="B2" s="265"/>
      <c r="C2" s="265"/>
      <c r="D2" s="265"/>
      <c r="E2" s="265"/>
      <c r="F2" s="265"/>
    </row>
    <row r="3" spans="1:6">
      <c r="A3" s="267">
        <v>43108</v>
      </c>
      <c r="B3" s="265"/>
      <c r="C3" s="265"/>
      <c r="D3" s="265"/>
      <c r="E3" s="265"/>
      <c r="F3" s="265"/>
    </row>
    <row r="4" spans="1:6">
      <c r="A4" s="267">
        <v>43178</v>
      </c>
      <c r="B4" s="265"/>
      <c r="C4" s="265"/>
      <c r="D4" s="268" t="s">
        <v>181</v>
      </c>
      <c r="E4" s="265"/>
      <c r="F4" s="265"/>
    </row>
    <row r="5" spans="1:6">
      <c r="A5" s="267">
        <v>43188</v>
      </c>
      <c r="B5" s="265"/>
      <c r="C5" s="265"/>
      <c r="D5" s="269" t="s">
        <v>184</v>
      </c>
      <c r="E5" s="265"/>
      <c r="F5" s="265"/>
    </row>
    <row r="6" spans="1:6">
      <c r="A6" s="267">
        <v>43189</v>
      </c>
      <c r="B6" s="265"/>
      <c r="C6" s="265"/>
      <c r="D6" s="269" t="s">
        <v>182</v>
      </c>
      <c r="E6" s="265"/>
      <c r="F6" s="265"/>
    </row>
    <row r="7" spans="1:6">
      <c r="A7" s="267">
        <v>43221</v>
      </c>
      <c r="B7" s="265"/>
      <c r="C7" s="265"/>
      <c r="D7" s="269" t="s">
        <v>183</v>
      </c>
      <c r="E7" s="265"/>
      <c r="F7" s="265"/>
    </row>
    <row r="8" spans="1:6">
      <c r="A8" s="267">
        <v>43234</v>
      </c>
      <c r="B8" s="265"/>
      <c r="C8" s="265"/>
      <c r="D8" s="269" t="s">
        <v>247</v>
      </c>
      <c r="E8" s="265"/>
      <c r="F8" s="265"/>
    </row>
    <row r="9" spans="1:6" ht="38.25">
      <c r="A9" s="267">
        <v>43255</v>
      </c>
      <c r="B9" s="265"/>
      <c r="C9" s="265"/>
      <c r="D9" s="269" t="s">
        <v>248</v>
      </c>
      <c r="E9" s="265"/>
      <c r="F9" s="265"/>
    </row>
    <row r="10" spans="1:6">
      <c r="A10" s="267">
        <v>43262</v>
      </c>
      <c r="B10" s="265"/>
      <c r="C10" s="265"/>
      <c r="D10" s="269" t="s">
        <v>249</v>
      </c>
      <c r="E10" s="265"/>
      <c r="F10" s="265"/>
    </row>
    <row r="11" spans="1:6" ht="25.5">
      <c r="A11" s="267">
        <v>43283</v>
      </c>
      <c r="B11" s="265"/>
      <c r="C11" s="265"/>
      <c r="D11" s="269" t="s">
        <v>250</v>
      </c>
      <c r="E11" s="265"/>
      <c r="F11" s="265"/>
    </row>
    <row r="12" spans="1:6">
      <c r="A12" s="267">
        <v>43301</v>
      </c>
      <c r="B12" s="265"/>
      <c r="C12" s="265"/>
      <c r="D12" s="269" t="s">
        <v>251</v>
      </c>
      <c r="E12" s="270">
        <v>10</v>
      </c>
      <c r="F12" s="265"/>
    </row>
    <row r="13" spans="1:6" ht="25.5">
      <c r="A13" s="267">
        <v>43319</v>
      </c>
      <c r="B13" s="265"/>
      <c r="C13" s="265"/>
      <c r="D13" s="269" t="s">
        <v>252</v>
      </c>
      <c r="E13" s="265"/>
      <c r="F13" s="265"/>
    </row>
    <row r="14" spans="1:6" ht="25.5">
      <c r="A14" s="267">
        <v>43332</v>
      </c>
      <c r="B14" s="265"/>
      <c r="C14" s="265"/>
      <c r="D14" s="271" t="s">
        <v>253</v>
      </c>
      <c r="E14" s="265"/>
      <c r="F14" s="265"/>
    </row>
    <row r="15" spans="1:6">
      <c r="A15" s="267">
        <v>43388</v>
      </c>
      <c r="B15" s="265"/>
      <c r="C15" s="265"/>
      <c r="D15" s="265"/>
      <c r="E15" s="265"/>
      <c r="F15" s="265"/>
    </row>
    <row r="16" spans="1:6">
      <c r="A16" s="267">
        <v>43409</v>
      </c>
      <c r="B16" s="265"/>
      <c r="C16" s="265"/>
      <c r="D16" s="265"/>
      <c r="E16" s="265"/>
      <c r="F16" s="265"/>
    </row>
    <row r="17" spans="1:8">
      <c r="A17" s="267">
        <v>43416</v>
      </c>
      <c r="B17" s="265"/>
      <c r="C17" s="265"/>
      <c r="D17" s="265"/>
      <c r="E17" s="265"/>
      <c r="F17" s="265"/>
    </row>
    <row r="18" spans="1:8">
      <c r="A18" s="267">
        <v>43459</v>
      </c>
      <c r="B18" s="265"/>
      <c r="C18" s="265"/>
      <c r="D18" s="265"/>
      <c r="E18" s="265"/>
      <c r="F18" s="265"/>
    </row>
    <row r="19" spans="1:8">
      <c r="A19" s="265"/>
      <c r="B19" s="265"/>
      <c r="C19" s="265"/>
      <c r="D19" s="265"/>
      <c r="E19" s="265"/>
      <c r="F19" s="265"/>
    </row>
    <row r="20" spans="1:8">
      <c r="A20" s="265"/>
      <c r="B20" s="265"/>
      <c r="C20" s="265"/>
      <c r="D20" s="265"/>
      <c r="E20" s="265"/>
      <c r="F20" s="265"/>
    </row>
    <row r="21" spans="1:8" ht="38.25">
      <c r="A21" s="265"/>
      <c r="B21" s="265"/>
      <c r="C21" s="265"/>
      <c r="D21" s="264" t="s">
        <v>274</v>
      </c>
      <c r="E21" s="272">
        <v>10</v>
      </c>
      <c r="F21" s="265"/>
    </row>
    <row r="22" spans="1:8">
      <c r="A22" s="265"/>
      <c r="B22" s="265"/>
      <c r="C22" s="265"/>
      <c r="D22" s="264" t="s">
        <v>269</v>
      </c>
      <c r="E22" s="272">
        <v>10</v>
      </c>
      <c r="F22" s="265"/>
    </row>
    <row r="23" spans="1:8">
      <c r="A23" s="265"/>
      <c r="B23" s="265"/>
      <c r="C23" s="265"/>
      <c r="D23" s="264" t="s">
        <v>347</v>
      </c>
      <c r="E23" s="272">
        <v>45</v>
      </c>
      <c r="F23" s="265"/>
      <c r="H23" s="274" t="s">
        <v>458</v>
      </c>
    </row>
    <row r="24" spans="1:8">
      <c r="A24" s="265"/>
      <c r="B24" s="265"/>
      <c r="C24" s="265"/>
      <c r="D24" s="264" t="s">
        <v>267</v>
      </c>
      <c r="E24" s="272">
        <v>25</v>
      </c>
      <c r="F24" s="265"/>
    </row>
    <row r="25" spans="1:8">
      <c r="A25" s="265"/>
      <c r="B25" s="265"/>
      <c r="C25" s="265"/>
      <c r="D25" s="264" t="s">
        <v>258</v>
      </c>
      <c r="E25" s="272">
        <v>50</v>
      </c>
      <c r="F25" s="265"/>
    </row>
    <row r="26" spans="1:8">
      <c r="A26" s="265"/>
      <c r="B26" s="265"/>
      <c r="C26" s="265"/>
      <c r="D26" s="264" t="s">
        <v>348</v>
      </c>
      <c r="E26" s="272">
        <v>45</v>
      </c>
      <c r="F26" s="265"/>
    </row>
    <row r="27" spans="1:8">
      <c r="A27" s="265"/>
      <c r="B27" s="265"/>
      <c r="C27" s="265"/>
      <c r="D27" s="264" t="s">
        <v>349</v>
      </c>
      <c r="E27" s="272">
        <v>10</v>
      </c>
      <c r="F27" s="265"/>
    </row>
    <row r="28" spans="1:8" ht="25.5">
      <c r="A28" s="265"/>
      <c r="B28" s="265"/>
      <c r="C28" s="265"/>
      <c r="D28" s="264" t="s">
        <v>271</v>
      </c>
      <c r="E28" s="273">
        <v>10</v>
      </c>
      <c r="F28" s="265"/>
    </row>
    <row r="29" spans="1:8">
      <c r="A29" s="265"/>
      <c r="B29" s="265"/>
      <c r="C29" s="265"/>
      <c r="D29" s="264" t="s">
        <v>350</v>
      </c>
      <c r="E29" s="272">
        <v>45</v>
      </c>
      <c r="F29" s="265"/>
    </row>
    <row r="30" spans="1:8" ht="25.5">
      <c r="A30" s="265"/>
      <c r="B30" s="265"/>
      <c r="C30" s="265"/>
      <c r="D30" s="264" t="s">
        <v>273</v>
      </c>
      <c r="E30" s="270">
        <v>10</v>
      </c>
      <c r="F30" s="265"/>
    </row>
    <row r="31" spans="1:8">
      <c r="A31" s="265"/>
      <c r="B31" s="265"/>
      <c r="C31" s="265"/>
      <c r="D31" s="264" t="s">
        <v>351</v>
      </c>
      <c r="E31" s="265"/>
      <c r="F31" s="265"/>
    </row>
    <row r="32" spans="1:8">
      <c r="A32" s="265"/>
      <c r="B32" s="265"/>
      <c r="C32" s="265"/>
      <c r="D32" s="265"/>
      <c r="E32" s="265"/>
      <c r="F32" s="265"/>
    </row>
    <row r="33" spans="1:6">
      <c r="A33" s="265"/>
      <c r="B33" s="265"/>
      <c r="C33" s="265"/>
      <c r="D33" s="265"/>
      <c r="E33" s="265"/>
      <c r="F33" s="265"/>
    </row>
    <row r="34" spans="1:6">
      <c r="A34" s="265"/>
      <c r="B34" s="778" t="s">
        <v>455</v>
      </c>
      <c r="C34" s="778"/>
      <c r="D34" s="778"/>
      <c r="E34" s="778"/>
      <c r="F34" s="778"/>
    </row>
    <row r="35" spans="1:6">
      <c r="A35" s="265"/>
      <c r="B35" s="288"/>
      <c r="C35" s="287" t="s">
        <v>428</v>
      </c>
      <c r="D35" s="287" t="s">
        <v>429</v>
      </c>
      <c r="E35" s="287" t="s">
        <v>430</v>
      </c>
      <c r="F35" s="287" t="s">
        <v>431</v>
      </c>
    </row>
    <row r="36" spans="1:6">
      <c r="A36" s="265"/>
      <c r="B36" s="274" t="s">
        <v>432</v>
      </c>
      <c r="C36" s="275">
        <v>43159</v>
      </c>
      <c r="D36" s="274" t="s">
        <v>184</v>
      </c>
      <c r="E36" s="276">
        <v>43205</v>
      </c>
      <c r="F36" s="265">
        <v>169</v>
      </c>
    </row>
    <row r="37" spans="1:6">
      <c r="A37" s="265"/>
      <c r="B37" s="274" t="s">
        <v>433</v>
      </c>
      <c r="C37" s="275">
        <v>43159</v>
      </c>
      <c r="D37" s="274" t="s">
        <v>184</v>
      </c>
      <c r="E37" s="276">
        <v>43205</v>
      </c>
      <c r="F37" s="265">
        <v>171</v>
      </c>
    </row>
    <row r="38" spans="1:6">
      <c r="A38" s="265"/>
      <c r="B38" s="274" t="s">
        <v>434</v>
      </c>
      <c r="C38" s="275">
        <v>43159</v>
      </c>
      <c r="D38" s="274" t="s">
        <v>184</v>
      </c>
      <c r="E38" s="276">
        <v>43205</v>
      </c>
      <c r="F38" s="265">
        <v>168</v>
      </c>
    </row>
    <row r="39" spans="1:6">
      <c r="A39" s="265"/>
      <c r="B39" s="274" t="s">
        <v>435</v>
      </c>
      <c r="C39" s="275">
        <v>43159</v>
      </c>
      <c r="D39" s="274" t="s">
        <v>184</v>
      </c>
      <c r="E39" s="276">
        <v>43205</v>
      </c>
      <c r="F39" s="265">
        <v>170</v>
      </c>
    </row>
    <row r="40" spans="1:6">
      <c r="A40" s="265"/>
      <c r="B40" s="265"/>
      <c r="C40" s="277"/>
      <c r="D40" s="265"/>
      <c r="E40" s="265"/>
      <c r="F40" s="265"/>
    </row>
    <row r="41" spans="1:6">
      <c r="A41" s="265"/>
      <c r="B41" s="274" t="s">
        <v>436</v>
      </c>
      <c r="C41" s="278">
        <v>43160</v>
      </c>
      <c r="D41" s="274" t="s">
        <v>437</v>
      </c>
      <c r="E41" s="267">
        <v>43281</v>
      </c>
      <c r="F41" s="265">
        <v>161</v>
      </c>
    </row>
    <row r="42" spans="1:6">
      <c r="A42" s="265"/>
      <c r="B42" s="274" t="s">
        <v>438</v>
      </c>
      <c r="C42" s="278">
        <v>43160</v>
      </c>
      <c r="D42" s="274" t="s">
        <v>439</v>
      </c>
      <c r="E42" s="267">
        <v>43281</v>
      </c>
      <c r="F42" s="265">
        <v>62</v>
      </c>
    </row>
    <row r="43" spans="1:6">
      <c r="A43" s="265"/>
      <c r="B43" s="265"/>
      <c r="C43" s="275"/>
      <c r="D43" s="265"/>
      <c r="E43" s="276"/>
      <c r="F43" s="265"/>
    </row>
    <row r="44" spans="1:6">
      <c r="A44" s="265"/>
      <c r="B44" s="274" t="s">
        <v>440</v>
      </c>
      <c r="C44" s="275">
        <v>43266</v>
      </c>
      <c r="D44" s="274" t="s">
        <v>437</v>
      </c>
      <c r="E44" s="276">
        <v>43388</v>
      </c>
      <c r="F44" s="265">
        <v>160</v>
      </c>
    </row>
    <row r="45" spans="1:6">
      <c r="A45" s="265"/>
      <c r="B45" s="274" t="s">
        <v>441</v>
      </c>
      <c r="C45" s="275">
        <v>43266</v>
      </c>
      <c r="D45" s="274" t="s">
        <v>439</v>
      </c>
      <c r="E45" s="276">
        <v>43388</v>
      </c>
      <c r="F45" s="265">
        <v>61</v>
      </c>
    </row>
    <row r="46" spans="1:6">
      <c r="A46" s="265"/>
      <c r="B46" s="265"/>
      <c r="C46" s="275"/>
      <c r="D46" s="265"/>
      <c r="E46" s="276"/>
      <c r="F46" s="265"/>
    </row>
    <row r="47" spans="1:6">
      <c r="A47" s="265"/>
      <c r="B47" s="274" t="s">
        <v>442</v>
      </c>
      <c r="C47" s="275">
        <v>43235</v>
      </c>
      <c r="D47" s="274" t="s">
        <v>439</v>
      </c>
      <c r="E47" s="276">
        <v>43296</v>
      </c>
      <c r="F47" s="265">
        <v>159</v>
      </c>
    </row>
    <row r="48" spans="1:6">
      <c r="A48" s="265"/>
      <c r="B48" s="274"/>
      <c r="C48" s="275"/>
      <c r="D48" s="274"/>
      <c r="E48" s="276"/>
      <c r="F48" s="265"/>
    </row>
    <row r="49" spans="1:6">
      <c r="A49" s="265"/>
      <c r="B49" s="274" t="s">
        <v>443</v>
      </c>
      <c r="C49" s="275">
        <v>43220</v>
      </c>
      <c r="D49" s="274" t="s">
        <v>437</v>
      </c>
      <c r="E49" s="276">
        <v>43281</v>
      </c>
      <c r="F49" s="265">
        <v>162</v>
      </c>
    </row>
    <row r="50" spans="1:6">
      <c r="A50" s="265"/>
      <c r="B50" s="265"/>
      <c r="C50" s="275"/>
      <c r="D50" s="265"/>
      <c r="E50" s="276"/>
      <c r="F50" s="265"/>
    </row>
    <row r="51" spans="1:6">
      <c r="A51" s="265"/>
      <c r="B51" s="274" t="s">
        <v>444</v>
      </c>
      <c r="C51" s="276">
        <v>43281</v>
      </c>
      <c r="D51" s="274" t="s">
        <v>437</v>
      </c>
      <c r="E51" s="276">
        <v>43373</v>
      </c>
      <c r="F51" s="265">
        <v>166</v>
      </c>
    </row>
    <row r="52" spans="1:6">
      <c r="A52" s="265"/>
      <c r="B52" s="274" t="s">
        <v>445</v>
      </c>
      <c r="C52" s="276">
        <v>43281</v>
      </c>
      <c r="D52" s="274" t="s">
        <v>439</v>
      </c>
      <c r="E52" s="276">
        <v>43373</v>
      </c>
      <c r="F52" s="265">
        <v>65</v>
      </c>
    </row>
    <row r="53" spans="1:6">
      <c r="A53" s="265"/>
      <c r="B53" s="265"/>
      <c r="C53" s="276"/>
      <c r="D53" s="265"/>
      <c r="E53" s="276"/>
      <c r="F53" s="265"/>
    </row>
    <row r="54" spans="1:6">
      <c r="A54" s="265"/>
      <c r="B54" s="274" t="s">
        <v>446</v>
      </c>
      <c r="C54" s="276">
        <v>43205</v>
      </c>
      <c r="D54" s="274" t="s">
        <v>437</v>
      </c>
      <c r="E54" s="276">
        <v>43266</v>
      </c>
      <c r="F54" s="265">
        <v>58</v>
      </c>
    </row>
    <row r="55" spans="1:6">
      <c r="A55" s="265"/>
      <c r="B55" s="274" t="s">
        <v>447</v>
      </c>
      <c r="C55" s="276">
        <v>43205</v>
      </c>
      <c r="D55" s="274" t="s">
        <v>439</v>
      </c>
      <c r="E55" s="276">
        <v>43266</v>
      </c>
      <c r="F55" s="265">
        <v>64</v>
      </c>
    </row>
    <row r="56" spans="1:6">
      <c r="A56" s="265"/>
      <c r="B56" s="265"/>
      <c r="C56" s="276"/>
      <c r="D56" s="265"/>
      <c r="E56" s="276"/>
      <c r="F56" s="265"/>
    </row>
    <row r="57" spans="1:6">
      <c r="A57" s="265"/>
      <c r="B57" s="274" t="s">
        <v>448</v>
      </c>
      <c r="C57" s="276">
        <v>43189</v>
      </c>
      <c r="D57" s="274" t="s">
        <v>437</v>
      </c>
      <c r="E57" s="276">
        <v>43251</v>
      </c>
      <c r="F57" s="265">
        <v>165</v>
      </c>
    </row>
    <row r="58" spans="1:6">
      <c r="A58" s="265"/>
      <c r="B58" s="274" t="s">
        <v>449</v>
      </c>
      <c r="C58" s="276">
        <v>43189</v>
      </c>
      <c r="D58" s="274" t="s">
        <v>439</v>
      </c>
      <c r="E58" s="276">
        <v>43251</v>
      </c>
      <c r="F58" s="265">
        <v>69</v>
      </c>
    </row>
    <row r="59" spans="1:6">
      <c r="A59" s="265"/>
      <c r="B59" s="274"/>
      <c r="C59" s="276"/>
      <c r="D59" s="274"/>
      <c r="E59" s="276"/>
      <c r="F59" s="265"/>
    </row>
    <row r="60" spans="1:6">
      <c r="A60" s="265"/>
      <c r="B60" s="274" t="s">
        <v>450</v>
      </c>
      <c r="C60" s="276">
        <v>43174</v>
      </c>
      <c r="D60" s="274" t="s">
        <v>437</v>
      </c>
      <c r="E60" s="276">
        <v>43235</v>
      </c>
      <c r="F60" s="279">
        <v>163</v>
      </c>
    </row>
    <row r="61" spans="1:6">
      <c r="A61" s="265"/>
      <c r="B61" s="265"/>
      <c r="C61" s="276"/>
      <c r="D61" s="265"/>
      <c r="E61" s="276"/>
      <c r="F61" s="279"/>
    </row>
    <row r="62" spans="1:6">
      <c r="A62" s="265"/>
      <c r="B62" s="274" t="s">
        <v>451</v>
      </c>
      <c r="C62" s="276">
        <v>43286</v>
      </c>
      <c r="D62" s="274" t="s">
        <v>437</v>
      </c>
      <c r="E62" s="276">
        <v>43358</v>
      </c>
      <c r="F62" s="280" t="s">
        <v>346</v>
      </c>
    </row>
    <row r="63" spans="1:6">
      <c r="A63" s="265"/>
      <c r="B63" s="274" t="s">
        <v>452</v>
      </c>
      <c r="C63" s="276">
        <v>43286</v>
      </c>
      <c r="D63" s="274" t="s">
        <v>439</v>
      </c>
      <c r="E63" s="276">
        <v>43358</v>
      </c>
      <c r="F63" s="280" t="s">
        <v>346</v>
      </c>
    </row>
    <row r="64" spans="1:6">
      <c r="A64" s="265"/>
      <c r="B64" s="265"/>
      <c r="C64" s="276"/>
      <c r="D64" s="265"/>
      <c r="E64" s="276"/>
      <c r="F64" s="279"/>
    </row>
    <row r="65" spans="1:6">
      <c r="A65" s="265"/>
      <c r="B65" s="274" t="s">
        <v>453</v>
      </c>
      <c r="C65" s="276">
        <v>43342</v>
      </c>
      <c r="D65" s="274" t="s">
        <v>437</v>
      </c>
      <c r="E65" s="276">
        <v>43404</v>
      </c>
      <c r="F65" s="279">
        <v>164</v>
      </c>
    </row>
    <row r="66" spans="1:6">
      <c r="A66" s="265"/>
      <c r="B66" s="274" t="s">
        <v>454</v>
      </c>
      <c r="C66" s="276">
        <v>43342</v>
      </c>
      <c r="D66" s="274" t="s">
        <v>439</v>
      </c>
      <c r="E66" s="276">
        <v>43404</v>
      </c>
      <c r="F66" s="265">
        <v>63</v>
      </c>
    </row>
  </sheetData>
  <mergeCells count="1">
    <mergeCell ref="B34:F34"/>
  </mergeCells>
  <dataValidations count="1">
    <dataValidation type="list" allowBlank="1" showInputMessage="1" showErrorMessage="1" sqref="D21:D31">
      <formula1>modalidad_desc</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N107"/>
  <sheetViews>
    <sheetView view="pageBreakPreview" topLeftCell="A4" zoomScale="81" zoomScaleNormal="80" zoomScaleSheetLayoutView="81" workbookViewId="0">
      <selection activeCell="B18" sqref="B18"/>
    </sheetView>
  </sheetViews>
  <sheetFormatPr baseColWidth="10" defaultRowHeight="12.75"/>
  <cols>
    <col min="1" max="1" width="36.5703125" customWidth="1"/>
    <col min="2" max="2" width="22.85546875" style="139" customWidth="1"/>
    <col min="3" max="3" width="22.85546875" style="139" hidden="1" customWidth="1"/>
    <col min="4" max="4" width="20" customWidth="1"/>
    <col min="5" max="5" width="31.140625" customWidth="1"/>
    <col min="6" max="6" width="30.7109375" customWidth="1"/>
    <col min="7" max="7" width="22.7109375" customWidth="1"/>
    <col min="8" max="8" width="29.28515625" customWidth="1"/>
    <col min="9" max="9" width="13.42578125" style="279" customWidth="1"/>
    <col min="10" max="12" width="17.5703125" customWidth="1"/>
  </cols>
  <sheetData>
    <row r="1" spans="1:14" ht="42.75" customHeight="1">
      <c r="A1" s="739"/>
      <c r="B1" s="307" t="s">
        <v>473</v>
      </c>
      <c r="C1" s="743" t="s">
        <v>474</v>
      </c>
      <c r="D1" s="743"/>
      <c r="E1" s="743"/>
      <c r="F1" s="743"/>
      <c r="G1" s="743"/>
      <c r="H1" s="743"/>
      <c r="I1" s="737" t="s">
        <v>475</v>
      </c>
      <c r="J1" s="737"/>
      <c r="K1" s="736" t="s">
        <v>476</v>
      </c>
      <c r="L1" s="736"/>
      <c r="N1" s="19"/>
    </row>
    <row r="2" spans="1:14" ht="42.75" customHeight="1">
      <c r="A2" s="739"/>
      <c r="B2" s="307" t="s">
        <v>477</v>
      </c>
      <c r="C2" s="743" t="s">
        <v>478</v>
      </c>
      <c r="D2" s="743"/>
      <c r="E2" s="743"/>
      <c r="F2" s="743"/>
      <c r="G2" s="743"/>
      <c r="H2" s="743"/>
      <c r="I2" s="737" t="s">
        <v>479</v>
      </c>
      <c r="J2" s="737"/>
      <c r="K2" s="736">
        <v>1</v>
      </c>
      <c r="L2" s="736"/>
      <c r="N2" s="19"/>
    </row>
    <row r="3" spans="1:14" ht="13.5" customHeight="1">
      <c r="A3" s="741" t="s">
        <v>22</v>
      </c>
      <c r="B3" s="741"/>
      <c r="C3" s="741"/>
      <c r="D3" s="741"/>
      <c r="E3" s="741"/>
      <c r="F3" s="741"/>
      <c r="G3" s="741"/>
      <c r="H3" s="741"/>
      <c r="I3" s="77"/>
      <c r="J3" s="76"/>
      <c r="K3" s="76"/>
      <c r="L3" s="78"/>
      <c r="N3" s="19"/>
    </row>
    <row r="4" spans="1:14" ht="13.5" customHeight="1">
      <c r="A4" s="741" t="s">
        <v>89</v>
      </c>
      <c r="B4" s="741"/>
      <c r="C4" s="741"/>
      <c r="D4" s="741"/>
      <c r="E4" s="741"/>
      <c r="F4" s="741"/>
      <c r="G4" s="741"/>
      <c r="H4" s="741"/>
      <c r="I4" s="77"/>
      <c r="J4" s="76"/>
      <c r="K4" s="76"/>
      <c r="L4" s="76"/>
      <c r="N4" s="19"/>
    </row>
    <row r="5" spans="1:14" ht="13.5" customHeight="1">
      <c r="A5" s="741" t="s">
        <v>24</v>
      </c>
      <c r="B5" s="741"/>
      <c r="C5" s="741"/>
      <c r="D5" s="741"/>
      <c r="E5" s="741"/>
      <c r="F5" s="741"/>
      <c r="G5" s="741"/>
      <c r="H5" s="741"/>
      <c r="I5" s="77"/>
      <c r="J5" s="76"/>
      <c r="K5" s="76"/>
      <c r="L5" s="76"/>
      <c r="N5" s="19"/>
    </row>
    <row r="6" spans="1:14" ht="13.5" customHeight="1">
      <c r="A6" s="741" t="s">
        <v>25</v>
      </c>
      <c r="B6" s="741"/>
      <c r="C6" s="741"/>
      <c r="D6" s="741"/>
      <c r="E6" s="741"/>
      <c r="F6" s="741"/>
      <c r="G6" s="741"/>
      <c r="H6" s="741"/>
      <c r="I6" s="77"/>
      <c r="J6" s="76"/>
      <c r="K6" s="76"/>
      <c r="L6" s="78"/>
      <c r="N6" s="19"/>
    </row>
    <row r="7" spans="1:14" ht="13.5" customHeight="1">
      <c r="A7" s="741" t="s">
        <v>26</v>
      </c>
      <c r="B7" s="741"/>
      <c r="C7" s="741"/>
      <c r="D7" s="741"/>
      <c r="E7" s="741"/>
      <c r="F7" s="741"/>
      <c r="G7" s="741"/>
      <c r="H7" s="741"/>
      <c r="I7" s="77"/>
      <c r="J7" s="76"/>
      <c r="K7" s="76"/>
      <c r="L7" s="78"/>
      <c r="N7" s="19"/>
    </row>
    <row r="8" spans="1:14" ht="13.5" customHeight="1">
      <c r="A8" s="741" t="s">
        <v>27</v>
      </c>
      <c r="B8" s="741"/>
      <c r="C8" s="741"/>
      <c r="D8" s="741"/>
      <c r="E8" s="741"/>
      <c r="F8" s="741"/>
      <c r="G8" s="741"/>
      <c r="H8" s="741"/>
      <c r="I8" s="77"/>
      <c r="J8" s="76"/>
      <c r="K8" s="76"/>
      <c r="L8" s="78"/>
    </row>
    <row r="9" spans="1:14" ht="15" customHeight="1">
      <c r="A9" s="741"/>
      <c r="B9" s="741"/>
      <c r="C9" s="741"/>
      <c r="D9" s="741"/>
      <c r="E9" s="741"/>
      <c r="F9" s="741"/>
      <c r="G9" s="741"/>
      <c r="H9" s="741"/>
      <c r="I9" s="477"/>
      <c r="J9" s="49"/>
      <c r="K9" s="49"/>
      <c r="L9" s="50"/>
    </row>
    <row r="10" spans="1:14">
      <c r="A10" s="53" t="s">
        <v>7</v>
      </c>
      <c r="B10" s="741" t="s">
        <v>16</v>
      </c>
      <c r="C10" s="741"/>
      <c r="D10" s="741"/>
      <c r="E10" s="741"/>
      <c r="F10" s="12"/>
      <c r="G10" s="12"/>
      <c r="H10" s="12"/>
      <c r="I10" s="477"/>
      <c r="J10" s="49"/>
      <c r="K10" s="49"/>
      <c r="L10" s="50"/>
    </row>
    <row r="11" spans="1:14">
      <c r="A11" s="53" t="s">
        <v>6</v>
      </c>
      <c r="B11" s="741" t="s">
        <v>20</v>
      </c>
      <c r="C11" s="741"/>
      <c r="D11" s="741"/>
      <c r="E11" s="741"/>
      <c r="F11" s="741"/>
      <c r="G11" s="741"/>
      <c r="H11" s="741"/>
      <c r="I11" s="477"/>
      <c r="J11" s="49"/>
      <c r="K11" s="49"/>
      <c r="L11" s="50"/>
    </row>
    <row r="12" spans="1:14">
      <c r="A12" s="54" t="s">
        <v>8</v>
      </c>
      <c r="B12" s="741" t="s">
        <v>21</v>
      </c>
      <c r="C12" s="741"/>
      <c r="D12" s="741"/>
      <c r="E12" s="741"/>
      <c r="F12" s="741"/>
      <c r="G12" s="741"/>
      <c r="H12" s="741"/>
      <c r="I12" s="477"/>
      <c r="J12" s="49"/>
      <c r="K12" s="49"/>
      <c r="L12" s="50"/>
    </row>
    <row r="13" spans="1:14">
      <c r="A13" s="55" t="s">
        <v>11</v>
      </c>
      <c r="B13" s="130"/>
      <c r="C13" s="212"/>
      <c r="D13" s="45"/>
      <c r="E13" s="45"/>
      <c r="F13" s="45"/>
      <c r="G13" s="45"/>
      <c r="H13" s="45"/>
      <c r="I13" s="477"/>
      <c r="J13" s="49"/>
      <c r="K13" s="49"/>
      <c r="L13" s="50"/>
    </row>
    <row r="14" spans="1:14">
      <c r="A14" s="56" t="s">
        <v>9</v>
      </c>
      <c r="B14" s="131"/>
      <c r="C14" s="212"/>
      <c r="D14" s="45"/>
      <c r="E14" s="45"/>
      <c r="F14" s="45"/>
      <c r="G14" s="45"/>
      <c r="H14" s="45"/>
      <c r="I14" s="478"/>
      <c r="J14" s="51"/>
      <c r="K14" s="51"/>
      <c r="L14" s="52"/>
    </row>
    <row r="15" spans="1:14">
      <c r="A15" s="75" t="s">
        <v>32</v>
      </c>
      <c r="B15" s="744">
        <v>5379725000</v>
      </c>
      <c r="C15" s="744"/>
      <c r="D15" s="744"/>
      <c r="E15" s="47"/>
      <c r="F15" s="47"/>
      <c r="G15" s="47"/>
      <c r="H15" s="48"/>
      <c r="I15" s="16"/>
      <c r="J15" s="16"/>
      <c r="K15" s="18"/>
      <c r="L15" s="18"/>
    </row>
    <row r="16" spans="1:14" ht="25.5">
      <c r="A16" s="57" t="s">
        <v>5</v>
      </c>
      <c r="B16" s="132" t="s">
        <v>0</v>
      </c>
      <c r="C16" s="132"/>
      <c r="D16" s="29" t="s">
        <v>2</v>
      </c>
      <c r="E16" s="29" t="s">
        <v>1</v>
      </c>
      <c r="F16" s="29" t="s">
        <v>13</v>
      </c>
      <c r="G16" s="29" t="s">
        <v>64</v>
      </c>
      <c r="H16" s="29" t="s">
        <v>3</v>
      </c>
      <c r="I16" s="26" t="s">
        <v>353</v>
      </c>
      <c r="J16" s="30" t="s">
        <v>354</v>
      </c>
      <c r="K16" s="30" t="s">
        <v>355</v>
      </c>
      <c r="L16" s="31" t="s">
        <v>356</v>
      </c>
    </row>
    <row r="17" spans="1:12" s="331" customFormat="1" ht="27" customHeight="1">
      <c r="A17" s="523" t="s">
        <v>480</v>
      </c>
      <c r="B17" s="487">
        <v>2757944000</v>
      </c>
      <c r="C17" s="325"/>
      <c r="D17" s="326"/>
      <c r="E17" s="326"/>
      <c r="F17" s="326"/>
      <c r="G17" s="326"/>
      <c r="H17" s="327"/>
      <c r="I17" s="542"/>
      <c r="J17" s="328"/>
      <c r="K17" s="329"/>
      <c r="L17" s="330"/>
    </row>
    <row r="18" spans="1:12" s="4" customFormat="1" ht="24.75" customHeight="1">
      <c r="A18" s="324" t="s">
        <v>481</v>
      </c>
      <c r="B18" s="109">
        <f>B19+B22+B25</f>
        <v>0</v>
      </c>
      <c r="C18" s="109"/>
      <c r="D18" s="99"/>
      <c r="E18" s="99"/>
      <c r="F18" s="99"/>
      <c r="G18" s="99"/>
      <c r="H18" s="100"/>
      <c r="I18" s="543"/>
      <c r="J18" s="40"/>
      <c r="K18" s="42"/>
      <c r="L18" s="43"/>
    </row>
    <row r="19" spans="1:12" s="4" customFormat="1" ht="51">
      <c r="A19" s="324" t="s">
        <v>53</v>
      </c>
      <c r="B19" s="109">
        <f>+SUMIF(Seguimiento_PAA!$E$32:$E$967,'1107'!C20,Seguimiento_PAA!$AB$32:$AB$967)</f>
        <v>0</v>
      </c>
      <c r="C19" s="109">
        <f>+SUMIF(Seguimiento_PAA!$E$32:$E$967,'1107'!C20,Seguimiento_PAA!$AB$32:$AB$967)</f>
        <v>0</v>
      </c>
      <c r="D19" s="194" t="s">
        <v>332</v>
      </c>
      <c r="E19" s="194" t="s">
        <v>232</v>
      </c>
      <c r="F19" s="194" t="s">
        <v>57</v>
      </c>
      <c r="G19" s="194" t="s">
        <v>58</v>
      </c>
      <c r="H19" s="200" t="s">
        <v>61</v>
      </c>
      <c r="I19" s="543"/>
      <c r="J19" s="40"/>
      <c r="K19" s="42"/>
      <c r="L19" s="43"/>
    </row>
    <row r="20" spans="1:12" s="4" customFormat="1" ht="51">
      <c r="A20" s="338" t="s">
        <v>53</v>
      </c>
      <c r="B20" s="487">
        <f>+J20</f>
        <v>0</v>
      </c>
      <c r="C20" s="492" t="str">
        <f>+CONCATENATE(A20,"-",D20,"-",E20)</f>
        <v>Museo de Bogotá en operación-01-Recursos del Distrito 12-Otros Distrito-0066-Fomento, apoyo y divulgación de eventos y expresiones artísticas, culturales y del patrimonio</v>
      </c>
      <c r="D20" s="498" t="s">
        <v>332</v>
      </c>
      <c r="E20" s="498" t="s">
        <v>232</v>
      </c>
      <c r="F20" s="498" t="s">
        <v>57</v>
      </c>
      <c r="G20" s="498" t="s">
        <v>58</v>
      </c>
      <c r="H20" s="499" t="s">
        <v>61</v>
      </c>
      <c r="I20" s="479">
        <f>COUNTIF(Seguimiento_PAA!$E$32:$E$967,'1107'!C20)</f>
        <v>0</v>
      </c>
      <c r="J20" s="451">
        <f>+SUMIF(Seguimiento_PAA!$E$32:$E$967,'1107'!C20,Seguimiento_PAA!$BF$32:$BF$967)</f>
        <v>0</v>
      </c>
      <c r="K20" s="451">
        <f>+SUMIF(Seguimiento_PAA!$E$32:$E$967,'1107'!C20,Seguimiento_PAA!$BJ$32:$BJ$967)</f>
        <v>0</v>
      </c>
      <c r="L20" s="451">
        <f>+SUMIF(Seguimiento_PAA!$E$32:$E$967,'1107'!C20,Seguimiento_PAA!$CB$32:$CB$967)</f>
        <v>0</v>
      </c>
    </row>
    <row r="21" spans="1:12" s="4" customFormat="1">
      <c r="A21" s="339" t="s">
        <v>97</v>
      </c>
      <c r="B21" s="151">
        <f>B19-SUM(B20:B20)</f>
        <v>0</v>
      </c>
      <c r="C21" s="213"/>
      <c r="D21" s="201"/>
      <c r="E21" s="201"/>
      <c r="F21" s="201"/>
      <c r="G21" s="201"/>
      <c r="H21" s="202"/>
      <c r="I21" s="544"/>
      <c r="J21" s="148"/>
      <c r="K21" s="149"/>
      <c r="L21" s="150"/>
    </row>
    <row r="22" spans="1:12" s="4" customFormat="1" ht="51">
      <c r="A22" s="324" t="s">
        <v>53</v>
      </c>
      <c r="B22" s="109">
        <f>+SUMIF(Seguimiento_PAA!$E$32:$E$967,'1107'!C23,Seguimiento_PAA!$AB$32:$AB$967)</f>
        <v>0</v>
      </c>
      <c r="C22" s="109">
        <f>+SUMIF(Seguimiento_PAA!$E$32:$E$967,'1107'!C23,Seguimiento_PAA!$AB$32:$AB$967)</f>
        <v>0</v>
      </c>
      <c r="D22" s="194" t="s">
        <v>55</v>
      </c>
      <c r="E22" s="194" t="s">
        <v>232</v>
      </c>
      <c r="F22" s="194" t="s">
        <v>57</v>
      </c>
      <c r="G22" s="194" t="s">
        <v>58</v>
      </c>
      <c r="H22" s="200" t="s">
        <v>61</v>
      </c>
      <c r="I22" s="543"/>
      <c r="J22" s="40"/>
      <c r="K22" s="42"/>
      <c r="L22" s="43"/>
    </row>
    <row r="23" spans="1:12" s="4" customFormat="1" ht="51">
      <c r="A23" s="338" t="s">
        <v>53</v>
      </c>
      <c r="B23" s="451">
        <f>+J23</f>
        <v>0</v>
      </c>
      <c r="C23" s="492" t="str">
        <f>+CONCATENATE(A23,"-",D23,"-",E23)</f>
        <v>Museo de Bogotá en operación-03-Recursos Administrados 20-Administrados de Destinación Específica-0066-Fomento, apoyo y divulgación de eventos y expresiones artísticas, culturales y del patrimonio</v>
      </c>
      <c r="D23" s="498" t="s">
        <v>336</v>
      </c>
      <c r="E23" s="498" t="s">
        <v>232</v>
      </c>
      <c r="F23" s="498" t="s">
        <v>57</v>
      </c>
      <c r="G23" s="498" t="s">
        <v>58</v>
      </c>
      <c r="H23" s="499" t="s">
        <v>61</v>
      </c>
      <c r="I23" s="479">
        <f>COUNTIF(Seguimiento_PAA!$E$32:$E$967,'1107'!C23)</f>
        <v>0</v>
      </c>
      <c r="J23" s="451">
        <f>+SUMIF(Seguimiento_PAA!$E$32:$E$967,'1107'!C23,Seguimiento_PAA!$BF$32:$BF$967)</f>
        <v>0</v>
      </c>
      <c r="K23" s="451">
        <f>+SUMIF(Seguimiento_PAA!$E$32:$E$967,'1107'!C23,Seguimiento_PAA!$BJ$32:$BJ$967)</f>
        <v>0</v>
      </c>
      <c r="L23" s="451">
        <f>+SUMIF(Seguimiento_PAA!$E$32:$E$967,'1107'!C23,Seguimiento_PAA!$CB$32:$CB$967)</f>
        <v>0</v>
      </c>
    </row>
    <row r="24" spans="1:12" s="4" customFormat="1">
      <c r="A24" s="339" t="s">
        <v>97</v>
      </c>
      <c r="B24" s="151">
        <f>B22-SUM(B23:B23)</f>
        <v>0</v>
      </c>
      <c r="C24" s="213"/>
      <c r="D24" s="201"/>
      <c r="E24" s="201"/>
      <c r="F24" s="201"/>
      <c r="G24" s="201"/>
      <c r="H24" s="202"/>
      <c r="I24" s="544"/>
      <c r="J24" s="148"/>
      <c r="K24" s="149"/>
      <c r="L24" s="150"/>
    </row>
    <row r="25" spans="1:12" s="4" customFormat="1" ht="51">
      <c r="A25" s="324" t="s">
        <v>53</v>
      </c>
      <c r="B25" s="109">
        <f>+SUMIF(Seguimiento_PAA!$E$32:$E$967,'1107'!C26,Seguimiento_PAA!$AB$32:$AB$967)</f>
        <v>0</v>
      </c>
      <c r="C25" s="109">
        <f>+SUMIF(Seguimiento_PAA!$E$32:$E$967,'1107'!C26,Seguimiento_PAA!$AB$32:$AB$967)</f>
        <v>0</v>
      </c>
      <c r="D25" s="194" t="s">
        <v>332</v>
      </c>
      <c r="E25" s="194" t="s">
        <v>56</v>
      </c>
      <c r="F25" s="194" t="s">
        <v>57</v>
      </c>
      <c r="G25" s="194" t="s">
        <v>58</v>
      </c>
      <c r="H25" s="200" t="s">
        <v>61</v>
      </c>
      <c r="I25" s="543"/>
      <c r="J25" s="40"/>
      <c r="K25" s="42"/>
      <c r="L25" s="43"/>
    </row>
    <row r="26" spans="1:12" s="4" customFormat="1" ht="51">
      <c r="A26" s="324" t="s">
        <v>53</v>
      </c>
      <c r="B26" s="451">
        <f>+J26</f>
        <v>0</v>
      </c>
      <c r="C26" s="492" t="str">
        <f>+CONCATENATE(A26,"-",D26,"-",E26)</f>
        <v>Museo de Bogotá en operación-01-Recursos del Distrito 12-Otros Distrito-0185-Actividades de investigación para la valoración, protección, conservación, sostenibilidad y apropiación del Patrimonio Cultural</v>
      </c>
      <c r="D26" s="498" t="s">
        <v>332</v>
      </c>
      <c r="E26" s="498" t="s">
        <v>201</v>
      </c>
      <c r="F26" s="498" t="s">
        <v>57</v>
      </c>
      <c r="G26" s="498" t="s">
        <v>58</v>
      </c>
      <c r="H26" s="499" t="s">
        <v>61</v>
      </c>
      <c r="I26" s="479">
        <f>COUNTIF(Seguimiento_PAA!$E$32:$E$967,'1107'!C26)</f>
        <v>0</v>
      </c>
      <c r="J26" s="451">
        <f>+SUMIF(Seguimiento_PAA!$E$32:$E$967,'1107'!C26,Seguimiento_PAA!$BF$32:$BF$967)</f>
        <v>0</v>
      </c>
      <c r="K26" s="451">
        <f>+SUMIF(Seguimiento_PAA!$E$32:$E$967,'1107'!C26,Seguimiento_PAA!$BJ$32:$BJ$967)</f>
        <v>0</v>
      </c>
      <c r="L26" s="451">
        <f>+SUMIF(Seguimiento_PAA!$E$32:$E$967,'1107'!C26,Seguimiento_PAA!$CB$32:$CB$967)</f>
        <v>0</v>
      </c>
    </row>
    <row r="27" spans="1:12" s="4" customFormat="1">
      <c r="A27" s="340" t="s">
        <v>97</v>
      </c>
      <c r="B27" s="133">
        <f>B25-SUM(B26:B26)</f>
        <v>0</v>
      </c>
      <c r="C27" s="215"/>
      <c r="D27" s="195"/>
      <c r="E27" s="195"/>
      <c r="F27" s="195"/>
      <c r="G27" s="195"/>
      <c r="H27" s="203"/>
      <c r="I27" s="480"/>
      <c r="J27" s="105"/>
      <c r="K27" s="107"/>
      <c r="L27" s="108"/>
    </row>
    <row r="28" spans="1:12" s="331" customFormat="1" ht="25.5">
      <c r="A28" s="524" t="s">
        <v>482</v>
      </c>
      <c r="B28" s="507">
        <v>746197000</v>
      </c>
      <c r="C28" s="332"/>
      <c r="D28" s="333"/>
      <c r="E28" s="333"/>
      <c r="F28" s="333"/>
      <c r="G28" s="333"/>
      <c r="H28" s="334"/>
      <c r="I28" s="545"/>
      <c r="J28" s="335"/>
      <c r="K28" s="336"/>
      <c r="L28" s="337"/>
    </row>
    <row r="29" spans="1:12" s="4" customFormat="1" ht="25.5">
      <c r="A29" s="341" t="s">
        <v>483</v>
      </c>
      <c r="B29" s="133">
        <f>+B30+B33</f>
        <v>0</v>
      </c>
      <c r="C29" s="215"/>
      <c r="D29" s="195"/>
      <c r="E29" s="195"/>
      <c r="F29" s="195"/>
      <c r="G29" s="195"/>
      <c r="H29" s="203"/>
      <c r="I29" s="480"/>
      <c r="J29" s="105"/>
      <c r="K29" s="107"/>
      <c r="L29" s="108"/>
    </row>
    <row r="30" spans="1:12" s="4" customFormat="1" ht="51">
      <c r="A30" s="341" t="s">
        <v>393</v>
      </c>
      <c r="B30" s="109">
        <f>+SUMIF(Seguimiento_PAA!$E$32:$E$967,'1107'!C31,Seguimiento_PAA!$AB$32:$AB$967)</f>
        <v>0</v>
      </c>
      <c r="C30" s="109">
        <f>+SUMIF(Seguimiento_PAA!$E$32:$E$967,'1107'!C31,Seguimiento_PAA!$AB$32:$AB$967)</f>
        <v>0</v>
      </c>
      <c r="D30" s="197" t="s">
        <v>332</v>
      </c>
      <c r="E30" s="197" t="s">
        <v>201</v>
      </c>
      <c r="F30" s="197" t="s">
        <v>57</v>
      </c>
      <c r="G30" s="197" t="s">
        <v>59</v>
      </c>
      <c r="H30" s="204" t="s">
        <v>61</v>
      </c>
      <c r="I30" s="543"/>
      <c r="J30" s="40"/>
      <c r="K30" s="42"/>
      <c r="L30" s="43"/>
    </row>
    <row r="31" spans="1:12" s="4" customFormat="1" ht="51">
      <c r="A31" s="342" t="s">
        <v>393</v>
      </c>
      <c r="B31" s="451">
        <f>+J31</f>
        <v>0</v>
      </c>
      <c r="C31" s="492" t="str">
        <f>+CONCATENATE(A31,"-",D31,"-",E31)</f>
        <v>Estímulos a iniciativas de la ciudadanía en temas-01-Recursos del Distrito 12-Otros Distrito-0185-Actividades de investigación para la valoración, protección, conservación, sostenibilidad y apropiación del Patrimonio Cultural</v>
      </c>
      <c r="D31" s="501" t="s">
        <v>332</v>
      </c>
      <c r="E31" s="501" t="s">
        <v>201</v>
      </c>
      <c r="F31" s="501" t="s">
        <v>57</v>
      </c>
      <c r="G31" s="501" t="s">
        <v>59</v>
      </c>
      <c r="H31" s="502" t="s">
        <v>61</v>
      </c>
      <c r="I31" s="479">
        <f>COUNTIF(Seguimiento_PAA!$E$32:$E$967,'1107'!C31)</f>
        <v>0</v>
      </c>
      <c r="J31" s="451">
        <f>+SUMIF(Seguimiento_PAA!$E$32:$E$967,'1107'!C31,Seguimiento_PAA!$BF$32:$BF$967)</f>
        <v>0</v>
      </c>
      <c r="K31" s="451">
        <f>+SUMIF(Seguimiento_PAA!$E$32:$E$967,'1107'!C31,Seguimiento_PAA!$BJ$32:$BJ$967)</f>
        <v>0</v>
      </c>
      <c r="L31" s="451">
        <f>+SUMIF(Seguimiento_PAA!$E$32:$E$967,'1107'!C31,Seguimiento_PAA!$CB$32:$CB$967)</f>
        <v>0</v>
      </c>
    </row>
    <row r="32" spans="1:12" s="4" customFormat="1">
      <c r="A32" s="340" t="s">
        <v>97</v>
      </c>
      <c r="B32" s="133">
        <f>B30-SUM(B31:B31)</f>
        <v>0</v>
      </c>
      <c r="C32" s="215"/>
      <c r="D32" s="195"/>
      <c r="E32" s="195"/>
      <c r="F32" s="195"/>
      <c r="G32" s="195"/>
      <c r="H32" s="203"/>
      <c r="I32" s="480"/>
      <c r="J32" s="105"/>
      <c r="K32" s="107"/>
      <c r="L32" s="108"/>
    </row>
    <row r="33" spans="1:12" s="4" customFormat="1" ht="51">
      <c r="A33" s="341" t="s">
        <v>393</v>
      </c>
      <c r="B33" s="109">
        <f>+SUMIF(Seguimiento_PAA!$E$32:$E$967,'1107'!C34,Seguimiento_PAA!$AB$32:$AB$967)</f>
        <v>0</v>
      </c>
      <c r="C33" s="109">
        <f>+SUMIF(Seguimiento_PAA!$E$32:$E$967,'1107'!C34,Seguimiento_PAA!$AB$32:$AB$967)</f>
        <v>0</v>
      </c>
      <c r="D33" s="197" t="s">
        <v>332</v>
      </c>
      <c r="E33" s="197" t="s">
        <v>232</v>
      </c>
      <c r="F33" s="197" t="s">
        <v>57</v>
      </c>
      <c r="G33" s="197" t="s">
        <v>59</v>
      </c>
      <c r="H33" s="204" t="s">
        <v>61</v>
      </c>
      <c r="I33" s="543"/>
      <c r="J33" s="40"/>
      <c r="K33" s="42"/>
      <c r="L33" s="43"/>
    </row>
    <row r="34" spans="1:12" s="4" customFormat="1" ht="51">
      <c r="A34" s="342" t="s">
        <v>393</v>
      </c>
      <c r="B34" s="451">
        <f>+J34</f>
        <v>0</v>
      </c>
      <c r="C34" s="492" t="str">
        <f>+CONCATENATE(A34,"-",D34,"-",E34)</f>
        <v>Estímulos a iniciativas de la ciudadanía en temas-01-Recursos del Distrito 12-Otros Distrito-0066-Fomento, apoyo y divulgación de eventos y expresiones artísticas, culturales y del patrimonio</v>
      </c>
      <c r="D34" s="501" t="s">
        <v>332</v>
      </c>
      <c r="E34" s="501" t="s">
        <v>232</v>
      </c>
      <c r="F34" s="501" t="s">
        <v>57</v>
      </c>
      <c r="G34" s="501" t="s">
        <v>59</v>
      </c>
      <c r="H34" s="502" t="s">
        <v>61</v>
      </c>
      <c r="I34" s="479">
        <f>COUNTIF(Seguimiento_PAA!$E$32:$E$967,'1107'!C34)</f>
        <v>0</v>
      </c>
      <c r="J34" s="451">
        <f>+SUMIF(Seguimiento_PAA!$E$32:$E$967,'1107'!C34,Seguimiento_PAA!$BF$32:$BF$967)</f>
        <v>0</v>
      </c>
      <c r="K34" s="451">
        <f>+SUMIF(Seguimiento_PAA!$E$32:$E$967,'1107'!C34,Seguimiento_PAA!$BJ$32:$BJ$967)</f>
        <v>0</v>
      </c>
      <c r="L34" s="451">
        <f>+SUMIF(Seguimiento_PAA!$E$32:$E$967,'1107'!C34,Seguimiento_PAA!$CB$32:$CB$967)</f>
        <v>0</v>
      </c>
    </row>
    <row r="35" spans="1:12" s="4" customFormat="1">
      <c r="A35" s="340" t="s">
        <v>97</v>
      </c>
      <c r="B35" s="133">
        <f>B33-SUM(B34:B34)</f>
        <v>0</v>
      </c>
      <c r="C35" s="215"/>
      <c r="D35" s="195"/>
      <c r="E35" s="195"/>
      <c r="F35" s="195"/>
      <c r="G35" s="195"/>
      <c r="H35" s="203"/>
      <c r="I35" s="480"/>
      <c r="J35" s="105"/>
      <c r="K35" s="107"/>
      <c r="L35" s="108"/>
    </row>
    <row r="36" spans="1:12" s="331" customFormat="1" ht="25.5">
      <c r="A36" s="525" t="s">
        <v>484</v>
      </c>
      <c r="B36" s="487">
        <v>1875584000</v>
      </c>
      <c r="C36" s="345"/>
      <c r="D36" s="346"/>
      <c r="E36" s="346"/>
      <c r="F36" s="346"/>
      <c r="G36" s="346"/>
      <c r="H36" s="347"/>
      <c r="I36" s="542"/>
      <c r="J36" s="328"/>
      <c r="K36" s="329"/>
      <c r="L36" s="330"/>
    </row>
    <row r="37" spans="1:12" s="4" customFormat="1" ht="25.5">
      <c r="A37" s="343" t="s">
        <v>485</v>
      </c>
      <c r="B37" s="109">
        <f>B38+B41+B44</f>
        <v>827085000</v>
      </c>
      <c r="C37" s="214"/>
      <c r="D37" s="205"/>
      <c r="E37" s="205"/>
      <c r="F37" s="205"/>
      <c r="G37" s="205"/>
      <c r="H37" s="206"/>
      <c r="I37" s="543"/>
      <c r="J37" s="40"/>
      <c r="K37" s="42"/>
      <c r="L37" s="43"/>
    </row>
    <row r="38" spans="1:12" s="4" customFormat="1" ht="51">
      <c r="A38" s="343" t="s">
        <v>54</v>
      </c>
      <c r="B38" s="110">
        <f>+SUMIF(Seguimiento_PAA!$E$32:$E$967,'1107'!C39,Seguimiento_PAA!$AB$32:$AB$967)</f>
        <v>0</v>
      </c>
      <c r="C38" s="109">
        <f>+SUMIF(Seguimiento_PAA!$E$32:$E$967,'1107'!C39,Seguimiento_PAA!$AB$32:$AB$967)</f>
        <v>0</v>
      </c>
      <c r="D38" s="205" t="s">
        <v>332</v>
      </c>
      <c r="E38" s="205" t="s">
        <v>201</v>
      </c>
      <c r="F38" s="205" t="s">
        <v>57</v>
      </c>
      <c r="G38" s="205" t="s">
        <v>60</v>
      </c>
      <c r="H38" s="207" t="s">
        <v>61</v>
      </c>
      <c r="I38" s="543"/>
      <c r="J38" s="40"/>
      <c r="K38" s="42"/>
      <c r="L38" s="43"/>
    </row>
    <row r="39" spans="1:12" s="4" customFormat="1" ht="51">
      <c r="A39" s="344" t="s">
        <v>54</v>
      </c>
      <c r="B39" s="451">
        <f>+J39</f>
        <v>0</v>
      </c>
      <c r="C39" s="492" t="str">
        <f>+CONCATENATE(A39,"-",D39,"-",E39)</f>
        <v>Activación del patrimonio-01-Recursos del Distrito 12-Otros Distrito-0185-Actividades de investigación para la valoración, protección, conservación, sostenibilidad y apropiación del Patrimonio Cultural</v>
      </c>
      <c r="D39" s="503" t="s">
        <v>332</v>
      </c>
      <c r="E39" s="503" t="s">
        <v>201</v>
      </c>
      <c r="F39" s="503" t="s">
        <v>57</v>
      </c>
      <c r="G39" s="503" t="s">
        <v>60</v>
      </c>
      <c r="H39" s="504" t="s">
        <v>61</v>
      </c>
      <c r="I39" s="479">
        <f>COUNTIF(Seguimiento_PAA!$E$32:$E$967,'1107'!C39)</f>
        <v>0</v>
      </c>
      <c r="J39" s="451">
        <f>+SUMIF(Seguimiento_PAA!$E$32:$E$967,'1107'!C39,Seguimiento_PAA!$BF$32:$BF$967)</f>
        <v>0</v>
      </c>
      <c r="K39" s="451">
        <f>+SUMIF(Seguimiento_PAA!$E$32:$E$967,'1107'!C39,Seguimiento_PAA!$BJ$32:$BJ$967)</f>
        <v>0</v>
      </c>
      <c r="L39" s="451">
        <f>+SUMIF(Seguimiento_PAA!$E$32:$E$967,'1107'!C39,Seguimiento_PAA!$CB$32:$CB$967)</f>
        <v>0</v>
      </c>
    </row>
    <row r="40" spans="1:12" s="4" customFormat="1">
      <c r="A40" s="339" t="s">
        <v>97</v>
      </c>
      <c r="B40" s="151">
        <f>B38-SUM(B39:B39)</f>
        <v>0</v>
      </c>
      <c r="C40" s="213"/>
      <c r="D40" s="208"/>
      <c r="E40" s="208"/>
      <c r="F40" s="208"/>
      <c r="G40" s="208"/>
      <c r="H40" s="209"/>
      <c r="I40" s="544"/>
      <c r="J40" s="148"/>
      <c r="K40" s="149"/>
      <c r="L40" s="150"/>
    </row>
    <row r="41" spans="1:12" s="4" customFormat="1" ht="51">
      <c r="A41" s="343" t="s">
        <v>54</v>
      </c>
      <c r="B41" s="110">
        <f>827085000</f>
        <v>827085000</v>
      </c>
      <c r="C41" s="109">
        <f>+SUMIF(Seguimiento_PAA!$E$32:$E$967,'1107'!C42,Seguimiento_PAA!$AB$32:$AB$967)</f>
        <v>0</v>
      </c>
      <c r="D41" s="205" t="s">
        <v>332</v>
      </c>
      <c r="E41" s="205" t="s">
        <v>196</v>
      </c>
      <c r="F41" s="205" t="s">
        <v>57</v>
      </c>
      <c r="G41" s="205" t="s">
        <v>60</v>
      </c>
      <c r="H41" s="207" t="s">
        <v>61</v>
      </c>
      <c r="I41" s="543"/>
      <c r="J41" s="40"/>
      <c r="K41" s="42"/>
      <c r="L41" s="43"/>
    </row>
    <row r="42" spans="1:12" s="4" customFormat="1" ht="51">
      <c r="A42" s="344" t="s">
        <v>54</v>
      </c>
      <c r="B42" s="451">
        <f>+J42</f>
        <v>0</v>
      </c>
      <c r="C42" s="492" t="str">
        <f>+CONCATENATE(A42,"-",D42,"-",E42)</f>
        <v>Activación del patrimonio-01-Recursos del Distrito 12-Otros Distrito-0187-Actividades de formación en arte, cultura, patrimonio, recreación y deporte</v>
      </c>
      <c r="D42" s="503" t="s">
        <v>332</v>
      </c>
      <c r="E42" s="503" t="s">
        <v>196</v>
      </c>
      <c r="F42" s="503" t="s">
        <v>57</v>
      </c>
      <c r="G42" s="503" t="s">
        <v>60</v>
      </c>
      <c r="H42" s="504" t="s">
        <v>61</v>
      </c>
      <c r="I42" s="479">
        <f>COUNTIF(Seguimiento_PAA!$E$32:$E$967,'1107'!C42)</f>
        <v>0</v>
      </c>
      <c r="J42" s="451">
        <f>+SUMIF(Seguimiento_PAA!$E$32:$E$967,'1107'!C42,Seguimiento_PAA!$BF$32:$BF$967)</f>
        <v>0</v>
      </c>
      <c r="K42" s="451">
        <f>+SUMIF(Seguimiento_PAA!$E$32:$E$967,'1107'!C42,Seguimiento_PAA!$BJ$32:$BJ$967)</f>
        <v>0</v>
      </c>
      <c r="L42" s="451">
        <f>+SUMIF(Seguimiento_PAA!$E$32:$E$967,'1107'!C42,Seguimiento_PAA!$CB$32:$CB$967)</f>
        <v>0</v>
      </c>
    </row>
    <row r="43" spans="1:12" s="4" customFormat="1">
      <c r="A43" s="339" t="s">
        <v>97</v>
      </c>
      <c r="B43" s="151">
        <f>B41-SUM(B42:B42)</f>
        <v>827085000</v>
      </c>
      <c r="C43" s="213"/>
      <c r="D43" s="208"/>
      <c r="E43" s="208"/>
      <c r="F43" s="208"/>
      <c r="G43" s="208"/>
      <c r="H43" s="209"/>
      <c r="I43" s="544"/>
      <c r="J43" s="148"/>
      <c r="K43" s="149"/>
      <c r="L43" s="150"/>
    </row>
    <row r="44" spans="1:12" s="4" customFormat="1" ht="51">
      <c r="A44" s="343" t="s">
        <v>54</v>
      </c>
      <c r="B44" s="110">
        <f>+SUMIF(Seguimiento_PAA!$E$32:$E$967,'1107'!C45,Seguimiento_PAA!$AB$32:$AB$967)</f>
        <v>0</v>
      </c>
      <c r="C44" s="109">
        <f>+SUMIF(Seguimiento_PAA!$E$32:$E$967,'1107'!C45,Seguimiento_PAA!$AB$32:$AB$967)</f>
        <v>0</v>
      </c>
      <c r="D44" s="205" t="s">
        <v>332</v>
      </c>
      <c r="E44" s="205" t="s">
        <v>232</v>
      </c>
      <c r="F44" s="205" t="s">
        <v>57</v>
      </c>
      <c r="G44" s="205" t="s">
        <v>60</v>
      </c>
      <c r="H44" s="207" t="s">
        <v>61</v>
      </c>
      <c r="I44" s="543"/>
      <c r="J44" s="40"/>
      <c r="K44" s="42"/>
      <c r="L44" s="43"/>
    </row>
    <row r="45" spans="1:12" s="4" customFormat="1" ht="51">
      <c r="A45" s="344" t="s">
        <v>54</v>
      </c>
      <c r="B45" s="451">
        <f>+J45</f>
        <v>0</v>
      </c>
      <c r="C45" s="492" t="str">
        <f>+CONCATENATE(A45,"-",D45,"-",E45)</f>
        <v>Activación del patrimonio-01-Recursos del Distrito 12-Otros Distrito-0066-Fomento, apoyo y divulgación de eventos y expresiones artísticas, culturales y del patrimonio</v>
      </c>
      <c r="D45" s="503" t="s">
        <v>332</v>
      </c>
      <c r="E45" s="503" t="s">
        <v>232</v>
      </c>
      <c r="F45" s="503" t="s">
        <v>57</v>
      </c>
      <c r="G45" s="503" t="s">
        <v>60</v>
      </c>
      <c r="H45" s="504" t="s">
        <v>61</v>
      </c>
      <c r="I45" s="479">
        <f>COUNTIF(Seguimiento_PAA!$E$32:$E$967,'1107'!C45)</f>
        <v>0</v>
      </c>
      <c r="J45" s="451">
        <f>+SUMIF(Seguimiento_PAA!$E$32:$E$967,'1107'!C45,Seguimiento_PAA!$BF$32:$BF$967)</f>
        <v>0</v>
      </c>
      <c r="K45" s="451">
        <f>+SUMIF(Seguimiento_PAA!$E$32:$E$967,'1107'!C45,Seguimiento_PAA!$BJ$32:$BJ$967)</f>
        <v>0</v>
      </c>
      <c r="L45" s="451">
        <f>+SUMIF(Seguimiento_PAA!$E$32:$E$967,'1107'!C45,Seguimiento_PAA!$CB$32:$CB$967)</f>
        <v>0</v>
      </c>
    </row>
    <row r="46" spans="1:12" s="4" customFormat="1" ht="11.25" customHeight="1">
      <c r="A46" s="101" t="s">
        <v>97</v>
      </c>
      <c r="B46" s="133">
        <f>B44-SUM(B45:B45)</f>
        <v>0</v>
      </c>
      <c r="C46" s="133"/>
      <c r="D46" s="103"/>
      <c r="E46" s="103"/>
      <c r="F46" s="103"/>
      <c r="G46" s="103"/>
      <c r="H46" s="104"/>
      <c r="I46" s="480"/>
      <c r="J46" s="105"/>
      <c r="K46" s="107"/>
      <c r="L46" s="108"/>
    </row>
    <row r="47" spans="1:12">
      <c r="A47" s="59" t="s">
        <v>77</v>
      </c>
      <c r="B47" s="152">
        <f>+SUM(B44,B41,B38,B33,B30,B25,B22,B19)</f>
        <v>827085000</v>
      </c>
      <c r="C47" s="152">
        <f>+SUM(C44,C41,C38,C33,C25,C22,C19)+C30</f>
        <v>0</v>
      </c>
      <c r="D47" s="32"/>
      <c r="E47" s="33"/>
      <c r="F47" s="32"/>
      <c r="G47" s="32"/>
      <c r="H47" s="34"/>
      <c r="I47" s="33"/>
      <c r="J47" s="32"/>
      <c r="K47" s="36"/>
      <c r="L47" s="37"/>
    </row>
    <row r="48" spans="1:12" hidden="1">
      <c r="A48" s="60"/>
      <c r="B48" s="135"/>
      <c r="C48" s="135"/>
      <c r="D48" s="7"/>
      <c r="E48" s="7"/>
      <c r="F48" s="7"/>
      <c r="G48" s="7"/>
      <c r="H48" s="7"/>
      <c r="I48" s="7"/>
      <c r="J48" s="7"/>
      <c r="K48" s="6"/>
      <c r="L48" s="6"/>
    </row>
    <row r="49" spans="1:12" hidden="1">
      <c r="A49" s="60"/>
      <c r="B49" s="135"/>
      <c r="C49" s="135"/>
      <c r="D49" s="7"/>
      <c r="E49" s="7"/>
      <c r="F49" s="7"/>
      <c r="G49" s="7"/>
      <c r="H49" s="7"/>
      <c r="I49" s="7"/>
      <c r="J49" s="7"/>
      <c r="K49" s="6"/>
      <c r="L49" s="6"/>
    </row>
    <row r="50" spans="1:12">
      <c r="A50" s="60" t="s">
        <v>503</v>
      </c>
      <c r="B50" s="135">
        <f>+B36+B28+B17</f>
        <v>5379725000</v>
      </c>
      <c r="C50" s="135"/>
      <c r="D50" s="7"/>
      <c r="E50" s="7"/>
      <c r="F50" s="7"/>
      <c r="G50" s="7"/>
      <c r="H50" s="7"/>
      <c r="I50" s="7"/>
      <c r="J50" s="7"/>
      <c r="K50" s="6"/>
      <c r="L50" s="6"/>
    </row>
    <row r="51" spans="1:12">
      <c r="A51" s="60"/>
      <c r="B51" s="135"/>
      <c r="C51" s="135"/>
      <c r="D51" s="7"/>
      <c r="E51" s="7"/>
      <c r="F51" s="7"/>
      <c r="G51" s="7"/>
      <c r="H51" s="7"/>
      <c r="I51" s="7"/>
      <c r="J51" s="7"/>
      <c r="K51" s="6"/>
      <c r="L51" s="6"/>
    </row>
    <row r="52" spans="1:12" ht="28.5" customHeight="1">
      <c r="A52" s="210" t="s">
        <v>10</v>
      </c>
      <c r="B52" s="211" t="s">
        <v>0</v>
      </c>
      <c r="C52" s="135"/>
      <c r="D52" s="7"/>
      <c r="E52" s="7"/>
      <c r="F52" s="7"/>
      <c r="G52" s="7"/>
      <c r="H52" s="7"/>
      <c r="I52" s="26" t="s">
        <v>353</v>
      </c>
      <c r="J52" s="30" t="s">
        <v>354</v>
      </c>
      <c r="K52" s="30" t="s">
        <v>355</v>
      </c>
      <c r="L52" s="31" t="s">
        <v>356</v>
      </c>
    </row>
    <row r="53" spans="1:12">
      <c r="A53" s="60"/>
      <c r="B53" s="135"/>
      <c r="C53" s="135"/>
      <c r="D53" s="7"/>
      <c r="E53" s="7"/>
      <c r="F53" s="7"/>
      <c r="G53" s="7"/>
      <c r="H53" s="7"/>
      <c r="I53" s="7"/>
      <c r="J53" s="7"/>
      <c r="K53" s="6"/>
      <c r="L53" s="6"/>
    </row>
    <row r="54" spans="1:12" ht="58.5" customHeight="1">
      <c r="A54" s="62" t="s">
        <v>12</v>
      </c>
      <c r="B54" s="136">
        <f>+B47</f>
        <v>827085000</v>
      </c>
      <c r="C54" s="135"/>
      <c r="D54" s="7"/>
      <c r="E54" s="7"/>
      <c r="F54" s="7"/>
      <c r="G54" s="7"/>
      <c r="H54" s="13" t="s">
        <v>12</v>
      </c>
      <c r="I54" s="216">
        <f>+SUM(I45,I42,I39,I34,I31,I26,I23,I20)</f>
        <v>0</v>
      </c>
      <c r="J54" s="217">
        <f>+SUM(J45,J42,J39,J34,J31,J26,J23,J20)</f>
        <v>0</v>
      </c>
      <c r="K54" s="217">
        <f>+SUM(K45,K42,K39,K34,K31,K26,K23,K20)</f>
        <v>0</v>
      </c>
      <c r="L54" s="217">
        <f>+SUM(L45,L42,L39,L34,L31,L26,L23,L20)</f>
        <v>0</v>
      </c>
    </row>
    <row r="55" spans="1:12">
      <c r="A55" s="63"/>
      <c r="B55" s="137"/>
      <c r="C55" s="137"/>
      <c r="D55" s="5"/>
      <c r="E55" s="5"/>
      <c r="F55" s="5"/>
      <c r="G55" s="5"/>
      <c r="H55" s="5"/>
      <c r="I55" s="546"/>
      <c r="J55" s="5"/>
      <c r="K55" s="5"/>
      <c r="L55" s="5"/>
    </row>
    <row r="56" spans="1:12">
      <c r="A56" s="126" t="s">
        <v>90</v>
      </c>
      <c r="B56" s="153" t="s">
        <v>78</v>
      </c>
      <c r="C56" s="153"/>
      <c r="D56" s="218"/>
      <c r="E56" s="218"/>
      <c r="F56" s="218"/>
      <c r="G56" s="5"/>
      <c r="H56" s="5"/>
      <c r="I56" s="546"/>
      <c r="J56" s="5"/>
      <c r="K56" s="5"/>
      <c r="L56" s="5"/>
    </row>
    <row r="57" spans="1:12">
      <c r="A57" s="126" t="s">
        <v>79</v>
      </c>
      <c r="B57" s="153" t="s">
        <v>91</v>
      </c>
      <c r="C57" s="153"/>
      <c r="D57" s="5"/>
      <c r="E57" s="5"/>
      <c r="F57" s="5"/>
      <c r="G57" s="5"/>
      <c r="H57" s="5"/>
      <c r="I57" s="546"/>
      <c r="J57" s="5"/>
      <c r="K57" s="5"/>
      <c r="L57" s="5"/>
    </row>
    <row r="58" spans="1:12">
      <c r="A58" s="126" t="s">
        <v>79</v>
      </c>
      <c r="B58" s="153" t="s">
        <v>92</v>
      </c>
      <c r="C58" s="153"/>
      <c r="D58" s="5"/>
      <c r="E58" s="5"/>
      <c r="F58" s="5"/>
      <c r="G58" s="5"/>
      <c r="H58" s="5"/>
      <c r="I58" s="546"/>
      <c r="J58" s="5"/>
      <c r="K58" s="5"/>
      <c r="L58" s="5"/>
    </row>
    <row r="59" spans="1:12">
      <c r="A59" s="126" t="s">
        <v>79</v>
      </c>
      <c r="B59" s="153" t="s">
        <v>93</v>
      </c>
      <c r="C59" s="153"/>
      <c r="D59" s="5"/>
      <c r="E59" s="5"/>
      <c r="F59" s="5"/>
      <c r="G59" s="5"/>
      <c r="H59" s="5"/>
      <c r="I59" s="546"/>
      <c r="J59" s="5"/>
      <c r="K59" s="5"/>
      <c r="L59" s="5"/>
    </row>
    <row r="60" spans="1:12">
      <c r="A60" s="126" t="s">
        <v>86</v>
      </c>
      <c r="B60" s="153" t="s">
        <v>91</v>
      </c>
      <c r="C60" s="153"/>
      <c r="D60" s="5"/>
      <c r="E60" s="5"/>
      <c r="F60" s="5"/>
      <c r="G60" s="5"/>
      <c r="H60" s="5"/>
      <c r="I60" s="546"/>
      <c r="J60" s="5"/>
      <c r="K60" s="5"/>
      <c r="L60" s="5"/>
    </row>
    <row r="61" spans="1:12">
      <c r="A61" s="126"/>
      <c r="B61" s="153"/>
      <c r="C61" s="153"/>
      <c r="D61" s="5"/>
      <c r="E61" s="5"/>
      <c r="F61" s="5"/>
      <c r="G61" s="5"/>
      <c r="H61" s="5"/>
      <c r="I61" s="546"/>
      <c r="J61" s="5"/>
      <c r="K61" s="5"/>
      <c r="L61" s="5"/>
    </row>
    <row r="62" spans="1:12" ht="14.25" customHeight="1" thickBot="1">
      <c r="A62" s="64"/>
      <c r="B62" s="138"/>
      <c r="C62" s="138"/>
      <c r="D62" s="66"/>
      <c r="E62" s="67"/>
      <c r="F62" s="68"/>
      <c r="G62" s="69"/>
      <c r="H62" s="69"/>
      <c r="I62" s="547"/>
      <c r="J62" s="65"/>
      <c r="K62" s="70"/>
      <c r="L62" s="70"/>
    </row>
    <row r="63" spans="1:12">
      <c r="A63" s="74" t="s">
        <v>15</v>
      </c>
      <c r="G63" s="19"/>
    </row>
    <row r="67" spans="1:7">
      <c r="A67" s="20"/>
      <c r="B67" s="140"/>
      <c r="C67" s="140"/>
      <c r="D67" s="23"/>
      <c r="E67" s="24"/>
    </row>
    <row r="68" spans="1:7">
      <c r="A68" s="1"/>
      <c r="B68" s="141"/>
      <c r="C68" s="141"/>
      <c r="D68" s="22"/>
      <c r="E68" s="21"/>
    </row>
    <row r="69" spans="1:7">
      <c r="A69" s="1"/>
      <c r="B69" s="141"/>
      <c r="C69" s="141"/>
      <c r="D69" s="22"/>
      <c r="E69" s="21"/>
    </row>
    <row r="70" spans="1:7">
      <c r="A70" s="1"/>
      <c r="B70" s="141"/>
      <c r="C70" s="141"/>
      <c r="D70" s="22"/>
      <c r="E70" s="21"/>
    </row>
    <row r="78" spans="1:7">
      <c r="A78" s="20"/>
      <c r="B78" s="140"/>
      <c r="C78" s="140"/>
    </row>
    <row r="79" spans="1:7">
      <c r="A79" s="1"/>
      <c r="B79" s="141"/>
      <c r="C79" s="141"/>
      <c r="G79" s="8"/>
    </row>
    <row r="80" spans="1:7">
      <c r="A80" s="1"/>
      <c r="B80" s="141"/>
      <c r="C80" s="141"/>
      <c r="G80" s="8"/>
    </row>
    <row r="81" spans="1:7">
      <c r="A81" s="1"/>
      <c r="B81" s="141"/>
      <c r="C81" s="141"/>
      <c r="G81" s="8"/>
    </row>
    <row r="82" spans="1:7">
      <c r="A82" s="1"/>
      <c r="B82" s="141"/>
      <c r="C82" s="141"/>
      <c r="G82" s="8"/>
    </row>
    <row r="89" spans="1:7">
      <c r="A89" s="1"/>
      <c r="B89" s="141"/>
      <c r="C89" s="141"/>
    </row>
    <row r="90" spans="1:7">
      <c r="A90" s="1"/>
      <c r="B90" s="141"/>
      <c r="C90" s="141"/>
    </row>
    <row r="91" spans="1:7">
      <c r="A91" s="1"/>
      <c r="B91" s="141"/>
      <c r="C91" s="141"/>
    </row>
    <row r="92" spans="1:7">
      <c r="A92" s="1"/>
      <c r="B92" s="141"/>
      <c r="C92" s="141"/>
    </row>
    <row r="93" spans="1:7">
      <c r="A93" s="1"/>
      <c r="B93" s="141"/>
      <c r="C93" s="141"/>
    </row>
    <row r="94" spans="1:7">
      <c r="A94" s="1"/>
      <c r="B94" s="141"/>
      <c r="C94" s="141"/>
    </row>
    <row r="95" spans="1:7">
      <c r="A95" s="1"/>
      <c r="B95" s="141"/>
      <c r="C95" s="141"/>
    </row>
    <row r="96" spans="1:7">
      <c r="A96" s="1"/>
      <c r="B96" s="141"/>
      <c r="C96" s="141"/>
    </row>
    <row r="97" spans="1:3">
      <c r="A97" s="1"/>
      <c r="B97" s="141"/>
      <c r="C97" s="141"/>
    </row>
    <row r="98" spans="1:3">
      <c r="A98" s="1"/>
      <c r="B98" s="141"/>
      <c r="C98" s="141"/>
    </row>
    <row r="99" spans="1:3">
      <c r="A99" s="1"/>
      <c r="B99" s="141"/>
      <c r="C99" s="141"/>
    </row>
    <row r="100" spans="1:3">
      <c r="A100" s="1"/>
      <c r="B100" s="141"/>
      <c r="C100" s="141"/>
    </row>
    <row r="101" spans="1:3">
      <c r="A101" s="1"/>
      <c r="B101" s="141"/>
      <c r="C101" s="141"/>
    </row>
    <row r="102" spans="1:3">
      <c r="A102" s="1"/>
      <c r="B102" s="141"/>
      <c r="C102" s="141"/>
    </row>
    <row r="103" spans="1:3">
      <c r="A103" s="1"/>
      <c r="B103" s="141"/>
      <c r="C103" s="141"/>
    </row>
    <row r="104" spans="1:3">
      <c r="A104" s="1"/>
      <c r="B104" s="141"/>
      <c r="C104" s="141"/>
    </row>
    <row r="105" spans="1:3">
      <c r="A105" s="1"/>
      <c r="B105" s="141"/>
      <c r="C105" s="141"/>
    </row>
    <row r="106" spans="1:3">
      <c r="A106" s="1"/>
      <c r="B106" s="141"/>
      <c r="C106" s="141"/>
    </row>
    <row r="107" spans="1:3">
      <c r="A107" s="1"/>
      <c r="B107" s="141"/>
      <c r="C107" s="141"/>
    </row>
  </sheetData>
  <mergeCells count="18">
    <mergeCell ref="A1:A2"/>
    <mergeCell ref="A9:H9"/>
    <mergeCell ref="B10:E10"/>
    <mergeCell ref="I1:J1"/>
    <mergeCell ref="K1:L1"/>
    <mergeCell ref="I2:J2"/>
    <mergeCell ref="K2:L2"/>
    <mergeCell ref="C1:H1"/>
    <mergeCell ref="C2:H2"/>
    <mergeCell ref="B11:H11"/>
    <mergeCell ref="B12:H12"/>
    <mergeCell ref="B15:D15"/>
    <mergeCell ref="A3:H3"/>
    <mergeCell ref="A4:H4"/>
    <mergeCell ref="A5:H5"/>
    <mergeCell ref="A6:H6"/>
    <mergeCell ref="A7:H7"/>
    <mergeCell ref="A8:H8"/>
  </mergeCells>
  <printOptions horizontalCentered="1" verticalCentered="1"/>
  <pageMargins left="1.0236220472440944" right="0.39370078740157483" top="0" bottom="0" header="0" footer="0"/>
  <pageSetup scale="3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1:N104"/>
  <sheetViews>
    <sheetView view="pageBreakPreview" topLeftCell="D7" zoomScale="85" zoomScaleNormal="80" zoomScaleSheetLayoutView="85" workbookViewId="0">
      <selection activeCell="B21" sqref="B21"/>
    </sheetView>
  </sheetViews>
  <sheetFormatPr baseColWidth="10" defaultRowHeight="12.75"/>
  <cols>
    <col min="1" max="1" width="33.85546875" customWidth="1"/>
    <col min="2" max="2" width="22.85546875" style="144" customWidth="1"/>
    <col min="3" max="3" width="18.42578125" style="144" customWidth="1"/>
    <col min="4" max="4" width="20" customWidth="1"/>
    <col min="5" max="5" width="31.140625" customWidth="1"/>
    <col min="6" max="6" width="26.42578125" customWidth="1"/>
    <col min="7" max="7" width="19.5703125" customWidth="1"/>
    <col min="8" max="8" width="19.7109375" customWidth="1"/>
    <col min="9" max="9" width="13.42578125" style="279" customWidth="1"/>
    <col min="10" max="10" width="18.85546875" customWidth="1"/>
    <col min="11" max="11" width="16.28515625" bestFit="1" customWidth="1"/>
    <col min="12" max="12" width="15.7109375" customWidth="1"/>
  </cols>
  <sheetData>
    <row r="1" spans="1:14" ht="42" customHeight="1">
      <c r="A1" s="739"/>
      <c r="B1" s="307" t="s">
        <v>473</v>
      </c>
      <c r="C1" s="743" t="s">
        <v>474</v>
      </c>
      <c r="D1" s="743"/>
      <c r="E1" s="743"/>
      <c r="F1" s="743"/>
      <c r="G1" s="743"/>
      <c r="H1" s="743"/>
      <c r="I1" s="737" t="s">
        <v>475</v>
      </c>
      <c r="J1" s="737"/>
      <c r="K1" s="736" t="s">
        <v>476</v>
      </c>
      <c r="L1" s="736"/>
      <c r="N1" s="19"/>
    </row>
    <row r="2" spans="1:14" ht="42" customHeight="1">
      <c r="A2" s="739"/>
      <c r="B2" s="307" t="s">
        <v>477</v>
      </c>
      <c r="C2" s="743" t="s">
        <v>478</v>
      </c>
      <c r="D2" s="743"/>
      <c r="E2" s="743"/>
      <c r="F2" s="743"/>
      <c r="G2" s="743"/>
      <c r="H2" s="743"/>
      <c r="I2" s="737" t="s">
        <v>479</v>
      </c>
      <c r="J2" s="737"/>
      <c r="K2" s="736">
        <v>1</v>
      </c>
      <c r="L2" s="736"/>
      <c r="N2" s="19"/>
    </row>
    <row r="3" spans="1:14">
      <c r="A3" s="741" t="s">
        <v>22</v>
      </c>
      <c r="B3" s="741"/>
      <c r="C3" s="741"/>
      <c r="D3" s="741"/>
      <c r="E3" s="741"/>
      <c r="F3" s="741"/>
      <c r="G3" s="741"/>
      <c r="H3" s="741"/>
      <c r="I3" s="477"/>
      <c r="J3" s="49"/>
      <c r="K3" s="49"/>
      <c r="L3" s="49"/>
      <c r="N3" s="19"/>
    </row>
    <row r="4" spans="1:14">
      <c r="A4" s="741" t="s">
        <v>89</v>
      </c>
      <c r="B4" s="741"/>
      <c r="C4" s="741"/>
      <c r="D4" s="741"/>
      <c r="E4" s="741"/>
      <c r="F4" s="741"/>
      <c r="G4" s="741"/>
      <c r="H4" s="741"/>
      <c r="I4" s="477"/>
      <c r="J4" s="49"/>
      <c r="K4" s="49"/>
      <c r="L4" s="49"/>
      <c r="N4" s="19"/>
    </row>
    <row r="5" spans="1:14">
      <c r="A5" s="741" t="s">
        <v>33</v>
      </c>
      <c r="B5" s="741"/>
      <c r="C5" s="741"/>
      <c r="D5" s="741"/>
      <c r="E5" s="741"/>
      <c r="F5" s="741"/>
      <c r="G5" s="741"/>
      <c r="H5" s="741"/>
      <c r="I5" s="477"/>
      <c r="J5" s="49"/>
      <c r="K5" s="49"/>
      <c r="L5" s="49"/>
      <c r="N5" s="19"/>
    </row>
    <row r="6" spans="1:14">
      <c r="A6" s="741" t="s">
        <v>34</v>
      </c>
      <c r="B6" s="741"/>
      <c r="C6" s="741"/>
      <c r="D6" s="741"/>
      <c r="E6" s="741"/>
      <c r="F6" s="741"/>
      <c r="G6" s="741"/>
      <c r="H6" s="741"/>
      <c r="I6" s="477"/>
      <c r="J6" s="49"/>
      <c r="K6" s="49"/>
      <c r="L6" s="49"/>
      <c r="N6" s="19"/>
    </row>
    <row r="7" spans="1:14">
      <c r="A7" s="741" t="s">
        <v>35</v>
      </c>
      <c r="B7" s="741"/>
      <c r="C7" s="741"/>
      <c r="D7" s="741"/>
      <c r="E7" s="741"/>
      <c r="F7" s="741"/>
      <c r="G7" s="741"/>
      <c r="H7" s="741"/>
      <c r="I7" s="477"/>
      <c r="J7" s="49"/>
      <c r="K7" s="49"/>
      <c r="L7" s="49"/>
      <c r="N7" s="19"/>
    </row>
    <row r="8" spans="1:14">
      <c r="A8" s="741" t="s">
        <v>36</v>
      </c>
      <c r="B8" s="741"/>
      <c r="C8" s="741"/>
      <c r="D8" s="741"/>
      <c r="E8" s="741"/>
      <c r="F8" s="741"/>
      <c r="G8" s="741"/>
      <c r="H8" s="741"/>
      <c r="I8" s="477"/>
      <c r="J8" s="49"/>
      <c r="K8" s="49"/>
      <c r="L8" s="49"/>
      <c r="N8" s="19"/>
    </row>
    <row r="9" spans="1:14">
      <c r="A9" s="741"/>
      <c r="B9" s="741"/>
      <c r="C9" s="741"/>
      <c r="D9" s="741"/>
      <c r="E9" s="741"/>
      <c r="F9" s="741"/>
      <c r="G9" s="741"/>
      <c r="H9" s="741"/>
      <c r="I9" s="477"/>
      <c r="J9" s="49"/>
      <c r="K9" s="49"/>
      <c r="L9" s="49"/>
    </row>
    <row r="10" spans="1:14">
      <c r="A10" s="53" t="s">
        <v>7</v>
      </c>
      <c r="B10" s="741" t="s">
        <v>37</v>
      </c>
      <c r="C10" s="741"/>
      <c r="D10" s="741"/>
      <c r="E10" s="741"/>
      <c r="F10" s="12"/>
      <c r="G10" s="12"/>
      <c r="H10" s="44"/>
      <c r="I10" s="477"/>
      <c r="J10" s="49"/>
      <c r="K10" s="49"/>
      <c r="L10" s="49"/>
    </row>
    <row r="11" spans="1:14">
      <c r="A11" s="53" t="s">
        <v>6</v>
      </c>
      <c r="B11" s="741" t="s">
        <v>38</v>
      </c>
      <c r="C11" s="741"/>
      <c r="D11" s="741"/>
      <c r="E11" s="741"/>
      <c r="F11" s="741"/>
      <c r="G11" s="741"/>
      <c r="H11" s="741"/>
      <c r="I11" s="477"/>
      <c r="J11" s="49"/>
      <c r="K11" s="49"/>
      <c r="L11" s="49"/>
    </row>
    <row r="12" spans="1:14">
      <c r="A12" s="54" t="s">
        <v>8</v>
      </c>
      <c r="B12" s="741" t="s">
        <v>39</v>
      </c>
      <c r="C12" s="741"/>
      <c r="D12" s="741"/>
      <c r="E12" s="741"/>
      <c r="F12" s="741"/>
      <c r="G12" s="741"/>
      <c r="H12" s="741"/>
      <c r="I12" s="477"/>
      <c r="J12" s="49"/>
      <c r="K12" s="49"/>
      <c r="L12" s="49"/>
    </row>
    <row r="13" spans="1:14">
      <c r="A13" s="55" t="s">
        <v>11</v>
      </c>
      <c r="B13" s="142"/>
      <c r="C13" s="219"/>
      <c r="D13" s="45"/>
      <c r="E13" s="45"/>
      <c r="F13" s="45"/>
      <c r="G13" s="45"/>
      <c r="H13" s="46"/>
      <c r="I13" s="477"/>
      <c r="J13" s="49"/>
      <c r="K13" s="49"/>
      <c r="L13" s="49"/>
    </row>
    <row r="14" spans="1:14">
      <c r="A14" s="56" t="s">
        <v>9</v>
      </c>
      <c r="B14" s="143"/>
      <c r="C14" s="219"/>
      <c r="D14" s="45"/>
      <c r="E14" s="45"/>
      <c r="F14" s="45"/>
      <c r="G14" s="45"/>
      <c r="H14" s="46"/>
      <c r="I14" s="478"/>
      <c r="J14" s="51"/>
      <c r="K14" s="51"/>
      <c r="L14" s="51"/>
    </row>
    <row r="15" spans="1:14">
      <c r="A15" s="75" t="s">
        <v>40</v>
      </c>
      <c r="B15" s="745">
        <f>4665784000</f>
        <v>4665784000</v>
      </c>
      <c r="C15" s="745"/>
      <c r="D15" s="745"/>
      <c r="E15" s="47"/>
      <c r="F15" s="47"/>
      <c r="G15" s="47"/>
      <c r="H15" s="48"/>
      <c r="I15" s="16"/>
      <c r="J15" s="16"/>
      <c r="K15" s="17"/>
      <c r="L15" s="18"/>
    </row>
    <row r="16" spans="1:14" ht="25.5">
      <c r="A16" s="57" t="s">
        <v>5</v>
      </c>
      <c r="B16" s="132" t="s">
        <v>0</v>
      </c>
      <c r="C16" s="132"/>
      <c r="D16" s="29" t="s">
        <v>2</v>
      </c>
      <c r="E16" s="29" t="s">
        <v>1</v>
      </c>
      <c r="F16" s="29" t="s">
        <v>13</v>
      </c>
      <c r="G16" s="29" t="s">
        <v>64</v>
      </c>
      <c r="H16" s="29" t="s">
        <v>3</v>
      </c>
      <c r="I16" s="26" t="s">
        <v>353</v>
      </c>
      <c r="J16" s="30" t="s">
        <v>354</v>
      </c>
      <c r="K16" s="30" t="s">
        <v>355</v>
      </c>
      <c r="L16" s="31" t="s">
        <v>356</v>
      </c>
    </row>
    <row r="17" spans="1:12" ht="28.5" customHeight="1">
      <c r="A17" s="223" t="s">
        <v>389</v>
      </c>
      <c r="B17" s="132">
        <f>+B19+B22</f>
        <v>0</v>
      </c>
      <c r="C17" s="132"/>
      <c r="D17" s="29"/>
      <c r="E17" s="29"/>
      <c r="F17" s="29"/>
      <c r="G17" s="29"/>
      <c r="H17" s="127"/>
      <c r="I17" s="221"/>
      <c r="J17" s="30"/>
      <c r="K17" s="30"/>
      <c r="L17" s="222"/>
    </row>
    <row r="18" spans="1:12" s="331" customFormat="1" ht="38.25">
      <c r="A18" s="470" t="s">
        <v>489</v>
      </c>
      <c r="B18" s="487">
        <v>1086000000</v>
      </c>
      <c r="C18" s="487"/>
      <c r="D18" s="498"/>
      <c r="E18" s="498"/>
      <c r="F18" s="498"/>
      <c r="G18" s="498"/>
      <c r="H18" s="499"/>
      <c r="I18" s="479"/>
      <c r="J18" s="489"/>
      <c r="K18" s="490"/>
      <c r="L18" s="491"/>
    </row>
    <row r="19" spans="1:12" s="4" customFormat="1" ht="63.75">
      <c r="A19" s="470" t="s">
        <v>490</v>
      </c>
      <c r="B19" s="487">
        <f>+C19</f>
        <v>0</v>
      </c>
      <c r="C19" s="487">
        <f>+SUMIF(Seguimiento_PAA!$E$32:$E$967,C20,Seguimiento_PAA!$AB$32:$AB$967)</f>
        <v>0</v>
      </c>
      <c r="D19" s="498" t="s">
        <v>332</v>
      </c>
      <c r="E19" s="498" t="s">
        <v>235</v>
      </c>
      <c r="F19" s="498" t="s">
        <v>105</v>
      </c>
      <c r="G19" s="498" t="s">
        <v>108</v>
      </c>
      <c r="H19" s="499" t="s">
        <v>106</v>
      </c>
      <c r="I19" s="479"/>
      <c r="J19" s="489"/>
      <c r="K19" s="490"/>
      <c r="L19" s="491"/>
    </row>
    <row r="20" spans="1:12" s="4" customFormat="1" ht="63.75">
      <c r="A20" s="500" t="s">
        <v>389</v>
      </c>
      <c r="B20" s="487">
        <f>+J20</f>
        <v>0</v>
      </c>
      <c r="C20" s="492" t="str">
        <f>+CONCATENATE(A20,"-",D20,"-",E20)</f>
        <v>Administración y mantenimiento de sedes misionales-01-Recursos del Distrito 12-Otros Distrito-0020-Mantenimiento y mejoramiento de la infraestructura cultural</v>
      </c>
      <c r="D20" s="498" t="s">
        <v>332</v>
      </c>
      <c r="E20" s="498" t="s">
        <v>235</v>
      </c>
      <c r="F20" s="498" t="s">
        <v>105</v>
      </c>
      <c r="G20" s="498" t="s">
        <v>108</v>
      </c>
      <c r="H20" s="499" t="s">
        <v>106</v>
      </c>
      <c r="I20" s="479">
        <f>COUNTIF(Seguimiento_PAA!$E$32:$E$967,C20)</f>
        <v>0</v>
      </c>
      <c r="J20" s="451">
        <f>+SUMIF(Seguimiento_PAA!$E$32:$E$967,C20,Seguimiento_PAA!$BF$32:$BF$967)</f>
        <v>0</v>
      </c>
      <c r="K20" s="451">
        <f>+SUMIF(Seguimiento_PAA!$E$32:$E$967,C20,Seguimiento_PAA!$BJ$32:$BJ$967)</f>
        <v>0</v>
      </c>
      <c r="L20" s="451">
        <f>+SUMIF(Seguimiento_PAA!$E$32:$E$967,C20,Seguimiento_PAA!$CB$32:$CB$967)</f>
        <v>0</v>
      </c>
    </row>
    <row r="21" spans="1:12" s="4" customFormat="1">
      <c r="A21" s="147" t="s">
        <v>97</v>
      </c>
      <c r="B21" s="151">
        <f>B19-SUM(B20:B20)</f>
        <v>0</v>
      </c>
      <c r="C21" s="213"/>
      <c r="D21" s="201"/>
      <c r="E21" s="201"/>
      <c r="F21" s="201"/>
      <c r="G21" s="201"/>
      <c r="H21" s="202"/>
      <c r="I21" s="544"/>
      <c r="J21" s="148"/>
      <c r="K21" s="149"/>
      <c r="L21" s="150"/>
    </row>
    <row r="22" spans="1:12" s="4" customFormat="1" ht="63.75">
      <c r="A22" s="97" t="s">
        <v>490</v>
      </c>
      <c r="B22" s="109">
        <f>+C22</f>
        <v>0</v>
      </c>
      <c r="C22" s="109">
        <f>+SUMIF(Seguimiento_PAA!$E$32:$E$967,C23,Seguimiento_PAA!$AB$32:$AB$967)</f>
        <v>0</v>
      </c>
      <c r="D22" s="194" t="s">
        <v>337</v>
      </c>
      <c r="E22" s="194" t="s">
        <v>235</v>
      </c>
      <c r="F22" s="194" t="s">
        <v>105</v>
      </c>
      <c r="G22" s="194" t="s">
        <v>108</v>
      </c>
      <c r="H22" s="200" t="s">
        <v>106</v>
      </c>
      <c r="I22" s="543"/>
      <c r="J22" s="40"/>
      <c r="K22" s="42"/>
      <c r="L22" s="43"/>
    </row>
    <row r="23" spans="1:12" s="4" customFormat="1" ht="63.75">
      <c r="A23" s="111" t="s">
        <v>389</v>
      </c>
      <c r="B23" s="451">
        <f>+J23</f>
        <v>0</v>
      </c>
      <c r="C23" s="492" t="str">
        <f>+CONCATENATE(A23,"-",D23,"-",E23)</f>
        <v>Administración y mantenimiento de sedes misionales-03-Recursos Administrados 21-Administrados de Libre Destinación-0020-Mantenimiento y mejoramiento de la infraestructura cultural</v>
      </c>
      <c r="D23" s="498" t="s">
        <v>337</v>
      </c>
      <c r="E23" s="498" t="s">
        <v>235</v>
      </c>
      <c r="F23" s="498" t="s">
        <v>105</v>
      </c>
      <c r="G23" s="498" t="s">
        <v>108</v>
      </c>
      <c r="H23" s="499" t="s">
        <v>106</v>
      </c>
      <c r="I23" s="479">
        <f>COUNTIF(Seguimiento_PAA!$E$32:$E$967,C23)</f>
        <v>0</v>
      </c>
      <c r="J23" s="451">
        <f>+SUMIF(Seguimiento_PAA!$E$32:$E$967,C23,Seguimiento_PAA!$BF$32:$BF$967)</f>
        <v>0</v>
      </c>
      <c r="K23" s="451">
        <f>+SUMIF(Seguimiento_PAA!$E$32:$E$967,C23,Seguimiento_PAA!$BJ$32:$BJ$967)</f>
        <v>0</v>
      </c>
      <c r="L23" s="451">
        <f>+SUMIF(Seguimiento_PAA!$E$32:$E$967,C23,Seguimiento_PAA!$CB$32:$CB$967)</f>
        <v>0</v>
      </c>
    </row>
    <row r="24" spans="1:12" s="4" customFormat="1">
      <c r="A24" s="147" t="s">
        <v>97</v>
      </c>
      <c r="B24" s="151">
        <f>B22-SUM(B23:B23)</f>
        <v>0</v>
      </c>
      <c r="C24" s="213"/>
      <c r="D24" s="201"/>
      <c r="E24" s="201"/>
      <c r="F24" s="201"/>
      <c r="G24" s="201"/>
      <c r="H24" s="202"/>
      <c r="I24" s="544"/>
      <c r="J24" s="148"/>
      <c r="K24" s="149"/>
      <c r="L24" s="150"/>
    </row>
    <row r="25" spans="1:12" s="331" customFormat="1" ht="25.5">
      <c r="A25" s="493" t="s">
        <v>491</v>
      </c>
      <c r="B25" s="507">
        <f>+(304-80)*1000000</f>
        <v>224000000</v>
      </c>
      <c r="C25" s="332"/>
      <c r="D25" s="333"/>
      <c r="E25" s="333"/>
      <c r="F25" s="333"/>
      <c r="G25" s="333"/>
      <c r="H25" s="334"/>
      <c r="I25" s="545"/>
      <c r="J25" s="335"/>
      <c r="K25" s="336"/>
      <c r="L25" s="337"/>
    </row>
    <row r="26" spans="1:12" s="4" customFormat="1" ht="25.5">
      <c r="A26" s="96" t="s">
        <v>492</v>
      </c>
      <c r="B26" s="133">
        <f>+B27+B30</f>
        <v>0</v>
      </c>
      <c r="C26" s="215"/>
      <c r="D26" s="195"/>
      <c r="E26" s="195"/>
      <c r="F26" s="195"/>
      <c r="G26" s="195"/>
      <c r="H26" s="203"/>
      <c r="I26" s="480"/>
      <c r="J26" s="105"/>
      <c r="K26" s="107"/>
      <c r="L26" s="108"/>
    </row>
    <row r="27" spans="1:12" s="4" customFormat="1" ht="89.25">
      <c r="A27" s="96" t="s">
        <v>492</v>
      </c>
      <c r="B27" s="109">
        <f>+C27</f>
        <v>0</v>
      </c>
      <c r="C27" s="109">
        <f>+SUMIF(Seguimiento_PAA!$E$32:$E$967,C28,Seguimiento_PAA!$AB$32:$AB$967)</f>
        <v>0</v>
      </c>
      <c r="D27" s="197" t="s">
        <v>332</v>
      </c>
      <c r="E27" s="197" t="s">
        <v>239</v>
      </c>
      <c r="F27" s="197" t="s">
        <v>105</v>
      </c>
      <c r="G27" s="197" t="s">
        <v>107</v>
      </c>
      <c r="H27" s="204" t="s">
        <v>106</v>
      </c>
      <c r="I27" s="543"/>
      <c r="J27" s="40"/>
      <c r="K27" s="42"/>
      <c r="L27" s="43"/>
    </row>
    <row r="28" spans="1:12" s="4" customFormat="1" ht="89.25">
      <c r="A28" s="550" t="s">
        <v>104</v>
      </c>
      <c r="B28" s="451">
        <f>+J28</f>
        <v>0</v>
      </c>
      <c r="C28" s="492" t="str">
        <f>+CONCATENATE(A28,"-",D28,"-",E28)</f>
        <v>Adquisición de equipos, materiales y suministros-01-Recursos del Distrito 12-Otros Distrito-0114-Adquisición de Equipos, materiales, suministros</v>
      </c>
      <c r="D28" s="501" t="s">
        <v>332</v>
      </c>
      <c r="E28" s="501" t="s">
        <v>239</v>
      </c>
      <c r="F28" s="501" t="s">
        <v>105</v>
      </c>
      <c r="G28" s="501" t="s">
        <v>107</v>
      </c>
      <c r="H28" s="502" t="s">
        <v>106</v>
      </c>
      <c r="I28" s="479">
        <f>COUNTIF(Seguimiento_PAA!$E$32:$E$967,C28)</f>
        <v>0</v>
      </c>
      <c r="J28" s="451">
        <f>+SUMIF(Seguimiento_PAA!$E$32:$E$967,C28,Seguimiento_PAA!$BF$32:$BF$967)</f>
        <v>0</v>
      </c>
      <c r="K28" s="451">
        <f>+SUMIF(Seguimiento_PAA!$E$32:$E$967,C28,Seguimiento_PAA!$BJ$32:$BJ$967)</f>
        <v>0</v>
      </c>
      <c r="L28" s="451">
        <f>+SUMIF(Seguimiento_PAA!$E$32:$E$967,C28,Seguimiento_PAA!$CB$32:$CB$967)</f>
        <v>0</v>
      </c>
    </row>
    <row r="29" spans="1:12" s="4" customFormat="1">
      <c r="A29" s="101" t="s">
        <v>97</v>
      </c>
      <c r="B29" s="133">
        <f>B27-SUM(B28:B28)</f>
        <v>0</v>
      </c>
      <c r="C29" s="215"/>
      <c r="D29" s="195"/>
      <c r="E29" s="195"/>
      <c r="F29" s="195"/>
      <c r="G29" s="195"/>
      <c r="H29" s="203"/>
      <c r="I29" s="480"/>
      <c r="J29" s="105"/>
      <c r="K29" s="107"/>
      <c r="L29" s="108"/>
    </row>
    <row r="30" spans="1:12" s="4" customFormat="1" ht="89.25">
      <c r="A30" s="96" t="s">
        <v>492</v>
      </c>
      <c r="B30" s="109">
        <f>+C30</f>
        <v>0</v>
      </c>
      <c r="C30" s="109">
        <f>+SUMIF(Seguimiento_PAA!$E$32:$E$967,C31,Seguimiento_PAA!$AB$32:$AB$967)</f>
        <v>0</v>
      </c>
      <c r="D30" s="197" t="s">
        <v>332</v>
      </c>
      <c r="E30" s="197" t="s">
        <v>244</v>
      </c>
      <c r="F30" s="197" t="s">
        <v>105</v>
      </c>
      <c r="G30" s="197" t="s">
        <v>107</v>
      </c>
      <c r="H30" s="204" t="s">
        <v>106</v>
      </c>
      <c r="I30" s="543"/>
      <c r="J30" s="40"/>
      <c r="K30" s="42"/>
      <c r="L30" s="43"/>
    </row>
    <row r="31" spans="1:12" s="4" customFormat="1" ht="89.25">
      <c r="A31" s="112" t="s">
        <v>104</v>
      </c>
      <c r="B31" s="451">
        <f>+J31</f>
        <v>0</v>
      </c>
      <c r="C31" s="492" t="str">
        <f>+CONCATENATE(A31,"-",D31,"-",E31)</f>
        <v>Adquisición de equipos, materiales y suministros-01-Recursos del Distrito 12-Otros Distrito-0152-Adquisición de equipos y software para el mejoramiento de la gestión institucional</v>
      </c>
      <c r="D31" s="501" t="s">
        <v>332</v>
      </c>
      <c r="E31" s="501" t="s">
        <v>244</v>
      </c>
      <c r="F31" s="501" t="s">
        <v>105</v>
      </c>
      <c r="G31" s="501" t="s">
        <v>107</v>
      </c>
      <c r="H31" s="502" t="s">
        <v>106</v>
      </c>
      <c r="I31" s="479">
        <f>COUNTIF(Seguimiento_PAA!$E$32:$E$967,C31)</f>
        <v>0</v>
      </c>
      <c r="J31" s="451">
        <f>+SUMIF(Seguimiento_PAA!$E$32:$E$967,C31,Seguimiento_PAA!$BF$32:$BF$967)</f>
        <v>0</v>
      </c>
      <c r="K31" s="451">
        <f>+SUMIF(Seguimiento_PAA!$E$32:$E$967,C31,Seguimiento_PAA!$BJ$32:$BJ$967)</f>
        <v>0</v>
      </c>
      <c r="L31" s="451">
        <f>+SUMIF(Seguimiento_PAA!$E$32:$E$967,C31,Seguimiento_PAA!$CB$32:$CB$967)</f>
        <v>0</v>
      </c>
    </row>
    <row r="32" spans="1:12" s="4" customFormat="1">
      <c r="A32" s="101" t="s">
        <v>97</v>
      </c>
      <c r="B32" s="133">
        <f>B30-SUM(B31:B31)</f>
        <v>0</v>
      </c>
      <c r="C32" s="215"/>
      <c r="D32" s="195"/>
      <c r="E32" s="195"/>
      <c r="F32" s="195"/>
      <c r="G32" s="195"/>
      <c r="H32" s="203"/>
      <c r="I32" s="480"/>
      <c r="J32" s="105"/>
      <c r="K32" s="107"/>
      <c r="L32" s="108"/>
    </row>
    <row r="33" spans="1:12" s="331" customFormat="1" ht="25.5">
      <c r="A33" s="377" t="s">
        <v>493</v>
      </c>
      <c r="B33" s="487">
        <v>80000000</v>
      </c>
      <c r="C33" s="487">
        <f>+SUMIF(Seguimiento_PAA!$E$32:$E$967,C34,Seguimiento_PAA!$AB$32:$AB$967)</f>
        <v>0</v>
      </c>
      <c r="D33" s="503"/>
      <c r="E33" s="503"/>
      <c r="F33" s="503"/>
      <c r="G33" s="503"/>
      <c r="H33" s="504"/>
      <c r="I33" s="479"/>
      <c r="J33" s="489"/>
      <c r="K33" s="490"/>
      <c r="L33" s="491"/>
    </row>
    <row r="34" spans="1:12" s="4" customFormat="1" ht="89.25">
      <c r="A34" s="98" t="s">
        <v>494</v>
      </c>
      <c r="B34" s="487">
        <f>+C34</f>
        <v>0</v>
      </c>
      <c r="C34" s="487">
        <f>+SUMIF(Seguimiento_PAA!$E$32:$E$967,C35,Seguimiento_PAA!$AB$32:$AB$967)</f>
        <v>0</v>
      </c>
      <c r="D34" s="503" t="s">
        <v>332</v>
      </c>
      <c r="E34" s="503" t="s">
        <v>238</v>
      </c>
      <c r="F34" s="503" t="s">
        <v>105</v>
      </c>
      <c r="G34" s="503" t="s">
        <v>107</v>
      </c>
      <c r="H34" s="504" t="s">
        <v>106</v>
      </c>
      <c r="I34" s="479"/>
      <c r="J34" s="489"/>
      <c r="K34" s="490"/>
      <c r="L34" s="491"/>
    </row>
    <row r="35" spans="1:12" s="4" customFormat="1" ht="89.25">
      <c r="A35" s="113" t="s">
        <v>394</v>
      </c>
      <c r="B35" s="451">
        <f>+J35</f>
        <v>0</v>
      </c>
      <c r="C35" s="492" t="str">
        <f>+CONCATENATE(A35,"-",D35,"-",E35)</f>
        <v>Adquisición de vehículos-01-Recursos del Distrito 12-Otros Distrito-0242-Adquisición de vehículo</v>
      </c>
      <c r="D35" s="503" t="s">
        <v>332</v>
      </c>
      <c r="E35" s="503" t="s">
        <v>238</v>
      </c>
      <c r="F35" s="503" t="s">
        <v>105</v>
      </c>
      <c r="G35" s="503" t="s">
        <v>107</v>
      </c>
      <c r="H35" s="504" t="s">
        <v>106</v>
      </c>
      <c r="I35" s="479">
        <f>COUNTIF(Seguimiento_PAA!$E$32:$E$967,C35)</f>
        <v>0</v>
      </c>
      <c r="J35" s="451">
        <f>+SUMIF(Seguimiento_PAA!$E$32:$E$967,C35,Seguimiento_PAA!$BF$32:$BF$967)</f>
        <v>0</v>
      </c>
      <c r="K35" s="451">
        <f>+SUMIF(Seguimiento_PAA!$E$32:$E$967,C35,Seguimiento_PAA!$BJ$32:$BJ$967)</f>
        <v>0</v>
      </c>
      <c r="L35" s="451">
        <f>+SUMIF(Seguimiento_PAA!$E$32:$E$967,C35,Seguimiento_PAA!$CB$32:$CB$967)</f>
        <v>0</v>
      </c>
    </row>
    <row r="36" spans="1:12">
      <c r="A36" s="147" t="s">
        <v>97</v>
      </c>
      <c r="B36" s="151">
        <f>B34-SUM(B35:B35)</f>
        <v>0</v>
      </c>
      <c r="C36" s="213"/>
      <c r="D36" s="208"/>
      <c r="E36" s="208"/>
      <c r="F36" s="208"/>
      <c r="G36" s="208"/>
      <c r="H36" s="209"/>
      <c r="I36" s="544"/>
      <c r="J36" s="148"/>
      <c r="K36" s="149"/>
      <c r="L36" s="150"/>
    </row>
    <row r="37" spans="1:12" s="331" customFormat="1" ht="38.25">
      <c r="A37" s="522" t="s">
        <v>496</v>
      </c>
      <c r="B37" s="507">
        <v>561000000</v>
      </c>
      <c r="C37" s="332"/>
      <c r="D37" s="333"/>
      <c r="E37" s="333"/>
      <c r="F37" s="333"/>
      <c r="G37" s="333"/>
      <c r="H37" s="334"/>
      <c r="I37" s="545"/>
      <c r="J37" s="335"/>
      <c r="K37" s="336"/>
      <c r="L37" s="337"/>
    </row>
    <row r="38" spans="1:12" s="4" customFormat="1" ht="38.25">
      <c r="A38" s="226" t="s">
        <v>495</v>
      </c>
      <c r="B38" s="133">
        <f>+B39+B42</f>
        <v>0</v>
      </c>
      <c r="C38" s="215"/>
      <c r="D38" s="379"/>
      <c r="E38" s="195"/>
      <c r="F38" s="195"/>
      <c r="G38" s="195"/>
      <c r="H38" s="203"/>
      <c r="I38" s="480"/>
      <c r="J38" s="105"/>
      <c r="K38" s="107"/>
      <c r="L38" s="108"/>
    </row>
    <row r="39" spans="1:12" s="4" customFormat="1" ht="89.25">
      <c r="A39" s="226" t="s">
        <v>495</v>
      </c>
      <c r="B39" s="109">
        <f>+C39</f>
        <v>0</v>
      </c>
      <c r="C39" s="109">
        <f>+SUMIF(Seguimiento_PAA!$E$32:$E$967,C40,Seguimiento_PAA!$AB$32:$AB$967)</f>
        <v>0</v>
      </c>
      <c r="D39" s="228" t="s">
        <v>332</v>
      </c>
      <c r="E39" s="228" t="s">
        <v>243</v>
      </c>
      <c r="F39" s="228" t="s">
        <v>105</v>
      </c>
      <c r="G39" s="228" t="s">
        <v>107</v>
      </c>
      <c r="H39" s="229" t="s">
        <v>106</v>
      </c>
      <c r="I39" s="543"/>
      <c r="J39" s="40"/>
      <c r="K39" s="42"/>
      <c r="L39" s="43"/>
    </row>
    <row r="40" spans="1:12" s="4" customFormat="1" ht="89.25">
      <c r="A40" s="227" t="s">
        <v>125</v>
      </c>
      <c r="B40" s="451">
        <f>+J40</f>
        <v>0</v>
      </c>
      <c r="C40" s="492" t="str">
        <f>+CONCATENATE(A40,"-",D40,"-",E40)</f>
        <v>Desarrollar actividades de comunicación e información-01-Recursos del Distrito 12-Otros Distrito-0020-Personal contratado para las actividades propias de los procesos de mejoramiento de gestión de la entidad</v>
      </c>
      <c r="D40" s="505" t="s">
        <v>332</v>
      </c>
      <c r="E40" s="505" t="s">
        <v>243</v>
      </c>
      <c r="F40" s="505" t="s">
        <v>105</v>
      </c>
      <c r="G40" s="505" t="s">
        <v>107</v>
      </c>
      <c r="H40" s="506" t="s">
        <v>106</v>
      </c>
      <c r="I40" s="479">
        <f>COUNTIF(Seguimiento_PAA!$E$32:$E$967,C40)</f>
        <v>0</v>
      </c>
      <c r="J40" s="451">
        <f>+SUMIF(Seguimiento_PAA!$E$32:$E$967,C40,Seguimiento_PAA!$BF$32:$BF$967)</f>
        <v>0</v>
      </c>
      <c r="K40" s="451">
        <f>+SUMIF(Seguimiento_PAA!$E$32:$E$967,C40,Seguimiento_PAA!$BJ$32:$BJ$967)</f>
        <v>0</v>
      </c>
      <c r="L40" s="451">
        <f>+SUMIF(Seguimiento_PAA!$E$32:$E$967,C40,Seguimiento_PAA!$CB$32:$CB$967)</f>
        <v>0</v>
      </c>
    </row>
    <row r="41" spans="1:12" s="4" customFormat="1">
      <c r="A41" s="101" t="s">
        <v>97</v>
      </c>
      <c r="B41" s="133">
        <f>B39-SUM(B40:B40)</f>
        <v>0</v>
      </c>
      <c r="C41" s="215"/>
      <c r="D41" s="195"/>
      <c r="E41" s="195"/>
      <c r="F41" s="195"/>
      <c r="G41" s="195"/>
      <c r="H41" s="203"/>
      <c r="I41" s="480"/>
      <c r="J41" s="105"/>
      <c r="K41" s="107"/>
      <c r="L41" s="108"/>
    </row>
    <row r="42" spans="1:12" s="4" customFormat="1" ht="89.25">
      <c r="A42" s="226" t="s">
        <v>495</v>
      </c>
      <c r="B42" s="109">
        <f>+C42</f>
        <v>0</v>
      </c>
      <c r="C42" s="109">
        <f>+SUMIF(Seguimiento_PAA!$E$32:$E$967,C43,Seguimiento_PAA!$AB$32:$AB$967)</f>
        <v>0</v>
      </c>
      <c r="D42" s="228" t="s">
        <v>332</v>
      </c>
      <c r="E42" s="228" t="s">
        <v>244</v>
      </c>
      <c r="F42" s="228" t="s">
        <v>105</v>
      </c>
      <c r="G42" s="228" t="s">
        <v>107</v>
      </c>
      <c r="H42" s="229" t="s">
        <v>106</v>
      </c>
      <c r="I42" s="543"/>
      <c r="J42" s="40"/>
      <c r="K42" s="42"/>
      <c r="L42" s="43"/>
    </row>
    <row r="43" spans="1:12" s="4" customFormat="1" ht="89.25">
      <c r="A43" s="227" t="s">
        <v>125</v>
      </c>
      <c r="B43" s="451">
        <f>+J43</f>
        <v>0</v>
      </c>
      <c r="C43" s="492" t="str">
        <f>+CONCATENATE(A43,"-",D43,"-",E43)</f>
        <v>Desarrollar actividades de comunicación e información-01-Recursos del Distrito 12-Otros Distrito-0152-Adquisición de equipos y software para el mejoramiento de la gestión institucional</v>
      </c>
      <c r="D43" s="505" t="s">
        <v>332</v>
      </c>
      <c r="E43" s="505" t="s">
        <v>244</v>
      </c>
      <c r="F43" s="505" t="s">
        <v>105</v>
      </c>
      <c r="G43" s="505" t="s">
        <v>107</v>
      </c>
      <c r="H43" s="506" t="s">
        <v>106</v>
      </c>
      <c r="I43" s="479">
        <f>COUNTIF(Seguimiento_PAA!$E$32:$E$967,C43)</f>
        <v>0</v>
      </c>
      <c r="J43" s="451">
        <f>+SUMIF(Seguimiento_PAA!$E$32:$E$967,C43,Seguimiento_PAA!$BF$32:$BF$967)</f>
        <v>0</v>
      </c>
      <c r="K43" s="451">
        <f>+SUMIF(Seguimiento_PAA!$E$32:$E$967,C43,Seguimiento_PAA!$BJ$32:$BJ$967)</f>
        <v>0</v>
      </c>
      <c r="L43" s="451">
        <f>+SUMIF(Seguimiento_PAA!$E$32:$E$967,C43,Seguimiento_PAA!$CB$32:$CB$967)</f>
        <v>0</v>
      </c>
    </row>
    <row r="44" spans="1:12" s="4" customFormat="1">
      <c r="A44" s="101" t="s">
        <v>97</v>
      </c>
      <c r="B44" s="133">
        <f>B42-SUM(B43:B43)</f>
        <v>0</v>
      </c>
      <c r="C44" s="215"/>
      <c r="D44" s="195"/>
      <c r="E44" s="195"/>
      <c r="F44" s="195"/>
      <c r="G44" s="195"/>
      <c r="H44" s="203"/>
      <c r="I44" s="480"/>
      <c r="J44" s="105"/>
      <c r="K44" s="107"/>
      <c r="L44" s="108"/>
    </row>
    <row r="45" spans="1:12" s="331" customFormat="1" ht="51" customHeight="1">
      <c r="A45" s="445" t="s">
        <v>497</v>
      </c>
      <c r="B45" s="487">
        <v>657000000</v>
      </c>
      <c r="C45" s="487">
        <f>+SUMIF(Seguimiento_PAA!$E$32:$E$967,C46,Seguimiento_PAA!$AB$32:$AB$967)</f>
        <v>0</v>
      </c>
      <c r="D45" s="508"/>
      <c r="E45" s="508"/>
      <c r="F45" s="508"/>
      <c r="G45" s="508"/>
      <c r="H45" s="509"/>
      <c r="I45" s="479"/>
      <c r="J45" s="489"/>
      <c r="K45" s="490"/>
      <c r="L45" s="491"/>
    </row>
    <row r="46" spans="1:12" s="4" customFormat="1" ht="89.25">
      <c r="A46" s="114" t="s">
        <v>498</v>
      </c>
      <c r="B46" s="487">
        <f>+C46</f>
        <v>0</v>
      </c>
      <c r="C46" s="487">
        <f>+SUMIF(Seguimiento_PAA!$E$32:$E$967,C47,Seguimiento_PAA!$AB$32:$AB$967)</f>
        <v>0</v>
      </c>
      <c r="D46" s="508" t="s">
        <v>332</v>
      </c>
      <c r="E46" s="508" t="s">
        <v>243</v>
      </c>
      <c r="F46" s="508" t="s">
        <v>105</v>
      </c>
      <c r="G46" s="508" t="s">
        <v>107</v>
      </c>
      <c r="H46" s="509" t="s">
        <v>106</v>
      </c>
      <c r="I46" s="479"/>
      <c r="J46" s="489"/>
      <c r="K46" s="490"/>
      <c r="L46" s="491"/>
    </row>
    <row r="47" spans="1:12" s="4" customFormat="1" ht="89.25">
      <c r="A47" s="115" t="s">
        <v>123</v>
      </c>
      <c r="B47" s="451">
        <f>+J47</f>
        <v>0</v>
      </c>
      <c r="C47" s="492" t="str">
        <f>+CONCATENATE(A47,"-",D47,"-",E47)</f>
        <v>Fortalecimiento de los subsistemas del sistema integrado de gestión-01-Recursos del Distrito 12-Otros Distrito-0020-Personal contratado para las actividades propias de los procesos de mejoramiento de gestión de la entidad</v>
      </c>
      <c r="D47" s="508" t="s">
        <v>332</v>
      </c>
      <c r="E47" s="508" t="s">
        <v>243</v>
      </c>
      <c r="F47" s="508" t="s">
        <v>105</v>
      </c>
      <c r="G47" s="508" t="s">
        <v>107</v>
      </c>
      <c r="H47" s="509" t="s">
        <v>106</v>
      </c>
      <c r="I47" s="479">
        <f>COUNTIF(Seguimiento_PAA!$E$32:$E$967,C47)</f>
        <v>0</v>
      </c>
      <c r="J47" s="451">
        <f>+SUMIF(Seguimiento_PAA!$E$32:$E$967,C47,Seguimiento_PAA!$BF$32:$BF$967)</f>
        <v>0</v>
      </c>
      <c r="K47" s="451">
        <f>+SUMIF(Seguimiento_PAA!$E$32:$E$967,C47,Seguimiento_PAA!$BJ$32:$BJ$967)</f>
        <v>0</v>
      </c>
      <c r="L47" s="451">
        <f>+SUMIF(Seguimiento_PAA!$E$32:$E$967,C47,Seguimiento_PAA!$CB$32:$CB$967)</f>
        <v>0</v>
      </c>
    </row>
    <row r="48" spans="1:12" s="4" customFormat="1">
      <c r="A48" s="101" t="s">
        <v>97</v>
      </c>
      <c r="B48" s="133">
        <f>B46-SUM(B47)</f>
        <v>0</v>
      </c>
      <c r="C48" s="215"/>
      <c r="D48" s="195"/>
      <c r="E48" s="195"/>
      <c r="F48" s="195"/>
      <c r="G48" s="195"/>
      <c r="H48" s="203"/>
      <c r="I48" s="480"/>
      <c r="J48" s="105"/>
      <c r="K48" s="107"/>
      <c r="L48" s="108"/>
    </row>
    <row r="49" spans="1:12" s="331" customFormat="1" ht="38.25">
      <c r="A49" s="521" t="s">
        <v>499</v>
      </c>
      <c r="B49" s="487">
        <f>1862000000-216000</f>
        <v>1861784000</v>
      </c>
      <c r="C49" s="487">
        <f>+SUMIF(Seguimiento_PAA!$E$32:$E$967,C50,Seguimiento_PAA!$AB$32:$AB$967)</f>
        <v>0</v>
      </c>
      <c r="D49" s="510"/>
      <c r="E49" s="510"/>
      <c r="F49" s="510"/>
      <c r="G49" s="510"/>
      <c r="H49" s="511"/>
      <c r="I49" s="479"/>
      <c r="J49" s="489"/>
      <c r="K49" s="490"/>
      <c r="L49" s="491"/>
    </row>
    <row r="50" spans="1:12" s="4" customFormat="1" ht="89.25">
      <c r="A50" s="224" t="s">
        <v>500</v>
      </c>
      <c r="B50" s="487">
        <f>+C50</f>
        <v>0</v>
      </c>
      <c r="C50" s="487">
        <f>+SUMIF(Seguimiento_PAA!$E$32:$E$967,C51,Seguimiento_PAA!$AB$32:$AB$967)</f>
        <v>0</v>
      </c>
      <c r="D50" s="510" t="s">
        <v>332</v>
      </c>
      <c r="E50" s="510" t="s">
        <v>243</v>
      </c>
      <c r="F50" s="510" t="s">
        <v>105</v>
      </c>
      <c r="G50" s="510" t="s">
        <v>107</v>
      </c>
      <c r="H50" s="511" t="s">
        <v>106</v>
      </c>
      <c r="I50" s="479"/>
      <c r="J50" s="489"/>
      <c r="K50" s="490"/>
      <c r="L50" s="491"/>
    </row>
    <row r="51" spans="1:12" s="4" customFormat="1" ht="89.25">
      <c r="A51" s="225" t="s">
        <v>124</v>
      </c>
      <c r="B51" s="451">
        <f>+J51</f>
        <v>0</v>
      </c>
      <c r="C51" s="492" t="str">
        <f>+CONCATENATE(A51,"-",D51,"-",E51)</f>
        <v>Personal de apoyo transversal a la gestión institucional-01-Recursos del Distrito 12-Otros Distrito-0020-Personal contratado para las actividades propias de los procesos de mejoramiento de gestión de la entidad</v>
      </c>
      <c r="D51" s="510" t="s">
        <v>332</v>
      </c>
      <c r="E51" s="510" t="s">
        <v>243</v>
      </c>
      <c r="F51" s="510" t="s">
        <v>105</v>
      </c>
      <c r="G51" s="510" t="s">
        <v>107</v>
      </c>
      <c r="H51" s="511" t="s">
        <v>106</v>
      </c>
      <c r="I51" s="479">
        <f>COUNTIF(Seguimiento_PAA!$E$32:$E$967,C51)</f>
        <v>0</v>
      </c>
      <c r="J51" s="451">
        <f>+SUMIF(Seguimiento_PAA!$E$32:$E$967,C51,Seguimiento_PAA!$BF$32:$BF$967)</f>
        <v>0</v>
      </c>
      <c r="K51" s="451">
        <f>+SUMIF(Seguimiento_PAA!$E$32:$E$967,C51,Seguimiento_PAA!$BJ$32:$BJ$967)</f>
        <v>0</v>
      </c>
      <c r="L51" s="451">
        <f>+SUMIF(Seguimiento_PAA!$E$32:$E$967,C51,Seguimiento_PAA!$CB$32:$CB$967)</f>
        <v>0</v>
      </c>
    </row>
    <row r="52" spans="1:12" s="4" customFormat="1">
      <c r="A52" s="101" t="s">
        <v>97</v>
      </c>
      <c r="B52" s="133">
        <f>B50-SUM(B51:B51)</f>
        <v>0</v>
      </c>
      <c r="C52" s="215"/>
      <c r="D52" s="195"/>
      <c r="E52" s="195"/>
      <c r="F52" s="195"/>
      <c r="G52" s="195"/>
      <c r="H52" s="203"/>
      <c r="I52" s="480"/>
      <c r="J52" s="105"/>
      <c r="K52" s="107"/>
      <c r="L52" s="108"/>
    </row>
    <row r="53" spans="1:12" s="331" customFormat="1" ht="25.5">
      <c r="A53" s="520" t="s">
        <v>501</v>
      </c>
      <c r="B53" s="487">
        <v>196000000</v>
      </c>
      <c r="C53" s="487">
        <f>+SUMIF(Seguimiento_PAA!$E$32:$E$967,C54,Seguimiento_PAA!$AB$32:$AB$967)</f>
        <v>0</v>
      </c>
      <c r="D53" s="512"/>
      <c r="E53" s="512"/>
      <c r="F53" s="512"/>
      <c r="G53" s="512"/>
      <c r="H53" s="513"/>
      <c r="I53" s="479"/>
      <c r="J53" s="489"/>
      <c r="K53" s="490"/>
      <c r="L53" s="491"/>
    </row>
    <row r="54" spans="1:12" s="4" customFormat="1" ht="89.25">
      <c r="A54" s="442" t="s">
        <v>502</v>
      </c>
      <c r="B54" s="487">
        <f>+C54</f>
        <v>0</v>
      </c>
      <c r="C54" s="487">
        <f>+SUMIF(Seguimiento_PAA!$E$32:$E$967,C55,Seguimiento_PAA!$AB$32:$AB$967)</f>
        <v>0</v>
      </c>
      <c r="D54" s="512" t="s">
        <v>332</v>
      </c>
      <c r="E54" s="512" t="s">
        <v>243</v>
      </c>
      <c r="F54" s="512" t="s">
        <v>105</v>
      </c>
      <c r="G54" s="512" t="s">
        <v>107</v>
      </c>
      <c r="H54" s="513" t="s">
        <v>106</v>
      </c>
      <c r="I54" s="479"/>
      <c r="J54" s="489"/>
      <c r="K54" s="490"/>
      <c r="L54" s="491"/>
    </row>
    <row r="55" spans="1:12" s="4" customFormat="1" ht="89.25">
      <c r="A55" s="443" t="s">
        <v>103</v>
      </c>
      <c r="B55" s="451">
        <f>+J55</f>
        <v>0</v>
      </c>
      <c r="C55" s="492" t="str">
        <f>+CONCATENATE(A55,"-",D55,"-",E55)</f>
        <v>Transparencia y atención a la ciudadanía-01-Recursos del Distrito 12-Otros Distrito-0020-Personal contratado para las actividades propias de los procesos de mejoramiento de gestión de la entidad</v>
      </c>
      <c r="D55" s="512" t="s">
        <v>332</v>
      </c>
      <c r="E55" s="512" t="s">
        <v>243</v>
      </c>
      <c r="F55" s="512" t="s">
        <v>105</v>
      </c>
      <c r="G55" s="512" t="s">
        <v>107</v>
      </c>
      <c r="H55" s="513" t="s">
        <v>106</v>
      </c>
      <c r="I55" s="479">
        <f>COUNTIF(Seguimiento_PAA!$E$32:$E$967,C55)</f>
        <v>0</v>
      </c>
      <c r="J55" s="451">
        <f>+SUMIF(Seguimiento_PAA!$E$32:$E$967,C55,Seguimiento_PAA!$BF$32:$BF$967)</f>
        <v>0</v>
      </c>
      <c r="K55" s="451">
        <f>+SUMIF(Seguimiento_PAA!$E$32:$E$967,C55,Seguimiento_PAA!$BJ$32:$BJ$967)</f>
        <v>0</v>
      </c>
      <c r="L55" s="451">
        <f>+SUMIF(Seguimiento_PAA!$E$32:$E$967,C55,Seguimiento_PAA!$CB$32:$CB$967)</f>
        <v>0</v>
      </c>
    </row>
    <row r="56" spans="1:12">
      <c r="A56" s="101" t="s">
        <v>97</v>
      </c>
      <c r="B56" s="507">
        <f>B54-SUM(B55)</f>
        <v>0</v>
      </c>
      <c r="C56" s="514"/>
      <c r="D56" s="515"/>
      <c r="E56" s="515"/>
      <c r="F56" s="515"/>
      <c r="G56" s="515"/>
      <c r="H56" s="516"/>
      <c r="I56" s="548"/>
      <c r="J56" s="517"/>
      <c r="K56" s="518"/>
      <c r="L56" s="519"/>
    </row>
    <row r="57" spans="1:12">
      <c r="A57" s="59" t="s">
        <v>77</v>
      </c>
      <c r="B57" s="151">
        <f>+B54+B50+B46+B42+B39+B34+B30+B27+B22+B19</f>
        <v>0</v>
      </c>
      <c r="C57" s="213"/>
      <c r="D57" s="208"/>
      <c r="E57" s="208"/>
      <c r="F57" s="208"/>
      <c r="G57" s="208"/>
      <c r="H57" s="209"/>
      <c r="I57" s="544"/>
      <c r="J57" s="148"/>
      <c r="K57" s="149"/>
      <c r="L57" s="150"/>
    </row>
    <row r="58" spans="1:12" s="4" customFormat="1">
      <c r="A58" s="378" t="s">
        <v>503</v>
      </c>
      <c r="B58" s="109">
        <f>+B53+B49+B45+B37+B33+B25+B18</f>
        <v>4665784000</v>
      </c>
      <c r="C58" s="230"/>
      <c r="D58" s="380"/>
      <c r="E58" s="231"/>
      <c r="F58" s="231"/>
      <c r="G58" s="231"/>
      <c r="H58" s="231"/>
      <c r="I58" s="549"/>
      <c r="J58" s="232"/>
      <c r="K58" s="233"/>
      <c r="L58" s="233"/>
    </row>
    <row r="59" spans="1:12" s="4" customFormat="1">
      <c r="A59" s="380"/>
      <c r="B59" s="380"/>
      <c r="C59" s="380"/>
      <c r="D59" s="380"/>
      <c r="E59" s="231"/>
      <c r="F59" s="231"/>
      <c r="G59" s="231"/>
      <c r="H59" s="231"/>
      <c r="I59" s="549"/>
      <c r="J59" s="232"/>
      <c r="K59" s="233"/>
      <c r="L59" s="233"/>
    </row>
    <row r="60" spans="1:12">
      <c r="A60" s="210" t="s">
        <v>10</v>
      </c>
      <c r="B60" s="211" t="s">
        <v>0</v>
      </c>
      <c r="C60" s="135"/>
      <c r="D60" s="7"/>
      <c r="E60" s="7"/>
      <c r="F60" s="7"/>
      <c r="G60" s="7"/>
      <c r="H60" s="7"/>
      <c r="I60" s="7"/>
      <c r="J60" s="7"/>
      <c r="K60" s="6"/>
      <c r="L60" s="6"/>
    </row>
    <row r="61" spans="1:12">
      <c r="A61" s="62" t="s">
        <v>12</v>
      </c>
      <c r="B61" s="136">
        <f>+B57</f>
        <v>0</v>
      </c>
      <c r="C61" s="135"/>
      <c r="D61" s="7"/>
      <c r="E61" s="7"/>
      <c r="F61" s="7"/>
      <c r="G61" s="7"/>
      <c r="H61" s="13" t="s">
        <v>12</v>
      </c>
      <c r="I61" s="216">
        <f>+SUM(I55,I51,I47,I43,I40,I35,I31,I28,I23,I20)</f>
        <v>0</v>
      </c>
      <c r="J61" s="444">
        <f>+SUM(J55,J51,J47,J43,J40,J35,J31,J28,J23,J20)</f>
        <v>0</v>
      </c>
      <c r="K61" s="444">
        <f>+SUM(K55,K51,K47,K43,K40,K35,K31,K28,K23,K20)</f>
        <v>0</v>
      </c>
      <c r="L61" s="444">
        <f>+SUM(L55,L51,L47,L43,L40,L35,L31,L28,L23,L20)</f>
        <v>0</v>
      </c>
    </row>
    <row r="64" spans="1:12">
      <c r="A64" s="20"/>
      <c r="B64" s="145"/>
      <c r="C64" s="145"/>
      <c r="D64" s="23"/>
      <c r="E64" s="24"/>
    </row>
    <row r="65" spans="1:7">
      <c r="A65" s="1"/>
      <c r="B65" s="146"/>
      <c r="C65" s="146"/>
      <c r="D65" s="22"/>
      <c r="E65" s="21"/>
    </row>
    <row r="66" spans="1:7">
      <c r="A66" s="1"/>
      <c r="B66" s="146"/>
      <c r="C66" s="146"/>
      <c r="D66" s="22"/>
      <c r="E66" s="21"/>
    </row>
    <row r="67" spans="1:7">
      <c r="A67" s="1"/>
      <c r="B67" s="146"/>
      <c r="C67" s="146"/>
      <c r="D67" s="22"/>
      <c r="E67" s="21"/>
    </row>
    <row r="75" spans="1:7">
      <c r="A75" s="20"/>
      <c r="B75" s="145"/>
      <c r="C75" s="145"/>
    </row>
    <row r="76" spans="1:7">
      <c r="A76" s="1"/>
      <c r="B76" s="146"/>
      <c r="C76" s="146"/>
      <c r="G76" s="8"/>
    </row>
    <row r="77" spans="1:7">
      <c r="A77" s="1"/>
      <c r="B77" s="146"/>
      <c r="C77" s="146"/>
      <c r="G77" s="8"/>
    </row>
    <row r="78" spans="1:7">
      <c r="A78" s="1"/>
      <c r="B78" s="146"/>
      <c r="C78" s="146"/>
      <c r="G78" s="8"/>
    </row>
    <row r="79" spans="1:7">
      <c r="A79" s="1"/>
      <c r="B79" s="146"/>
      <c r="C79" s="146"/>
      <c r="G79" s="8"/>
    </row>
    <row r="86" spans="1:3">
      <c r="A86" s="1"/>
      <c r="B86" s="146"/>
      <c r="C86" s="146"/>
    </row>
    <row r="87" spans="1:3">
      <c r="A87" s="1"/>
      <c r="B87" s="146"/>
      <c r="C87" s="146"/>
    </row>
    <row r="88" spans="1:3">
      <c r="A88" s="1"/>
      <c r="B88" s="146"/>
      <c r="C88" s="146"/>
    </row>
    <row r="89" spans="1:3">
      <c r="A89" s="1"/>
      <c r="B89" s="146"/>
      <c r="C89" s="146"/>
    </row>
    <row r="90" spans="1:3">
      <c r="A90" s="1"/>
      <c r="B90" s="146"/>
      <c r="C90" s="146"/>
    </row>
    <row r="91" spans="1:3">
      <c r="A91" s="1"/>
      <c r="B91" s="146"/>
      <c r="C91" s="146"/>
    </row>
    <row r="92" spans="1:3">
      <c r="A92" s="1"/>
      <c r="B92" s="146"/>
      <c r="C92" s="146"/>
    </row>
    <row r="93" spans="1:3">
      <c r="A93" s="1"/>
      <c r="B93" s="146"/>
      <c r="C93" s="146"/>
    </row>
    <row r="94" spans="1:3">
      <c r="A94" s="1"/>
      <c r="B94" s="146"/>
      <c r="C94" s="146"/>
    </row>
    <row r="95" spans="1:3">
      <c r="A95" s="1"/>
      <c r="B95" s="146"/>
      <c r="C95" s="146"/>
    </row>
    <row r="96" spans="1:3">
      <c r="A96" s="1"/>
      <c r="B96" s="146"/>
      <c r="C96" s="146"/>
    </row>
    <row r="97" spans="1:3">
      <c r="A97" s="1"/>
      <c r="B97" s="146"/>
      <c r="C97" s="146"/>
    </row>
    <row r="98" spans="1:3">
      <c r="A98" s="1"/>
      <c r="B98" s="146"/>
      <c r="C98" s="146"/>
    </row>
    <row r="99" spans="1:3">
      <c r="A99" s="1"/>
      <c r="B99" s="146"/>
      <c r="C99" s="146"/>
    </row>
    <row r="100" spans="1:3">
      <c r="A100" s="1"/>
      <c r="B100" s="146"/>
      <c r="C100" s="146"/>
    </row>
    <row r="101" spans="1:3">
      <c r="A101" s="1"/>
      <c r="B101" s="146"/>
      <c r="C101" s="146"/>
    </row>
    <row r="102" spans="1:3">
      <c r="A102" s="1"/>
      <c r="B102" s="146"/>
      <c r="C102" s="146"/>
    </row>
    <row r="103" spans="1:3">
      <c r="A103" s="1"/>
      <c r="B103" s="146"/>
      <c r="C103" s="146"/>
    </row>
    <row r="104" spans="1:3">
      <c r="A104" s="1"/>
      <c r="B104" s="146"/>
      <c r="C104" s="146"/>
    </row>
  </sheetData>
  <mergeCells count="18">
    <mergeCell ref="B15:D15"/>
    <mergeCell ref="A9:H9"/>
    <mergeCell ref="A1:A2"/>
    <mergeCell ref="B11:H11"/>
    <mergeCell ref="B12:H12"/>
    <mergeCell ref="A7:H7"/>
    <mergeCell ref="A8:H8"/>
    <mergeCell ref="C1:H1"/>
    <mergeCell ref="B10:E10"/>
    <mergeCell ref="A3:H3"/>
    <mergeCell ref="A4:H4"/>
    <mergeCell ref="A5:H5"/>
    <mergeCell ref="A6:H6"/>
    <mergeCell ref="I1:J1"/>
    <mergeCell ref="C2:H2"/>
    <mergeCell ref="I2:J2"/>
    <mergeCell ref="K1:L1"/>
    <mergeCell ref="K2:L2"/>
  </mergeCells>
  <phoneticPr fontId="16" type="noConversion"/>
  <printOptions horizontalCentered="1" verticalCentered="1"/>
  <pageMargins left="1.0236220472440944" right="0.39370078740157483" top="0" bottom="0" header="0" footer="0"/>
  <pageSetup scale="23"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1:P84"/>
  <sheetViews>
    <sheetView view="pageBreakPreview" topLeftCell="A19" zoomScale="80" zoomScaleNormal="80" zoomScaleSheetLayoutView="80" workbookViewId="0">
      <selection activeCell="B15" sqref="B15:D15"/>
    </sheetView>
  </sheetViews>
  <sheetFormatPr baseColWidth="10" defaultRowHeight="12.75"/>
  <cols>
    <col min="1" max="1" width="31" customWidth="1"/>
    <col min="2" max="2" width="22.85546875" customWidth="1"/>
    <col min="3" max="3" width="18" hidden="1" customWidth="1"/>
    <col min="4" max="4" width="20" customWidth="1"/>
    <col min="5" max="5" width="13.85546875" customWidth="1"/>
    <col min="6" max="6" width="17.28515625" customWidth="1"/>
    <col min="7" max="7" width="20.7109375" customWidth="1"/>
    <col min="8" max="8" width="29.28515625" customWidth="1"/>
    <col min="9" max="9" width="13.42578125" style="279" customWidth="1"/>
    <col min="10" max="10" width="25.42578125" customWidth="1"/>
    <col min="11" max="11" width="16.7109375" bestFit="1" customWidth="1"/>
    <col min="12" max="12" width="16.5703125" bestFit="1" customWidth="1"/>
    <col min="16" max="16" width="14.28515625" bestFit="1" customWidth="1"/>
  </cols>
  <sheetData>
    <row r="1" spans="1:14" s="399" customFormat="1" ht="42" customHeight="1">
      <c r="A1" s="739"/>
      <c r="B1" s="307" t="s">
        <v>473</v>
      </c>
      <c r="C1" s="743" t="s">
        <v>474</v>
      </c>
      <c r="D1" s="743"/>
      <c r="E1" s="743"/>
      <c r="F1" s="743"/>
      <c r="G1" s="743"/>
      <c r="H1" s="743"/>
      <c r="I1" s="737" t="s">
        <v>475</v>
      </c>
      <c r="J1" s="737"/>
      <c r="K1" s="736" t="s">
        <v>476</v>
      </c>
      <c r="L1" s="736"/>
      <c r="N1" s="19"/>
    </row>
    <row r="2" spans="1:14" s="399" customFormat="1" ht="42" customHeight="1">
      <c r="A2" s="739"/>
      <c r="B2" s="307" t="s">
        <v>477</v>
      </c>
      <c r="C2" s="743" t="s">
        <v>478</v>
      </c>
      <c r="D2" s="743"/>
      <c r="E2" s="743"/>
      <c r="F2" s="743"/>
      <c r="G2" s="743"/>
      <c r="H2" s="743"/>
      <c r="I2" s="737" t="s">
        <v>479</v>
      </c>
      <c r="J2" s="737"/>
      <c r="K2" s="736">
        <v>1</v>
      </c>
      <c r="L2" s="736"/>
      <c r="N2" s="19"/>
    </row>
    <row r="3" spans="1:14">
      <c r="A3" s="741" t="s">
        <v>22</v>
      </c>
      <c r="B3" s="741"/>
      <c r="C3" s="741"/>
      <c r="D3" s="741"/>
      <c r="E3" s="741"/>
      <c r="F3" s="741"/>
      <c r="G3" s="741"/>
      <c r="H3" s="741"/>
      <c r="I3" s="477"/>
      <c r="J3" s="49"/>
      <c r="K3" s="49"/>
      <c r="L3" s="49"/>
    </row>
    <row r="4" spans="1:14">
      <c r="A4" s="741" t="s">
        <v>23</v>
      </c>
      <c r="B4" s="741"/>
      <c r="C4" s="741"/>
      <c r="D4" s="741"/>
      <c r="E4" s="741"/>
      <c r="F4" s="741"/>
      <c r="G4" s="741"/>
      <c r="H4" s="741"/>
      <c r="I4" s="477"/>
      <c r="J4" s="49"/>
      <c r="K4" s="49"/>
      <c r="L4" s="49"/>
    </row>
    <row r="5" spans="1:14">
      <c r="A5" s="741" t="s">
        <v>41</v>
      </c>
      <c r="B5" s="741"/>
      <c r="C5" s="741"/>
      <c r="D5" s="741"/>
      <c r="E5" s="741"/>
      <c r="F5" s="741"/>
      <c r="G5" s="741"/>
      <c r="H5" s="741"/>
      <c r="I5" s="477"/>
      <c r="J5" s="49"/>
      <c r="K5" s="49"/>
      <c r="L5" s="49"/>
    </row>
    <row r="6" spans="1:14">
      <c r="A6" s="741" t="s">
        <v>42</v>
      </c>
      <c r="B6" s="741"/>
      <c r="C6" s="741"/>
      <c r="D6" s="741"/>
      <c r="E6" s="741"/>
      <c r="F6" s="741"/>
      <c r="G6" s="741"/>
      <c r="H6" s="741"/>
      <c r="I6" s="477"/>
      <c r="J6" s="49"/>
      <c r="K6" s="49"/>
      <c r="L6" s="49"/>
    </row>
    <row r="7" spans="1:14">
      <c r="A7" s="741" t="s">
        <v>43</v>
      </c>
      <c r="B7" s="741"/>
      <c r="C7" s="741"/>
      <c r="D7" s="741"/>
      <c r="E7" s="741"/>
      <c r="F7" s="741"/>
      <c r="G7" s="741"/>
      <c r="H7" s="741"/>
      <c r="I7" s="477"/>
      <c r="J7" s="49"/>
      <c r="K7" s="49"/>
      <c r="L7" s="49"/>
    </row>
    <row r="8" spans="1:14">
      <c r="A8" s="741" t="s">
        <v>44</v>
      </c>
      <c r="B8" s="741"/>
      <c r="C8" s="741"/>
      <c r="D8" s="741"/>
      <c r="E8" s="741"/>
      <c r="F8" s="741"/>
      <c r="G8" s="741"/>
      <c r="H8" s="741"/>
      <c r="I8" s="477"/>
      <c r="J8" s="49"/>
      <c r="K8" s="49"/>
      <c r="L8" s="49"/>
    </row>
    <row r="9" spans="1:14">
      <c r="A9" s="71"/>
      <c r="B9" s="72"/>
      <c r="C9" s="72"/>
      <c r="D9" s="72"/>
      <c r="E9" s="72"/>
      <c r="F9" s="72"/>
      <c r="G9" s="72"/>
      <c r="H9" s="73"/>
      <c r="I9" s="477"/>
      <c r="J9" s="49"/>
      <c r="K9" s="49"/>
      <c r="L9" s="49"/>
    </row>
    <row r="10" spans="1:14">
      <c r="A10" s="53" t="s">
        <v>7</v>
      </c>
      <c r="B10" s="741" t="s">
        <v>45</v>
      </c>
      <c r="C10" s="741"/>
      <c r="D10" s="741"/>
      <c r="E10" s="741"/>
      <c r="F10" s="12"/>
      <c r="G10" s="12"/>
      <c r="H10" s="44"/>
      <c r="I10" s="477"/>
      <c r="J10" s="49"/>
      <c r="K10" s="49"/>
      <c r="L10" s="49"/>
    </row>
    <row r="11" spans="1:14">
      <c r="A11" s="53" t="s">
        <v>6</v>
      </c>
      <c r="B11" s="741" t="s">
        <v>46</v>
      </c>
      <c r="C11" s="741"/>
      <c r="D11" s="741"/>
      <c r="E11" s="741"/>
      <c r="F11" s="741"/>
      <c r="G11" s="741"/>
      <c r="H11" s="741"/>
      <c r="I11" s="477"/>
      <c r="J11" s="49"/>
      <c r="K11" s="49"/>
      <c r="L11" s="49"/>
    </row>
    <row r="12" spans="1:14">
      <c r="A12" s="54" t="s">
        <v>8</v>
      </c>
      <c r="B12" s="741" t="s">
        <v>47</v>
      </c>
      <c r="C12" s="741"/>
      <c r="D12" s="741"/>
      <c r="E12" s="741"/>
      <c r="F12" s="741"/>
      <c r="G12" s="741"/>
      <c r="H12" s="741"/>
      <c r="I12" s="477"/>
      <c r="J12" s="49"/>
      <c r="K12" s="49"/>
      <c r="L12" s="49"/>
    </row>
    <row r="13" spans="1:14">
      <c r="A13" s="55" t="s">
        <v>11</v>
      </c>
      <c r="B13" s="14"/>
      <c r="C13" s="234"/>
      <c r="D13" s="45"/>
      <c r="E13" s="45"/>
      <c r="F13" s="45"/>
      <c r="G13" s="45"/>
      <c r="H13" s="46"/>
      <c r="I13" s="477"/>
      <c r="J13" s="49"/>
      <c r="K13" s="49"/>
      <c r="L13" s="49"/>
    </row>
    <row r="14" spans="1:14">
      <c r="A14" s="56" t="s">
        <v>9</v>
      </c>
      <c r="B14" s="28"/>
      <c r="C14" s="234"/>
      <c r="D14" s="45"/>
      <c r="E14" s="45"/>
      <c r="F14" s="45"/>
      <c r="G14" s="45"/>
      <c r="H14" s="46"/>
      <c r="I14" s="478"/>
      <c r="J14" s="51"/>
      <c r="K14" s="51"/>
      <c r="L14" s="51"/>
    </row>
    <row r="15" spans="1:14" ht="28.5" customHeight="1">
      <c r="A15" s="75" t="s">
        <v>48</v>
      </c>
      <c r="B15" s="746">
        <v>2196538000</v>
      </c>
      <c r="C15" s="746"/>
      <c r="D15" s="746"/>
      <c r="E15" s="47"/>
      <c r="F15" s="47"/>
      <c r="G15" s="47"/>
      <c r="H15" s="48"/>
      <c r="I15" s="16"/>
      <c r="J15" s="16"/>
      <c r="K15" s="17"/>
      <c r="L15" s="18"/>
    </row>
    <row r="16" spans="1:14" ht="38.25">
      <c r="A16" s="57" t="s">
        <v>5</v>
      </c>
      <c r="B16" s="132" t="s">
        <v>0</v>
      </c>
      <c r="C16" s="132"/>
      <c r="D16" s="29" t="s">
        <v>2</v>
      </c>
      <c r="E16" s="29" t="s">
        <v>1</v>
      </c>
      <c r="F16" s="29" t="s">
        <v>13</v>
      </c>
      <c r="G16" s="29" t="s">
        <v>64</v>
      </c>
      <c r="H16" s="29" t="s">
        <v>3</v>
      </c>
      <c r="I16" s="26" t="s">
        <v>353</v>
      </c>
      <c r="J16" s="30" t="s">
        <v>354</v>
      </c>
      <c r="K16" s="30" t="s">
        <v>355</v>
      </c>
      <c r="L16" s="31" t="s">
        <v>356</v>
      </c>
    </row>
    <row r="17" spans="1:16" s="331" customFormat="1" ht="38.25">
      <c r="A17" s="496" t="s">
        <v>505</v>
      </c>
      <c r="B17" s="487">
        <v>1996278000</v>
      </c>
      <c r="C17" s="487">
        <f>+SUMIF(Seguimiento_PAA!$E$32:$E$967,C18,Seguimiento_PAA!$AB$32:$AB$967)</f>
        <v>0</v>
      </c>
      <c r="D17" s="497"/>
      <c r="E17" s="497"/>
      <c r="F17" s="497"/>
      <c r="G17" s="497"/>
      <c r="H17" s="497"/>
      <c r="I17" s="479"/>
      <c r="J17" s="489"/>
      <c r="K17" s="490"/>
      <c r="L17" s="491"/>
    </row>
    <row r="18" spans="1:16" s="4" customFormat="1" ht="95.25" customHeight="1">
      <c r="A18" s="496" t="s">
        <v>508</v>
      </c>
      <c r="B18" s="487">
        <f>+C18</f>
        <v>0</v>
      </c>
      <c r="C18" s="487">
        <f>+SUMIF(Seguimiento_PAA!$E$32:$E$967,C19,Seguimiento_PAA!$AB$32:$AB$967)</f>
        <v>0</v>
      </c>
      <c r="D18" s="497" t="s">
        <v>332</v>
      </c>
      <c r="E18" s="497" t="s">
        <v>201</v>
      </c>
      <c r="F18" s="497" t="s">
        <v>111</v>
      </c>
      <c r="G18" s="497" t="s">
        <v>113</v>
      </c>
      <c r="H18" s="497" t="s">
        <v>112</v>
      </c>
      <c r="I18" s="479"/>
      <c r="J18" s="489"/>
      <c r="K18" s="490"/>
      <c r="L18" s="491"/>
    </row>
    <row r="19" spans="1:16" s="4" customFormat="1" ht="95.25" customHeight="1">
      <c r="A19" s="497" t="s">
        <v>126</v>
      </c>
      <c r="B19" s="487">
        <f>+J19</f>
        <v>0</v>
      </c>
      <c r="C19" s="492" t="str">
        <f>+CONCATENATE(A19,"-",D19,"-",E19)</f>
        <v>Plan especial de manejo y protección del centro histórico-01-Recursos del Distrito 12-Otros Distrito-0185-Actividades de investigación para la valoración, protección, conservación, sostenibilidad y apropiación del Patrimonio Cultural</v>
      </c>
      <c r="D19" s="497" t="s">
        <v>332</v>
      </c>
      <c r="E19" s="497" t="s">
        <v>201</v>
      </c>
      <c r="F19" s="497" t="s">
        <v>111</v>
      </c>
      <c r="G19" s="497" t="s">
        <v>113</v>
      </c>
      <c r="H19" s="497" t="s">
        <v>112</v>
      </c>
      <c r="I19" s="479">
        <f>COUNTIF(Seguimiento_PAA!$E$32:$E$967,C19)</f>
        <v>0</v>
      </c>
      <c r="J19" s="451">
        <f>+SUMIF(Seguimiento_PAA!$E$32:$E$967,C19,Seguimiento_PAA!$BF$32:$BF$967)</f>
        <v>0</v>
      </c>
      <c r="K19" s="451">
        <f>+SUMIF(Seguimiento_PAA!$E$32:$E$967,C19,Seguimiento_PAA!$BJ$32:$BJ$967)</f>
        <v>0</v>
      </c>
      <c r="L19" s="451">
        <f>+SUMIF(Seguimiento_PAA!$E$32:$E$967,C19,Seguimiento_PAA!$CB$32:$CB$967)</f>
        <v>0</v>
      </c>
      <c r="P19" s="555"/>
    </row>
    <row r="20" spans="1:16" s="4" customFormat="1">
      <c r="A20" s="147" t="s">
        <v>97</v>
      </c>
      <c r="B20" s="151">
        <f>B18-SUM(B19:B19)</f>
        <v>0</v>
      </c>
      <c r="C20" s="213"/>
      <c r="D20" s="201"/>
      <c r="E20" s="201"/>
      <c r="F20" s="201"/>
      <c r="G20" s="201"/>
      <c r="H20" s="202"/>
      <c r="I20" s="544"/>
      <c r="J20" s="148"/>
      <c r="K20" s="149"/>
      <c r="L20" s="150"/>
    </row>
    <row r="21" spans="1:16" s="331" customFormat="1" ht="91.5" customHeight="1">
      <c r="A21" s="493" t="s">
        <v>506</v>
      </c>
      <c r="B21" s="487">
        <v>101440000</v>
      </c>
      <c r="C21" s="487">
        <f>+SUMIF(Seguimiento_PAA!$E$32:$E$967,C22,Seguimiento_PAA!$AB$32:$AB$967)</f>
        <v>0</v>
      </c>
      <c r="D21" s="494" t="s">
        <v>332</v>
      </c>
      <c r="E21" s="494" t="s">
        <v>201</v>
      </c>
      <c r="F21" s="494" t="s">
        <v>111</v>
      </c>
      <c r="G21" s="494" t="s">
        <v>114</v>
      </c>
      <c r="H21" s="494" t="s">
        <v>112</v>
      </c>
      <c r="I21" s="479"/>
      <c r="J21" s="489"/>
      <c r="K21" s="490"/>
      <c r="L21" s="491"/>
    </row>
    <row r="22" spans="1:16" s="4" customFormat="1" ht="140.25">
      <c r="A22" s="493" t="s">
        <v>507</v>
      </c>
      <c r="B22" s="487">
        <f>+C22</f>
        <v>0</v>
      </c>
      <c r="C22" s="487">
        <f>+SUMIF(Seguimiento_PAA!$E$32:$E$967,C23,Seguimiento_PAA!$AB$32:$AB$967)</f>
        <v>0</v>
      </c>
      <c r="D22" s="494" t="s">
        <v>332</v>
      </c>
      <c r="E22" s="494" t="s">
        <v>201</v>
      </c>
      <c r="F22" s="494" t="s">
        <v>111</v>
      </c>
      <c r="G22" s="494" t="s">
        <v>114</v>
      </c>
      <c r="H22" s="494" t="s">
        <v>112</v>
      </c>
      <c r="I22" s="479"/>
      <c r="J22" s="489"/>
      <c r="K22" s="490"/>
      <c r="L22" s="491"/>
    </row>
    <row r="23" spans="1:16" s="4" customFormat="1" ht="140.25">
      <c r="A23" s="495" t="s">
        <v>127</v>
      </c>
      <c r="B23" s="451">
        <f>+J23</f>
        <v>0</v>
      </c>
      <c r="C23" s="492" t="str">
        <f>+CONCATENATE(A23,"-",D23,"-",E23)</f>
        <v>Planes y proyectos urbanos en ámbitos patrimoniales-01-Recursos del Distrito 12-Otros Distrito-0185-Actividades de investigación para la valoración, protección, conservación, sostenibilidad y apropiación del Patrimonio Cultural</v>
      </c>
      <c r="D23" s="494" t="s">
        <v>332</v>
      </c>
      <c r="E23" s="494" t="s">
        <v>201</v>
      </c>
      <c r="F23" s="494" t="s">
        <v>111</v>
      </c>
      <c r="G23" s="494" t="s">
        <v>114</v>
      </c>
      <c r="H23" s="494" t="s">
        <v>112</v>
      </c>
      <c r="I23" s="479">
        <f>COUNTIF(Seguimiento_PAA!$E$32:$E$967,C23)</f>
        <v>0</v>
      </c>
      <c r="J23" s="451">
        <f>+SUMIF(Seguimiento_PAA!$E$32:$E$967,C23,Seguimiento_PAA!$BF$32:$BF$967)</f>
        <v>0</v>
      </c>
      <c r="K23" s="451">
        <f>+SUMIF(Seguimiento_PAA!$E$32:$E$967,C23,Seguimiento_PAA!$BJ$32:$BJ$967)</f>
        <v>0</v>
      </c>
      <c r="L23" s="451">
        <f>+SUMIF(Seguimiento_PAA!$E$32:$E$967,C23,Seguimiento_PAA!$CB$32:$CB$967)</f>
        <v>0</v>
      </c>
    </row>
    <row r="24" spans="1:16" s="4" customFormat="1">
      <c r="A24" s="101" t="s">
        <v>97</v>
      </c>
      <c r="B24" s="133">
        <f>B22-SUM(B23:B23)</f>
        <v>0</v>
      </c>
      <c r="C24" s="215"/>
      <c r="D24" s="195"/>
      <c r="E24" s="195"/>
      <c r="F24" s="195"/>
      <c r="G24" s="195"/>
      <c r="H24" s="203"/>
      <c r="I24" s="480"/>
      <c r="J24" s="105"/>
      <c r="K24" s="107"/>
      <c r="L24" s="108"/>
    </row>
    <row r="25" spans="1:16" s="331" customFormat="1" ht="64.5" customHeight="1">
      <c r="A25" s="486" t="s">
        <v>509</v>
      </c>
      <c r="B25" s="487">
        <v>98820000</v>
      </c>
      <c r="C25" s="487">
        <f>+SUMIF(Seguimiento_PAA!$E$32:$E$967,C26,Seguimiento_PAA!$AB$32:$AB$967)</f>
        <v>0</v>
      </c>
      <c r="D25" s="488" t="s">
        <v>332</v>
      </c>
      <c r="E25" s="488" t="s">
        <v>201</v>
      </c>
      <c r="F25" s="488" t="s">
        <v>111</v>
      </c>
      <c r="G25" s="488" t="s">
        <v>115</v>
      </c>
      <c r="H25" s="488" t="s">
        <v>112</v>
      </c>
      <c r="I25" s="479"/>
      <c r="J25" s="489"/>
      <c r="K25" s="490"/>
      <c r="L25" s="491"/>
    </row>
    <row r="26" spans="1:16" s="4" customFormat="1" ht="79.5" customHeight="1">
      <c r="A26" s="486" t="s">
        <v>510</v>
      </c>
      <c r="B26" s="487">
        <f>+C26</f>
        <v>0</v>
      </c>
      <c r="C26" s="487">
        <f>+SUMIF(Seguimiento_PAA!$E$32:$E$967,C27,Seguimiento_PAA!$AB$32:$AB$967)</f>
        <v>0</v>
      </c>
      <c r="D26" s="488" t="s">
        <v>332</v>
      </c>
      <c r="E26" s="488" t="s">
        <v>201</v>
      </c>
      <c r="F26" s="488" t="s">
        <v>111</v>
      </c>
      <c r="G26" s="488" t="s">
        <v>115</v>
      </c>
      <c r="H26" s="488" t="s">
        <v>112</v>
      </c>
      <c r="I26" s="479"/>
      <c r="J26" s="489"/>
      <c r="K26" s="490"/>
      <c r="L26" s="491"/>
    </row>
    <row r="27" spans="1:16" s="4" customFormat="1" ht="75" customHeight="1">
      <c r="A27" s="488" t="s">
        <v>413</v>
      </c>
      <c r="B27" s="451">
        <f>+J27</f>
        <v>0</v>
      </c>
      <c r="C27" s="492" t="str">
        <f>+CONCATENATE(A27,"-",D27,"-",E27)</f>
        <v>Instrumentos de gestión, financiación e incentivos-01-Recursos del Distrito 12-Otros Distrito-0185-Actividades de investigación para la valoración, protección, conservación, sostenibilidad y apropiación del Patrimonio Cultural</v>
      </c>
      <c r="D27" s="488" t="s">
        <v>332</v>
      </c>
      <c r="E27" s="488" t="s">
        <v>201</v>
      </c>
      <c r="F27" s="488" t="s">
        <v>111</v>
      </c>
      <c r="G27" s="488" t="s">
        <v>115</v>
      </c>
      <c r="H27" s="488" t="s">
        <v>112</v>
      </c>
      <c r="I27" s="479">
        <f>COUNTIF(Seguimiento_PAA!$E$32:$E$967,C27)</f>
        <v>0</v>
      </c>
      <c r="J27" s="451">
        <f>+SUMIF(Seguimiento_PAA!$E$32:$E$967,C27,Seguimiento_PAA!$BF$32:$BF$967)</f>
        <v>0</v>
      </c>
      <c r="K27" s="451">
        <f>+SUMIF(Seguimiento_PAA!$E$32:$E$967,C27,Seguimiento_PAA!$BJ$32:$BJ$967)</f>
        <v>0</v>
      </c>
      <c r="L27" s="451">
        <f>+SUMIF(Seguimiento_PAA!$E$32:$E$967,C27,Seguimiento_PAA!$CB$32:$CB$967)</f>
        <v>0</v>
      </c>
    </row>
    <row r="28" spans="1:16">
      <c r="A28" s="147" t="s">
        <v>97</v>
      </c>
      <c r="B28" s="151">
        <f>B26-SUM(B27:B27)</f>
        <v>0</v>
      </c>
      <c r="C28" s="213"/>
      <c r="D28" s="208"/>
      <c r="E28" s="208"/>
      <c r="F28" s="208"/>
      <c r="G28" s="208"/>
      <c r="H28" s="209"/>
      <c r="I28" s="544"/>
      <c r="J28" s="148"/>
      <c r="K28" s="149"/>
      <c r="L28" s="150"/>
    </row>
    <row r="29" spans="1:16">
      <c r="A29" s="59" t="s">
        <v>14</v>
      </c>
      <c r="B29" s="484">
        <f>+B26+B22+B18</f>
        <v>0</v>
      </c>
      <c r="C29" s="32"/>
      <c r="D29" s="32"/>
      <c r="E29" s="33"/>
      <c r="F29" s="32"/>
      <c r="G29" s="32"/>
      <c r="H29" s="34"/>
      <c r="I29" s="33"/>
      <c r="J29" s="32"/>
      <c r="K29" s="35"/>
      <c r="L29" s="36"/>
    </row>
    <row r="30" spans="1:16" hidden="1">
      <c r="A30" s="60"/>
      <c r="B30" s="485"/>
      <c r="C30" s="7"/>
      <c r="D30" s="7"/>
      <c r="E30" s="7"/>
      <c r="F30" s="7"/>
      <c r="G30" s="7"/>
      <c r="H30" s="7"/>
      <c r="I30" s="7"/>
      <c r="J30" s="7"/>
      <c r="K30" s="6"/>
      <c r="L30" s="6"/>
    </row>
    <row r="31" spans="1:16" hidden="1">
      <c r="A31" s="60"/>
      <c r="B31" s="485"/>
      <c r="C31" s="7"/>
      <c r="D31" s="7"/>
      <c r="E31" s="7"/>
      <c r="F31" s="7"/>
      <c r="G31" s="7"/>
      <c r="H31" s="7"/>
      <c r="I31" s="7"/>
      <c r="J31" s="7"/>
      <c r="K31" s="6"/>
      <c r="L31" s="6"/>
    </row>
    <row r="32" spans="1:16">
      <c r="A32" s="60" t="s">
        <v>503</v>
      </c>
      <c r="B32" s="485">
        <f>+B25+B21+B17</f>
        <v>2196538000</v>
      </c>
      <c r="C32" s="7"/>
      <c r="D32" s="7"/>
      <c r="E32" s="7"/>
      <c r="F32" s="7"/>
      <c r="G32" s="7"/>
      <c r="H32" s="7"/>
      <c r="I32" s="7"/>
      <c r="J32" s="7"/>
      <c r="K32" s="6"/>
      <c r="L32" s="6"/>
    </row>
    <row r="33" spans="1:12">
      <c r="A33" s="60"/>
      <c r="B33" s="7"/>
      <c r="C33" s="7"/>
      <c r="D33" s="7"/>
      <c r="E33" s="7"/>
      <c r="F33" s="7"/>
      <c r="G33" s="7"/>
      <c r="H33" s="7"/>
      <c r="I33" s="7"/>
      <c r="J33" s="7"/>
      <c r="K33" s="6"/>
      <c r="L33" s="6"/>
    </row>
    <row r="34" spans="1:12" ht="31.5" customHeight="1">
      <c r="A34" s="61" t="s">
        <v>10</v>
      </c>
      <c r="B34" s="15" t="s">
        <v>0</v>
      </c>
      <c r="C34" s="7"/>
      <c r="D34" s="7"/>
      <c r="E34" s="7"/>
      <c r="F34" s="7"/>
      <c r="G34" s="7"/>
      <c r="H34" s="7"/>
      <c r="I34" s="26" t="s">
        <v>353</v>
      </c>
      <c r="J34" s="30" t="s">
        <v>354</v>
      </c>
      <c r="K34" s="30" t="s">
        <v>355</v>
      </c>
      <c r="L34" s="31" t="s">
        <v>356</v>
      </c>
    </row>
    <row r="35" spans="1:12" ht="58.5" customHeight="1">
      <c r="A35" s="62" t="s">
        <v>12</v>
      </c>
      <c r="B35" s="27">
        <f>+B29</f>
        <v>0</v>
      </c>
      <c r="C35" s="220"/>
      <c r="D35" s="7"/>
      <c r="E35" s="7"/>
      <c r="F35" s="7"/>
      <c r="G35" s="7"/>
      <c r="H35" s="13" t="s">
        <v>12</v>
      </c>
      <c r="I35" s="27">
        <f>+SUM(I27,I23,I19)</f>
        <v>0</v>
      </c>
      <c r="J35" s="27">
        <f>+SUM(J27,J23,J19)</f>
        <v>0</v>
      </c>
      <c r="K35" s="27">
        <f>+SUM(K27,K23,K19)</f>
        <v>0</v>
      </c>
      <c r="L35" s="27">
        <f>+SUM(L27,L23,L19)</f>
        <v>0</v>
      </c>
    </row>
    <row r="36" spans="1:12">
      <c r="A36" s="60"/>
      <c r="B36" s="7"/>
      <c r="C36" s="7"/>
      <c r="D36" s="7"/>
      <c r="E36" s="7"/>
      <c r="F36" s="7"/>
      <c r="G36" s="7"/>
      <c r="H36" s="11"/>
      <c r="I36" s="7"/>
      <c r="J36" s="7"/>
      <c r="K36" s="6"/>
      <c r="L36" s="6"/>
    </row>
    <row r="37" spans="1:12">
      <c r="A37" s="63"/>
      <c r="B37" s="5"/>
      <c r="C37" s="5"/>
      <c r="D37" s="5"/>
      <c r="E37" s="5"/>
      <c r="F37" s="5"/>
      <c r="G37" s="5"/>
      <c r="H37" s="5"/>
      <c r="I37" s="546"/>
      <c r="J37" s="5"/>
      <c r="K37" s="5"/>
      <c r="L37" s="5"/>
    </row>
    <row r="38" spans="1:12">
      <c r="A38" s="63"/>
      <c r="B38" s="5"/>
      <c r="C38" s="5"/>
      <c r="D38" s="5"/>
      <c r="E38" s="5"/>
      <c r="F38" s="5"/>
      <c r="G38" s="5"/>
      <c r="H38" s="5"/>
      <c r="I38" s="546"/>
      <c r="J38" s="5"/>
      <c r="K38" s="5"/>
      <c r="L38" s="5"/>
    </row>
    <row r="39" spans="1:12" ht="14.25" customHeight="1" thickBot="1">
      <c r="A39" s="64"/>
      <c r="B39" s="65"/>
      <c r="C39" s="65"/>
      <c r="D39" s="66"/>
      <c r="E39" s="67"/>
      <c r="F39" s="68"/>
      <c r="G39" s="69"/>
      <c r="H39" s="69"/>
      <c r="I39" s="547"/>
      <c r="J39" s="65"/>
      <c r="K39" s="65"/>
      <c r="L39" s="65"/>
    </row>
    <row r="40" spans="1:12">
      <c r="A40" s="74" t="s">
        <v>15</v>
      </c>
      <c r="G40" s="19"/>
    </row>
    <row r="44" spans="1:12">
      <c r="A44" s="20"/>
      <c r="B44" s="9"/>
      <c r="C44" s="9"/>
      <c r="D44" s="23"/>
      <c r="E44" s="24"/>
    </row>
    <row r="45" spans="1:12">
      <c r="A45" s="1"/>
      <c r="B45" s="3"/>
      <c r="C45" s="3"/>
      <c r="D45" s="22"/>
      <c r="E45" s="21"/>
    </row>
    <row r="46" spans="1:12">
      <c r="A46" s="1"/>
      <c r="B46" s="3"/>
      <c r="C46" s="3"/>
      <c r="D46" s="22"/>
      <c r="E46" s="21"/>
    </row>
    <row r="47" spans="1:12">
      <c r="A47" s="1"/>
      <c r="B47" s="3"/>
      <c r="C47" s="3"/>
      <c r="D47" s="22"/>
      <c r="E47" s="21"/>
    </row>
    <row r="55" spans="1:7">
      <c r="A55" s="20"/>
      <c r="B55" s="9"/>
      <c r="C55" s="9"/>
    </row>
    <row r="56" spans="1:7">
      <c r="A56" s="1"/>
      <c r="B56" s="3"/>
      <c r="C56" s="3"/>
      <c r="G56" s="8"/>
    </row>
    <row r="57" spans="1:7">
      <c r="A57" s="1"/>
      <c r="B57" s="3"/>
      <c r="C57" s="3"/>
      <c r="G57" s="8"/>
    </row>
    <row r="58" spans="1:7">
      <c r="A58" s="1"/>
      <c r="B58" s="3"/>
      <c r="C58" s="3"/>
      <c r="G58" s="8"/>
    </row>
    <row r="59" spans="1:7">
      <c r="A59" s="1"/>
      <c r="B59" s="3"/>
      <c r="C59" s="3"/>
      <c r="G59" s="8"/>
    </row>
    <row r="66" spans="1:3">
      <c r="A66" s="1"/>
      <c r="B66" s="3"/>
      <c r="C66" s="3"/>
    </row>
    <row r="67" spans="1:3">
      <c r="A67" s="1"/>
      <c r="B67" s="3"/>
      <c r="C67" s="3"/>
    </row>
    <row r="68" spans="1:3">
      <c r="A68" s="1"/>
      <c r="B68" s="3"/>
      <c r="C68" s="3"/>
    </row>
    <row r="69" spans="1:3">
      <c r="A69" s="1"/>
      <c r="B69" s="3"/>
      <c r="C69" s="3"/>
    </row>
    <row r="70" spans="1:3">
      <c r="A70" s="1"/>
      <c r="B70" s="3"/>
      <c r="C70" s="3"/>
    </row>
    <row r="71" spans="1:3">
      <c r="A71" s="1"/>
      <c r="B71" s="3"/>
      <c r="C71" s="3"/>
    </row>
    <row r="72" spans="1:3">
      <c r="A72" s="1"/>
      <c r="B72" s="3"/>
      <c r="C72" s="3"/>
    </row>
    <row r="73" spans="1:3">
      <c r="A73" s="1"/>
      <c r="B73" s="3"/>
      <c r="C73" s="3"/>
    </row>
    <row r="74" spans="1:3">
      <c r="A74" s="1"/>
      <c r="B74" s="3"/>
      <c r="C74" s="3"/>
    </row>
    <row r="75" spans="1:3">
      <c r="A75" s="1"/>
      <c r="B75" s="3"/>
      <c r="C75" s="3"/>
    </row>
    <row r="76" spans="1:3">
      <c r="A76" s="1"/>
      <c r="B76" s="3"/>
      <c r="C76" s="3"/>
    </row>
    <row r="77" spans="1:3">
      <c r="A77" s="1"/>
      <c r="B77" s="3"/>
      <c r="C77" s="3"/>
    </row>
    <row r="78" spans="1:3">
      <c r="A78" s="1"/>
      <c r="B78" s="3"/>
      <c r="C78" s="3"/>
    </row>
    <row r="79" spans="1:3">
      <c r="A79" s="1"/>
      <c r="B79" s="3"/>
      <c r="C79" s="3"/>
    </row>
    <row r="80" spans="1:3">
      <c r="A80" s="1"/>
      <c r="B80" s="3"/>
      <c r="C80" s="3"/>
    </row>
    <row r="81" spans="1:3">
      <c r="A81" s="1"/>
      <c r="B81" s="3"/>
      <c r="C81" s="3"/>
    </row>
    <row r="82" spans="1:3">
      <c r="A82" s="1"/>
      <c r="B82" s="3"/>
      <c r="C82" s="3"/>
    </row>
    <row r="83" spans="1:3">
      <c r="A83" s="1"/>
      <c r="B83" s="3"/>
      <c r="C83" s="3"/>
    </row>
    <row r="84" spans="1:3">
      <c r="A84" s="1"/>
      <c r="B84" s="3"/>
      <c r="C84" s="3"/>
    </row>
  </sheetData>
  <mergeCells count="17">
    <mergeCell ref="A1:A2"/>
    <mergeCell ref="K1:L1"/>
    <mergeCell ref="K2:L2"/>
    <mergeCell ref="A3:H3"/>
    <mergeCell ref="B10:E10"/>
    <mergeCell ref="C1:H1"/>
    <mergeCell ref="I1:J1"/>
    <mergeCell ref="C2:H2"/>
    <mergeCell ref="I2:J2"/>
    <mergeCell ref="B11:H11"/>
    <mergeCell ref="B12:H12"/>
    <mergeCell ref="B15:D15"/>
    <mergeCell ref="A4:H4"/>
    <mergeCell ref="A5:H5"/>
    <mergeCell ref="A6:H6"/>
    <mergeCell ref="A7:H7"/>
    <mergeCell ref="A8:H8"/>
  </mergeCells>
  <printOptions horizontalCentered="1" verticalCentered="1"/>
  <pageMargins left="1.0236220472440944" right="0.39370078740157483" top="0" bottom="0" header="0" footer="0"/>
  <pageSetup scale="44"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pageSetUpPr fitToPage="1"/>
  </sheetPr>
  <dimension ref="A1:X152"/>
  <sheetViews>
    <sheetView view="pageBreakPreview" zoomScale="85" zoomScaleNormal="80" zoomScaleSheetLayoutView="85" workbookViewId="0">
      <selection activeCell="B23" sqref="B23"/>
    </sheetView>
  </sheetViews>
  <sheetFormatPr baseColWidth="10" defaultRowHeight="12.75"/>
  <cols>
    <col min="1" max="1" width="31" customWidth="1"/>
    <col min="2" max="2" width="23" customWidth="1"/>
    <col min="3" max="3" width="20.5703125" hidden="1" customWidth="1"/>
    <col min="4" max="4" width="15.42578125" customWidth="1"/>
    <col min="5" max="5" width="16.5703125" customWidth="1"/>
    <col min="6" max="6" width="19.7109375" customWidth="1"/>
    <col min="7" max="7" width="21.5703125" customWidth="1"/>
    <col min="8" max="8" width="12.7109375" customWidth="1"/>
    <col min="9" max="9" width="13.42578125" style="279" customWidth="1"/>
    <col min="10" max="11" width="16.7109375" bestFit="1" customWidth="1"/>
    <col min="12" max="12" width="16.42578125" bestFit="1" customWidth="1"/>
  </cols>
  <sheetData>
    <row r="1" spans="1:24" s="399" customFormat="1" ht="42" customHeight="1">
      <c r="A1" s="739"/>
      <c r="B1" s="307" t="s">
        <v>473</v>
      </c>
      <c r="C1" s="743" t="s">
        <v>474</v>
      </c>
      <c r="D1" s="743"/>
      <c r="E1" s="743"/>
      <c r="F1" s="743"/>
      <c r="G1" s="743"/>
      <c r="H1" s="743"/>
      <c r="I1" s="737" t="s">
        <v>475</v>
      </c>
      <c r="J1" s="737"/>
      <c r="K1" s="736" t="s">
        <v>476</v>
      </c>
      <c r="L1" s="736"/>
      <c r="N1" s="19"/>
    </row>
    <row r="2" spans="1:24" s="399" customFormat="1" ht="42" customHeight="1">
      <c r="A2" s="739"/>
      <c r="B2" s="307" t="s">
        <v>477</v>
      </c>
      <c r="C2" s="743" t="s">
        <v>478</v>
      </c>
      <c r="D2" s="743"/>
      <c r="E2" s="743"/>
      <c r="F2" s="743"/>
      <c r="G2" s="743"/>
      <c r="H2" s="743"/>
      <c r="I2" s="737" t="s">
        <v>479</v>
      </c>
      <c r="J2" s="737"/>
      <c r="K2" s="736">
        <v>1</v>
      </c>
      <c r="L2" s="736"/>
      <c r="N2" s="19"/>
    </row>
    <row r="3" spans="1:24" s="4" customFormat="1" ht="14.25">
      <c r="A3" s="741" t="s">
        <v>22</v>
      </c>
      <c r="B3" s="741"/>
      <c r="C3" s="741"/>
      <c r="D3" s="741"/>
      <c r="E3" s="741"/>
      <c r="F3" s="741"/>
      <c r="G3" s="741"/>
      <c r="H3" s="741"/>
      <c r="I3" s="475"/>
      <c r="J3" s="79"/>
      <c r="K3" s="80"/>
      <c r="L3" s="79"/>
      <c r="N3" s="81"/>
      <c r="O3" s="82"/>
      <c r="P3" s="82"/>
      <c r="Q3" s="83"/>
      <c r="R3" s="82"/>
      <c r="S3" s="82"/>
      <c r="T3" s="84"/>
      <c r="U3" s="84"/>
      <c r="V3" s="82"/>
      <c r="W3" s="85"/>
      <c r="X3" s="86"/>
    </row>
    <row r="4" spans="1:24" s="89" customFormat="1" ht="15">
      <c r="A4" s="741" t="s">
        <v>89</v>
      </c>
      <c r="B4" s="741"/>
      <c r="C4" s="741"/>
      <c r="D4" s="741"/>
      <c r="E4" s="741"/>
      <c r="F4" s="741"/>
      <c r="G4" s="741"/>
      <c r="H4" s="741"/>
      <c r="I4" s="476"/>
      <c r="J4" s="87"/>
      <c r="K4" s="88"/>
      <c r="L4" s="87"/>
      <c r="N4" s="90"/>
      <c r="O4" s="91"/>
      <c r="P4" s="91"/>
      <c r="Q4" s="92"/>
      <c r="R4" s="91"/>
      <c r="S4" s="91"/>
      <c r="T4" s="93"/>
      <c r="U4" s="93"/>
      <c r="V4" s="91"/>
      <c r="W4" s="94"/>
      <c r="X4" s="95"/>
    </row>
    <row r="5" spans="1:24" s="89" customFormat="1" ht="15">
      <c r="A5" s="741" t="s">
        <v>41</v>
      </c>
      <c r="B5" s="741"/>
      <c r="C5" s="741"/>
      <c r="D5" s="741"/>
      <c r="E5" s="741"/>
      <c r="F5" s="741"/>
      <c r="G5" s="741"/>
      <c r="H5" s="741"/>
      <c r="I5" s="476"/>
      <c r="J5" s="87"/>
      <c r="K5" s="88"/>
      <c r="L5" s="87"/>
      <c r="N5" s="90"/>
      <c r="O5" s="91"/>
      <c r="P5" s="91"/>
      <c r="Q5" s="92"/>
      <c r="R5" s="91"/>
      <c r="S5" s="91"/>
      <c r="T5" s="93"/>
      <c r="U5" s="93"/>
      <c r="V5" s="91"/>
      <c r="W5" s="94"/>
      <c r="X5" s="95"/>
    </row>
    <row r="6" spans="1:24" s="89" customFormat="1" ht="15">
      <c r="A6" s="741" t="s">
        <v>42</v>
      </c>
      <c r="B6" s="741"/>
      <c r="C6" s="741"/>
      <c r="D6" s="741"/>
      <c r="E6" s="741"/>
      <c r="F6" s="741"/>
      <c r="G6" s="741"/>
      <c r="H6" s="741"/>
      <c r="I6" s="476"/>
      <c r="J6" s="87"/>
      <c r="K6" s="88"/>
      <c r="L6" s="87"/>
      <c r="N6" s="90"/>
      <c r="O6" s="91"/>
      <c r="P6" s="91"/>
      <c r="Q6" s="92"/>
      <c r="R6" s="91"/>
      <c r="S6" s="91"/>
      <c r="T6" s="93"/>
      <c r="U6" s="93"/>
      <c r="V6" s="91"/>
      <c r="W6" s="94"/>
      <c r="X6" s="95"/>
    </row>
    <row r="7" spans="1:24" s="89" customFormat="1" ht="15">
      <c r="A7" s="741" t="s">
        <v>43</v>
      </c>
      <c r="B7" s="741"/>
      <c r="C7" s="741"/>
      <c r="D7" s="741"/>
      <c r="E7" s="741"/>
      <c r="F7" s="741"/>
      <c r="G7" s="741"/>
      <c r="H7" s="741"/>
      <c r="I7" s="476"/>
      <c r="J7" s="87"/>
      <c r="K7" s="88"/>
      <c r="L7" s="87"/>
      <c r="N7" s="90"/>
      <c r="O7" s="91"/>
      <c r="P7" s="91"/>
      <c r="Q7" s="92"/>
      <c r="R7" s="91"/>
      <c r="S7" s="91"/>
      <c r="T7" s="93"/>
      <c r="U7" s="93"/>
      <c r="V7" s="91"/>
      <c r="W7" s="94"/>
      <c r="X7" s="95"/>
    </row>
    <row r="8" spans="1:24" s="89" customFormat="1" ht="15">
      <c r="A8" s="741" t="s">
        <v>465</v>
      </c>
      <c r="B8" s="741"/>
      <c r="C8" s="741"/>
      <c r="D8" s="741"/>
      <c r="E8" s="741"/>
      <c r="F8" s="741"/>
      <c r="G8" s="741"/>
      <c r="H8" s="741"/>
      <c r="I8" s="476"/>
      <c r="J8" s="87"/>
      <c r="K8" s="88"/>
      <c r="L8" s="87"/>
      <c r="N8" s="90"/>
      <c r="O8" s="91"/>
      <c r="P8" s="91"/>
      <c r="Q8" s="92"/>
      <c r="R8" s="91"/>
      <c r="S8" s="91"/>
      <c r="T8" s="93"/>
      <c r="U8" s="93"/>
      <c r="V8" s="91"/>
      <c r="W8" s="94"/>
      <c r="X8" s="95"/>
    </row>
    <row r="9" spans="1:24" ht="14.25">
      <c r="A9" s="53" t="s">
        <v>7</v>
      </c>
      <c r="B9" s="741" t="s">
        <v>49</v>
      </c>
      <c r="C9" s="741"/>
      <c r="D9" s="741"/>
      <c r="E9" s="741"/>
      <c r="F9" s="12"/>
      <c r="G9" s="12"/>
      <c r="H9" s="44"/>
      <c r="I9" s="477"/>
      <c r="J9" s="49"/>
      <c r="K9" s="88"/>
      <c r="L9" s="87"/>
    </row>
    <row r="10" spans="1:24">
      <c r="A10" s="53" t="s">
        <v>6</v>
      </c>
      <c r="B10" s="741" t="s">
        <v>50</v>
      </c>
      <c r="C10" s="741"/>
      <c r="D10" s="741"/>
      <c r="E10" s="741"/>
      <c r="F10" s="741"/>
      <c r="G10" s="741"/>
      <c r="H10" s="741"/>
      <c r="I10" s="477"/>
      <c r="J10" s="49"/>
      <c r="K10" s="49"/>
      <c r="L10" s="49"/>
    </row>
    <row r="11" spans="1:24">
      <c r="A11" s="54" t="s">
        <v>8</v>
      </c>
      <c r="B11" s="741" t="s">
        <v>51</v>
      </c>
      <c r="C11" s="741"/>
      <c r="D11" s="741"/>
      <c r="E11" s="741"/>
      <c r="F11" s="741"/>
      <c r="G11" s="741"/>
      <c r="H11" s="741"/>
      <c r="I11" s="477"/>
      <c r="J11" s="49"/>
      <c r="K11" s="49"/>
      <c r="L11" s="49"/>
    </row>
    <row r="12" spans="1:24">
      <c r="A12" s="55" t="s">
        <v>11</v>
      </c>
      <c r="B12" s="14"/>
      <c r="C12" s="234"/>
      <c r="D12" s="45"/>
      <c r="E12" s="45"/>
      <c r="F12" s="45"/>
      <c r="G12" s="45"/>
      <c r="H12" s="46"/>
      <c r="I12" s="477"/>
      <c r="J12" s="49"/>
      <c r="K12" s="49"/>
      <c r="L12" s="49"/>
    </row>
    <row r="13" spans="1:24">
      <c r="A13" s="56" t="s">
        <v>9</v>
      </c>
      <c r="B13" s="28"/>
      <c r="C13" s="234"/>
      <c r="D13" s="45"/>
      <c r="E13" s="45"/>
      <c r="F13" s="45"/>
      <c r="G13" s="45"/>
      <c r="H13" s="46"/>
      <c r="I13" s="478"/>
      <c r="J13" s="51"/>
      <c r="K13" s="51"/>
      <c r="L13" s="51"/>
    </row>
    <row r="14" spans="1:24">
      <c r="A14" s="75" t="s">
        <v>52</v>
      </c>
      <c r="B14" s="745">
        <v>19058000000</v>
      </c>
      <c r="C14" s="745"/>
      <c r="D14" s="745"/>
      <c r="E14" s="47"/>
      <c r="F14" s="47"/>
      <c r="G14" s="47"/>
      <c r="H14" s="48"/>
      <c r="I14" s="16"/>
      <c r="J14" s="16"/>
      <c r="K14" s="17"/>
      <c r="L14" s="18"/>
    </row>
    <row r="15" spans="1:24" ht="38.25">
      <c r="A15" s="57" t="s">
        <v>5</v>
      </c>
      <c r="B15" s="132" t="s">
        <v>0</v>
      </c>
      <c r="C15" s="236"/>
      <c r="D15" s="29" t="s">
        <v>2</v>
      </c>
      <c r="E15" s="29" t="s">
        <v>1</v>
      </c>
      <c r="F15" s="29" t="s">
        <v>13</v>
      </c>
      <c r="G15" s="29" t="s">
        <v>64</v>
      </c>
      <c r="H15" s="29" t="s">
        <v>3</v>
      </c>
      <c r="I15" s="26" t="s">
        <v>353</v>
      </c>
      <c r="J15" s="30" t="s">
        <v>354</v>
      </c>
      <c r="K15" s="30" t="s">
        <v>355</v>
      </c>
      <c r="L15" s="31" t="s">
        <v>356</v>
      </c>
    </row>
    <row r="16" spans="1:24" s="4" customFormat="1" ht="25.5">
      <c r="A16" s="114" t="s">
        <v>62</v>
      </c>
      <c r="B16" s="119">
        <f>+B18+B21+B24+B27+B30+B33+B36+B39+B42+B45+B48+B51+B54</f>
        <v>0</v>
      </c>
      <c r="C16" s="237"/>
      <c r="D16" s="116"/>
      <c r="E16" s="116"/>
      <c r="F16" s="116"/>
      <c r="G16" s="116"/>
      <c r="H16" s="118"/>
      <c r="I16" s="117"/>
      <c r="J16" s="116"/>
      <c r="K16" s="116"/>
      <c r="L16" s="116"/>
    </row>
    <row r="17" spans="1:12" s="381" customFormat="1" ht="51">
      <c r="A17" s="445" t="s">
        <v>511</v>
      </c>
      <c r="B17" s="446">
        <v>1000000000</v>
      </c>
      <c r="C17" s="447"/>
      <c r="D17" s="448"/>
      <c r="E17" s="449"/>
      <c r="F17" s="449"/>
      <c r="G17" s="449"/>
      <c r="H17" s="450"/>
      <c r="I17" s="479"/>
      <c r="J17" s="451"/>
      <c r="K17" s="451"/>
      <c r="L17" s="451"/>
    </row>
    <row r="18" spans="1:12" s="4" customFormat="1" ht="120">
      <c r="A18" s="452" t="s">
        <v>71</v>
      </c>
      <c r="B18" s="453">
        <f>+SUMIF(Seguimiento_PAA!$E$32:$E$967,C18,Seguimiento_PAA!$AB$32:$AB$967)</f>
        <v>0</v>
      </c>
      <c r="C18" s="454" t="str">
        <f>+CONCATENATE(A18,"-",D18,"-",E18)</f>
        <v>Bienes de Interés Cultural de tipo inmueble intervenidos (sede Casa Tito)-01-Recursos del Distrito 12-Otros Distrito-0525-Recuperación y aprovechamiento de bienes de interés cultural</v>
      </c>
      <c r="D18" s="455" t="s">
        <v>332</v>
      </c>
      <c r="E18" s="456" t="s">
        <v>422</v>
      </c>
      <c r="F18" s="456" t="s">
        <v>65</v>
      </c>
      <c r="G18" s="456" t="s">
        <v>66</v>
      </c>
      <c r="H18" s="457" t="s">
        <v>67</v>
      </c>
      <c r="I18" s="479">
        <f>COUNTIF(Seguimiento_PAA!$E$32:$E$967,C18)</f>
        <v>0</v>
      </c>
      <c r="J18" s="451">
        <f>+SUMIF(Seguimiento_PAA!$E$32:$E$967,C18,Seguimiento_PAA!$BF$32:$BF$967)</f>
        <v>0</v>
      </c>
      <c r="K18" s="451">
        <f>+SUMIF(Seguimiento_PAA!$E$32:$E$967,C18,Seguimiento_PAA!$BJ$32:$BJ$967)</f>
        <v>0</v>
      </c>
      <c r="L18" s="451">
        <f>+SUMIF(Seguimiento_PAA!$E$32:$E$967,C18,Seguimiento_PAA!$CB$32:$CB$967)</f>
        <v>0</v>
      </c>
    </row>
    <row r="19" spans="1:12" s="4" customFormat="1">
      <c r="A19" s="101" t="s">
        <v>293</v>
      </c>
      <c r="B19" s="102">
        <f>+B18-J18</f>
        <v>0</v>
      </c>
      <c r="C19" s="238"/>
      <c r="D19" s="103"/>
      <c r="E19" s="103"/>
      <c r="F19" s="103"/>
      <c r="G19" s="103"/>
      <c r="H19" s="104"/>
      <c r="I19" s="480"/>
      <c r="J19" s="105"/>
      <c r="K19" s="106"/>
      <c r="L19" s="107"/>
    </row>
    <row r="20" spans="1:12" s="381" customFormat="1" ht="51">
      <c r="A20" s="445" t="s">
        <v>512</v>
      </c>
      <c r="B20" s="446">
        <f>550000000+105000000</f>
        <v>655000000</v>
      </c>
      <c r="C20" s="447"/>
      <c r="D20" s="448"/>
      <c r="E20" s="449"/>
      <c r="F20" s="449"/>
      <c r="G20" s="449"/>
      <c r="H20" s="450"/>
      <c r="I20" s="479"/>
      <c r="J20" s="451"/>
      <c r="K20" s="451"/>
      <c r="L20" s="451"/>
    </row>
    <row r="21" spans="1:12" s="4" customFormat="1" ht="120">
      <c r="A21" s="452" t="s">
        <v>72</v>
      </c>
      <c r="B21" s="453">
        <f>+SUMIF(Seguimiento_PAA!$E$32:$E$967,C21,Seguimiento_PAA!$AB$32:$AB$967)</f>
        <v>0</v>
      </c>
      <c r="C21" s="454" t="str">
        <f>+CONCATENATE(A21,"-",D21,"-",E21)</f>
        <v>Bienes de Interés Cultural de tipo inmueble intervenidos (sede principal)-01-Recursos del Distrito 12-Otros Distrito-0525-Recuperación y aprovechamiento de bienes de interés cultural</v>
      </c>
      <c r="D21" s="455" t="s">
        <v>332</v>
      </c>
      <c r="E21" s="456" t="s">
        <v>422</v>
      </c>
      <c r="F21" s="456" t="s">
        <v>65</v>
      </c>
      <c r="G21" s="456" t="s">
        <v>66</v>
      </c>
      <c r="H21" s="457" t="s">
        <v>67</v>
      </c>
      <c r="I21" s="479">
        <f>COUNTIF(Seguimiento_PAA!$E$32:$E$967,C21)</f>
        <v>0</v>
      </c>
      <c r="J21" s="451">
        <f>+SUMIF(Seguimiento_PAA!$E$32:$E$967,C21,Seguimiento_PAA!$BF$32:$BF$967)</f>
        <v>0</v>
      </c>
      <c r="K21" s="451">
        <f>+SUMIF(Seguimiento_PAA!$E$32:$E$967,C21,Seguimiento_PAA!$BJ$32:$BJ$967)</f>
        <v>0</v>
      </c>
      <c r="L21" s="451">
        <f>+SUMIF(Seguimiento_PAA!$E$32:$E$967,C21,Seguimiento_PAA!$CB$32:$CB$967)</f>
        <v>0</v>
      </c>
    </row>
    <row r="22" spans="1:12" s="4" customFormat="1">
      <c r="A22" s="101" t="s">
        <v>293</v>
      </c>
      <c r="B22" s="102">
        <f>+B21-J21</f>
        <v>0</v>
      </c>
      <c r="C22" s="238"/>
      <c r="D22" s="103"/>
      <c r="E22" s="103"/>
      <c r="F22" s="103"/>
      <c r="G22" s="103"/>
      <c r="H22" s="104"/>
      <c r="I22" s="480"/>
      <c r="J22" s="105"/>
      <c r="K22" s="106"/>
      <c r="L22" s="107"/>
    </row>
    <row r="23" spans="1:12" s="381" customFormat="1" ht="51">
      <c r="A23" s="445" t="s">
        <v>513</v>
      </c>
      <c r="B23" s="446">
        <f>250000000-52000000-15000000-14395033-168604967</f>
        <v>0</v>
      </c>
      <c r="C23" s="447"/>
      <c r="D23" s="448"/>
      <c r="E23" s="449"/>
      <c r="F23" s="449"/>
      <c r="G23" s="449"/>
      <c r="H23" s="450"/>
      <c r="I23" s="479"/>
      <c r="J23" s="451"/>
      <c r="K23" s="451"/>
      <c r="L23" s="451"/>
    </row>
    <row r="24" spans="1:12" s="4" customFormat="1" ht="120">
      <c r="A24" s="452" t="s">
        <v>74</v>
      </c>
      <c r="B24" s="453">
        <f>+SUMIF(Seguimiento_PAA!$E$32:$E$967,C24,Seguimiento_PAA!$AB$32:$AB$967)</f>
        <v>0</v>
      </c>
      <c r="C24" s="454" t="str">
        <f>+CONCATENATE(A24,"-",D24,"-",E24)</f>
        <v>Bienes de Interés Cultural de tipo inmueble intervenidos (edificio Monumento a los Héroes)-01-Recursos del Distrito 12-Otros Distrito-0525-Recuperación y aprovechamiento de bienes de interés cultural</v>
      </c>
      <c r="D24" s="455" t="s">
        <v>332</v>
      </c>
      <c r="E24" s="456" t="s">
        <v>422</v>
      </c>
      <c r="F24" s="456" t="s">
        <v>65</v>
      </c>
      <c r="G24" s="456" t="s">
        <v>66</v>
      </c>
      <c r="H24" s="457" t="s">
        <v>67</v>
      </c>
      <c r="I24" s="479">
        <f>COUNTIF(Seguimiento_PAA!$E$32:$E$967,C24)</f>
        <v>0</v>
      </c>
      <c r="J24" s="451">
        <f>+SUMIF(Seguimiento_PAA!$E$32:$E$967,C24,Seguimiento_PAA!$BF$32:$BF$967)</f>
        <v>0</v>
      </c>
      <c r="K24" s="451">
        <f>+SUMIF(Seguimiento_PAA!$E$32:$E$967,C24,Seguimiento_PAA!$BJ$32:$BJ$967)</f>
        <v>0</v>
      </c>
      <c r="L24" s="451">
        <f>+SUMIF(Seguimiento_PAA!$E$32:$E$967,C24,Seguimiento_PAA!$CB$32:$CB$967)</f>
        <v>0</v>
      </c>
    </row>
    <row r="25" spans="1:12" s="4" customFormat="1">
      <c r="A25" s="101" t="s">
        <v>293</v>
      </c>
      <c r="B25" s="102">
        <f>+B24-J24</f>
        <v>0</v>
      </c>
      <c r="C25" s="238"/>
      <c r="D25" s="103"/>
      <c r="E25" s="103"/>
      <c r="F25" s="103"/>
      <c r="G25" s="103"/>
      <c r="H25" s="104"/>
      <c r="I25" s="480"/>
      <c r="J25" s="105"/>
      <c r="K25" s="106"/>
      <c r="L25" s="107"/>
    </row>
    <row r="26" spans="1:12" s="4" customFormat="1" ht="51">
      <c r="A26" s="445" t="s">
        <v>514</v>
      </c>
      <c r="B26" s="446">
        <f>500000000-274200000-225800000</f>
        <v>0</v>
      </c>
      <c r="C26" s="454"/>
      <c r="D26" s="455"/>
      <c r="E26" s="456"/>
      <c r="F26" s="456"/>
      <c r="G26" s="456"/>
      <c r="H26" s="457"/>
      <c r="I26" s="479"/>
      <c r="J26" s="451"/>
      <c r="K26" s="451"/>
      <c r="L26" s="451"/>
    </row>
    <row r="27" spans="1:12" s="4" customFormat="1" ht="120">
      <c r="A27" s="452" t="s">
        <v>425</v>
      </c>
      <c r="B27" s="453">
        <f>+SUMIF(Seguimiento_PAA!$E$32:$E$967,C27,Seguimiento_PAA!$AB$32:$AB$967)</f>
        <v>0</v>
      </c>
      <c r="C27" s="454" t="str">
        <f>+CONCATENATE(A27,"-",D27,"-",E27)</f>
        <v>Bienes de Interés Cultural de tipo inmueble intervenidos (Plaza Santamaría)-01-Recursos del Distrito 12-Otros Distrito-0525-Recuperación y aprovechamiento de bienes de interés cultural</v>
      </c>
      <c r="D27" s="455" t="s">
        <v>332</v>
      </c>
      <c r="E27" s="456" t="s">
        <v>422</v>
      </c>
      <c r="F27" s="456" t="s">
        <v>65</v>
      </c>
      <c r="G27" s="456" t="s">
        <v>66</v>
      </c>
      <c r="H27" s="457" t="s">
        <v>67</v>
      </c>
      <c r="I27" s="479">
        <f>COUNTIF(Seguimiento_PAA!$E$32:$E$967,C27)</f>
        <v>0</v>
      </c>
      <c r="J27" s="451">
        <f>+SUMIF(Seguimiento_PAA!$E$32:$E$967,C27,Seguimiento_PAA!$BF$32:$BF$967)</f>
        <v>0</v>
      </c>
      <c r="K27" s="451">
        <f>+SUMIF(Seguimiento_PAA!$E$32:$E$967,C27,Seguimiento_PAA!$BJ$32:$BJ$967)</f>
        <v>0</v>
      </c>
      <c r="L27" s="451">
        <f>+SUMIF(Seguimiento_PAA!$E$32:$E$967,C27,Seguimiento_PAA!$CB$32:$CB$967)</f>
        <v>0</v>
      </c>
    </row>
    <row r="28" spans="1:12" s="4" customFormat="1">
      <c r="A28" s="101" t="s">
        <v>293</v>
      </c>
      <c r="B28" s="102">
        <f>+B27-J27</f>
        <v>0</v>
      </c>
      <c r="C28" s="238"/>
      <c r="D28" s="103"/>
      <c r="E28" s="29"/>
      <c r="F28" s="29"/>
      <c r="G28" s="29"/>
      <c r="H28" s="123"/>
      <c r="I28" s="480"/>
      <c r="J28" s="105"/>
      <c r="K28" s="106"/>
      <c r="L28" s="107"/>
    </row>
    <row r="29" spans="1:12" s="381" customFormat="1" ht="63.75">
      <c r="A29" s="445" t="s">
        <v>515</v>
      </c>
      <c r="B29" s="446">
        <v>0</v>
      </c>
      <c r="C29" s="447" t="str">
        <f>+CONCATENATE(A29,"-",D29,"-",E29)</f>
        <v>(ANTEPROYECTO) Bienes de Interés Cultural de tipo inmueble intervenidos (Templete del Libertador Parque de los Periodistas)--</v>
      </c>
      <c r="D29" s="448"/>
      <c r="E29" s="449"/>
      <c r="F29" s="449"/>
      <c r="G29" s="449"/>
      <c r="H29" s="450"/>
      <c r="I29" s="479"/>
      <c r="J29" s="451"/>
      <c r="K29" s="451"/>
      <c r="L29" s="451"/>
    </row>
    <row r="30" spans="1:12" s="4" customFormat="1" ht="120">
      <c r="A30" s="452" t="s">
        <v>399</v>
      </c>
      <c r="B30" s="453">
        <f>+SUMIF(Seguimiento_PAA!$E$32:$E$967,C30,Seguimiento_PAA!$AB$32:$AB$967)</f>
        <v>0</v>
      </c>
      <c r="C30" s="454" t="str">
        <f>+CONCATENATE(A30,"-",D30,"-",E30)</f>
        <v>Bienes de Interés Cultural de tipo inmueble intervenidos (Templete del Libertador Parque de los Periodistas)-01-Recursos del Distrito 555-Impuesto al Consumo de Telefonía Móvil-0525-Recuperación y aprovechamiento de bienes de interés cultural</v>
      </c>
      <c r="D30" s="455" t="s">
        <v>335</v>
      </c>
      <c r="E30" s="456" t="s">
        <v>422</v>
      </c>
      <c r="F30" s="456" t="s">
        <v>65</v>
      </c>
      <c r="G30" s="456" t="s">
        <v>66</v>
      </c>
      <c r="H30" s="457" t="s">
        <v>67</v>
      </c>
      <c r="I30" s="479">
        <f>COUNTIF(Seguimiento_PAA!$E$32:$E$967,C30)</f>
        <v>0</v>
      </c>
      <c r="J30" s="451">
        <f>+SUMIF(Seguimiento_PAA!$E$32:$E$967,C30,Seguimiento_PAA!$BF$32:$BF$967)</f>
        <v>0</v>
      </c>
      <c r="K30" s="451">
        <f>+SUMIF(Seguimiento_PAA!$E$32:$E$967,C30,Seguimiento_PAA!$BJ$32:$BJ$967)</f>
        <v>0</v>
      </c>
      <c r="L30" s="451">
        <f>+SUMIF(Seguimiento_PAA!$E$32:$E$967,C30,Seguimiento_PAA!$CB$32:$CB$967)</f>
        <v>0</v>
      </c>
    </row>
    <row r="31" spans="1:12" s="4" customFormat="1">
      <c r="A31" s="101" t="s">
        <v>293</v>
      </c>
      <c r="B31" s="102">
        <f>+B30-J30</f>
        <v>0</v>
      </c>
      <c r="C31" s="238"/>
      <c r="D31" s="103"/>
      <c r="E31" s="29"/>
      <c r="F31" s="29"/>
      <c r="G31" s="29"/>
      <c r="H31" s="123"/>
      <c r="I31" s="480"/>
      <c r="J31" s="105"/>
      <c r="K31" s="106"/>
      <c r="L31" s="107"/>
    </row>
    <row r="32" spans="1:12" s="331" customFormat="1" ht="63.75">
      <c r="A32" s="445" t="s">
        <v>516</v>
      </c>
      <c r="B32" s="446">
        <f>200000000+1000000+168604967</f>
        <v>369604967</v>
      </c>
      <c r="C32" s="454" t="str">
        <f>+CONCATENATE(A32,"-",D32,"-",E32)</f>
        <v>(ANTEPROYECTO - Proyectos de Consultoría) Bienes de Interés Cultural de tipo inmueble intervenidos  (Proyecto Plaza de Bolívar en el Distrito Capital)--</v>
      </c>
      <c r="D32" s="455"/>
      <c r="E32" s="456"/>
      <c r="F32" s="456"/>
      <c r="G32" s="456"/>
      <c r="H32" s="457"/>
      <c r="I32" s="479"/>
      <c r="J32" s="451"/>
      <c r="K32" s="451"/>
      <c r="L32" s="451"/>
    </row>
    <row r="33" spans="1:12" s="4" customFormat="1" ht="120">
      <c r="A33" s="452" t="s">
        <v>400</v>
      </c>
      <c r="B33" s="453">
        <f>+SUMIF(Seguimiento_PAA!$E$32:$E$967,C33,Seguimiento_PAA!$AB$32:$AB$967)</f>
        <v>0</v>
      </c>
      <c r="C33" s="454" t="str">
        <f>+CONCATENATE(A33,"-",D33,"-",E33)</f>
        <v>Bienes de Interés Cultural de tipo inmueble intervenidos  (Proyecto Plaza de Bolívar en el Distrito Capital)-01-Recursos del Distrito 12-Otros Distrito-0525-Recuperación y aprovechamiento de bienes de interés cultural</v>
      </c>
      <c r="D33" s="455" t="s">
        <v>332</v>
      </c>
      <c r="E33" s="456" t="s">
        <v>422</v>
      </c>
      <c r="F33" s="456" t="s">
        <v>65</v>
      </c>
      <c r="G33" s="456" t="s">
        <v>66</v>
      </c>
      <c r="H33" s="457" t="s">
        <v>67</v>
      </c>
      <c r="I33" s="479">
        <f>COUNTIF(Seguimiento_PAA!$E$32:$E$967,C33)</f>
        <v>0</v>
      </c>
      <c r="J33" s="451">
        <f>+SUMIF(Seguimiento_PAA!$E$32:$E$967,C33,Seguimiento_PAA!$BF$32:$BF$967)</f>
        <v>0</v>
      </c>
      <c r="K33" s="451">
        <f>+SUMIF(Seguimiento_PAA!$E$32:$E$967,C33,Seguimiento_PAA!$BJ$32:$BJ$967)</f>
        <v>0</v>
      </c>
      <c r="L33" s="451">
        <f>+SUMIF(Seguimiento_PAA!$E$32:$E$967,C33,Seguimiento_PAA!$CB$32:$CB$967)</f>
        <v>0</v>
      </c>
    </row>
    <row r="34" spans="1:12" s="4" customFormat="1">
      <c r="A34" s="101" t="s">
        <v>293</v>
      </c>
      <c r="B34" s="102">
        <f>+B33-J33</f>
        <v>0</v>
      </c>
      <c r="C34" s="238"/>
      <c r="D34" s="103"/>
      <c r="E34" s="29"/>
      <c r="F34" s="29"/>
      <c r="G34" s="29"/>
      <c r="H34" s="123"/>
      <c r="I34" s="480"/>
      <c r="J34" s="105"/>
      <c r="K34" s="106"/>
      <c r="L34" s="107"/>
    </row>
    <row r="35" spans="1:12" s="381" customFormat="1" ht="51">
      <c r="A35" s="445" t="s">
        <v>517</v>
      </c>
      <c r="B35" s="446">
        <f>90000000+15000000-105000000</f>
        <v>0</v>
      </c>
      <c r="C35" s="447" t="str">
        <f>+CONCATENATE(A35,"-",D35,"-",E35)</f>
        <v>(ANTEPROYECTO) Bienes de Interés Cultural de tipo inmueble intervenidos (Casa Colorada)--</v>
      </c>
      <c r="D35" s="448"/>
      <c r="E35" s="449"/>
      <c r="F35" s="449"/>
      <c r="G35" s="449"/>
      <c r="H35" s="450"/>
      <c r="I35" s="479"/>
      <c r="J35" s="451"/>
      <c r="K35" s="451"/>
      <c r="L35" s="451"/>
    </row>
    <row r="36" spans="1:12" s="4" customFormat="1" ht="120">
      <c r="A36" s="452" t="s">
        <v>73</v>
      </c>
      <c r="B36" s="453">
        <f>+SUMIF(Seguimiento_PAA!$E$32:$E$967,C36,Seguimiento_PAA!$AB$32:$AB$967)</f>
        <v>0</v>
      </c>
      <c r="C36" s="454" t="str">
        <f>+CONCATENATE(A36,"-",D36,"-",E36)</f>
        <v>Bienes de Interés Cultural de tipo inmueble intervenidos (Casa Colorada)-01-Recursos del Distrito 12-Otros Distrito-0525-Recuperación y aprovechamiento de bienes de interés cultural</v>
      </c>
      <c r="D36" s="455" t="s">
        <v>332</v>
      </c>
      <c r="E36" s="456" t="s">
        <v>422</v>
      </c>
      <c r="F36" s="456" t="s">
        <v>65</v>
      </c>
      <c r="G36" s="456" t="s">
        <v>66</v>
      </c>
      <c r="H36" s="457" t="s">
        <v>67</v>
      </c>
      <c r="I36" s="479">
        <f>COUNTIF(Seguimiento_PAA!$E$32:$E$967,C36)</f>
        <v>0</v>
      </c>
      <c r="J36" s="451">
        <f>+SUMIF(Seguimiento_PAA!$E$32:$E$967,C36,Seguimiento_PAA!$BF$32:$BF$967)</f>
        <v>0</v>
      </c>
      <c r="K36" s="451">
        <f>+SUMIF(Seguimiento_PAA!$E$32:$E$967,C36,Seguimiento_PAA!$BJ$32:$BJ$967)</f>
        <v>0</v>
      </c>
      <c r="L36" s="451">
        <f>+SUMIF(Seguimiento_PAA!$E$32:$E$967,C36,Seguimiento_PAA!$CB$32:$CB$967)</f>
        <v>0</v>
      </c>
    </row>
    <row r="37" spans="1:12" s="4" customFormat="1">
      <c r="A37" s="101" t="s">
        <v>293</v>
      </c>
      <c r="B37" s="102">
        <f>+B36-J36</f>
        <v>0</v>
      </c>
      <c r="C37" s="238"/>
      <c r="D37" s="103"/>
      <c r="E37" s="103"/>
      <c r="F37" s="103"/>
      <c r="G37" s="103"/>
      <c r="H37" s="104"/>
      <c r="I37" s="480"/>
      <c r="J37" s="105"/>
      <c r="K37" s="106"/>
      <c r="L37" s="107"/>
    </row>
    <row r="38" spans="1:12" s="381" customFormat="1" ht="51">
      <c r="A38" s="458" t="s">
        <v>518</v>
      </c>
      <c r="B38" s="568">
        <f>4178272417+15000000+14395033</f>
        <v>4207667450</v>
      </c>
      <c r="C38" s="447" t="str">
        <f>+CONCATENATE(A38,"-",D38,"-",E38)</f>
        <v>(ANTEPROYECTO) Bienes de Interés Cultural de tipo inmueble intervenidos (Voto Nacional II etapa naves)--</v>
      </c>
      <c r="D38" s="448"/>
      <c r="E38" s="449"/>
      <c r="F38" s="449"/>
      <c r="G38" s="449"/>
      <c r="H38" s="450"/>
      <c r="I38" s="479"/>
      <c r="J38" s="451"/>
      <c r="K38" s="451"/>
      <c r="L38" s="451"/>
    </row>
    <row r="39" spans="1:12" s="4" customFormat="1" ht="120">
      <c r="A39" s="459" t="s">
        <v>68</v>
      </c>
      <c r="B39" s="453">
        <f>+SUMIF(Seguimiento_PAA!$E$32:$E$967,C39,Seguimiento_PAA!$AB$32:$AB$967)</f>
        <v>0</v>
      </c>
      <c r="C39" s="454" t="str">
        <f>+CONCATENATE(A39,"-",D39,"-",E39)</f>
        <v>Bienes de Interés Cultural de tipo inmueble intervenidos (Voto Nacional II etapa naves)-01-Recursos del Distrito 12-Otros Distrito-0525-Recuperación y aprovechamiento de bienes de interés cultural</v>
      </c>
      <c r="D39" s="455" t="s">
        <v>332</v>
      </c>
      <c r="E39" s="456" t="s">
        <v>422</v>
      </c>
      <c r="F39" s="456" t="s">
        <v>65</v>
      </c>
      <c r="G39" s="456" t="s">
        <v>66</v>
      </c>
      <c r="H39" s="457" t="s">
        <v>67</v>
      </c>
      <c r="I39" s="479">
        <f>COUNTIF(Seguimiento_PAA!$E$32:$E$967,C39)</f>
        <v>0</v>
      </c>
      <c r="J39" s="451">
        <f>+SUMIF(Seguimiento_PAA!$E$32:$E$967,C39,Seguimiento_PAA!$BF$32:$BF$967)</f>
        <v>0</v>
      </c>
      <c r="K39" s="451">
        <f>+SUMIF(Seguimiento_PAA!$E$32:$E$967,C39,Seguimiento_PAA!$BJ$32:$BJ$967)</f>
        <v>0</v>
      </c>
      <c r="L39" s="451">
        <f>+SUMIF(Seguimiento_PAA!$E$32:$E$967,C39,Seguimiento_PAA!$CB$32:$CB$967)</f>
        <v>0</v>
      </c>
    </row>
    <row r="40" spans="1:12" s="4" customFormat="1">
      <c r="A40" s="101" t="s">
        <v>293</v>
      </c>
      <c r="B40" s="102">
        <f>+B39-J39</f>
        <v>0</v>
      </c>
      <c r="C40" s="238"/>
      <c r="D40" s="103"/>
      <c r="E40" s="29"/>
      <c r="F40" s="29"/>
      <c r="G40" s="29"/>
      <c r="H40" s="123"/>
      <c r="I40" s="480"/>
      <c r="J40" s="105"/>
      <c r="K40" s="106"/>
      <c r="L40" s="107"/>
    </row>
    <row r="41" spans="1:12" s="381" customFormat="1" ht="51">
      <c r="A41" s="458" t="s">
        <v>518</v>
      </c>
      <c r="B41" s="446">
        <v>2286000</v>
      </c>
      <c r="C41" s="447" t="str">
        <f>+CONCATENATE(A41,"-",D41,"-",E41)</f>
        <v>(ANTEPROYECTO) Bienes de Interés Cultural de tipo inmueble intervenidos (Voto Nacional II etapa naves)--</v>
      </c>
      <c r="D41" s="448"/>
      <c r="E41" s="449"/>
      <c r="F41" s="449"/>
      <c r="G41" s="449"/>
      <c r="H41" s="450"/>
      <c r="I41" s="479"/>
      <c r="J41" s="451"/>
      <c r="K41" s="451"/>
      <c r="L41" s="451"/>
    </row>
    <row r="42" spans="1:12" s="4" customFormat="1" ht="120">
      <c r="A42" s="459" t="s">
        <v>68</v>
      </c>
      <c r="B42" s="453">
        <f>+SUMIF(Seguimiento_PAA!$E$32:$E$967,C42,Seguimiento_PAA!$AB$32:$AB$967)</f>
        <v>0</v>
      </c>
      <c r="C42" s="454" t="str">
        <f>+CONCATENATE(A42,"-",D42,"-",E42)</f>
        <v>Bienes de Interés Cultural de tipo inmueble intervenidos (Voto Nacional II etapa naves)-01-Recursos del Distrito 265-Recursos de Balance Plusvalía-0525-Recuperación y aprovechamiento de bienes de interés cultural</v>
      </c>
      <c r="D42" s="455" t="s">
        <v>333</v>
      </c>
      <c r="E42" s="456" t="s">
        <v>422</v>
      </c>
      <c r="F42" s="456" t="s">
        <v>65</v>
      </c>
      <c r="G42" s="456" t="s">
        <v>66</v>
      </c>
      <c r="H42" s="457" t="s">
        <v>67</v>
      </c>
      <c r="I42" s="479">
        <f>COUNTIF(Seguimiento_PAA!$E$32:$E$967,C42)</f>
        <v>0</v>
      </c>
      <c r="J42" s="451">
        <f>+SUMIF(Seguimiento_PAA!$E$32:$E$967,C42,Seguimiento_PAA!$BF$32:$BF$967)</f>
        <v>0</v>
      </c>
      <c r="K42" s="451">
        <f>+SUMIF(Seguimiento_PAA!$E$32:$E$967,C42,Seguimiento_PAA!$BJ$32:$BJ$967)</f>
        <v>0</v>
      </c>
      <c r="L42" s="451">
        <f>+SUMIF(Seguimiento_PAA!$E$32:$E$967,C42,Seguimiento_PAA!$CB$32:$CB$967)</f>
        <v>0</v>
      </c>
    </row>
    <row r="43" spans="1:12" s="4" customFormat="1">
      <c r="A43" s="101" t="s">
        <v>293</v>
      </c>
      <c r="B43" s="102">
        <f>+B42-J42</f>
        <v>0</v>
      </c>
      <c r="C43" s="238"/>
      <c r="D43" s="103"/>
      <c r="E43" s="103"/>
      <c r="F43" s="103"/>
      <c r="G43" s="103"/>
      <c r="H43" s="104"/>
      <c r="I43" s="480"/>
      <c r="J43" s="105"/>
      <c r="K43" s="106"/>
      <c r="L43" s="107"/>
    </row>
    <row r="44" spans="1:12" s="381" customFormat="1" ht="51">
      <c r="A44" s="458" t="s">
        <v>518</v>
      </c>
      <c r="B44" s="446">
        <v>810173000</v>
      </c>
      <c r="C44" s="447" t="str">
        <f>+CONCATENATE(A44,"-",D44,"-",E44)</f>
        <v>(ANTEPROYECTO) Bienes de Interés Cultural de tipo inmueble intervenidos (Voto Nacional II etapa naves)--</v>
      </c>
      <c r="D44" s="448"/>
      <c r="E44" s="449"/>
      <c r="F44" s="449"/>
      <c r="G44" s="449"/>
      <c r="H44" s="450"/>
      <c r="I44" s="479"/>
      <c r="J44" s="451"/>
      <c r="K44" s="451"/>
      <c r="L44" s="451"/>
    </row>
    <row r="45" spans="1:12" s="4" customFormat="1" ht="120">
      <c r="A45" s="459" t="s">
        <v>68</v>
      </c>
      <c r="B45" s="453">
        <f>+SUMIF(Seguimiento_PAA!$E$32:$E$967,C45,Seguimiento_PAA!$AB$32:$AB$967)</f>
        <v>0</v>
      </c>
      <c r="C45" s="454" t="str">
        <f>+CONCATENATE(A45,"-",D45,"-",E45)</f>
        <v>Bienes de Interés Cultural de tipo inmueble intervenidos (Voto Nacional II etapa naves)-01-Recursos del Distrito 41-Plusvalía-0525-Recuperación y aprovechamiento de bienes de interés cultural</v>
      </c>
      <c r="D45" s="455" t="s">
        <v>334</v>
      </c>
      <c r="E45" s="456" t="s">
        <v>422</v>
      </c>
      <c r="F45" s="456" t="s">
        <v>65</v>
      </c>
      <c r="G45" s="456" t="s">
        <v>66</v>
      </c>
      <c r="H45" s="457" t="s">
        <v>67</v>
      </c>
      <c r="I45" s="479">
        <f>COUNTIF(Seguimiento_PAA!$E$32:$E$967,C45)</f>
        <v>0</v>
      </c>
      <c r="J45" s="451">
        <f>+SUMIF(Seguimiento_PAA!$E$32:$E$967,C45,Seguimiento_PAA!$BF$32:$BF$967)</f>
        <v>0</v>
      </c>
      <c r="K45" s="451">
        <f>+SUMIF(Seguimiento_PAA!$E$32:$E$967,C45,Seguimiento_PAA!$BJ$32:$BJ$967)</f>
        <v>0</v>
      </c>
      <c r="L45" s="451">
        <f>+SUMIF(Seguimiento_PAA!$E$32:$E$967,C45,Seguimiento_PAA!$CB$32:$CB$967)</f>
        <v>0</v>
      </c>
    </row>
    <row r="46" spans="1:12" s="4" customFormat="1">
      <c r="A46" s="101" t="s">
        <v>293</v>
      </c>
      <c r="B46" s="102">
        <f>+B45-J45</f>
        <v>0</v>
      </c>
      <c r="C46" s="238"/>
      <c r="D46" s="103"/>
      <c r="E46" s="103"/>
      <c r="F46" s="103"/>
      <c r="G46" s="103"/>
      <c r="H46" s="104"/>
      <c r="I46" s="480"/>
      <c r="J46" s="105"/>
      <c r="K46" s="106"/>
      <c r="L46" s="107"/>
    </row>
    <row r="47" spans="1:12" s="381" customFormat="1" ht="51">
      <c r="A47" s="458" t="s">
        <v>518</v>
      </c>
      <c r="B47" s="446">
        <v>1925582000</v>
      </c>
      <c r="C47" s="447" t="str">
        <f>+CONCATENATE(A47,"-",D47,"-",E47)</f>
        <v>(ANTEPROYECTO) Bienes de Interés Cultural de tipo inmueble intervenidos (Voto Nacional II etapa naves)--</v>
      </c>
      <c r="D47" s="448"/>
      <c r="E47" s="449"/>
      <c r="F47" s="449"/>
      <c r="G47" s="449"/>
      <c r="H47" s="450"/>
      <c r="I47" s="479"/>
      <c r="J47" s="451"/>
      <c r="K47" s="451"/>
      <c r="L47" s="451"/>
    </row>
    <row r="48" spans="1:12" s="4" customFormat="1" ht="120">
      <c r="A48" s="459" t="s">
        <v>68</v>
      </c>
      <c r="B48" s="453">
        <f>+SUMIF(Seguimiento_PAA!$E$32:$E$967,C48,Seguimiento_PAA!$AB$32:$AB$967)</f>
        <v>0</v>
      </c>
      <c r="C48" s="454" t="str">
        <f>+CONCATENATE(A48,"-",D48,"-",E48)</f>
        <v>Bienes de Interés Cultural de tipo inmueble intervenidos (Voto Nacional II etapa naves)-01-Recursos del Distrito 555-Impuesto al Consumo de Telefonía Móvil-0525-Recuperación y aprovechamiento de bienes de interés cultural</v>
      </c>
      <c r="D48" s="455" t="s">
        <v>335</v>
      </c>
      <c r="E48" s="456" t="s">
        <v>422</v>
      </c>
      <c r="F48" s="456" t="s">
        <v>65</v>
      </c>
      <c r="G48" s="456" t="s">
        <v>66</v>
      </c>
      <c r="H48" s="457" t="s">
        <v>67</v>
      </c>
      <c r="I48" s="479">
        <f>COUNTIF(Seguimiento_PAA!$E$32:$E$967,C48)</f>
        <v>0</v>
      </c>
      <c r="J48" s="451">
        <f>+SUMIF(Seguimiento_PAA!$E$32:$E$967,C48,Seguimiento_PAA!$BF$32:$BF$967)</f>
        <v>0</v>
      </c>
      <c r="K48" s="451">
        <f>+SUMIF(Seguimiento_PAA!$E$32:$E$967,C48,Seguimiento_PAA!$BJ$32:$BJ$967)</f>
        <v>0</v>
      </c>
      <c r="L48" s="451">
        <f>+SUMIF(Seguimiento_PAA!$E$32:$E$967,C48,Seguimiento_PAA!$CB$32:$CB$967)</f>
        <v>0</v>
      </c>
    </row>
    <row r="49" spans="1:12" s="4" customFormat="1">
      <c r="A49" s="101" t="s">
        <v>293</v>
      </c>
      <c r="B49" s="102">
        <f>+B48-J48</f>
        <v>0</v>
      </c>
      <c r="C49" s="238"/>
      <c r="D49" s="103"/>
      <c r="E49" s="103"/>
      <c r="F49" s="103"/>
      <c r="G49" s="103"/>
      <c r="H49" s="104"/>
      <c r="I49" s="480"/>
      <c r="J49" s="105"/>
      <c r="K49" s="106"/>
      <c r="L49" s="107"/>
    </row>
    <row r="50" spans="1:12" s="381" customFormat="1" ht="51">
      <c r="A50" s="458" t="s">
        <v>518</v>
      </c>
      <c r="B50" s="446">
        <v>749942000</v>
      </c>
      <c r="C50" s="447" t="str">
        <f>+CONCATENATE(A50,"-",D50,"-",E50)</f>
        <v>(ANTEPROYECTO) Bienes de Interés Cultural de tipo inmueble intervenidos (Voto Nacional II etapa naves)--</v>
      </c>
      <c r="D50" s="448"/>
      <c r="E50" s="449"/>
      <c r="F50" s="449"/>
      <c r="G50" s="449"/>
      <c r="H50" s="450"/>
      <c r="I50" s="479"/>
      <c r="J50" s="451"/>
      <c r="K50" s="451"/>
      <c r="L50" s="451"/>
    </row>
    <row r="51" spans="1:12" s="4" customFormat="1" ht="120">
      <c r="A51" s="459" t="s">
        <v>68</v>
      </c>
      <c r="B51" s="453">
        <f>+SUMIF(Seguimiento_PAA!$E$32:$E$967,C51,Seguimiento_PAA!$AB$32:$AB$967)</f>
        <v>0</v>
      </c>
      <c r="C51" s="454" t="str">
        <f>+CONCATENATE(A51,"-",D51,"-",E51)</f>
        <v>Bienes de Interés Cultural de tipo inmueble intervenidos (Voto Nacional II etapa naves)-03-Recursos Administrados 21-Administrados de Libre Destinación-0525-Recuperación y aprovechamiento de bienes de interés cultural</v>
      </c>
      <c r="D51" s="455" t="s">
        <v>337</v>
      </c>
      <c r="E51" s="456" t="s">
        <v>422</v>
      </c>
      <c r="F51" s="456" t="s">
        <v>65</v>
      </c>
      <c r="G51" s="456" t="s">
        <v>66</v>
      </c>
      <c r="H51" s="457" t="s">
        <v>67</v>
      </c>
      <c r="I51" s="479">
        <f>COUNTIF(Seguimiento_PAA!$E$32:$E$967,C51)</f>
        <v>0</v>
      </c>
      <c r="J51" s="451">
        <f>+SUMIF(Seguimiento_PAA!$E$32:$E$967,C51,Seguimiento_PAA!$BF$32:$BF$967)</f>
        <v>0</v>
      </c>
      <c r="K51" s="451">
        <f>+SUMIF(Seguimiento_PAA!$E$32:$E$967,C51,Seguimiento_PAA!$BJ$32:$BJ$967)</f>
        <v>0</v>
      </c>
      <c r="L51" s="451">
        <f>+SUMIF(Seguimiento_PAA!$E$32:$E$967,C51,Seguimiento_PAA!$CB$32:$CB$967)</f>
        <v>0</v>
      </c>
    </row>
    <row r="52" spans="1:12" s="4" customFormat="1">
      <c r="A52" s="101" t="s">
        <v>293</v>
      </c>
      <c r="B52" s="102">
        <f>+B51-J51</f>
        <v>0</v>
      </c>
      <c r="C52" s="238"/>
      <c r="D52" s="103"/>
      <c r="E52" s="103"/>
      <c r="F52" s="103"/>
      <c r="G52" s="103"/>
      <c r="H52" s="104"/>
      <c r="I52" s="480"/>
      <c r="J52" s="105"/>
      <c r="K52" s="106"/>
      <c r="L52" s="107"/>
    </row>
    <row r="53" spans="1:12" s="381" customFormat="1" ht="51">
      <c r="A53" s="458" t="s">
        <v>518</v>
      </c>
      <c r="B53" s="446">
        <v>450000</v>
      </c>
      <c r="C53" s="447" t="str">
        <f>+CONCATENATE(A53,"-",D53,"-",E53)</f>
        <v>(ANTEPROYECTO) Bienes de Interés Cultural de tipo inmueble intervenidos (Voto Nacional II etapa naves)--</v>
      </c>
      <c r="D53" s="448"/>
      <c r="E53" s="449"/>
      <c r="F53" s="449"/>
      <c r="G53" s="449"/>
      <c r="H53" s="450"/>
      <c r="I53" s="479"/>
      <c r="J53" s="451"/>
      <c r="K53" s="451"/>
      <c r="L53" s="451"/>
    </row>
    <row r="54" spans="1:12" s="4" customFormat="1" ht="120">
      <c r="A54" s="459" t="s">
        <v>68</v>
      </c>
      <c r="B54" s="453">
        <f>+SUMIF(Seguimiento_PAA!$E$32:$E$967,C54,Seguimiento_PAA!$AB$32:$AB$967)</f>
        <v>0</v>
      </c>
      <c r="C54" s="454" t="str">
        <f>+CONCATENATE(A54,"-",D54,"-",E54)</f>
        <v>Bienes de Interés Cultural de tipo inmueble intervenidos (Voto Nacional II etapa naves)-03-Recursos Administrados 490-Rendimientos Financieros de Libre Destinación-0525-Recuperación y aprovechamiento de bienes de interés cultural</v>
      </c>
      <c r="D54" s="455" t="s">
        <v>338</v>
      </c>
      <c r="E54" s="456" t="s">
        <v>422</v>
      </c>
      <c r="F54" s="456" t="s">
        <v>65</v>
      </c>
      <c r="G54" s="456" t="s">
        <v>66</v>
      </c>
      <c r="H54" s="457" t="s">
        <v>67</v>
      </c>
      <c r="I54" s="479">
        <f>COUNTIF(Seguimiento_PAA!$E$32:$E$967,C54)</f>
        <v>0</v>
      </c>
      <c r="J54" s="451">
        <f>+SUMIF(Seguimiento_PAA!$E$32:$E$967,C54,Seguimiento_PAA!$BF$32:$BF$967)</f>
        <v>0</v>
      </c>
      <c r="K54" s="451">
        <f>+SUMIF(Seguimiento_PAA!$E$32:$E$967,C54,Seguimiento_PAA!$BJ$32:$BJ$967)</f>
        <v>0</v>
      </c>
      <c r="L54" s="451">
        <f>+SUMIF(Seguimiento_PAA!$E$32:$E$967,C54,Seguimiento_PAA!$CB$32:$CB$967)</f>
        <v>0</v>
      </c>
    </row>
    <row r="55" spans="1:12" s="4" customFormat="1">
      <c r="A55" s="101" t="s">
        <v>293</v>
      </c>
      <c r="B55" s="102">
        <f>+B54-J54</f>
        <v>0</v>
      </c>
      <c r="C55" s="238"/>
      <c r="D55" s="103"/>
      <c r="E55" s="29"/>
      <c r="F55" s="29"/>
      <c r="G55" s="29"/>
      <c r="H55" s="123"/>
      <c r="I55" s="480"/>
      <c r="J55" s="105"/>
      <c r="K55" s="106"/>
      <c r="L55" s="107"/>
    </row>
    <row r="56" spans="1:12" s="4" customFormat="1" ht="86.25" customHeight="1">
      <c r="A56" s="460" t="s">
        <v>69</v>
      </c>
      <c r="B56" s="453">
        <f>+B58+B61+B64+B67</f>
        <v>0</v>
      </c>
      <c r="C56" s="454"/>
      <c r="D56" s="461"/>
      <c r="E56" s="462"/>
      <c r="F56" s="462" t="s">
        <v>65</v>
      </c>
      <c r="G56" s="462" t="s">
        <v>66</v>
      </c>
      <c r="H56" s="463" t="s">
        <v>67</v>
      </c>
      <c r="I56" s="479"/>
      <c r="J56" s="451"/>
      <c r="K56" s="451"/>
      <c r="L56" s="451"/>
    </row>
    <row r="57" spans="1:12" s="381" customFormat="1" ht="63.75">
      <c r="A57" s="460" t="s">
        <v>519</v>
      </c>
      <c r="B57" s="446">
        <v>1400000000</v>
      </c>
      <c r="C57" s="447" t="str">
        <f>+CONCATENATE(A57,"-",D57,"-",E57)</f>
        <v>(ANTEPROYECTO) Bienes de Interés Cultural de tipo inmueble intervenidos (Palacio Liévano -obras de restauración fachada-)--</v>
      </c>
      <c r="D57" s="464"/>
      <c r="E57" s="465"/>
      <c r="F57" s="465"/>
      <c r="G57" s="465"/>
      <c r="H57" s="466"/>
      <c r="I57" s="479"/>
      <c r="J57" s="451"/>
      <c r="K57" s="451"/>
      <c r="L57" s="451"/>
    </row>
    <row r="58" spans="1:12" s="4" customFormat="1" ht="120">
      <c r="A58" s="467" t="s">
        <v>395</v>
      </c>
      <c r="B58" s="453">
        <f>+SUMIF(Seguimiento_PAA!$E$32:$E$967,C58,Seguimiento_PAA!$AB$32:$AB$967)</f>
        <v>0</v>
      </c>
      <c r="C58" s="454" t="str">
        <f>+CONCATENATE(A58,"-",D58,"-",E58)</f>
        <v>Bienes de Interés Cultural de tipo inmueble intervenidos (Palacio Liévano -obras de restauración fachada-)-03-Recursos Administrados 20-Administrados de Destinación Específica-0525-Recuperación y aprovechamiento de bienes de interés cultural</v>
      </c>
      <c r="D58" s="461" t="s">
        <v>336</v>
      </c>
      <c r="E58" s="462" t="s">
        <v>422</v>
      </c>
      <c r="F58" s="462" t="s">
        <v>65</v>
      </c>
      <c r="G58" s="462" t="s">
        <v>66</v>
      </c>
      <c r="H58" s="463" t="s">
        <v>67</v>
      </c>
      <c r="I58" s="479">
        <f>COUNTIF(Seguimiento_PAA!$E$32:$E$967,C58)</f>
        <v>0</v>
      </c>
      <c r="J58" s="451">
        <f>+SUMIF(Seguimiento_PAA!$E$32:$E$967,C58,Seguimiento_PAA!$BF$32:$BF$967)</f>
        <v>0</v>
      </c>
      <c r="K58" s="451">
        <f>+SUMIF(Seguimiento_PAA!$E$32:$E$967,C58,Seguimiento_PAA!$BJ$32:$BJ$967)</f>
        <v>0</v>
      </c>
      <c r="L58" s="451">
        <f>+SUMIF(Seguimiento_PAA!$E$32:$E$967,C58,Seguimiento_PAA!$CB$32:$CB$967)</f>
        <v>0</v>
      </c>
    </row>
    <row r="59" spans="1:12" s="4" customFormat="1">
      <c r="A59" s="101" t="s">
        <v>293</v>
      </c>
      <c r="B59" s="102">
        <f>+B58-J58</f>
        <v>0</v>
      </c>
      <c r="C59" s="238"/>
      <c r="D59" s="103"/>
      <c r="E59" s="29"/>
      <c r="F59" s="29"/>
      <c r="G59" s="29"/>
      <c r="H59" s="123"/>
      <c r="I59" s="120"/>
      <c r="J59" s="29"/>
      <c r="K59" s="29"/>
      <c r="L59" s="29"/>
    </row>
    <row r="60" spans="1:12" s="381" customFormat="1" ht="63.75">
      <c r="A60" s="460" t="s">
        <v>520</v>
      </c>
      <c r="B60" s="446">
        <v>191000000</v>
      </c>
      <c r="C60" s="468" t="str">
        <f>+CONCATENATE(A60,"-",D60,"-",E60)</f>
        <v>(ANTEPROYECTO) Bienes de Interés Cultural de tipo inmueble intervenidos (Edificio Claustro del Concejo de Bogotá -rampa-)--</v>
      </c>
      <c r="D60" s="464"/>
      <c r="E60" s="465"/>
      <c r="F60" s="465"/>
      <c r="G60" s="465"/>
      <c r="H60" s="466"/>
      <c r="I60" s="479"/>
      <c r="J60" s="451"/>
      <c r="K60" s="451"/>
      <c r="L60" s="451"/>
    </row>
    <row r="61" spans="1:12" s="4" customFormat="1" ht="120">
      <c r="A61" s="467" t="s">
        <v>411</v>
      </c>
      <c r="B61" s="453">
        <f>+SUMIF(Seguimiento_PAA!$E$32:$E$967,C61,Seguimiento_PAA!$AB$32:$AB$967)</f>
        <v>0</v>
      </c>
      <c r="C61" s="469" t="str">
        <f>+CONCATENATE(A61,"-",D61,"-",E61)</f>
        <v>Bienes de Interés Cultural de tipo inmueble intervenidos (Edificio Claustro del Concejo de Bogotá -rampa-)-03-Recursos Administrados 20-Administrados de Destinación Específica-0525-Recuperación y aprovechamiento de bienes de interés cultural</v>
      </c>
      <c r="D61" s="461" t="s">
        <v>336</v>
      </c>
      <c r="E61" s="462" t="s">
        <v>422</v>
      </c>
      <c r="F61" s="462" t="s">
        <v>65</v>
      </c>
      <c r="G61" s="462" t="s">
        <v>66</v>
      </c>
      <c r="H61" s="463" t="s">
        <v>67</v>
      </c>
      <c r="I61" s="479">
        <f>COUNTIF(Seguimiento_PAA!$E$32:$E$967,C61)</f>
        <v>0</v>
      </c>
      <c r="J61" s="451">
        <f>+SUMIF(Seguimiento_PAA!$E$32:$E$967,C61,Seguimiento_PAA!$BF$32:$BF$967)</f>
        <v>0</v>
      </c>
      <c r="K61" s="451">
        <f>+SUMIF(Seguimiento_PAA!$E$32:$E$967,C61,Seguimiento_PAA!$BJ$32:$BJ$967)</f>
        <v>0</v>
      </c>
      <c r="L61" s="451">
        <f>+SUMIF(Seguimiento_PAA!$E$32:$E$967,C61,Seguimiento_PAA!$CB$32:$CB$967)</f>
        <v>0</v>
      </c>
    </row>
    <row r="62" spans="1:12" s="4" customFormat="1">
      <c r="A62" s="101" t="s">
        <v>293</v>
      </c>
      <c r="B62" s="102">
        <f>+B61-J61</f>
        <v>0</v>
      </c>
      <c r="C62" s="238"/>
      <c r="D62" s="103"/>
      <c r="E62" s="29"/>
      <c r="F62" s="29"/>
      <c r="G62" s="29"/>
      <c r="H62" s="123"/>
      <c r="I62" s="120"/>
      <c r="J62" s="29"/>
      <c r="K62" s="29"/>
      <c r="L62" s="29"/>
    </row>
    <row r="63" spans="1:12" s="381" customFormat="1" ht="63.75">
      <c r="A63" s="460" t="s">
        <v>521</v>
      </c>
      <c r="B63" s="446">
        <v>1359000000</v>
      </c>
      <c r="C63" s="447" t="str">
        <f>+CONCATENATE(A63,"-",D63,"-",E63)</f>
        <v>(ANTEPROYECTO) Bienes de Interés Cultural de tipo inmueble intervenidos (La Concordia III etapa  y Galería de Arte Santafé)--</v>
      </c>
      <c r="D63" s="464"/>
      <c r="E63" s="465"/>
      <c r="F63" s="465"/>
      <c r="G63" s="465"/>
      <c r="H63" s="466"/>
      <c r="I63" s="479"/>
      <c r="J63" s="451"/>
      <c r="K63" s="451"/>
      <c r="L63" s="451"/>
    </row>
    <row r="64" spans="1:12" s="4" customFormat="1" ht="120">
      <c r="A64" s="467" t="s">
        <v>426</v>
      </c>
      <c r="B64" s="453">
        <f>+SUMIF(Seguimiento_PAA!$E$32:$E$967,C64,Seguimiento_PAA!$AB$32:$AB$967)</f>
        <v>0</v>
      </c>
      <c r="C64" s="454" t="str">
        <f>+CONCATENATE(A64,"-",D64,"-",E64)</f>
        <v>Bienes de Interés Cultural de tipo inmueble intervenidos (La Concordia III etapa  y Galería de Arte Santafé)-03-Recursos Administrados 20-Administrados de Destinación Específica-0525-Recuperación y aprovechamiento de bienes de interés cultural</v>
      </c>
      <c r="D64" s="461" t="s">
        <v>336</v>
      </c>
      <c r="E64" s="462" t="s">
        <v>422</v>
      </c>
      <c r="F64" s="462" t="s">
        <v>65</v>
      </c>
      <c r="G64" s="462" t="s">
        <v>66</v>
      </c>
      <c r="H64" s="463" t="s">
        <v>67</v>
      </c>
      <c r="I64" s="479">
        <f>COUNTIF(Seguimiento_PAA!$E$32:$E$967,C64)</f>
        <v>0</v>
      </c>
      <c r="J64" s="451">
        <f>+SUMIF(Seguimiento_PAA!$E$32:$E$967,C64,Seguimiento_PAA!$BF$32:$BF$967)</f>
        <v>0</v>
      </c>
      <c r="K64" s="451">
        <f>+SUMIF(Seguimiento_PAA!$E$32:$E$967,C64,Seguimiento_PAA!$BJ$32:$BJ$967)</f>
        <v>0</v>
      </c>
      <c r="L64" s="451">
        <f>+SUMIF(Seguimiento_PAA!$E$32:$E$967,C64,Seguimiento_PAA!$CB$32:$CB$967)</f>
        <v>0</v>
      </c>
    </row>
    <row r="65" spans="1:12" s="4" customFormat="1">
      <c r="A65" s="101" t="s">
        <v>293</v>
      </c>
      <c r="B65" s="102">
        <f>+B64-J64</f>
        <v>0</v>
      </c>
      <c r="C65" s="238"/>
      <c r="D65" s="103"/>
      <c r="E65" s="29"/>
      <c r="F65" s="29"/>
      <c r="G65" s="29"/>
      <c r="H65" s="123"/>
      <c r="I65" s="120"/>
      <c r="J65" s="29"/>
      <c r="K65" s="29"/>
      <c r="L65" s="29"/>
    </row>
    <row r="66" spans="1:12" s="381" customFormat="1" ht="63.75">
      <c r="A66" s="460" t="s">
        <v>522</v>
      </c>
      <c r="B66" s="446">
        <v>800000000</v>
      </c>
      <c r="C66" s="447" t="str">
        <f>+CONCATENATE(A66,"-",D66,"-",E66)</f>
        <v>(ANTEPROYECTO) Bienes de Interés Cultural de tipo inmueble intervenidos (Ermita de San Miguel - Calle del embudo)--</v>
      </c>
      <c r="D66" s="464"/>
      <c r="E66" s="465"/>
      <c r="F66" s="465"/>
      <c r="G66" s="465"/>
      <c r="H66" s="466"/>
      <c r="I66" s="479"/>
      <c r="J66" s="451"/>
      <c r="K66" s="451"/>
      <c r="L66" s="451"/>
    </row>
    <row r="67" spans="1:12" s="4" customFormat="1" ht="120">
      <c r="A67" s="467" t="s">
        <v>132</v>
      </c>
      <c r="B67" s="453">
        <f>+SUMIF(Seguimiento_PAA!$E$32:$E$967,C67,Seguimiento_PAA!$AB$32:$AB$967)</f>
        <v>0</v>
      </c>
      <c r="C67" s="454" t="str">
        <f>+CONCATENATE(A67,"-",D67,"-",E67)</f>
        <v>Bienes de Interés Cultural de tipo inmueble intervenidos (Ermita de San Miguel - Calle del embudo)-03-Recursos Administrados 20-Administrados de Destinación Específica-0525-Recuperación y aprovechamiento de bienes de interés cultural</v>
      </c>
      <c r="D67" s="461" t="s">
        <v>336</v>
      </c>
      <c r="E67" s="462" t="s">
        <v>422</v>
      </c>
      <c r="F67" s="462" t="s">
        <v>65</v>
      </c>
      <c r="G67" s="462" t="s">
        <v>66</v>
      </c>
      <c r="H67" s="463" t="s">
        <v>67</v>
      </c>
      <c r="I67" s="479">
        <f>COUNTIF(Seguimiento_PAA!$E$32:$E$967,C67)</f>
        <v>0</v>
      </c>
      <c r="J67" s="451">
        <f>+SUMIF(Seguimiento_PAA!$E$32:$E$967,C67,Seguimiento_PAA!$BF$32:$BF$967)</f>
        <v>0</v>
      </c>
      <c r="K67" s="451">
        <f>+SUMIF(Seguimiento_PAA!$E$32:$E$967,C67,Seguimiento_PAA!$BJ$32:$BJ$967)</f>
        <v>0</v>
      </c>
      <c r="L67" s="451">
        <f>+SUMIF(Seguimiento_PAA!$E$32:$E$967,C67,Seguimiento_PAA!$CB$32:$CB$967)</f>
        <v>0</v>
      </c>
    </row>
    <row r="68" spans="1:12" s="4" customFormat="1">
      <c r="A68" s="101" t="s">
        <v>293</v>
      </c>
      <c r="B68" s="102">
        <f>+B67-J67</f>
        <v>0</v>
      </c>
      <c r="C68" s="238"/>
      <c r="D68" s="103"/>
      <c r="E68" s="29"/>
      <c r="F68" s="29"/>
      <c r="G68" s="29"/>
      <c r="H68" s="123"/>
      <c r="I68" s="120"/>
      <c r="J68" s="29"/>
      <c r="K68" s="29"/>
      <c r="L68" s="29"/>
    </row>
    <row r="69" spans="1:12" s="381" customFormat="1" ht="51">
      <c r="A69" s="445" t="s">
        <v>523</v>
      </c>
      <c r="B69" s="446">
        <v>1112000000</v>
      </c>
      <c r="C69" s="447" t="str">
        <f>+CONCATENATE(A69,"-",D69,"-",E69)</f>
        <v>(ANTEPROYECTO) Personal de apoyo transversal - Bienes de Interés Cultural de tipo inmueble intervenidos--</v>
      </c>
      <c r="D69" s="448"/>
      <c r="E69" s="449"/>
      <c r="F69" s="449"/>
      <c r="G69" s="449"/>
      <c r="H69" s="450"/>
      <c r="I69" s="479"/>
      <c r="J69" s="451"/>
      <c r="K69" s="451"/>
      <c r="L69" s="451"/>
    </row>
    <row r="70" spans="1:12" s="4" customFormat="1" ht="120">
      <c r="A70" s="452" t="s">
        <v>390</v>
      </c>
      <c r="B70" s="453">
        <f>+SUMIF(Seguimiento_PAA!$E$32:$E$967,C70,Seguimiento_PAA!$AB$32:$AB$967)</f>
        <v>0</v>
      </c>
      <c r="C70" s="454" t="str">
        <f>+CONCATENATE(A70,"-",D70,"-",E70)</f>
        <v>Personal de apoyo transversal - Bienes de Interés Cultural de tipo inmueble intervenidos-01-Recursos del Distrito 12-Otros Distrito-0525-Recuperación y aprovechamiento de bienes de interés cultural</v>
      </c>
      <c r="D70" s="455" t="s">
        <v>332</v>
      </c>
      <c r="E70" s="456" t="s">
        <v>422</v>
      </c>
      <c r="F70" s="456" t="s">
        <v>65</v>
      </c>
      <c r="G70" s="456" t="s">
        <v>66</v>
      </c>
      <c r="H70" s="457" t="s">
        <v>67</v>
      </c>
      <c r="I70" s="479">
        <f>COUNTIF(Seguimiento_PAA!$E$32:$E$967,C70)</f>
        <v>0</v>
      </c>
      <c r="J70" s="451">
        <f>+SUMIF(Seguimiento_PAA!$E$32:$E$967,C70,Seguimiento_PAA!$BF$32:$BF$967)</f>
        <v>0</v>
      </c>
      <c r="K70" s="451">
        <f>+SUMIF(Seguimiento_PAA!$E$32:$E$967,C70,Seguimiento_PAA!$BJ$32:$BJ$967)</f>
        <v>0</v>
      </c>
      <c r="L70" s="451">
        <f>+SUMIF(Seguimiento_PAA!$E$32:$E$967,C70,Seguimiento_PAA!$CB$32:$CB$967)</f>
        <v>0</v>
      </c>
    </row>
    <row r="71" spans="1:12" s="4" customFormat="1" ht="120">
      <c r="A71" s="452" t="s">
        <v>390</v>
      </c>
      <c r="B71" s="453">
        <f>+SUMIF(Seguimiento_PAA!$E$32:$E$967,C71,Seguimiento_PAA!$AB$32:$AB$967)</f>
        <v>0</v>
      </c>
      <c r="C71" s="454" t="str">
        <f>+CONCATENATE(A71,"-",D71,"-",E71)</f>
        <v>Personal de apoyo transversal - Bienes de Interés Cultural de tipo inmueble intervenidos-01-Recursos del Distrito 265-Recursos de Balance Plusvalía-0525-Recuperación y aprovechamiento de bienes de interés cultural</v>
      </c>
      <c r="D71" s="455" t="s">
        <v>333</v>
      </c>
      <c r="E71" s="456" t="s">
        <v>422</v>
      </c>
      <c r="F71" s="456" t="s">
        <v>65</v>
      </c>
      <c r="G71" s="456" t="s">
        <v>66</v>
      </c>
      <c r="H71" s="457" t="s">
        <v>67</v>
      </c>
      <c r="I71" s="479">
        <f>COUNTIF(Seguimiento_PAA!$E$32:$E$967,C71)</f>
        <v>0</v>
      </c>
      <c r="J71" s="451">
        <f>+SUMIF(Seguimiento_PAA!$E$32:$E$967,C71,Seguimiento_PAA!$BF$32:$BF$967)</f>
        <v>0</v>
      </c>
      <c r="K71" s="451">
        <f>+SUMIF(Seguimiento_PAA!$E$32:$E$967,C71,Seguimiento_PAA!$BJ$32:$BJ$967)</f>
        <v>0</v>
      </c>
      <c r="L71" s="451">
        <f>+SUMIF(Seguimiento_PAA!$E$32:$E$967,C71,Seguimiento_PAA!$CB$32:$CB$967)</f>
        <v>0</v>
      </c>
    </row>
    <row r="72" spans="1:12" s="4" customFormat="1">
      <c r="A72" s="101" t="s">
        <v>293</v>
      </c>
      <c r="B72" s="102">
        <f>+B71-J71</f>
        <v>0</v>
      </c>
      <c r="C72" s="238"/>
      <c r="D72" s="103"/>
      <c r="E72" s="29"/>
      <c r="F72" s="29"/>
      <c r="G72" s="29"/>
      <c r="H72" s="123"/>
      <c r="I72" s="480"/>
      <c r="J72" s="105"/>
      <c r="K72" s="106"/>
      <c r="L72" s="107"/>
    </row>
    <row r="73" spans="1:12" s="381" customFormat="1" ht="25.5">
      <c r="A73" s="445" t="s">
        <v>524</v>
      </c>
      <c r="B73" s="446">
        <v>1000000000</v>
      </c>
      <c r="C73" s="447" t="str">
        <f>+CONCATENATE(A73,"-",D73,"-",E73)</f>
        <v>(ANTEPROYECTO) Programa Fachadas--</v>
      </c>
      <c r="D73" s="448"/>
      <c r="E73" s="449"/>
      <c r="F73" s="449"/>
      <c r="G73" s="449"/>
      <c r="H73" s="450"/>
      <c r="I73" s="479"/>
      <c r="J73" s="451"/>
      <c r="K73" s="451"/>
      <c r="L73" s="451"/>
    </row>
    <row r="74" spans="1:12" s="4" customFormat="1" ht="120">
      <c r="A74" s="452" t="s">
        <v>392</v>
      </c>
      <c r="B74" s="453">
        <f>+SUMIF(Seguimiento_PAA!$E$32:$E$967,C74,Seguimiento_PAA!$AB$32:$AB$967)</f>
        <v>0</v>
      </c>
      <c r="C74" s="454" t="str">
        <f>+CONCATENATE(A74,"-",D74,"-",E74)</f>
        <v>Programa Fachadas-01-Recursos del Distrito 12-Otros Distrito-0525-Recuperación y aprovechamiento de bienes de interés cultural</v>
      </c>
      <c r="D74" s="455" t="s">
        <v>332</v>
      </c>
      <c r="E74" s="456" t="s">
        <v>422</v>
      </c>
      <c r="F74" s="456" t="s">
        <v>65</v>
      </c>
      <c r="G74" s="456" t="s">
        <v>66</v>
      </c>
      <c r="H74" s="457" t="s">
        <v>67</v>
      </c>
      <c r="I74" s="479">
        <f>COUNTIF(Seguimiento_PAA!$E$32:$E$967,C74)</f>
        <v>0</v>
      </c>
      <c r="J74" s="451">
        <f>+SUMIF(Seguimiento_PAA!$E$32:$E$967,C74,Seguimiento_PAA!$BF$32:$BF$967)</f>
        <v>0</v>
      </c>
      <c r="K74" s="451">
        <f>+SUMIF(Seguimiento_PAA!$E$32:$E$967,C74,Seguimiento_PAA!$BJ$32:$BJ$967)</f>
        <v>0</v>
      </c>
      <c r="L74" s="451">
        <f>+SUMIF(Seguimiento_PAA!$E$32:$E$967,C74,Seguimiento_PAA!$CB$32:$CB$967)</f>
        <v>0</v>
      </c>
    </row>
    <row r="75" spans="1:12" s="4" customFormat="1">
      <c r="A75" s="101" t="s">
        <v>293</v>
      </c>
      <c r="B75" s="102">
        <f>+B74-J74</f>
        <v>0</v>
      </c>
      <c r="C75" s="238"/>
      <c r="D75" s="103"/>
      <c r="E75" s="29"/>
      <c r="F75" s="29"/>
      <c r="G75" s="29"/>
      <c r="H75" s="123"/>
      <c r="I75" s="120"/>
      <c r="J75" s="29"/>
      <c r="K75" s="29"/>
      <c r="L75" s="29"/>
    </row>
    <row r="76" spans="1:12" s="381" customFormat="1" ht="51">
      <c r="A76" s="445" t="s">
        <v>525</v>
      </c>
      <c r="B76" s="446">
        <f>+SUMIF(Seguimiento_PAA!$E$32:$E$967,C76,Seguimiento_PAA!$AB$32:$AB$967)</f>
        <v>0</v>
      </c>
      <c r="C76" s="447" t="str">
        <f>+CONCATENATE(A76,"-",D76,"-",E76)</f>
        <v>(ANTEPROYECTO) Actividades de seguimiento arqueológico en intervenciones y acciones sobre bienes de interés cultural--</v>
      </c>
      <c r="D76" s="448"/>
      <c r="E76" s="449"/>
      <c r="F76" s="449"/>
      <c r="G76" s="449"/>
      <c r="H76" s="450"/>
      <c r="I76" s="479"/>
      <c r="J76" s="451"/>
      <c r="K76" s="451"/>
      <c r="L76" s="451"/>
    </row>
    <row r="77" spans="1:12" s="4" customFormat="1" ht="120">
      <c r="A77" s="452" t="s">
        <v>135</v>
      </c>
      <c r="B77" s="453">
        <f>+SUMIF(Seguimiento_PAA!$E$32:$E$967,C77,Seguimiento_PAA!$AB$32:$AB$967)</f>
        <v>0</v>
      </c>
      <c r="C77" s="454" t="str">
        <f>+CONCATENATE(A77,"-",D77,"-",E77)</f>
        <v>Actividades de seguimiento arqueológico en intervenciones y acciones sobre bienes de interés cultural-01-Recursos del Distrito 12-Otros Distrito-0316-Personal de apoyo para las actividades de valoración, protección y conservación del Patrimonio Cultural</v>
      </c>
      <c r="D77" s="455" t="s">
        <v>332</v>
      </c>
      <c r="E77" s="456" t="s">
        <v>228</v>
      </c>
      <c r="F77" s="456" t="s">
        <v>65</v>
      </c>
      <c r="G77" s="456" t="s">
        <v>66</v>
      </c>
      <c r="H77" s="457" t="s">
        <v>67</v>
      </c>
      <c r="I77" s="479">
        <f>COUNTIF(Seguimiento_PAA!$E$32:$E$967,C77)</f>
        <v>0</v>
      </c>
      <c r="J77" s="451">
        <f>+SUMIF(Seguimiento_PAA!$E$32:$E$967,C77,Seguimiento_PAA!$BF$32:$BF$967)</f>
        <v>0</v>
      </c>
      <c r="K77" s="451">
        <f>+SUMIF(Seguimiento_PAA!$E$32:$E$967,C77,Seguimiento_PAA!$BJ$32:$BJ$967)</f>
        <v>0</v>
      </c>
      <c r="L77" s="451">
        <f>+SUMIF(Seguimiento_PAA!$E$32:$E$967,C77,Seguimiento_PAA!$CB$32:$CB$967)</f>
        <v>0</v>
      </c>
    </row>
    <row r="78" spans="1:12" s="4" customFormat="1">
      <c r="A78" s="101" t="s">
        <v>293</v>
      </c>
      <c r="B78" s="102">
        <f>+B77-J77</f>
        <v>0</v>
      </c>
      <c r="C78" s="238"/>
      <c r="D78" s="103"/>
      <c r="E78" s="29"/>
      <c r="F78" s="29"/>
      <c r="G78" s="29"/>
      <c r="H78" s="123"/>
      <c r="I78" s="120"/>
      <c r="J78" s="29"/>
      <c r="K78" s="29"/>
      <c r="L78" s="29"/>
    </row>
    <row r="79" spans="1:12" s="381" customFormat="1" ht="38.25">
      <c r="A79" s="445" t="s">
        <v>526</v>
      </c>
      <c r="B79" s="446">
        <v>905000000</v>
      </c>
      <c r="C79" s="447" t="str">
        <f>+CONCATENATE(A79,"-",D79,"-",E79)</f>
        <v>(ANTEPROYECTO) Monumentos en espacios públicos a intervenir--</v>
      </c>
      <c r="D79" s="448"/>
      <c r="E79" s="449"/>
      <c r="F79" s="449"/>
      <c r="G79" s="449"/>
      <c r="H79" s="450"/>
      <c r="I79" s="479"/>
      <c r="J79" s="451"/>
      <c r="K79" s="451"/>
      <c r="L79" s="451"/>
    </row>
    <row r="80" spans="1:12" s="4" customFormat="1" ht="120">
      <c r="A80" s="452" t="s">
        <v>312</v>
      </c>
      <c r="B80" s="453">
        <f>+SUMIF(Seguimiento_PAA!$E$32:$E$967,C80,Seguimiento_PAA!$AB$32:$AB$967)</f>
        <v>0</v>
      </c>
      <c r="C80" s="454" t="str">
        <f>+CONCATENATE(A80,"-",D80,"-",E80)</f>
        <v>Monumentos en espacios públicos a intervenir-01-Recursos del Distrito 12-Otros Distrito-0103-Administración, mantenimiento y mejoramiento de los bienes muebles e inmuebles ubicados en el espacio público del Distrito Capital</v>
      </c>
      <c r="D80" s="455" t="s">
        <v>332</v>
      </c>
      <c r="E80" s="456" t="s">
        <v>225</v>
      </c>
      <c r="F80" s="456" t="s">
        <v>65</v>
      </c>
      <c r="G80" s="456" t="s">
        <v>66</v>
      </c>
      <c r="H80" s="457" t="s">
        <v>67</v>
      </c>
      <c r="I80" s="479">
        <f>COUNTIF(Seguimiento_PAA!$E$32:$E$967,C80)</f>
        <v>0</v>
      </c>
      <c r="J80" s="451">
        <f>+SUMIF(Seguimiento_PAA!$E$32:$E$967,C80,Seguimiento_PAA!$BF$32:$BF$967)</f>
        <v>0</v>
      </c>
      <c r="K80" s="451">
        <f>+SUMIF(Seguimiento_PAA!$E$32:$E$967,C80,Seguimiento_PAA!$BJ$32:$BJ$967)</f>
        <v>0</v>
      </c>
      <c r="L80" s="451">
        <f>+SUMIF(Seguimiento_PAA!$E$32:$E$967,C80,Seguimiento_PAA!$CB$32:$CB$967)</f>
        <v>0</v>
      </c>
    </row>
    <row r="81" spans="1:12" s="4" customFormat="1" ht="120">
      <c r="A81" s="452" t="s">
        <v>312</v>
      </c>
      <c r="B81" s="453">
        <f>+SUMIF(Seguimiento_PAA!$E$32:$E$967,C81,Seguimiento_PAA!$AB$32:$AB$967)</f>
        <v>0</v>
      </c>
      <c r="C81" s="454" t="str">
        <f>+CONCATENATE(A81,"-",D81,"-",E81)</f>
        <v>Monumentos en espacios públicos a intervenir-01-Recursos del Distrito 12-Otros Distrito-0525-Recuperación y aprovechamiento de bienes de interés cultural</v>
      </c>
      <c r="D81" s="455" t="s">
        <v>332</v>
      </c>
      <c r="E81" s="456" t="s">
        <v>422</v>
      </c>
      <c r="F81" s="456" t="s">
        <v>65</v>
      </c>
      <c r="G81" s="456" t="s">
        <v>66</v>
      </c>
      <c r="H81" s="457" t="s">
        <v>67</v>
      </c>
      <c r="I81" s="479">
        <f>COUNTIF(Seguimiento_PAA!$E$32:$E$967,C81)</f>
        <v>0</v>
      </c>
      <c r="J81" s="451">
        <f>+SUMIF(Seguimiento_PAA!$E$32:$E$967,C81,Seguimiento_PAA!$BF$32:$BF$967)</f>
        <v>0</v>
      </c>
      <c r="K81" s="451">
        <f>+SUMIF(Seguimiento_PAA!$E$32:$E$967,C81,Seguimiento_PAA!$BJ$32:$BJ$967)</f>
        <v>0</v>
      </c>
      <c r="L81" s="451">
        <f>+SUMIF(Seguimiento_PAA!$E$32:$E$967,C81,Seguimiento_PAA!$CB$32:$CB$967)</f>
        <v>0</v>
      </c>
    </row>
    <row r="82" spans="1:12" s="4" customFormat="1" ht="120">
      <c r="A82" s="452" t="s">
        <v>312</v>
      </c>
      <c r="B82" s="453">
        <f>+SUMIF(Seguimiento_PAA!$E$32:$E$967,C82,Seguimiento_PAA!$AB$32:$AB$967)</f>
        <v>0</v>
      </c>
      <c r="C82" s="454" t="str">
        <f>+CONCATENATE(A82,"-",D82,"-",E82)</f>
        <v>Monumentos en espacios públicos a intervenir-01-Recursos del Distrito 555-Impuesto al Consumo de Telefonía Móvil-0525-Recuperación y aprovechamiento de bienes de interés cultural</v>
      </c>
      <c r="D82" s="455" t="s">
        <v>335</v>
      </c>
      <c r="E82" s="456" t="s">
        <v>422</v>
      </c>
      <c r="F82" s="456" t="s">
        <v>65</v>
      </c>
      <c r="G82" s="456" t="s">
        <v>66</v>
      </c>
      <c r="H82" s="457" t="s">
        <v>67</v>
      </c>
      <c r="I82" s="479">
        <f>COUNTIF(Seguimiento_PAA!$E$32:$E$967,C82)</f>
        <v>0</v>
      </c>
      <c r="J82" s="451">
        <f>+SUMIF(Seguimiento_PAA!$E$32:$E$967,C82,Seguimiento_PAA!$BF$32:$BF$967)</f>
        <v>0</v>
      </c>
      <c r="K82" s="451">
        <f>+SUMIF(Seguimiento_PAA!$E$32:$E$967,C82,Seguimiento_PAA!$BJ$32:$BJ$967)</f>
        <v>0</v>
      </c>
      <c r="L82" s="451">
        <f>+SUMIF(Seguimiento_PAA!$E$32:$E$967,C82,Seguimiento_PAA!$CB$32:$CB$967)</f>
        <v>0</v>
      </c>
    </row>
    <row r="83" spans="1:12" s="4" customFormat="1">
      <c r="A83" s="101" t="s">
        <v>293</v>
      </c>
      <c r="B83" s="102">
        <f>+B82-J82</f>
        <v>0</v>
      </c>
      <c r="C83" s="238"/>
      <c r="D83" s="103"/>
      <c r="E83" s="29"/>
      <c r="F83" s="29"/>
      <c r="G83" s="29"/>
      <c r="H83" s="123"/>
      <c r="I83" s="120"/>
      <c r="J83" s="29"/>
      <c r="K83" s="29"/>
      <c r="L83" s="29"/>
    </row>
    <row r="84" spans="1:12" s="381" customFormat="1" ht="63.75">
      <c r="A84" s="470" t="s">
        <v>527</v>
      </c>
      <c r="B84" s="446">
        <v>1891000000</v>
      </c>
      <c r="C84" s="447" t="str">
        <f>+CONCATENATE(A84,"-",D84,"-",E84)</f>
        <v>(ANTEPROYECTO) Asesoría técnica para la protección y promoción del patrimonio cultural material del distrito capital--</v>
      </c>
      <c r="D84" s="471"/>
      <c r="E84" s="471"/>
      <c r="F84" s="471"/>
      <c r="G84" s="471"/>
      <c r="H84" s="472"/>
      <c r="I84" s="479"/>
      <c r="J84" s="451"/>
      <c r="K84" s="451"/>
      <c r="L84" s="451"/>
    </row>
    <row r="85" spans="1:12" s="4" customFormat="1" ht="127.5">
      <c r="A85" s="470" t="s">
        <v>391</v>
      </c>
      <c r="B85" s="453">
        <f>+SUMIF(Seguimiento_PAA!$E$32:$E$967,C85,Seguimiento_PAA!$AB$32:$AB$967)</f>
        <v>0</v>
      </c>
      <c r="C85" s="454" t="str">
        <f>+CONCATENATE(A85,"-",D85,"-",E85)</f>
        <v>Asesoría técnica para la protección y promoción del patrimonio cultural material del distrito capital-01-Recursos del Distrito 12-Otros Distrito-0316-Personal de apoyo para las actividades de valoración, protección y conservación del Patrimonio Cultural</v>
      </c>
      <c r="D85" s="473" t="s">
        <v>332</v>
      </c>
      <c r="E85" s="473" t="s">
        <v>228</v>
      </c>
      <c r="F85" s="473" t="s">
        <v>65</v>
      </c>
      <c r="G85" s="473" t="s">
        <v>76</v>
      </c>
      <c r="H85" s="474" t="s">
        <v>67</v>
      </c>
      <c r="I85" s="479">
        <f>COUNTIF(Seguimiento_PAA!$E$32:$E$967,C85)</f>
        <v>0</v>
      </c>
      <c r="J85" s="451">
        <f>+SUMIF(Seguimiento_PAA!$E$32:$E$967,C85,Seguimiento_PAA!$BF$32:$BF$967)</f>
        <v>0</v>
      </c>
      <c r="K85" s="451">
        <f>+SUMIF(Seguimiento_PAA!$E$32:$E$967,C85,Seguimiento_PAA!$BJ$32:$BJ$967)</f>
        <v>0</v>
      </c>
      <c r="L85" s="451">
        <f>+SUMIF(Seguimiento_PAA!$E$32:$E$967,C85,Seguimiento_PAA!$CB$32:$CB$967)</f>
        <v>0</v>
      </c>
    </row>
    <row r="86" spans="1:12" s="4" customFormat="1">
      <c r="A86" s="101" t="s">
        <v>293</v>
      </c>
      <c r="B86" s="102">
        <f>+B85-J85</f>
        <v>0</v>
      </c>
      <c r="C86" s="238"/>
      <c r="D86" s="103"/>
      <c r="E86" s="103"/>
      <c r="F86" s="103"/>
      <c r="G86" s="103"/>
      <c r="H86" s="104"/>
      <c r="I86" s="120"/>
      <c r="J86" s="29"/>
      <c r="K86" s="29"/>
      <c r="L86" s="29"/>
    </row>
    <row r="87" spans="1:12" s="4" customFormat="1">
      <c r="A87" s="101" t="s">
        <v>77</v>
      </c>
      <c r="B87" s="441">
        <f>+B85+B82+B81+B80+B77+B74+B70+B67+B64+B61+B58+B54+B51+B48+B45+B42+B39+B36+B33+B30+B27+B24+B21+B18</f>
        <v>0</v>
      </c>
      <c r="C87" s="238"/>
      <c r="D87" s="103"/>
      <c r="E87" s="103"/>
      <c r="F87" s="103"/>
      <c r="G87" s="103"/>
      <c r="H87" s="104"/>
      <c r="I87" s="120"/>
      <c r="J87" s="29"/>
      <c r="K87" s="29"/>
      <c r="L87" s="29"/>
    </row>
    <row r="88" spans="1:12" s="199" customFormat="1">
      <c r="A88" s="239" t="s">
        <v>503</v>
      </c>
      <c r="B88" s="239">
        <f>+B84+B79+B76+B73+B69+B66+B63+B60+B57+B53+B50+B47+B44+B41+B38+B35+B32+B29+B26+B23+B20+B17</f>
        <v>18378705417</v>
      </c>
      <c r="C88" s="239"/>
      <c r="D88" s="239"/>
      <c r="E88" s="239"/>
      <c r="F88" s="239"/>
      <c r="G88" s="239"/>
      <c r="H88" s="239"/>
      <c r="I88" s="239"/>
      <c r="J88" s="239"/>
      <c r="K88" s="240"/>
      <c r="L88" s="240"/>
    </row>
    <row r="89" spans="1:12" s="199" customFormat="1">
      <c r="A89" s="251"/>
      <c r="B89" s="239"/>
      <c r="C89" s="239"/>
      <c r="D89" s="239"/>
      <c r="E89" s="239"/>
      <c r="F89" s="239"/>
      <c r="G89" s="239"/>
      <c r="H89" s="239"/>
      <c r="I89" s="239"/>
      <c r="J89" s="239"/>
      <c r="K89" s="240"/>
      <c r="L89" s="240"/>
    </row>
    <row r="90" spans="1:12">
      <c r="A90" s="61" t="s">
        <v>10</v>
      </c>
      <c r="B90" s="125" t="s">
        <v>0</v>
      </c>
      <c r="C90" s="125"/>
      <c r="D90" s="15">
        <f>+D95+D96+D97+D98+D99+D100+D101+D102+D103</f>
        <v>0</v>
      </c>
      <c r="E90" s="239"/>
      <c r="F90" s="239"/>
      <c r="G90" s="239"/>
      <c r="H90" s="239"/>
      <c r="I90" s="239"/>
      <c r="J90" s="239"/>
      <c r="K90" s="239"/>
      <c r="L90" s="239"/>
    </row>
    <row r="91" spans="1:12" ht="25.5">
      <c r="A91" s="251"/>
      <c r="B91" s="239"/>
      <c r="C91" s="7"/>
      <c r="D91" s="239"/>
      <c r="E91" s="239"/>
      <c r="F91" s="239"/>
      <c r="G91" s="239"/>
      <c r="H91" s="7"/>
      <c r="I91" s="26" t="s">
        <v>353</v>
      </c>
      <c r="J91" s="30" t="s">
        <v>354</v>
      </c>
      <c r="K91" s="30" t="s">
        <v>355</v>
      </c>
      <c r="L91" s="31" t="s">
        <v>356</v>
      </c>
    </row>
    <row r="92" spans="1:12">
      <c r="A92" s="62" t="s">
        <v>12</v>
      </c>
      <c r="B92" s="27">
        <f>+B87</f>
        <v>0</v>
      </c>
      <c r="C92" s="220"/>
      <c r="D92" s="239"/>
      <c r="E92" s="239"/>
      <c r="F92" s="239"/>
      <c r="G92" s="747" t="s">
        <v>12</v>
      </c>
      <c r="H92" s="748"/>
      <c r="I92" s="27">
        <f>+SUM(I85,I82,I77,I74,I71,I67,I64,I58,I61,I54,I51,I48,I45,I42,I39,I36,I33,I30,I27,I24,I21,I18)</f>
        <v>0</v>
      </c>
      <c r="J92" s="27">
        <f>+SUM(J85,J82,J81,J80,J77,J74,J71,J70,J67,J64,J58,J61,J54,J51,J48,J45,J42,J39,J36,J33,J30,J27,J24,J21,J18)</f>
        <v>0</v>
      </c>
      <c r="K92" s="27">
        <f>+SUM(K85,K82,K81,K80,K77,K74,K71,K70,K67,K64,K58,K61,K54,K51,K48,K45,K42,K39,K36,K33,K30,K27,K24,K21,K18)</f>
        <v>0</v>
      </c>
      <c r="L92" s="27">
        <f>+SUM(L85,L82,L81,L80,L77,L74,L71,L70,L67,L64,L58,L61,L54,L51,L48,L45,L42,L39,L36,L33,L30,L27,L24,L21,L18)</f>
        <v>0</v>
      </c>
    </row>
    <row r="93" spans="1:12">
      <c r="A93" s="251"/>
      <c r="B93" s="239"/>
      <c r="C93" s="7"/>
      <c r="D93" s="239"/>
      <c r="E93" s="239"/>
      <c r="F93" s="239"/>
      <c r="G93" s="239"/>
      <c r="H93" s="11"/>
      <c r="I93" s="7"/>
      <c r="J93" s="7"/>
      <c r="K93" s="6"/>
      <c r="L93" s="6"/>
    </row>
    <row r="94" spans="1:12" s="4" customFormat="1">
      <c r="A94" s="58" t="s">
        <v>2</v>
      </c>
      <c r="B94" s="39" t="s">
        <v>78</v>
      </c>
      <c r="C94" s="39"/>
      <c r="D94" s="38"/>
      <c r="E94" s="239"/>
      <c r="F94" s="239"/>
      <c r="G94" s="239"/>
      <c r="H94" s="239"/>
      <c r="I94" s="239"/>
      <c r="J94" s="239"/>
      <c r="K94" s="240"/>
      <c r="L94" s="240"/>
    </row>
    <row r="95" spans="1:12" s="4" customFormat="1">
      <c r="A95" s="122" t="s">
        <v>79</v>
      </c>
      <c r="B95" s="121" t="s">
        <v>80</v>
      </c>
      <c r="C95" s="121"/>
      <c r="D95" s="124">
        <f>+B18+B21+B24+B27+B33+B36+B39+B71+B74</f>
        <v>0</v>
      </c>
      <c r="E95" s="239"/>
      <c r="F95" s="239"/>
      <c r="G95" s="239"/>
      <c r="H95" s="239"/>
      <c r="I95" s="239"/>
      <c r="J95" s="239"/>
      <c r="K95" s="240"/>
      <c r="L95" s="240"/>
    </row>
    <row r="96" spans="1:12" s="4" customFormat="1">
      <c r="A96" s="122" t="s">
        <v>81</v>
      </c>
      <c r="B96" s="121" t="s">
        <v>80</v>
      </c>
      <c r="C96" s="121"/>
      <c r="D96" s="124">
        <f>+B30+B48</f>
        <v>0</v>
      </c>
      <c r="E96" s="239"/>
      <c r="F96" s="241" t="s">
        <v>414</v>
      </c>
      <c r="G96" s="242"/>
      <c r="H96" s="239"/>
      <c r="I96" s="239"/>
      <c r="J96" s="239"/>
      <c r="K96" s="240"/>
      <c r="L96" s="240"/>
    </row>
    <row r="97" spans="1:13" s="4" customFormat="1">
      <c r="A97" s="122" t="s">
        <v>82</v>
      </c>
      <c r="B97" s="121" t="s">
        <v>80</v>
      </c>
      <c r="C97" s="121"/>
      <c r="D97" s="124">
        <f>+B54</f>
        <v>0</v>
      </c>
      <c r="E97" s="239"/>
      <c r="F97" s="243" t="s">
        <v>415</v>
      </c>
      <c r="G97" s="239"/>
      <c r="H97" s="239"/>
      <c r="I97" s="239"/>
      <c r="J97" s="239"/>
      <c r="K97" s="240"/>
      <c r="L97" s="240"/>
    </row>
    <row r="98" spans="1:13" s="4" customFormat="1">
      <c r="A98" s="122" t="s">
        <v>83</v>
      </c>
      <c r="B98" s="121" t="s">
        <v>80</v>
      </c>
      <c r="C98" s="121"/>
      <c r="D98" s="124">
        <f>+B45</f>
        <v>0</v>
      </c>
      <c r="E98" s="239"/>
      <c r="F98" s="244" t="s">
        <v>416</v>
      </c>
      <c r="G98" s="239"/>
      <c r="H98" s="239"/>
      <c r="I98" s="239"/>
      <c r="J98" s="239"/>
      <c r="K98" s="240"/>
      <c r="L98" s="240"/>
    </row>
    <row r="99" spans="1:13" s="4" customFormat="1">
      <c r="A99" s="122" t="s">
        <v>84</v>
      </c>
      <c r="B99" s="121" t="s">
        <v>80</v>
      </c>
      <c r="C99" s="121"/>
      <c r="D99" s="124">
        <f>+B42</f>
        <v>0</v>
      </c>
      <c r="E99" s="239"/>
      <c r="F99" s="239"/>
      <c r="G99" s="239"/>
      <c r="H99" s="239"/>
      <c r="I99" s="239"/>
      <c r="J99" s="239"/>
      <c r="K99" s="240"/>
      <c r="L99" s="240"/>
    </row>
    <row r="100" spans="1:13">
      <c r="A100" s="122" t="s">
        <v>85</v>
      </c>
      <c r="B100" s="121" t="s">
        <v>80</v>
      </c>
      <c r="C100" s="121"/>
      <c r="D100" s="124">
        <f>+B51</f>
        <v>0</v>
      </c>
      <c r="E100" s="239"/>
      <c r="F100" s="241" t="s">
        <v>414</v>
      </c>
      <c r="G100" s="242"/>
      <c r="H100" s="239"/>
      <c r="I100" s="239"/>
      <c r="J100" s="239"/>
      <c r="K100" s="240"/>
      <c r="L100" s="240"/>
    </row>
    <row r="101" spans="1:13">
      <c r="A101" s="122" t="s">
        <v>86</v>
      </c>
      <c r="B101" s="121" t="s">
        <v>80</v>
      </c>
      <c r="C101" s="235"/>
      <c r="D101" s="124">
        <f>+B58+B61+B64+B67</f>
        <v>0</v>
      </c>
      <c r="E101" s="239"/>
      <c r="F101" s="243" t="s">
        <v>417</v>
      </c>
      <c r="G101" s="239"/>
      <c r="H101" s="239"/>
      <c r="I101" s="239"/>
      <c r="J101" s="239"/>
      <c r="K101" s="240"/>
      <c r="L101" s="240"/>
    </row>
    <row r="102" spans="1:13">
      <c r="A102" s="122" t="s">
        <v>79</v>
      </c>
      <c r="B102" s="121" t="s">
        <v>87</v>
      </c>
      <c r="C102" s="235"/>
      <c r="D102" s="124">
        <f>+B82</f>
        <v>0</v>
      </c>
      <c r="E102" s="239"/>
      <c r="F102" s="250" t="s">
        <v>418</v>
      </c>
      <c r="G102" s="239"/>
      <c r="H102" s="239"/>
      <c r="I102" s="239"/>
      <c r="J102" s="239"/>
      <c r="K102" s="240"/>
      <c r="L102" s="240"/>
    </row>
    <row r="103" spans="1:13">
      <c r="A103" s="122" t="s">
        <v>79</v>
      </c>
      <c r="B103" s="121" t="s">
        <v>88</v>
      </c>
      <c r="C103" s="235"/>
      <c r="D103" s="124">
        <f>+B85+B77</f>
        <v>0</v>
      </c>
      <c r="E103" s="239"/>
      <c r="F103" s="199"/>
      <c r="G103" s="199"/>
      <c r="H103" s="239"/>
      <c r="I103" s="239"/>
      <c r="J103" s="239"/>
      <c r="K103" s="240"/>
      <c r="L103" s="240"/>
    </row>
    <row r="104" spans="1:13">
      <c r="A104" s="251"/>
      <c r="B104" s="239"/>
      <c r="C104" s="239"/>
      <c r="D104" s="239">
        <f>+SUM(D95:D103)</f>
        <v>0</v>
      </c>
      <c r="E104" s="239"/>
      <c r="F104" s="241" t="s">
        <v>414</v>
      </c>
      <c r="G104" s="242"/>
      <c r="H104" s="239"/>
      <c r="I104" s="239"/>
      <c r="J104" s="239"/>
      <c r="K104" s="240"/>
      <c r="L104" s="240"/>
      <c r="M104" s="199"/>
    </row>
    <row r="105" spans="1:13">
      <c r="A105" s="252"/>
      <c r="B105" s="180"/>
      <c r="C105" s="180" t="str">
        <f>+CONCATENATE(A61,"-",D61,"-",E61)</f>
        <v>Bienes de Interés Cultural de tipo inmueble intervenidos (Edificio Claustro del Concejo de Bogotá -rampa-)-03-Recursos Administrados 20-Administrados de Destinación Específica-0525-Recuperación y aprovechamiento de bienes de interés cultural</v>
      </c>
      <c r="D105" s="180"/>
      <c r="E105" s="180"/>
      <c r="F105" s="243" t="s">
        <v>419</v>
      </c>
      <c r="G105" s="180"/>
      <c r="H105" s="180"/>
      <c r="I105" s="481"/>
      <c r="J105" s="180"/>
      <c r="K105" s="180"/>
      <c r="L105" s="180"/>
      <c r="M105" s="199"/>
    </row>
    <row r="106" spans="1:13">
      <c r="A106" s="252"/>
      <c r="B106" s="180"/>
      <c r="C106" s="180"/>
      <c r="D106" s="180"/>
      <c r="E106" s="180"/>
      <c r="F106" s="244" t="s">
        <v>416</v>
      </c>
      <c r="G106" s="180"/>
      <c r="H106" s="180"/>
      <c r="I106" s="481"/>
      <c r="J106" s="180"/>
      <c r="K106" s="180"/>
      <c r="L106" s="180"/>
      <c r="M106" s="199"/>
    </row>
    <row r="107" spans="1:13" ht="13.5" thickBot="1">
      <c r="A107" s="253"/>
      <c r="B107" s="248"/>
      <c r="C107" s="248"/>
      <c r="D107" s="254"/>
      <c r="E107" s="245"/>
      <c r="F107" s="246"/>
      <c r="G107" s="247"/>
      <c r="H107" s="247"/>
      <c r="I107" s="482"/>
      <c r="J107" s="248"/>
      <c r="K107" s="248"/>
      <c r="L107" s="248"/>
      <c r="M107" s="199"/>
    </row>
    <row r="108" spans="1:13">
      <c r="A108" s="255" t="s">
        <v>15</v>
      </c>
      <c r="B108" s="199"/>
      <c r="C108" s="199"/>
      <c r="D108" s="199"/>
      <c r="E108" s="199"/>
      <c r="F108" s="199"/>
      <c r="G108" s="249"/>
      <c r="H108" s="199"/>
      <c r="I108" s="483"/>
      <c r="J108" s="199"/>
      <c r="K108" s="199"/>
      <c r="L108" s="199"/>
      <c r="M108" s="199"/>
    </row>
    <row r="109" spans="1:13">
      <c r="A109" s="199"/>
      <c r="B109" s="199"/>
      <c r="C109" s="199"/>
      <c r="D109" s="199"/>
      <c r="E109" s="199"/>
      <c r="F109" s="199"/>
      <c r="G109" s="199"/>
      <c r="H109" s="199"/>
      <c r="I109" s="483"/>
      <c r="J109" s="199"/>
      <c r="K109" s="199"/>
      <c r="L109" s="199"/>
      <c r="M109" s="199"/>
    </row>
    <row r="110" spans="1:13">
      <c r="A110" s="199"/>
      <c r="B110" s="199"/>
      <c r="C110" s="199"/>
      <c r="D110" s="199"/>
      <c r="E110" s="199"/>
      <c r="F110" s="199"/>
      <c r="G110" s="199"/>
      <c r="H110" s="199"/>
      <c r="I110" s="483"/>
      <c r="J110" s="199"/>
      <c r="K110" s="199"/>
      <c r="L110" s="199"/>
      <c r="M110" s="199"/>
    </row>
    <row r="111" spans="1:13">
      <c r="A111" s="199"/>
      <c r="B111" s="199"/>
      <c r="C111" s="199"/>
      <c r="D111" s="199"/>
      <c r="E111" s="199"/>
      <c r="F111" s="199">
        <v>10</v>
      </c>
      <c r="G111" s="289">
        <v>1</v>
      </c>
      <c r="H111" s="199"/>
      <c r="I111" s="483"/>
      <c r="J111" s="199"/>
      <c r="K111" s="199"/>
      <c r="L111" s="199"/>
      <c r="M111" s="199"/>
    </row>
    <row r="112" spans="1:13">
      <c r="A112" s="256"/>
      <c r="B112" s="257"/>
      <c r="C112" s="257"/>
      <c r="D112" s="258"/>
      <c r="E112" s="259"/>
      <c r="F112" s="199">
        <v>23</v>
      </c>
      <c r="G112" s="289">
        <f>F112*G111/F111</f>
        <v>2.2999999999999998</v>
      </c>
      <c r="H112" s="199"/>
      <c r="I112" s="483"/>
      <c r="J112" s="199"/>
      <c r="K112" s="199"/>
      <c r="L112" s="199"/>
      <c r="M112" s="199"/>
    </row>
    <row r="113" spans="1:13">
      <c r="A113" s="260"/>
      <c r="B113" s="261"/>
      <c r="C113" s="261"/>
      <c r="D113" s="262"/>
      <c r="E113" s="263"/>
      <c r="F113" s="199"/>
      <c r="G113" s="199"/>
      <c r="H113" s="199"/>
      <c r="I113" s="483"/>
      <c r="J113" s="199"/>
      <c r="K113" s="199"/>
      <c r="L113" s="199"/>
      <c r="M113" s="199"/>
    </row>
    <row r="114" spans="1:13">
      <c r="A114" s="1"/>
      <c r="B114" s="3"/>
      <c r="C114" s="3"/>
      <c r="D114" s="22"/>
      <c r="E114" s="21"/>
    </row>
    <row r="115" spans="1:13">
      <c r="A115" s="1"/>
      <c r="B115" s="3"/>
      <c r="C115" s="3"/>
      <c r="D115" s="22"/>
      <c r="E115" s="21"/>
    </row>
    <row r="117" spans="1:13">
      <c r="A117" s="290"/>
    </row>
    <row r="118" spans="1:13">
      <c r="A118" s="290"/>
    </row>
    <row r="123" spans="1:13">
      <c r="A123" s="20"/>
      <c r="B123" s="9"/>
      <c r="C123" s="9"/>
    </row>
    <row r="124" spans="1:13">
      <c r="A124" s="1"/>
      <c r="B124" s="3"/>
      <c r="C124" s="3"/>
      <c r="G124" s="8"/>
    </row>
    <row r="125" spans="1:13">
      <c r="A125" s="1"/>
      <c r="B125" s="3"/>
      <c r="C125" s="3"/>
      <c r="G125" s="8"/>
    </row>
    <row r="126" spans="1:13">
      <c r="A126" s="1"/>
      <c r="B126" s="3"/>
      <c r="C126" s="3"/>
      <c r="G126" s="8"/>
    </row>
    <row r="127" spans="1:13">
      <c r="A127" s="1"/>
      <c r="B127" s="3"/>
      <c r="C127" s="3"/>
      <c r="G127" s="8"/>
    </row>
    <row r="134" spans="1:3">
      <c r="A134" s="1"/>
      <c r="B134" s="3"/>
      <c r="C134" s="3"/>
    </row>
    <row r="135" spans="1:3">
      <c r="A135" s="1"/>
      <c r="B135" s="3"/>
      <c r="C135" s="3"/>
    </row>
    <row r="136" spans="1:3">
      <c r="A136" s="1"/>
      <c r="B136" s="3"/>
      <c r="C136" s="3"/>
    </row>
    <row r="137" spans="1:3">
      <c r="A137" s="1"/>
      <c r="B137" s="3"/>
      <c r="C137" s="3"/>
    </row>
    <row r="138" spans="1:3">
      <c r="A138" s="1"/>
      <c r="B138" s="3"/>
      <c r="C138" s="3"/>
    </row>
    <row r="139" spans="1:3">
      <c r="A139" s="1"/>
      <c r="B139" s="3"/>
      <c r="C139" s="3"/>
    </row>
    <row r="140" spans="1:3">
      <c r="A140" s="1"/>
      <c r="B140" s="3"/>
      <c r="C140" s="3"/>
    </row>
    <row r="141" spans="1:3">
      <c r="A141" s="1"/>
      <c r="B141" s="3"/>
      <c r="C141" s="3"/>
    </row>
    <row r="142" spans="1:3">
      <c r="A142" s="1"/>
      <c r="B142" s="3"/>
      <c r="C142" s="3"/>
    </row>
    <row r="143" spans="1:3">
      <c r="A143" s="1"/>
      <c r="B143" s="3"/>
      <c r="C143" s="3"/>
    </row>
    <row r="144" spans="1:3">
      <c r="A144" s="1"/>
      <c r="B144" s="3"/>
      <c r="C144" s="3"/>
    </row>
    <row r="145" spans="1:3">
      <c r="A145" s="1"/>
      <c r="B145" s="3"/>
      <c r="C145" s="3"/>
    </row>
    <row r="146" spans="1:3">
      <c r="A146" s="1"/>
      <c r="B146" s="3"/>
      <c r="C146" s="3"/>
    </row>
    <row r="147" spans="1:3">
      <c r="A147" s="1"/>
      <c r="B147" s="3"/>
      <c r="C147" s="3"/>
    </row>
    <row r="148" spans="1:3">
      <c r="A148" s="1"/>
      <c r="B148" s="3"/>
      <c r="C148" s="3"/>
    </row>
    <row r="149" spans="1:3">
      <c r="A149" s="1"/>
      <c r="B149" s="3"/>
      <c r="C149" s="3"/>
    </row>
    <row r="150" spans="1:3">
      <c r="A150" s="1"/>
      <c r="B150" s="3"/>
      <c r="C150" s="3"/>
    </row>
    <row r="151" spans="1:3">
      <c r="A151" s="1"/>
      <c r="B151" s="3"/>
      <c r="C151" s="3"/>
    </row>
    <row r="152" spans="1:3">
      <c r="A152" s="1"/>
      <c r="B152" s="3"/>
      <c r="C152" s="3"/>
    </row>
  </sheetData>
  <autoFilter ref="A15:X15"/>
  <mergeCells count="18">
    <mergeCell ref="A1:A2"/>
    <mergeCell ref="K1:L1"/>
    <mergeCell ref="K2:L2"/>
    <mergeCell ref="A3:H3"/>
    <mergeCell ref="B9:E9"/>
    <mergeCell ref="C1:H1"/>
    <mergeCell ref="I1:J1"/>
    <mergeCell ref="C2:H2"/>
    <mergeCell ref="I2:J2"/>
    <mergeCell ref="G92:H92"/>
    <mergeCell ref="B10:H10"/>
    <mergeCell ref="B11:H11"/>
    <mergeCell ref="B14:D14"/>
    <mergeCell ref="A4:H4"/>
    <mergeCell ref="A5:H5"/>
    <mergeCell ref="A6:H6"/>
    <mergeCell ref="A7:H7"/>
    <mergeCell ref="A8:H8"/>
  </mergeCells>
  <conditionalFormatting sqref="B38">
    <cfRule type="cellIs" dxfId="15" priority="1" operator="lessThan">
      <formula>0</formula>
    </cfRule>
    <cfRule type="cellIs" dxfId="14" priority="2" operator="lessThan">
      <formula>0</formula>
    </cfRule>
  </conditionalFormatting>
  <printOptions horizontalCentered="1" verticalCentered="1"/>
  <pageMargins left="1.0236220472440944" right="0.39370078740157483" top="0" bottom="0" header="0" footer="0"/>
  <pageSetup scale="11" orientation="landscape"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2:O318"/>
  <sheetViews>
    <sheetView topLeftCell="F221" zoomScaleNormal="100" workbookViewId="0">
      <selection activeCell="O221" sqref="O221:O231"/>
    </sheetView>
  </sheetViews>
  <sheetFormatPr baseColWidth="10" defaultRowHeight="12.75"/>
  <cols>
    <col min="1" max="1" width="68.42578125" style="2" customWidth="1"/>
    <col min="2" max="2" width="42.85546875" customWidth="1"/>
    <col min="3" max="3" width="40.42578125" customWidth="1"/>
    <col min="4" max="4" width="91.140625" customWidth="1"/>
    <col min="5" max="5" width="54.42578125" customWidth="1"/>
    <col min="6" max="6" width="18.140625" customWidth="1"/>
    <col min="7" max="7" width="31" customWidth="1"/>
    <col min="8" max="8" width="53.85546875" customWidth="1"/>
    <col min="9" max="9" width="22.85546875" customWidth="1"/>
    <col min="11" max="11" width="33.140625" customWidth="1"/>
  </cols>
  <sheetData>
    <row r="2" spans="1:1">
      <c r="A2" s="158" t="s">
        <v>137</v>
      </c>
    </row>
    <row r="3" spans="1:1">
      <c r="A3" s="154" t="s">
        <v>138</v>
      </c>
    </row>
    <row r="4" spans="1:1">
      <c r="A4" s="154" t="s">
        <v>139</v>
      </c>
    </row>
    <row r="5" spans="1:1">
      <c r="A5" s="154" t="s">
        <v>140</v>
      </c>
    </row>
    <row r="6" spans="1:1">
      <c r="A6" s="154" t="s">
        <v>141</v>
      </c>
    </row>
    <row r="7" spans="1:1">
      <c r="A7" s="154" t="s">
        <v>142</v>
      </c>
    </row>
    <row r="8" spans="1:1">
      <c r="A8" s="154" t="s">
        <v>143</v>
      </c>
    </row>
    <row r="9" spans="1:1" ht="25.5">
      <c r="A9" s="154" t="s">
        <v>144</v>
      </c>
    </row>
    <row r="11" spans="1:1">
      <c r="A11" s="159" t="s">
        <v>145</v>
      </c>
    </row>
    <row r="12" spans="1:1" ht="15.75" customHeight="1">
      <c r="A12" s="572" t="s">
        <v>196</v>
      </c>
    </row>
    <row r="13" spans="1:1" ht="25.5">
      <c r="A13" s="572" t="s">
        <v>201</v>
      </c>
    </row>
    <row r="14" spans="1:1">
      <c r="A14" s="572" t="s">
        <v>583</v>
      </c>
    </row>
    <row r="15" spans="1:1" ht="25.5">
      <c r="A15" s="572" t="s">
        <v>225</v>
      </c>
    </row>
    <row r="16" spans="1:1" ht="25.5">
      <c r="A16" s="572" t="s">
        <v>228</v>
      </c>
    </row>
    <row r="17" spans="1:5" ht="25.5">
      <c r="A17" s="572" t="s">
        <v>232</v>
      </c>
    </row>
    <row r="18" spans="1:5">
      <c r="A18" s="286" t="s">
        <v>584</v>
      </c>
    </row>
    <row r="19" spans="1:5">
      <c r="A19" s="286" t="s">
        <v>585</v>
      </c>
    </row>
    <row r="20" spans="1:5">
      <c r="A20" s="286" t="s">
        <v>586</v>
      </c>
    </row>
    <row r="21" spans="1:5" ht="25.5">
      <c r="A21" s="286" t="s">
        <v>243</v>
      </c>
      <c r="D21" s="286"/>
    </row>
    <row r="22" spans="1:5" ht="25.5">
      <c r="A22" s="286" t="s">
        <v>244</v>
      </c>
      <c r="B22" s="573"/>
      <c r="D22" s="573"/>
    </row>
    <row r="23" spans="1:5">
      <c r="A23" s="2" t="s">
        <v>582</v>
      </c>
    </row>
    <row r="26" spans="1:5" ht="15">
      <c r="A26" s="159" t="s">
        <v>246</v>
      </c>
      <c r="B26" s="165"/>
      <c r="C26" s="165"/>
      <c r="D26" s="165"/>
      <c r="E26" s="165"/>
    </row>
    <row r="27" spans="1:5" ht="15">
      <c r="A27" s="173">
        <v>43101</v>
      </c>
      <c r="B27" s="165"/>
      <c r="C27" s="165"/>
      <c r="E27" s="165"/>
    </row>
    <row r="28" spans="1:5" ht="15">
      <c r="A28" s="173">
        <v>43108</v>
      </c>
      <c r="B28" s="165"/>
      <c r="C28" s="165"/>
    </row>
    <row r="29" spans="1:5" ht="15">
      <c r="A29" s="173">
        <v>43178</v>
      </c>
      <c r="B29" s="165"/>
      <c r="C29" s="165"/>
    </row>
    <row r="30" spans="1:5" ht="15">
      <c r="A30" s="173">
        <v>43188</v>
      </c>
      <c r="B30" s="165"/>
      <c r="C30" s="165"/>
    </row>
    <row r="31" spans="1:5" ht="15">
      <c r="A31" s="173">
        <v>43189</v>
      </c>
      <c r="B31" s="165"/>
      <c r="C31" s="165"/>
    </row>
    <row r="32" spans="1:5" ht="15">
      <c r="A32" s="173">
        <v>43221</v>
      </c>
      <c r="B32" s="165"/>
      <c r="C32" s="165"/>
    </row>
    <row r="33" spans="1:3" ht="15">
      <c r="A33" s="173">
        <v>43234</v>
      </c>
      <c r="B33" s="165"/>
      <c r="C33" s="165"/>
    </row>
    <row r="34" spans="1:3" ht="15">
      <c r="A34" s="173">
        <v>43255</v>
      </c>
      <c r="B34" s="165"/>
      <c r="C34" s="165"/>
    </row>
    <row r="35" spans="1:3" ht="15">
      <c r="A35" s="173">
        <v>43262</v>
      </c>
      <c r="B35" s="165"/>
      <c r="C35" s="165"/>
    </row>
    <row r="36" spans="1:3" ht="15">
      <c r="A36" s="173">
        <v>43283</v>
      </c>
      <c r="B36" s="165"/>
      <c r="C36" s="165"/>
    </row>
    <row r="37" spans="1:3" ht="15">
      <c r="A37" s="173">
        <v>43301</v>
      </c>
      <c r="B37" s="165"/>
      <c r="C37" s="165"/>
    </row>
    <row r="38" spans="1:3" ht="15">
      <c r="A38" s="173">
        <v>43316</v>
      </c>
      <c r="B38" s="165"/>
      <c r="C38" s="165"/>
    </row>
    <row r="39" spans="1:3" ht="15">
      <c r="A39" s="173">
        <v>43332</v>
      </c>
      <c r="B39" s="165"/>
      <c r="C39" s="165"/>
    </row>
    <row r="40" spans="1:3" ht="15">
      <c r="A40" s="173">
        <v>43388</v>
      </c>
      <c r="B40" s="172"/>
      <c r="C40" s="172"/>
    </row>
    <row r="41" spans="1:3" ht="15">
      <c r="A41" s="173">
        <v>43409</v>
      </c>
      <c r="B41" s="172"/>
      <c r="C41" s="172"/>
    </row>
    <row r="42" spans="1:3" ht="15">
      <c r="A42" s="173">
        <v>43416</v>
      </c>
      <c r="B42" s="172"/>
      <c r="C42" s="172"/>
    </row>
    <row r="43" spans="1:3" ht="15">
      <c r="A43" s="173">
        <v>43442</v>
      </c>
      <c r="B43" s="172"/>
      <c r="C43" s="172"/>
    </row>
    <row r="44" spans="1:3" ht="15">
      <c r="A44" s="173">
        <v>43459</v>
      </c>
      <c r="B44" s="172"/>
      <c r="C44" s="172"/>
    </row>
    <row r="46" spans="1:3" ht="15" customHeight="1">
      <c r="A46" s="741" t="s">
        <v>254</v>
      </c>
      <c r="B46" s="741"/>
    </row>
    <row r="47" spans="1:3">
      <c r="A47" s="167" t="s">
        <v>181</v>
      </c>
    </row>
    <row r="48" spans="1:3">
      <c r="A48" s="166" t="s">
        <v>184</v>
      </c>
    </row>
    <row r="49" spans="1:5">
      <c r="A49" s="166" t="s">
        <v>182</v>
      </c>
    </row>
    <row r="50" spans="1:5">
      <c r="A50" s="166" t="s">
        <v>183</v>
      </c>
    </row>
    <row r="51" spans="1:5">
      <c r="A51" s="166" t="s">
        <v>247</v>
      </c>
    </row>
    <row r="52" spans="1:5" ht="25.5">
      <c r="A52" s="166" t="s">
        <v>248</v>
      </c>
    </row>
    <row r="53" spans="1:5">
      <c r="A53" s="166" t="s">
        <v>249</v>
      </c>
      <c r="D53" s="265"/>
      <c r="E53" s="265"/>
    </row>
    <row r="54" spans="1:5">
      <c r="A54" s="166" t="s">
        <v>250</v>
      </c>
      <c r="B54" s="169">
        <v>10</v>
      </c>
      <c r="D54" s="265"/>
      <c r="E54" s="265"/>
    </row>
    <row r="55" spans="1:5">
      <c r="A55" s="166" t="s">
        <v>251</v>
      </c>
      <c r="B55" s="170">
        <v>10</v>
      </c>
      <c r="D55" s="265"/>
      <c r="E55" s="265"/>
    </row>
    <row r="56" spans="1:5">
      <c r="A56" s="166" t="s">
        <v>252</v>
      </c>
      <c r="B56" s="170">
        <v>10</v>
      </c>
      <c r="D56" s="265"/>
      <c r="E56" s="265"/>
    </row>
    <row r="57" spans="1:5">
      <c r="A57" s="168" t="s">
        <v>253</v>
      </c>
      <c r="B57" s="171">
        <v>10</v>
      </c>
      <c r="D57" s="265"/>
      <c r="E57" s="265"/>
    </row>
    <row r="58" spans="1:5">
      <c r="D58" s="265"/>
      <c r="E58" s="265"/>
    </row>
    <row r="59" spans="1:5">
      <c r="A59" s="741" t="s">
        <v>275</v>
      </c>
      <c r="B59" s="741"/>
      <c r="D59" s="265"/>
      <c r="E59" s="265"/>
    </row>
    <row r="60" spans="1:5">
      <c r="A60" s="179" t="s">
        <v>258</v>
      </c>
      <c r="B60" s="178" t="s">
        <v>257</v>
      </c>
      <c r="C60" s="169">
        <v>80</v>
      </c>
      <c r="D60" s="265"/>
      <c r="E60" s="265"/>
    </row>
    <row r="61" spans="1:5">
      <c r="A61" s="178" t="s">
        <v>260</v>
      </c>
      <c r="B61" s="178" t="s">
        <v>259</v>
      </c>
      <c r="C61" s="169">
        <v>60</v>
      </c>
      <c r="D61" s="265"/>
      <c r="E61" s="265"/>
    </row>
    <row r="62" spans="1:5">
      <c r="A62" s="186" t="s">
        <v>350</v>
      </c>
      <c r="B62" s="178" t="s">
        <v>261</v>
      </c>
      <c r="C62" s="169">
        <v>60</v>
      </c>
      <c r="D62" s="265"/>
      <c r="E62" s="265"/>
    </row>
    <row r="63" spans="1:5">
      <c r="A63" s="179" t="s">
        <v>263</v>
      </c>
      <c r="B63" s="178" t="s">
        <v>262</v>
      </c>
      <c r="C63" s="169">
        <v>10</v>
      </c>
      <c r="D63" s="265"/>
      <c r="E63" s="265"/>
    </row>
    <row r="64" spans="1:5">
      <c r="A64" s="187" t="s">
        <v>348</v>
      </c>
      <c r="B64" s="178" t="s">
        <v>264</v>
      </c>
      <c r="C64" s="169">
        <v>60</v>
      </c>
      <c r="D64" s="265"/>
      <c r="E64" s="265"/>
    </row>
    <row r="65" spans="1:5">
      <c r="A65" s="179" t="s">
        <v>347</v>
      </c>
      <c r="B65" s="178" t="s">
        <v>265</v>
      </c>
      <c r="C65" s="169">
        <v>60</v>
      </c>
      <c r="D65" s="265"/>
      <c r="E65" s="265"/>
    </row>
    <row r="66" spans="1:5">
      <c r="A66" s="179" t="s">
        <v>267</v>
      </c>
      <c r="B66" s="178" t="s">
        <v>266</v>
      </c>
      <c r="C66" s="169">
        <v>25</v>
      </c>
      <c r="D66" s="265"/>
      <c r="E66" s="265"/>
    </row>
    <row r="67" spans="1:5">
      <c r="A67" s="179" t="s">
        <v>269</v>
      </c>
      <c r="B67" s="178" t="s">
        <v>268</v>
      </c>
      <c r="C67" s="169">
        <v>10</v>
      </c>
      <c r="D67" s="265"/>
      <c r="E67" s="265"/>
    </row>
    <row r="68" spans="1:5">
      <c r="A68" s="179" t="s">
        <v>271</v>
      </c>
      <c r="B68" s="178" t="s">
        <v>268</v>
      </c>
      <c r="C68" s="169">
        <v>10</v>
      </c>
      <c r="D68" s="265"/>
      <c r="E68" s="265"/>
    </row>
    <row r="69" spans="1:5">
      <c r="A69" s="179" t="s">
        <v>272</v>
      </c>
      <c r="B69" s="178" t="s">
        <v>268</v>
      </c>
      <c r="C69" s="169">
        <v>10</v>
      </c>
      <c r="D69" s="265"/>
      <c r="E69" s="265"/>
    </row>
    <row r="70" spans="1:5">
      <c r="A70" s="179" t="s">
        <v>273</v>
      </c>
      <c r="B70" s="178" t="s">
        <v>268</v>
      </c>
      <c r="C70" s="169">
        <v>10</v>
      </c>
      <c r="D70" s="265"/>
      <c r="E70" s="265"/>
    </row>
    <row r="71" spans="1:5">
      <c r="A71" s="179" t="s">
        <v>274</v>
      </c>
      <c r="B71" s="178" t="s">
        <v>268</v>
      </c>
      <c r="C71" s="169">
        <v>10</v>
      </c>
      <c r="D71" s="265"/>
      <c r="E71" s="265"/>
    </row>
    <row r="72" spans="1:5">
      <c r="A72" s="179" t="s">
        <v>349</v>
      </c>
      <c r="B72" s="178" t="s">
        <v>270</v>
      </c>
      <c r="C72" s="169">
        <v>10</v>
      </c>
      <c r="D72" s="265"/>
      <c r="E72" s="265"/>
    </row>
    <row r="73" spans="1:5">
      <c r="A73" s="179" t="s">
        <v>351</v>
      </c>
      <c r="B73" s="179" t="s">
        <v>351</v>
      </c>
    </row>
    <row r="76" spans="1:5">
      <c r="A76" s="741" t="s">
        <v>282</v>
      </c>
      <c r="B76" s="741"/>
      <c r="D76" s="672"/>
      <c r="E76" t="s">
        <v>340</v>
      </c>
    </row>
    <row r="77" spans="1:5" ht="15">
      <c r="A77" s="706" t="s">
        <v>283</v>
      </c>
      <c r="B77" s="174" t="s">
        <v>278</v>
      </c>
      <c r="C77" s="562" t="s">
        <v>279</v>
      </c>
      <c r="D77" s="672"/>
      <c r="E77" t="s">
        <v>343</v>
      </c>
    </row>
    <row r="78" spans="1:5" ht="15">
      <c r="A78" s="706" t="s">
        <v>1040</v>
      </c>
      <c r="B78" s="174" t="s">
        <v>278</v>
      </c>
      <c r="C78" s="562" t="s">
        <v>279</v>
      </c>
      <c r="D78" s="672"/>
      <c r="E78" t="s">
        <v>344</v>
      </c>
    </row>
    <row r="79" spans="1:5" ht="15">
      <c r="A79" s="706" t="s">
        <v>573</v>
      </c>
      <c r="B79" s="174" t="s">
        <v>278</v>
      </c>
      <c r="C79" s="562" t="s">
        <v>574</v>
      </c>
      <c r="E79" t="s">
        <v>345</v>
      </c>
    </row>
    <row r="80" spans="1:5" ht="15">
      <c r="A80" s="174" t="s">
        <v>284</v>
      </c>
      <c r="B80" s="174" t="s">
        <v>278</v>
      </c>
      <c r="C80" s="174" t="s">
        <v>280</v>
      </c>
      <c r="E80" t="s">
        <v>341</v>
      </c>
    </row>
    <row r="81" spans="1:12" ht="15">
      <c r="A81" s="706" t="s">
        <v>285</v>
      </c>
      <c r="B81" s="174" t="s">
        <v>278</v>
      </c>
      <c r="C81" s="174" t="s">
        <v>281</v>
      </c>
    </row>
    <row r="82" spans="1:12" ht="15">
      <c r="A82" s="707" t="s">
        <v>1044</v>
      </c>
      <c r="B82" s="174" t="s">
        <v>278</v>
      </c>
      <c r="C82" s="562" t="s">
        <v>1041</v>
      </c>
    </row>
    <row r="83" spans="1:12" ht="15">
      <c r="A83" s="707" t="s">
        <v>1043</v>
      </c>
      <c r="B83" s="174" t="s">
        <v>278</v>
      </c>
      <c r="C83" s="562" t="s">
        <v>1042</v>
      </c>
    </row>
    <row r="84" spans="1:12">
      <c r="A84" s="163" t="s">
        <v>187</v>
      </c>
      <c r="B84" s="163" t="s">
        <v>163</v>
      </c>
      <c r="C84" s="163" t="s">
        <v>189</v>
      </c>
      <c r="D84" s="163" t="s">
        <v>186</v>
      </c>
      <c r="E84" s="163" t="s">
        <v>190</v>
      </c>
      <c r="F84" s="163" t="s">
        <v>191</v>
      </c>
      <c r="G84" s="163" t="s">
        <v>2</v>
      </c>
      <c r="H84" s="163" t="s">
        <v>192</v>
      </c>
      <c r="I84" s="163" t="s">
        <v>339</v>
      </c>
      <c r="K84" s="163" t="s">
        <v>189</v>
      </c>
      <c r="L84" s="163" t="s">
        <v>186</v>
      </c>
    </row>
    <row r="85" spans="1:12">
      <c r="A85" s="164" t="s">
        <v>185</v>
      </c>
      <c r="B85" s="177" t="s">
        <v>193</v>
      </c>
      <c r="C85" s="177" t="s">
        <v>194</v>
      </c>
      <c r="D85" s="176" t="s">
        <v>195</v>
      </c>
      <c r="E85" s="176" t="s">
        <v>196</v>
      </c>
      <c r="F85" s="177">
        <v>0</v>
      </c>
      <c r="G85" s="177" t="s">
        <v>197</v>
      </c>
      <c r="H85" s="177" t="s">
        <v>198</v>
      </c>
      <c r="I85" t="s">
        <v>332</v>
      </c>
      <c r="K85" s="177" t="s">
        <v>194</v>
      </c>
      <c r="L85" s="176" t="s">
        <v>195</v>
      </c>
    </row>
    <row r="86" spans="1:12">
      <c r="A86" s="161" t="s">
        <v>199</v>
      </c>
      <c r="B86" s="1" t="s">
        <v>200</v>
      </c>
      <c r="C86" s="1" t="s">
        <v>194</v>
      </c>
      <c r="D86" s="21" t="s">
        <v>195</v>
      </c>
      <c r="E86" s="21" t="s">
        <v>201</v>
      </c>
      <c r="F86" s="1">
        <v>0</v>
      </c>
      <c r="G86" s="1" t="s">
        <v>197</v>
      </c>
      <c r="H86" s="1" t="s">
        <v>198</v>
      </c>
      <c r="I86" t="s">
        <v>333</v>
      </c>
      <c r="K86" s="1" t="s">
        <v>194</v>
      </c>
      <c r="L86" s="21" t="s">
        <v>195</v>
      </c>
    </row>
    <row r="87" spans="1:12">
      <c r="A87" s="164" t="s">
        <v>214</v>
      </c>
      <c r="B87" s="177" t="s">
        <v>200</v>
      </c>
      <c r="C87" s="177" t="s">
        <v>215</v>
      </c>
      <c r="D87" s="176" t="s">
        <v>216</v>
      </c>
      <c r="E87" s="176" t="s">
        <v>422</v>
      </c>
      <c r="F87" s="177">
        <v>0</v>
      </c>
      <c r="G87" s="177" t="s">
        <v>197</v>
      </c>
      <c r="H87" s="177" t="s">
        <v>198</v>
      </c>
      <c r="I87" t="s">
        <v>334</v>
      </c>
      <c r="K87" s="177" t="s">
        <v>215</v>
      </c>
      <c r="L87" s="176" t="s">
        <v>216</v>
      </c>
    </row>
    <row r="88" spans="1:12">
      <c r="A88" s="164" t="s">
        <v>214</v>
      </c>
      <c r="B88" s="177" t="s">
        <v>200</v>
      </c>
      <c r="C88" s="177" t="s">
        <v>215</v>
      </c>
      <c r="D88" s="176" t="s">
        <v>216</v>
      </c>
      <c r="E88" s="176" t="s">
        <v>422</v>
      </c>
      <c r="F88" s="177">
        <v>0</v>
      </c>
      <c r="G88" s="177" t="s">
        <v>197</v>
      </c>
      <c r="H88" s="177" t="s">
        <v>217</v>
      </c>
      <c r="I88" t="s">
        <v>335</v>
      </c>
      <c r="K88" s="177" t="s">
        <v>215</v>
      </c>
      <c r="L88" s="176" t="s">
        <v>216</v>
      </c>
    </row>
    <row r="89" spans="1:12">
      <c r="A89" s="164" t="s">
        <v>214</v>
      </c>
      <c r="B89" s="177" t="s">
        <v>200</v>
      </c>
      <c r="C89" s="177" t="s">
        <v>215</v>
      </c>
      <c r="D89" s="176" t="s">
        <v>216</v>
      </c>
      <c r="E89" s="176" t="s">
        <v>422</v>
      </c>
      <c r="F89" s="177">
        <v>0</v>
      </c>
      <c r="G89" s="177" t="s">
        <v>197</v>
      </c>
      <c r="H89" s="177" t="s">
        <v>218</v>
      </c>
      <c r="I89" t="s">
        <v>336</v>
      </c>
      <c r="K89" s="177" t="s">
        <v>215</v>
      </c>
      <c r="L89" s="176" t="s">
        <v>216</v>
      </c>
    </row>
    <row r="90" spans="1:12">
      <c r="A90" s="164" t="s">
        <v>214</v>
      </c>
      <c r="B90" s="177" t="s">
        <v>200</v>
      </c>
      <c r="C90" s="177" t="s">
        <v>215</v>
      </c>
      <c r="D90" s="176" t="s">
        <v>216</v>
      </c>
      <c r="E90" s="176" t="s">
        <v>422</v>
      </c>
      <c r="F90" s="177">
        <v>0</v>
      </c>
      <c r="G90" s="177" t="s">
        <v>197</v>
      </c>
      <c r="H90" s="177" t="s">
        <v>219</v>
      </c>
      <c r="I90" t="s">
        <v>337</v>
      </c>
      <c r="K90" s="177" t="s">
        <v>215</v>
      </c>
      <c r="L90" s="176" t="s">
        <v>216</v>
      </c>
    </row>
    <row r="91" spans="1:12">
      <c r="A91" s="164" t="s">
        <v>214</v>
      </c>
      <c r="B91" s="177" t="s">
        <v>200</v>
      </c>
      <c r="C91" s="177" t="s">
        <v>215</v>
      </c>
      <c r="D91" s="176" t="s">
        <v>216</v>
      </c>
      <c r="E91" s="176" t="s">
        <v>422</v>
      </c>
      <c r="F91" s="177">
        <v>0</v>
      </c>
      <c r="G91" s="177" t="s">
        <v>220</v>
      </c>
      <c r="H91" s="177" t="s">
        <v>221</v>
      </c>
      <c r="I91" t="s">
        <v>338</v>
      </c>
      <c r="K91" s="177" t="s">
        <v>215</v>
      </c>
      <c r="L91" s="176" t="s">
        <v>216</v>
      </c>
    </row>
    <row r="92" spans="1:12">
      <c r="A92" s="164" t="s">
        <v>214</v>
      </c>
      <c r="B92" s="177" t="s">
        <v>200</v>
      </c>
      <c r="C92" s="177" t="s">
        <v>215</v>
      </c>
      <c r="D92" s="176" t="s">
        <v>216</v>
      </c>
      <c r="E92" s="176" t="s">
        <v>422</v>
      </c>
      <c r="F92" s="177">
        <v>0</v>
      </c>
      <c r="G92" s="177" t="s">
        <v>220</v>
      </c>
      <c r="H92" s="177" t="s">
        <v>222</v>
      </c>
      <c r="I92" s="559" t="s">
        <v>571</v>
      </c>
      <c r="K92" s="177" t="s">
        <v>215</v>
      </c>
      <c r="L92" s="176" t="s">
        <v>216</v>
      </c>
    </row>
    <row r="93" spans="1:12">
      <c r="A93" s="164" t="s">
        <v>214</v>
      </c>
      <c r="B93" s="177" t="s">
        <v>200</v>
      </c>
      <c r="C93" s="177" t="s">
        <v>215</v>
      </c>
      <c r="D93" s="176" t="s">
        <v>216</v>
      </c>
      <c r="E93" s="176" t="s">
        <v>422</v>
      </c>
      <c r="F93" s="177">
        <v>0</v>
      </c>
      <c r="G93" s="177" t="s">
        <v>220</v>
      </c>
      <c r="H93" s="177" t="s">
        <v>223</v>
      </c>
      <c r="K93" s="177" t="s">
        <v>215</v>
      </c>
      <c r="L93" s="176" t="s">
        <v>216</v>
      </c>
    </row>
    <row r="94" spans="1:12">
      <c r="A94" s="164" t="s">
        <v>214</v>
      </c>
      <c r="B94" s="177" t="s">
        <v>200</v>
      </c>
      <c r="C94" s="177" t="s">
        <v>215</v>
      </c>
      <c r="D94" s="176" t="s">
        <v>224</v>
      </c>
      <c r="E94" s="176" t="s">
        <v>225</v>
      </c>
      <c r="F94" s="177">
        <v>1</v>
      </c>
      <c r="G94" s="177" t="s">
        <v>197</v>
      </c>
      <c r="H94" s="177" t="s">
        <v>198</v>
      </c>
      <c r="K94" s="177" t="s">
        <v>215</v>
      </c>
      <c r="L94" s="176" t="s">
        <v>224</v>
      </c>
    </row>
    <row r="95" spans="1:12">
      <c r="A95" s="164" t="s">
        <v>214</v>
      </c>
      <c r="B95" s="177" t="s">
        <v>200</v>
      </c>
      <c r="C95" s="177" t="s">
        <v>226</v>
      </c>
      <c r="D95" s="176" t="s">
        <v>227</v>
      </c>
      <c r="E95" s="176" t="s">
        <v>228</v>
      </c>
      <c r="F95" s="177">
        <v>0</v>
      </c>
      <c r="G95" s="177" t="s">
        <v>197</v>
      </c>
      <c r="H95" s="177" t="s">
        <v>198</v>
      </c>
      <c r="K95" s="177" t="s">
        <v>226</v>
      </c>
      <c r="L95" s="176" t="s">
        <v>227</v>
      </c>
    </row>
    <row r="96" spans="1:12">
      <c r="A96" s="161" t="s">
        <v>229</v>
      </c>
      <c r="B96" s="1" t="s">
        <v>230</v>
      </c>
      <c r="C96" s="1" t="s">
        <v>226</v>
      </c>
      <c r="D96" s="21" t="s">
        <v>231</v>
      </c>
      <c r="E96" s="21" t="s">
        <v>232</v>
      </c>
      <c r="F96" s="1">
        <v>0</v>
      </c>
      <c r="G96" s="1" t="s">
        <v>197</v>
      </c>
      <c r="H96" s="1" t="s">
        <v>198</v>
      </c>
      <c r="K96" s="1" t="s">
        <v>226</v>
      </c>
      <c r="L96" s="21" t="s">
        <v>231</v>
      </c>
    </row>
    <row r="97" spans="1:12">
      <c r="A97" s="161" t="s">
        <v>229</v>
      </c>
      <c r="B97" s="1" t="s">
        <v>230</v>
      </c>
      <c r="C97" s="1" t="s">
        <v>226</v>
      </c>
      <c r="D97" s="21" t="s">
        <v>231</v>
      </c>
      <c r="E97" s="21" t="s">
        <v>232</v>
      </c>
      <c r="F97" s="1">
        <v>0</v>
      </c>
      <c r="G97" s="1" t="s">
        <v>220</v>
      </c>
      <c r="H97" s="1" t="s">
        <v>221</v>
      </c>
      <c r="K97" s="1" t="s">
        <v>226</v>
      </c>
      <c r="L97" s="21" t="s">
        <v>231</v>
      </c>
    </row>
    <row r="98" spans="1:12">
      <c r="A98" s="161" t="s">
        <v>229</v>
      </c>
      <c r="B98" s="1" t="s">
        <v>230</v>
      </c>
      <c r="C98" s="1" t="s">
        <v>194</v>
      </c>
      <c r="D98" s="21" t="s">
        <v>195</v>
      </c>
      <c r="E98" s="21" t="s">
        <v>201</v>
      </c>
      <c r="F98" s="1">
        <v>0</v>
      </c>
      <c r="G98" s="1" t="s">
        <v>197</v>
      </c>
      <c r="H98" s="1" t="s">
        <v>198</v>
      </c>
      <c r="K98" s="1" t="s">
        <v>194</v>
      </c>
      <c r="L98" s="21" t="s">
        <v>195</v>
      </c>
    </row>
    <row r="99" spans="1:12">
      <c r="A99" s="161" t="s">
        <v>229</v>
      </c>
      <c r="B99" s="1" t="s">
        <v>230</v>
      </c>
      <c r="C99" s="1" t="s">
        <v>194</v>
      </c>
      <c r="D99" s="21" t="s">
        <v>195</v>
      </c>
      <c r="E99" s="21" t="s">
        <v>196</v>
      </c>
      <c r="F99" s="1">
        <v>0</v>
      </c>
      <c r="G99" s="1" t="s">
        <v>197</v>
      </c>
      <c r="H99" s="1" t="s">
        <v>198</v>
      </c>
      <c r="K99" s="1" t="s">
        <v>194</v>
      </c>
      <c r="L99" s="21" t="s">
        <v>195</v>
      </c>
    </row>
    <row r="100" spans="1:12">
      <c r="A100" s="164" t="s">
        <v>233</v>
      </c>
      <c r="B100" s="177" t="s">
        <v>234</v>
      </c>
      <c r="C100" s="177" t="s">
        <v>215</v>
      </c>
      <c r="D100" s="176" t="s">
        <v>224</v>
      </c>
      <c r="E100" s="176" t="s">
        <v>235</v>
      </c>
      <c r="F100" s="177">
        <v>1</v>
      </c>
      <c r="G100" s="177" t="s">
        <v>197</v>
      </c>
      <c r="H100" s="177" t="s">
        <v>198</v>
      </c>
      <c r="K100" s="177" t="s">
        <v>215</v>
      </c>
      <c r="L100" s="176" t="s">
        <v>224</v>
      </c>
    </row>
    <row r="101" spans="1:12">
      <c r="A101" s="164" t="s">
        <v>233</v>
      </c>
      <c r="B101" s="177" t="s">
        <v>234</v>
      </c>
      <c r="C101" s="177" t="s">
        <v>215</v>
      </c>
      <c r="D101" s="176" t="s">
        <v>224</v>
      </c>
      <c r="E101" s="176" t="s">
        <v>235</v>
      </c>
      <c r="F101" s="177">
        <v>1</v>
      </c>
      <c r="G101" s="177" t="s">
        <v>220</v>
      </c>
      <c r="H101" s="177" t="s">
        <v>222</v>
      </c>
      <c r="K101" s="177" t="s">
        <v>215</v>
      </c>
      <c r="L101" s="176" t="s">
        <v>224</v>
      </c>
    </row>
    <row r="102" spans="1:12">
      <c r="A102" s="164" t="s">
        <v>233</v>
      </c>
      <c r="B102" s="177" t="s">
        <v>234</v>
      </c>
      <c r="C102" s="177" t="s">
        <v>236</v>
      </c>
      <c r="D102" s="176" t="s">
        <v>237</v>
      </c>
      <c r="E102" s="176" t="s">
        <v>238</v>
      </c>
      <c r="F102" s="177">
        <v>0</v>
      </c>
      <c r="G102" s="177" t="s">
        <v>197</v>
      </c>
      <c r="H102" s="177" t="s">
        <v>198</v>
      </c>
      <c r="K102" s="177" t="s">
        <v>236</v>
      </c>
      <c r="L102" s="176" t="s">
        <v>237</v>
      </c>
    </row>
    <row r="103" spans="1:12">
      <c r="A103" s="164" t="s">
        <v>233</v>
      </c>
      <c r="B103" s="177" t="s">
        <v>234</v>
      </c>
      <c r="C103" s="177" t="s">
        <v>236</v>
      </c>
      <c r="D103" s="176" t="s">
        <v>240</v>
      </c>
      <c r="E103" s="176" t="s">
        <v>239</v>
      </c>
      <c r="F103" s="177">
        <v>0</v>
      </c>
      <c r="G103" s="177" t="s">
        <v>197</v>
      </c>
      <c r="H103" s="177" t="s">
        <v>198</v>
      </c>
      <c r="K103" s="177" t="s">
        <v>236</v>
      </c>
      <c r="L103" s="176" t="s">
        <v>240</v>
      </c>
    </row>
    <row r="104" spans="1:12">
      <c r="A104" s="164" t="s">
        <v>233</v>
      </c>
      <c r="B104" s="177" t="s">
        <v>234</v>
      </c>
      <c r="C104" s="177" t="s">
        <v>241</v>
      </c>
      <c r="D104" s="176" t="s">
        <v>242</v>
      </c>
      <c r="E104" s="176" t="s">
        <v>243</v>
      </c>
      <c r="F104" s="177">
        <v>0</v>
      </c>
      <c r="G104" s="177" t="s">
        <v>197</v>
      </c>
      <c r="H104" s="177" t="s">
        <v>198</v>
      </c>
      <c r="K104" s="177" t="s">
        <v>241</v>
      </c>
      <c r="L104" s="176" t="s">
        <v>242</v>
      </c>
    </row>
    <row r="105" spans="1:12">
      <c r="A105" s="164" t="s">
        <v>233</v>
      </c>
      <c r="B105" s="177" t="s">
        <v>234</v>
      </c>
      <c r="C105" s="177" t="s">
        <v>241</v>
      </c>
      <c r="D105" s="176" t="s">
        <v>242</v>
      </c>
      <c r="E105" s="176" t="s">
        <v>244</v>
      </c>
      <c r="F105" s="177">
        <v>0</v>
      </c>
      <c r="G105" s="177" t="s">
        <v>197</v>
      </c>
      <c r="H105" s="177" t="s">
        <v>198</v>
      </c>
      <c r="K105" s="177" t="s">
        <v>241</v>
      </c>
      <c r="L105" s="176" t="s">
        <v>242</v>
      </c>
    </row>
    <row r="106" spans="1:12">
      <c r="A106"/>
    </row>
    <row r="107" spans="1:12">
      <c r="A107" s="159" t="s">
        <v>176</v>
      </c>
    </row>
    <row r="108" spans="1:12">
      <c r="A108" s="162" t="s">
        <v>596</v>
      </c>
      <c r="B108" s="164" t="s">
        <v>185</v>
      </c>
    </row>
    <row r="109" spans="1:12">
      <c r="A109" s="162" t="s">
        <v>27</v>
      </c>
      <c r="B109" s="161" t="s">
        <v>229</v>
      </c>
    </row>
    <row r="110" spans="1:12">
      <c r="A110" s="162" t="s">
        <v>178</v>
      </c>
      <c r="B110" s="164" t="s">
        <v>233</v>
      </c>
    </row>
    <row r="111" spans="1:12">
      <c r="A111" s="162" t="s">
        <v>179</v>
      </c>
      <c r="B111" s="161" t="s">
        <v>199</v>
      </c>
    </row>
    <row r="112" spans="1:12">
      <c r="A112" s="162" t="s">
        <v>180</v>
      </c>
      <c r="B112" s="164" t="s">
        <v>214</v>
      </c>
    </row>
    <row r="113" spans="1:6">
      <c r="A113" s="162" t="s">
        <v>329</v>
      </c>
      <c r="B113" s="181" t="s">
        <v>330</v>
      </c>
      <c r="E113" s="181"/>
    </row>
    <row r="114" spans="1:6">
      <c r="A114" s="162" t="s">
        <v>597</v>
      </c>
      <c r="B114" s="181" t="s">
        <v>331</v>
      </c>
      <c r="E114" s="182"/>
    </row>
    <row r="115" spans="1:6">
      <c r="A115"/>
      <c r="B115" s="19" t="s">
        <v>298</v>
      </c>
    </row>
    <row r="116" spans="1:6">
      <c r="A116" s="159" t="s">
        <v>297</v>
      </c>
      <c r="C116" s="160" t="s">
        <v>116</v>
      </c>
    </row>
    <row r="117" spans="1:6" ht="51">
      <c r="A117" s="162" t="s">
        <v>177</v>
      </c>
      <c r="B117" s="19" t="s">
        <v>299</v>
      </c>
      <c r="C117" s="154" t="s">
        <v>359</v>
      </c>
      <c r="E117" s="184" t="s">
        <v>177</v>
      </c>
    </row>
    <row r="118" spans="1:6" ht="25.5">
      <c r="A118" s="162" t="s">
        <v>363</v>
      </c>
      <c r="B118" s="19" t="s">
        <v>364</v>
      </c>
      <c r="C118" s="154" t="s">
        <v>118</v>
      </c>
      <c r="E118" s="184"/>
    </row>
    <row r="119" spans="1:6" ht="25.5">
      <c r="A119" s="162" t="s">
        <v>177</v>
      </c>
      <c r="B119" s="19" t="s">
        <v>299</v>
      </c>
      <c r="C119" s="154" t="s">
        <v>360</v>
      </c>
      <c r="E119" s="184" t="s">
        <v>27</v>
      </c>
    </row>
    <row r="120" spans="1:6" ht="25.5">
      <c r="A120" s="162" t="s">
        <v>180</v>
      </c>
      <c r="B120" s="19" t="s">
        <v>300</v>
      </c>
      <c r="C120" s="286" t="s">
        <v>576</v>
      </c>
      <c r="E120" s="184" t="s">
        <v>178</v>
      </c>
    </row>
    <row r="121" spans="1:6" ht="25.5">
      <c r="A121" s="162" t="s">
        <v>179</v>
      </c>
      <c r="B121" s="19" t="s">
        <v>301</v>
      </c>
      <c r="C121" s="154" t="s">
        <v>361</v>
      </c>
      <c r="E121" s="184" t="s">
        <v>180</v>
      </c>
    </row>
    <row r="122" spans="1:6" ht="38.25">
      <c r="A122" s="162" t="s">
        <v>27</v>
      </c>
      <c r="B122" s="19" t="s">
        <v>302</v>
      </c>
      <c r="C122" s="154" t="s">
        <v>358</v>
      </c>
      <c r="E122" s="184" t="s">
        <v>179</v>
      </c>
    </row>
    <row r="123" spans="1:6" ht="25.5">
      <c r="A123" s="162" t="s">
        <v>178</v>
      </c>
      <c r="B123" s="19" t="s">
        <v>303</v>
      </c>
      <c r="C123" s="154" t="s">
        <v>362</v>
      </c>
    </row>
    <row r="124" spans="1:6">
      <c r="A124"/>
    </row>
    <row r="125" spans="1:6">
      <c r="A125"/>
    </row>
    <row r="126" spans="1:6">
      <c r="A126" s="159" t="s">
        <v>297</v>
      </c>
      <c r="D126" s="159" t="s">
        <v>64</v>
      </c>
      <c r="E126" s="159" t="s">
        <v>119</v>
      </c>
      <c r="F126" s="198" t="s">
        <v>116</v>
      </c>
    </row>
    <row r="127" spans="1:6">
      <c r="A127" s="162" t="s">
        <v>596</v>
      </c>
      <c r="B127" s="19" t="s">
        <v>305</v>
      </c>
      <c r="C127" s="19" t="s">
        <v>384</v>
      </c>
      <c r="D127" s="182" t="s">
        <v>376</v>
      </c>
      <c r="E127" s="161" t="s">
        <v>365</v>
      </c>
      <c r="F127" s="161" t="s">
        <v>359</v>
      </c>
    </row>
    <row r="128" spans="1:6">
      <c r="A128" s="162" t="s">
        <v>596</v>
      </c>
      <c r="B128" s="19" t="s">
        <v>305</v>
      </c>
      <c r="C128" s="19" t="s">
        <v>384</v>
      </c>
      <c r="D128" s="182" t="s">
        <v>377</v>
      </c>
      <c r="E128" s="161" t="s">
        <v>366</v>
      </c>
      <c r="F128" s="161" t="s">
        <v>360</v>
      </c>
    </row>
    <row r="129" spans="1:6">
      <c r="A129" s="162" t="s">
        <v>596</v>
      </c>
      <c r="B129" s="19" t="s">
        <v>305</v>
      </c>
      <c r="C129" s="19" t="s">
        <v>384</v>
      </c>
      <c r="D129" s="182" t="s">
        <v>378</v>
      </c>
      <c r="E129" s="161" t="s">
        <v>367</v>
      </c>
      <c r="F129" s="161" t="s">
        <v>118</v>
      </c>
    </row>
    <row r="130" spans="1:6">
      <c r="A130" s="162" t="s">
        <v>179</v>
      </c>
      <c r="B130" s="19" t="s">
        <v>306</v>
      </c>
      <c r="C130" s="19" t="s">
        <v>385</v>
      </c>
      <c r="D130" s="182" t="s">
        <v>381</v>
      </c>
      <c r="E130" s="161" t="s">
        <v>368</v>
      </c>
      <c r="F130" s="161" t="s">
        <v>361</v>
      </c>
    </row>
    <row r="131" spans="1:6">
      <c r="A131" s="162" t="s">
        <v>179</v>
      </c>
      <c r="B131" s="19" t="s">
        <v>306</v>
      </c>
      <c r="C131" s="19" t="s">
        <v>385</v>
      </c>
      <c r="D131" s="182" t="s">
        <v>382</v>
      </c>
      <c r="E131" s="161" t="s">
        <v>369</v>
      </c>
      <c r="F131" s="161" t="s">
        <v>361</v>
      </c>
    </row>
    <row r="132" spans="1:6">
      <c r="A132" s="162" t="s">
        <v>179</v>
      </c>
      <c r="B132" s="19" t="s">
        <v>306</v>
      </c>
      <c r="C132" s="19" t="s">
        <v>385</v>
      </c>
      <c r="D132" s="182" t="s">
        <v>561</v>
      </c>
      <c r="E132" s="175" t="s">
        <v>370</v>
      </c>
      <c r="F132" s="161" t="s">
        <v>361</v>
      </c>
    </row>
    <row r="133" spans="1:6">
      <c r="A133" s="162" t="s">
        <v>180</v>
      </c>
      <c r="B133" s="19" t="s">
        <v>307</v>
      </c>
      <c r="C133" s="19" t="s">
        <v>386</v>
      </c>
      <c r="D133" s="182" t="s">
        <v>577</v>
      </c>
      <c r="E133" s="564" t="s">
        <v>578</v>
      </c>
      <c r="F133" s="564" t="s">
        <v>579</v>
      </c>
    </row>
    <row r="134" spans="1:6">
      <c r="A134" s="162" t="s">
        <v>180</v>
      </c>
      <c r="B134" s="19" t="s">
        <v>307</v>
      </c>
      <c r="C134" s="19" t="s">
        <v>386</v>
      </c>
      <c r="D134" s="182" t="s">
        <v>383</v>
      </c>
      <c r="E134" s="161" t="s">
        <v>120</v>
      </c>
      <c r="F134" s="564" t="s">
        <v>579</v>
      </c>
    </row>
    <row r="135" spans="1:6">
      <c r="A135" s="162" t="s">
        <v>27</v>
      </c>
      <c r="B135" s="19" t="s">
        <v>308</v>
      </c>
      <c r="C135" s="19" t="s">
        <v>387</v>
      </c>
      <c r="D135" s="182" t="s">
        <v>58</v>
      </c>
      <c r="E135" s="161" t="s">
        <v>371</v>
      </c>
      <c r="F135" s="161" t="s">
        <v>358</v>
      </c>
    </row>
    <row r="136" spans="1:6">
      <c r="A136" s="162" t="s">
        <v>27</v>
      </c>
      <c r="B136" s="19" t="s">
        <v>308</v>
      </c>
      <c r="C136" s="19" t="s">
        <v>387</v>
      </c>
      <c r="D136" s="182" t="s">
        <v>379</v>
      </c>
      <c r="E136" s="161" t="s">
        <v>372</v>
      </c>
      <c r="F136" s="161" t="s">
        <v>358</v>
      </c>
    </row>
    <row r="137" spans="1:6">
      <c r="A137" s="162" t="s">
        <v>27</v>
      </c>
      <c r="B137" s="19" t="s">
        <v>308</v>
      </c>
      <c r="C137" s="19" t="s">
        <v>387</v>
      </c>
      <c r="D137" s="182" t="s">
        <v>562</v>
      </c>
      <c r="E137" s="175" t="s">
        <v>373</v>
      </c>
      <c r="F137" s="161" t="s">
        <v>358</v>
      </c>
    </row>
    <row r="138" spans="1:6">
      <c r="A138" s="162" t="s">
        <v>178</v>
      </c>
      <c r="B138" s="19" t="s">
        <v>304</v>
      </c>
      <c r="C138" s="19" t="s">
        <v>388</v>
      </c>
      <c r="D138" s="182" t="s">
        <v>107</v>
      </c>
      <c r="E138" s="161" t="s">
        <v>374</v>
      </c>
      <c r="F138" s="161" t="s">
        <v>362</v>
      </c>
    </row>
    <row r="139" spans="1:6">
      <c r="A139" s="162" t="s">
        <v>178</v>
      </c>
      <c r="B139" s="19" t="s">
        <v>304</v>
      </c>
      <c r="C139" s="19" t="s">
        <v>388</v>
      </c>
      <c r="D139" s="182" t="s">
        <v>380</v>
      </c>
      <c r="E139" s="161" t="s">
        <v>375</v>
      </c>
      <c r="F139" s="161" t="s">
        <v>362</v>
      </c>
    </row>
    <row r="140" spans="1:6">
      <c r="A140"/>
    </row>
    <row r="141" spans="1:6">
      <c r="A141"/>
    </row>
    <row r="142" spans="1:6">
      <c r="A142" s="159" t="s">
        <v>121</v>
      </c>
      <c r="D142" t="s">
        <v>1045</v>
      </c>
    </row>
    <row r="143" spans="1:6" ht="25.5">
      <c r="A143" s="154" t="s">
        <v>94</v>
      </c>
      <c r="B143" t="s">
        <v>309</v>
      </c>
      <c r="D143" t="s">
        <v>1046</v>
      </c>
    </row>
    <row r="144" spans="1:6">
      <c r="A144" s="154" t="s">
        <v>95</v>
      </c>
      <c r="B144" t="s">
        <v>95</v>
      </c>
      <c r="D144" t="s">
        <v>1047</v>
      </c>
    </row>
    <row r="145" spans="1:4">
      <c r="A145" s="154" t="s">
        <v>96</v>
      </c>
      <c r="B145" t="s">
        <v>96</v>
      </c>
      <c r="D145" t="s">
        <v>1048</v>
      </c>
    </row>
    <row r="146" spans="1:4">
      <c r="A146" s="154" t="s">
        <v>53</v>
      </c>
      <c r="B146" t="s">
        <v>53</v>
      </c>
      <c r="D146" t="s">
        <v>789</v>
      </c>
    </row>
    <row r="147" spans="1:4">
      <c r="A147" s="154" t="s">
        <v>122</v>
      </c>
      <c r="B147" t="s">
        <v>393</v>
      </c>
      <c r="D147" t="s">
        <v>1049</v>
      </c>
    </row>
    <row r="148" spans="1:4">
      <c r="A148" s="154" t="s">
        <v>54</v>
      </c>
      <c r="B148" t="s">
        <v>54</v>
      </c>
      <c r="D148" t="s">
        <v>1050</v>
      </c>
    </row>
    <row r="149" spans="1:4">
      <c r="A149" s="155" t="s">
        <v>123</v>
      </c>
      <c r="B149" t="s">
        <v>123</v>
      </c>
      <c r="D149" t="s">
        <v>1051</v>
      </c>
    </row>
    <row r="150" spans="1:4">
      <c r="A150" s="155" t="s">
        <v>124</v>
      </c>
      <c r="B150" t="s">
        <v>124</v>
      </c>
      <c r="D150" t="s">
        <v>1052</v>
      </c>
    </row>
    <row r="151" spans="1:4">
      <c r="A151" s="155" t="s">
        <v>103</v>
      </c>
      <c r="B151" t="s">
        <v>103</v>
      </c>
      <c r="D151" t="s">
        <v>1053</v>
      </c>
    </row>
    <row r="152" spans="1:4">
      <c r="A152" s="155" t="s">
        <v>125</v>
      </c>
      <c r="B152" t="s">
        <v>125</v>
      </c>
      <c r="D152" t="s">
        <v>1054</v>
      </c>
    </row>
    <row r="153" spans="1:4">
      <c r="A153" s="155" t="s">
        <v>104</v>
      </c>
      <c r="B153" t="s">
        <v>104</v>
      </c>
    </row>
    <row r="154" spans="1:4">
      <c r="A154" s="155" t="s">
        <v>109</v>
      </c>
      <c r="B154" t="s">
        <v>389</v>
      </c>
    </row>
    <row r="155" spans="1:4">
      <c r="A155" s="155" t="s">
        <v>110</v>
      </c>
      <c r="B155" t="s">
        <v>394</v>
      </c>
    </row>
    <row r="156" spans="1:4">
      <c r="A156" s="155" t="s">
        <v>126</v>
      </c>
      <c r="B156" t="s">
        <v>126</v>
      </c>
    </row>
    <row r="157" spans="1:4">
      <c r="A157" s="155" t="s">
        <v>127</v>
      </c>
      <c r="B157" t="s">
        <v>127</v>
      </c>
    </row>
    <row r="158" spans="1:4" ht="25.5">
      <c r="A158" s="155" t="s">
        <v>128</v>
      </c>
      <c r="B158" t="s">
        <v>128</v>
      </c>
    </row>
    <row r="159" spans="1:4">
      <c r="A159" s="156" t="s">
        <v>71</v>
      </c>
      <c r="B159" t="s">
        <v>71</v>
      </c>
    </row>
    <row r="160" spans="1:4">
      <c r="A160" s="156" t="s">
        <v>72</v>
      </c>
      <c r="B160" t="s">
        <v>72</v>
      </c>
    </row>
    <row r="161" spans="1:2" ht="25.5">
      <c r="A161" s="156" t="s">
        <v>74</v>
      </c>
      <c r="B161" t="s">
        <v>74</v>
      </c>
    </row>
    <row r="162" spans="1:2">
      <c r="A162" s="156" t="s">
        <v>75</v>
      </c>
      <c r="B162" t="s">
        <v>75</v>
      </c>
    </row>
    <row r="163" spans="1:2" ht="25.5">
      <c r="A163" s="567" t="s">
        <v>129</v>
      </c>
      <c r="B163" s="566" t="s">
        <v>581</v>
      </c>
    </row>
    <row r="164" spans="1:2">
      <c r="A164" s="156" t="s">
        <v>73</v>
      </c>
      <c r="B164" t="s">
        <v>73</v>
      </c>
    </row>
    <row r="165" spans="1:2" ht="25.5">
      <c r="A165" s="551" t="s">
        <v>566</v>
      </c>
      <c r="B165" t="s">
        <v>567</v>
      </c>
    </row>
    <row r="166" spans="1:2" ht="25.5">
      <c r="A166" s="156" t="s">
        <v>130</v>
      </c>
      <c r="B166" t="s">
        <v>395</v>
      </c>
    </row>
    <row r="167" spans="1:2" ht="25.5">
      <c r="A167" s="156" t="s">
        <v>131</v>
      </c>
      <c r="B167" t="s">
        <v>396</v>
      </c>
    </row>
    <row r="168" spans="1:2" ht="25.5">
      <c r="A168" s="551" t="s">
        <v>565</v>
      </c>
      <c r="B168" s="274" t="s">
        <v>564</v>
      </c>
    </row>
    <row r="169" spans="1:2" ht="25.5">
      <c r="A169" s="155" t="s">
        <v>132</v>
      </c>
      <c r="B169" t="s">
        <v>575</v>
      </c>
    </row>
    <row r="170" spans="1:2">
      <c r="A170" t="s">
        <v>399</v>
      </c>
      <c r="B170" s="563" t="s">
        <v>132</v>
      </c>
    </row>
    <row r="171" spans="1:2">
      <c r="A171" s="155" t="s">
        <v>133</v>
      </c>
      <c r="B171" t="s">
        <v>399</v>
      </c>
    </row>
    <row r="172" spans="1:2">
      <c r="A172" s="156" t="s">
        <v>134</v>
      </c>
      <c r="B172" t="s">
        <v>390</v>
      </c>
    </row>
    <row r="173" spans="1:2" ht="25.5">
      <c r="A173" s="154" t="s">
        <v>135</v>
      </c>
      <c r="B173" t="s">
        <v>392</v>
      </c>
    </row>
    <row r="174" spans="1:2">
      <c r="A174" s="157" t="s">
        <v>70</v>
      </c>
      <c r="B174" t="s">
        <v>135</v>
      </c>
    </row>
    <row r="175" spans="1:2" ht="25.5">
      <c r="A175" s="157" t="s">
        <v>136</v>
      </c>
      <c r="B175" t="s">
        <v>312</v>
      </c>
    </row>
    <row r="176" spans="1:2">
      <c r="B176" t="s">
        <v>391</v>
      </c>
    </row>
    <row r="181" spans="1:10">
      <c r="A181" s="159" t="s">
        <v>297</v>
      </c>
      <c r="D181" s="159" t="s">
        <v>121</v>
      </c>
      <c r="E181" s="159" t="s">
        <v>310</v>
      </c>
    </row>
    <row r="182" spans="1:10">
      <c r="A182" s="162" t="s">
        <v>596</v>
      </c>
      <c r="C182" t="s">
        <v>340</v>
      </c>
      <c r="D182" t="s">
        <v>309</v>
      </c>
      <c r="E182" s="162" t="s">
        <v>101</v>
      </c>
    </row>
    <row r="183" spans="1:10">
      <c r="A183" s="162" t="s">
        <v>596</v>
      </c>
      <c r="B183" s="274" t="s">
        <v>459</v>
      </c>
      <c r="C183" t="s">
        <v>340</v>
      </c>
      <c r="D183" t="s">
        <v>95</v>
      </c>
      <c r="E183" s="162" t="s">
        <v>101</v>
      </c>
    </row>
    <row r="184" spans="1:10">
      <c r="A184" s="162" t="s">
        <v>596</v>
      </c>
      <c r="B184" s="274" t="s">
        <v>459</v>
      </c>
      <c r="C184" t="s">
        <v>340</v>
      </c>
      <c r="D184" t="s">
        <v>96</v>
      </c>
      <c r="E184" s="162" t="s">
        <v>101</v>
      </c>
    </row>
    <row r="185" spans="1:10">
      <c r="A185" s="162" t="s">
        <v>179</v>
      </c>
      <c r="B185" s="274" t="s">
        <v>459</v>
      </c>
      <c r="C185" t="s">
        <v>343</v>
      </c>
      <c r="D185" t="s">
        <v>126</v>
      </c>
      <c r="E185" s="162" t="s">
        <v>112</v>
      </c>
    </row>
    <row r="186" spans="1:10">
      <c r="A186" s="162" t="s">
        <v>179</v>
      </c>
      <c r="B186" s="274" t="s">
        <v>460</v>
      </c>
      <c r="C186" t="s">
        <v>343</v>
      </c>
      <c r="D186" t="s">
        <v>127</v>
      </c>
      <c r="E186" s="162" t="s">
        <v>112</v>
      </c>
    </row>
    <row r="187" spans="1:10">
      <c r="A187" s="162" t="s">
        <v>179</v>
      </c>
      <c r="B187" s="274" t="s">
        <v>460</v>
      </c>
      <c r="C187" t="s">
        <v>343</v>
      </c>
      <c r="D187" s="19" t="s">
        <v>413</v>
      </c>
      <c r="E187" s="162" t="s">
        <v>112</v>
      </c>
    </row>
    <row r="188" spans="1:10">
      <c r="A188" s="162" t="s">
        <v>27</v>
      </c>
      <c r="B188" s="274" t="s">
        <v>460</v>
      </c>
      <c r="C188" t="s">
        <v>344</v>
      </c>
      <c r="D188" t="s">
        <v>53</v>
      </c>
      <c r="E188" s="162" t="s">
        <v>311</v>
      </c>
    </row>
    <row r="189" spans="1:10">
      <c r="A189" s="162" t="s">
        <v>27</v>
      </c>
      <c r="B189" s="274" t="s">
        <v>461</v>
      </c>
      <c r="C189" t="s">
        <v>344</v>
      </c>
      <c r="D189" t="s">
        <v>54</v>
      </c>
      <c r="E189" s="162" t="s">
        <v>311</v>
      </c>
    </row>
    <row r="190" spans="1:10">
      <c r="A190" s="162" t="s">
        <v>27</v>
      </c>
      <c r="B190" s="274" t="s">
        <v>461</v>
      </c>
      <c r="C190" t="s">
        <v>344</v>
      </c>
      <c r="D190" t="s">
        <v>393</v>
      </c>
      <c r="E190" s="162" t="s">
        <v>311</v>
      </c>
      <c r="H190" s="19"/>
      <c r="I190" s="274"/>
    </row>
    <row r="191" spans="1:10">
      <c r="A191" s="162" t="s">
        <v>178</v>
      </c>
      <c r="B191" s="19" t="s">
        <v>461</v>
      </c>
      <c r="C191" t="s">
        <v>345</v>
      </c>
      <c r="D191" t="s">
        <v>123</v>
      </c>
      <c r="E191" s="162" t="s">
        <v>106</v>
      </c>
      <c r="H191" s="19"/>
      <c r="I191" s="274"/>
      <c r="J191" s="552"/>
    </row>
    <row r="192" spans="1:10">
      <c r="A192" s="162" t="s">
        <v>178</v>
      </c>
      <c r="B192" s="19" t="s">
        <v>462</v>
      </c>
      <c r="C192" t="s">
        <v>345</v>
      </c>
      <c r="D192" t="s">
        <v>124</v>
      </c>
      <c r="E192" s="162" t="s">
        <v>106</v>
      </c>
      <c r="H192" s="19"/>
      <c r="I192" s="274"/>
      <c r="J192" s="552"/>
    </row>
    <row r="193" spans="1:10">
      <c r="A193" s="162" t="s">
        <v>178</v>
      </c>
      <c r="B193" s="19" t="s">
        <v>462</v>
      </c>
      <c r="C193" t="s">
        <v>345</v>
      </c>
      <c r="D193" t="s">
        <v>103</v>
      </c>
      <c r="E193" s="162" t="s">
        <v>106</v>
      </c>
      <c r="H193" s="19"/>
      <c r="I193" s="274"/>
      <c r="J193" s="552"/>
    </row>
    <row r="194" spans="1:10">
      <c r="A194" s="162" t="s">
        <v>178</v>
      </c>
      <c r="B194" s="19" t="s">
        <v>462</v>
      </c>
      <c r="C194" t="s">
        <v>345</v>
      </c>
      <c r="D194" t="s">
        <v>125</v>
      </c>
      <c r="E194" s="162" t="s">
        <v>106</v>
      </c>
      <c r="H194" s="19"/>
      <c r="I194" s="274"/>
      <c r="J194" s="552"/>
    </row>
    <row r="195" spans="1:10">
      <c r="A195" s="162" t="s">
        <v>178</v>
      </c>
      <c r="B195" s="19" t="s">
        <v>462</v>
      </c>
      <c r="C195" t="s">
        <v>345</v>
      </c>
      <c r="D195" t="s">
        <v>389</v>
      </c>
      <c r="E195" s="162" t="s">
        <v>106</v>
      </c>
      <c r="H195" s="19"/>
      <c r="I195" s="274"/>
      <c r="J195" s="552"/>
    </row>
    <row r="196" spans="1:10">
      <c r="A196" s="162" t="s">
        <v>178</v>
      </c>
      <c r="B196" s="19" t="s">
        <v>462</v>
      </c>
      <c r="C196" t="s">
        <v>345</v>
      </c>
      <c r="D196" t="s">
        <v>394</v>
      </c>
      <c r="E196" s="162" t="s">
        <v>106</v>
      </c>
      <c r="H196" s="19"/>
      <c r="I196" s="274"/>
      <c r="J196" s="552"/>
    </row>
    <row r="197" spans="1:10">
      <c r="A197" s="162" t="s">
        <v>178</v>
      </c>
      <c r="B197" s="19" t="s">
        <v>462</v>
      </c>
      <c r="C197" t="s">
        <v>345</v>
      </c>
      <c r="D197" t="s">
        <v>104</v>
      </c>
      <c r="E197" s="162" t="s">
        <v>106</v>
      </c>
      <c r="H197" s="19"/>
      <c r="I197" s="274"/>
      <c r="J197" s="552"/>
    </row>
    <row r="198" spans="1:10">
      <c r="A198" s="162" t="s">
        <v>180</v>
      </c>
      <c r="B198" s="19" t="s">
        <v>462</v>
      </c>
      <c r="C198" t="s">
        <v>341</v>
      </c>
      <c r="D198" t="s">
        <v>71</v>
      </c>
      <c r="E198" s="162" t="s">
        <v>67</v>
      </c>
      <c r="H198" s="19"/>
      <c r="I198" s="274"/>
      <c r="J198" s="552"/>
    </row>
    <row r="199" spans="1:10">
      <c r="A199" s="162" t="s">
        <v>180</v>
      </c>
      <c r="B199" s="19" t="s">
        <v>421</v>
      </c>
      <c r="C199" t="s">
        <v>341</v>
      </c>
      <c r="D199" t="s">
        <v>72</v>
      </c>
      <c r="E199" s="162" t="s">
        <v>67</v>
      </c>
      <c r="H199" s="19"/>
      <c r="I199" s="274"/>
      <c r="J199" s="552"/>
    </row>
    <row r="200" spans="1:10">
      <c r="A200" s="162" t="s">
        <v>180</v>
      </c>
      <c r="B200" s="19" t="s">
        <v>421</v>
      </c>
      <c r="C200" t="s">
        <v>341</v>
      </c>
      <c r="D200" t="s">
        <v>74</v>
      </c>
      <c r="E200" s="162" t="s">
        <v>67</v>
      </c>
      <c r="H200" s="19"/>
      <c r="I200" s="274"/>
      <c r="J200" s="552"/>
    </row>
    <row r="201" spans="1:10">
      <c r="A201" s="162" t="s">
        <v>180</v>
      </c>
      <c r="B201" s="19" t="s">
        <v>421</v>
      </c>
      <c r="C201" t="s">
        <v>341</v>
      </c>
      <c r="D201" t="s">
        <v>75</v>
      </c>
      <c r="E201" s="162" t="s">
        <v>67</v>
      </c>
      <c r="H201" s="19"/>
      <c r="I201" s="274"/>
      <c r="J201" s="552"/>
    </row>
    <row r="202" spans="1:10">
      <c r="A202" s="162" t="s">
        <v>180</v>
      </c>
      <c r="B202" s="19" t="s">
        <v>421</v>
      </c>
      <c r="C202" t="s">
        <v>341</v>
      </c>
      <c r="D202" s="566" t="s">
        <v>581</v>
      </c>
      <c r="E202" s="162" t="s">
        <v>67</v>
      </c>
      <c r="H202" s="19"/>
      <c r="I202" s="274"/>
      <c r="J202" s="552"/>
    </row>
    <row r="203" spans="1:10">
      <c r="A203" s="162" t="s">
        <v>180</v>
      </c>
      <c r="B203" s="19" t="s">
        <v>421</v>
      </c>
      <c r="C203" t="s">
        <v>341</v>
      </c>
      <c r="D203" t="s">
        <v>73</v>
      </c>
      <c r="E203" s="162" t="s">
        <v>67</v>
      </c>
      <c r="H203" s="19"/>
      <c r="I203" s="274"/>
      <c r="J203" s="552"/>
    </row>
    <row r="204" spans="1:10">
      <c r="A204" s="162" t="s">
        <v>180</v>
      </c>
      <c r="B204" s="19" t="s">
        <v>421</v>
      </c>
      <c r="C204" t="s">
        <v>341</v>
      </c>
      <c r="D204" t="s">
        <v>566</v>
      </c>
      <c r="E204" s="162" t="s">
        <v>67</v>
      </c>
      <c r="H204" s="19"/>
      <c r="I204" s="274"/>
      <c r="J204" s="552"/>
    </row>
    <row r="205" spans="1:10">
      <c r="A205" s="162" t="s">
        <v>180</v>
      </c>
      <c r="B205" s="19" t="s">
        <v>421</v>
      </c>
      <c r="C205" t="s">
        <v>341</v>
      </c>
      <c r="D205" t="s">
        <v>395</v>
      </c>
      <c r="E205" s="162" t="s">
        <v>67</v>
      </c>
      <c r="H205" s="19"/>
      <c r="I205" s="274"/>
      <c r="J205" s="552"/>
    </row>
    <row r="206" spans="1:10">
      <c r="A206" s="162" t="s">
        <v>180</v>
      </c>
      <c r="B206" s="19" t="s">
        <v>421</v>
      </c>
      <c r="C206" t="s">
        <v>341</v>
      </c>
      <c r="D206" s="19" t="s">
        <v>411</v>
      </c>
      <c r="E206" s="162" t="s">
        <v>67</v>
      </c>
      <c r="H206" s="19"/>
      <c r="I206" s="274"/>
      <c r="J206" s="552"/>
    </row>
    <row r="207" spans="1:10">
      <c r="A207" s="162" t="s">
        <v>180</v>
      </c>
      <c r="B207" s="19" t="s">
        <v>421</v>
      </c>
      <c r="C207" s="552" t="s">
        <v>341</v>
      </c>
      <c r="D207" s="19" t="s">
        <v>412</v>
      </c>
      <c r="E207" s="162" t="s">
        <v>67</v>
      </c>
      <c r="H207" s="19"/>
      <c r="I207" s="274"/>
      <c r="J207" s="552"/>
    </row>
    <row r="208" spans="1:10">
      <c r="A208" s="162" t="s">
        <v>180</v>
      </c>
      <c r="B208" s="19" t="s">
        <v>421</v>
      </c>
      <c r="C208" s="552" t="s">
        <v>341</v>
      </c>
      <c r="D208" s="274" t="s">
        <v>575</v>
      </c>
      <c r="E208" s="162" t="s">
        <v>67</v>
      </c>
      <c r="H208" s="19"/>
      <c r="I208" s="274"/>
      <c r="J208" s="552"/>
    </row>
    <row r="209" spans="1:15">
      <c r="A209" s="162" t="s">
        <v>180</v>
      </c>
      <c r="B209" s="19" t="s">
        <v>421</v>
      </c>
      <c r="C209" s="552" t="s">
        <v>341</v>
      </c>
      <c r="D209" t="s">
        <v>132</v>
      </c>
      <c r="E209" s="162" t="s">
        <v>67</v>
      </c>
      <c r="H209" s="19"/>
      <c r="I209" s="274"/>
      <c r="J209" s="552"/>
    </row>
    <row r="210" spans="1:15">
      <c r="A210" s="162" t="s">
        <v>180</v>
      </c>
      <c r="B210" s="19" t="s">
        <v>421</v>
      </c>
      <c r="C210" s="552" t="s">
        <v>341</v>
      </c>
      <c r="D210" t="s">
        <v>399</v>
      </c>
      <c r="E210" s="162" t="s">
        <v>67</v>
      </c>
      <c r="H210" s="19"/>
      <c r="I210" s="274"/>
      <c r="J210" s="552"/>
    </row>
    <row r="211" spans="1:15">
      <c r="A211" s="162" t="s">
        <v>180</v>
      </c>
      <c r="B211" s="19" t="s">
        <v>421</v>
      </c>
      <c r="C211" t="s">
        <v>341</v>
      </c>
      <c r="D211" t="s">
        <v>390</v>
      </c>
      <c r="E211" s="162" t="s">
        <v>67</v>
      </c>
      <c r="H211" s="19"/>
      <c r="I211" s="274"/>
      <c r="J211" s="552"/>
    </row>
    <row r="212" spans="1:15">
      <c r="A212" s="162" t="s">
        <v>180</v>
      </c>
      <c r="B212" s="19" t="s">
        <v>421</v>
      </c>
      <c r="C212" t="s">
        <v>341</v>
      </c>
      <c r="D212" t="s">
        <v>135</v>
      </c>
      <c r="E212" s="162" t="s">
        <v>67</v>
      </c>
      <c r="H212" s="19"/>
      <c r="I212" s="274"/>
      <c r="J212" s="552"/>
    </row>
    <row r="213" spans="1:15">
      <c r="A213" s="162" t="s">
        <v>180</v>
      </c>
      <c r="B213" s="19" t="s">
        <v>421</v>
      </c>
      <c r="C213" t="s">
        <v>341</v>
      </c>
      <c r="D213" t="s">
        <v>312</v>
      </c>
      <c r="E213" s="162" t="s">
        <v>67</v>
      </c>
      <c r="H213" s="19"/>
      <c r="I213" s="274"/>
      <c r="J213" s="552"/>
    </row>
    <row r="214" spans="1:15">
      <c r="A214" s="162" t="s">
        <v>180</v>
      </c>
      <c r="B214" s="19" t="s">
        <v>421</v>
      </c>
      <c r="C214" t="s">
        <v>341</v>
      </c>
      <c r="D214" t="s">
        <v>392</v>
      </c>
      <c r="E214" s="162" t="s">
        <v>67</v>
      </c>
      <c r="H214" s="19"/>
      <c r="I214" s="274"/>
      <c r="J214" s="552"/>
    </row>
    <row r="215" spans="1:15">
      <c r="A215" s="162" t="s">
        <v>180</v>
      </c>
      <c r="B215" s="19" t="s">
        <v>421</v>
      </c>
      <c r="C215" s="672" t="s">
        <v>341</v>
      </c>
      <c r="D215" t="s">
        <v>391</v>
      </c>
      <c r="E215" s="162"/>
      <c r="I215" s="274"/>
      <c r="J215" s="552"/>
    </row>
    <row r="216" spans="1:15">
      <c r="B216" s="19"/>
      <c r="D216" s="162"/>
    </row>
    <row r="218" spans="1:15">
      <c r="A218" s="672"/>
    </row>
    <row r="219" spans="1:15">
      <c r="A219" s="714"/>
      <c r="B219" s="714" t="s">
        <v>1778</v>
      </c>
      <c r="C219" s="714" t="s">
        <v>1779</v>
      </c>
      <c r="D219" s="714" t="s">
        <v>1780</v>
      </c>
    </row>
    <row r="220" spans="1:15">
      <c r="A220" s="162" t="s">
        <v>596</v>
      </c>
      <c r="B220" s="715" t="s">
        <v>1781</v>
      </c>
      <c r="C220" s="716" t="s">
        <v>1782</v>
      </c>
      <c r="D220" s="716" t="s">
        <v>1783</v>
      </c>
      <c r="F220" s="714" t="s">
        <v>1797</v>
      </c>
      <c r="G220" s="714"/>
      <c r="H220" s="714" t="s">
        <v>1778</v>
      </c>
      <c r="I220" s="714" t="s">
        <v>1798</v>
      </c>
      <c r="J220" s="714" t="s">
        <v>1779</v>
      </c>
      <c r="K220" s="714" t="s">
        <v>1</v>
      </c>
      <c r="L220" s="714" t="s">
        <v>1780</v>
      </c>
      <c r="M220" s="714" t="s">
        <v>1799</v>
      </c>
    </row>
    <row r="221" spans="1:15">
      <c r="A221" s="162" t="s">
        <v>27</v>
      </c>
      <c r="B221" s="715" t="s">
        <v>1784</v>
      </c>
      <c r="C221" s="716" t="s">
        <v>1785</v>
      </c>
      <c r="D221" s="716" t="s">
        <v>1786</v>
      </c>
      <c r="F221" s="749" t="s">
        <v>1800</v>
      </c>
      <c r="G221" s="715">
        <v>1024</v>
      </c>
      <c r="H221" s="715" t="s">
        <v>1781</v>
      </c>
      <c r="I221" s="716" t="s">
        <v>95</v>
      </c>
      <c r="J221" s="716" t="s">
        <v>1782</v>
      </c>
      <c r="K221" s="716" t="s">
        <v>196</v>
      </c>
      <c r="L221" s="716" t="s">
        <v>1783</v>
      </c>
      <c r="M221" s="716" t="s">
        <v>198</v>
      </c>
      <c r="O221" s="716" t="s">
        <v>198</v>
      </c>
    </row>
    <row r="222" spans="1:15">
      <c r="A222" s="162" t="s">
        <v>178</v>
      </c>
      <c r="B222" s="715" t="s">
        <v>1787</v>
      </c>
      <c r="C222" s="716" t="s">
        <v>1788</v>
      </c>
      <c r="D222" s="716" t="s">
        <v>1789</v>
      </c>
      <c r="F222" s="749"/>
      <c r="G222" s="715">
        <v>1024</v>
      </c>
      <c r="H222" s="715" t="s">
        <v>1781</v>
      </c>
      <c r="I222" s="716" t="s">
        <v>309</v>
      </c>
      <c r="J222" s="704"/>
      <c r="K222" s="704"/>
      <c r="L222" s="704"/>
      <c r="M222" s="704"/>
      <c r="O222" s="704"/>
    </row>
    <row r="223" spans="1:15">
      <c r="A223" s="162" t="s">
        <v>179</v>
      </c>
      <c r="B223" s="715" t="s">
        <v>1790</v>
      </c>
      <c r="C223" s="716" t="s">
        <v>1791</v>
      </c>
      <c r="D223" s="716" t="s">
        <v>1792</v>
      </c>
      <c r="F223" s="749"/>
      <c r="G223" s="715">
        <v>1024</v>
      </c>
      <c r="H223" s="715" t="s">
        <v>1781</v>
      </c>
      <c r="I223" s="716" t="s">
        <v>96</v>
      </c>
      <c r="J223" s="704"/>
      <c r="K223" s="704"/>
      <c r="L223" s="704"/>
      <c r="M223" s="704"/>
      <c r="O223" s="727" t="s">
        <v>222</v>
      </c>
    </row>
    <row r="224" spans="1:15">
      <c r="A224" s="162" t="s">
        <v>180</v>
      </c>
      <c r="B224" s="715" t="s">
        <v>1793</v>
      </c>
      <c r="C224" s="716" t="s">
        <v>1794</v>
      </c>
      <c r="D224" s="716" t="s">
        <v>1795</v>
      </c>
      <c r="F224" s="717"/>
      <c r="G224" s="717"/>
      <c r="H224" s="717"/>
      <c r="I224" s="718"/>
      <c r="J224" s="718"/>
      <c r="K224" s="718"/>
      <c r="L224" s="718"/>
      <c r="M224" s="718"/>
      <c r="O224" s="727" t="s">
        <v>221</v>
      </c>
    </row>
    <row r="225" spans="2:15">
      <c r="D225" s="265"/>
      <c r="F225" s="751" t="s">
        <v>1801</v>
      </c>
      <c r="G225" s="719">
        <v>1107</v>
      </c>
      <c r="H225" s="715" t="s">
        <v>1784</v>
      </c>
      <c r="I225" s="716" t="s">
        <v>54</v>
      </c>
      <c r="J225" s="716" t="s">
        <v>1785</v>
      </c>
      <c r="K225" s="720" t="s">
        <v>232</v>
      </c>
      <c r="L225" s="716" t="s">
        <v>1786</v>
      </c>
      <c r="M225" s="716" t="s">
        <v>198</v>
      </c>
      <c r="O225" s="716" t="s">
        <v>1056</v>
      </c>
    </row>
    <row r="226" spans="2:15">
      <c r="D226" s="265"/>
      <c r="F226" s="749"/>
      <c r="G226" s="719">
        <v>1107</v>
      </c>
      <c r="H226" s="715" t="s">
        <v>1784</v>
      </c>
      <c r="I226" s="716" t="s">
        <v>122</v>
      </c>
      <c r="J226" s="716" t="s">
        <v>1785</v>
      </c>
      <c r="K226" s="716" t="s">
        <v>201</v>
      </c>
      <c r="L226" s="716" t="s">
        <v>1786</v>
      </c>
      <c r="M226" s="716" t="s">
        <v>222</v>
      </c>
      <c r="O226" s="716" t="s">
        <v>1057</v>
      </c>
    </row>
    <row r="227" spans="2:15">
      <c r="D227" s="265"/>
      <c r="F227" s="749"/>
      <c r="G227" s="719">
        <v>1107</v>
      </c>
      <c r="H227" s="715" t="s">
        <v>1784</v>
      </c>
      <c r="I227" s="716" t="s">
        <v>53</v>
      </c>
      <c r="J227" s="704"/>
      <c r="K227" s="704"/>
      <c r="L227" s="716" t="s">
        <v>1786</v>
      </c>
      <c r="M227" s="716" t="s">
        <v>221</v>
      </c>
      <c r="O227" s="724" t="s">
        <v>1058</v>
      </c>
    </row>
    <row r="228" spans="2:15">
      <c r="B228" s="185"/>
      <c r="D228" s="265"/>
      <c r="F228" s="749"/>
      <c r="G228" s="719">
        <v>1107</v>
      </c>
      <c r="H228" s="721"/>
      <c r="I228" s="704"/>
      <c r="J228" s="704"/>
      <c r="K228" s="704"/>
      <c r="L228" s="716" t="s">
        <v>1786</v>
      </c>
      <c r="M228" s="716" t="s">
        <v>1056</v>
      </c>
      <c r="O228" s="724" t="s">
        <v>1059</v>
      </c>
    </row>
    <row r="229" spans="2:15">
      <c r="B229" s="725" t="s">
        <v>309</v>
      </c>
      <c r="D229" s="265"/>
      <c r="F229" s="717"/>
      <c r="G229" s="717"/>
      <c r="H229" s="717"/>
      <c r="I229" s="718"/>
      <c r="J229" s="718"/>
      <c r="K229" s="718"/>
      <c r="L229" s="718"/>
      <c r="M229" s="718"/>
      <c r="O229" s="728" t="s">
        <v>1060</v>
      </c>
    </row>
    <row r="230" spans="2:15">
      <c r="B230" s="725" t="s">
        <v>54</v>
      </c>
      <c r="D230" s="265"/>
      <c r="F230" s="749" t="s">
        <v>1802</v>
      </c>
      <c r="G230" s="715">
        <v>1110</v>
      </c>
      <c r="H230" s="715" t="s">
        <v>1787</v>
      </c>
      <c r="I230" s="720" t="s">
        <v>1055</v>
      </c>
      <c r="J230" s="716" t="s">
        <v>1788</v>
      </c>
      <c r="K230" s="720" t="s">
        <v>235</v>
      </c>
      <c r="L230" s="716" t="s">
        <v>1789</v>
      </c>
      <c r="M230" s="716" t="s">
        <v>198</v>
      </c>
      <c r="O230" s="724" t="s">
        <v>218</v>
      </c>
    </row>
    <row r="231" spans="2:15">
      <c r="B231" s="725" t="s">
        <v>53</v>
      </c>
      <c r="D231" s="265"/>
      <c r="F231" s="749"/>
      <c r="G231" s="715">
        <v>1110</v>
      </c>
      <c r="H231" s="715" t="s">
        <v>1787</v>
      </c>
      <c r="I231" s="716" t="s">
        <v>104</v>
      </c>
      <c r="J231" s="716" t="s">
        <v>1788</v>
      </c>
      <c r="K231" s="722" t="s">
        <v>239</v>
      </c>
      <c r="L231" s="716" t="s">
        <v>1789</v>
      </c>
      <c r="M231" s="716" t="s">
        <v>222</v>
      </c>
      <c r="O231" s="724" t="s">
        <v>1061</v>
      </c>
    </row>
    <row r="232" spans="2:15">
      <c r="B232" s="725" t="s">
        <v>104</v>
      </c>
      <c r="D232" s="265"/>
      <c r="F232" s="749"/>
      <c r="G232" s="715">
        <v>1110</v>
      </c>
      <c r="H232" s="715" t="s">
        <v>1787</v>
      </c>
      <c r="I232" s="716" t="s">
        <v>125</v>
      </c>
      <c r="J232" s="716" t="s">
        <v>1788</v>
      </c>
      <c r="K232" s="716" t="s">
        <v>244</v>
      </c>
      <c r="L232" s="716" t="s">
        <v>1789</v>
      </c>
      <c r="M232" s="716" t="s">
        <v>1057</v>
      </c>
    </row>
    <row r="233" spans="2:15">
      <c r="B233" s="725" t="s">
        <v>389</v>
      </c>
      <c r="D233" s="265"/>
      <c r="F233" s="749"/>
      <c r="G233" s="715">
        <v>1110</v>
      </c>
      <c r="H233" s="715" t="s">
        <v>1787</v>
      </c>
      <c r="I233" s="716" t="s">
        <v>123</v>
      </c>
      <c r="J233" s="716" t="s">
        <v>1788</v>
      </c>
      <c r="K233" s="716" t="s">
        <v>243</v>
      </c>
      <c r="L233" s="704"/>
      <c r="M233" s="704"/>
    </row>
    <row r="234" spans="2:15">
      <c r="B234" s="725" t="s">
        <v>95</v>
      </c>
      <c r="D234" s="265"/>
      <c r="F234" s="749"/>
      <c r="G234" s="715">
        <v>1110</v>
      </c>
      <c r="H234" s="715" t="s">
        <v>1787</v>
      </c>
      <c r="I234" s="716" t="s">
        <v>124</v>
      </c>
      <c r="J234" s="704"/>
      <c r="K234" s="704"/>
      <c r="L234" s="704"/>
      <c r="M234" s="704"/>
    </row>
    <row r="235" spans="2:15">
      <c r="B235" s="725" t="s">
        <v>96</v>
      </c>
      <c r="D235" s="265"/>
      <c r="F235" s="749"/>
      <c r="G235" s="715">
        <v>1110</v>
      </c>
      <c r="H235" s="715" t="s">
        <v>1787</v>
      </c>
      <c r="I235" s="716" t="s">
        <v>103</v>
      </c>
      <c r="J235" s="704"/>
      <c r="K235" s="704"/>
      <c r="L235" s="704"/>
      <c r="M235" s="704"/>
    </row>
    <row r="236" spans="2:15">
      <c r="B236" s="725" t="s">
        <v>132</v>
      </c>
      <c r="D236" s="265"/>
      <c r="F236" s="717"/>
      <c r="G236" s="717"/>
      <c r="H236" s="717"/>
      <c r="I236" s="718"/>
      <c r="J236" s="718"/>
      <c r="K236" s="718"/>
      <c r="L236" s="718"/>
      <c r="M236" s="718"/>
    </row>
    <row r="237" spans="2:15">
      <c r="B237" s="725" t="s">
        <v>71</v>
      </c>
      <c r="D237" s="265"/>
      <c r="F237" s="749" t="s">
        <v>1803</v>
      </c>
      <c r="G237" s="715">
        <v>1112</v>
      </c>
      <c r="H237" s="715" t="s">
        <v>1790</v>
      </c>
      <c r="I237" s="716" t="s">
        <v>128</v>
      </c>
      <c r="J237" s="716" t="s">
        <v>1791</v>
      </c>
      <c r="K237" s="716" t="s">
        <v>201</v>
      </c>
      <c r="L237" s="716" t="s">
        <v>1792</v>
      </c>
      <c r="M237" s="716" t="s">
        <v>198</v>
      </c>
    </row>
    <row r="238" spans="2:15">
      <c r="B238" s="725" t="s">
        <v>312</v>
      </c>
      <c r="D238" s="265"/>
      <c r="F238" s="749"/>
      <c r="G238" s="715">
        <v>1112</v>
      </c>
      <c r="H238" s="715" t="s">
        <v>1790</v>
      </c>
      <c r="I238" s="716" t="s">
        <v>126</v>
      </c>
      <c r="J238" s="704"/>
      <c r="K238" s="704"/>
      <c r="L238" s="704"/>
      <c r="M238" s="704"/>
    </row>
    <row r="239" spans="2:15">
      <c r="B239" s="726" t="s">
        <v>566</v>
      </c>
      <c r="D239" s="265"/>
      <c r="F239" s="749"/>
      <c r="G239" s="715">
        <v>1112</v>
      </c>
      <c r="H239" s="715" t="s">
        <v>1790</v>
      </c>
      <c r="I239" s="716" t="s">
        <v>127</v>
      </c>
      <c r="J239" s="704"/>
      <c r="K239" s="704"/>
      <c r="L239" s="704"/>
      <c r="M239" s="704"/>
    </row>
    <row r="240" spans="2:15">
      <c r="B240" s="725" t="s">
        <v>395</v>
      </c>
      <c r="D240" s="265"/>
      <c r="F240" s="717"/>
      <c r="G240" s="717"/>
      <c r="H240" s="717"/>
      <c r="I240" s="718"/>
      <c r="J240" s="718"/>
      <c r="K240" s="718"/>
      <c r="L240" s="718"/>
      <c r="M240" s="718"/>
    </row>
    <row r="241" spans="2:13">
      <c r="B241" s="725" t="s">
        <v>75</v>
      </c>
      <c r="D241" s="265"/>
      <c r="F241" s="750" t="s">
        <v>1804</v>
      </c>
      <c r="G241" s="723">
        <v>1114</v>
      </c>
      <c r="H241" s="715" t="s">
        <v>1793</v>
      </c>
      <c r="I241" s="716" t="s">
        <v>135</v>
      </c>
      <c r="J241" s="716" t="s">
        <v>1794</v>
      </c>
      <c r="K241" s="724" t="s">
        <v>422</v>
      </c>
      <c r="L241" s="716" t="s">
        <v>1795</v>
      </c>
      <c r="M241" s="724" t="s">
        <v>198</v>
      </c>
    </row>
    <row r="242" spans="2:13">
      <c r="B242" s="725" t="s">
        <v>72</v>
      </c>
      <c r="D242" s="265"/>
      <c r="F242" s="750"/>
      <c r="G242" s="723">
        <v>1114</v>
      </c>
      <c r="H242" s="715" t="s">
        <v>1793</v>
      </c>
      <c r="I242" s="724" t="s">
        <v>1805</v>
      </c>
      <c r="J242" s="716" t="s">
        <v>1794</v>
      </c>
      <c r="K242" s="724" t="s">
        <v>228</v>
      </c>
      <c r="L242" s="716" t="s">
        <v>1795</v>
      </c>
      <c r="M242" s="724" t="s">
        <v>1058</v>
      </c>
    </row>
    <row r="243" spans="2:13">
      <c r="B243" s="725" t="s">
        <v>399</v>
      </c>
      <c r="D243" s="265"/>
      <c r="F243" s="750"/>
      <c r="G243" s="723">
        <v>1114</v>
      </c>
      <c r="H243" s="715" t="s">
        <v>1793</v>
      </c>
      <c r="I243" s="724" t="s">
        <v>391</v>
      </c>
      <c r="J243" s="716" t="s">
        <v>1794</v>
      </c>
      <c r="K243" s="724" t="s">
        <v>225</v>
      </c>
      <c r="L243" s="716" t="s">
        <v>1795</v>
      </c>
      <c r="M243" s="724" t="s">
        <v>1056</v>
      </c>
    </row>
    <row r="244" spans="2:13">
      <c r="B244" s="725" t="s">
        <v>73</v>
      </c>
      <c r="D244" s="265"/>
      <c r="F244" s="750"/>
      <c r="G244" s="723">
        <v>1114</v>
      </c>
      <c r="H244" s="715" t="s">
        <v>1793</v>
      </c>
      <c r="I244" s="724" t="s">
        <v>62</v>
      </c>
      <c r="J244" s="704"/>
      <c r="K244" s="704"/>
      <c r="L244" s="716" t="s">
        <v>1795</v>
      </c>
      <c r="M244" s="724" t="s">
        <v>1059</v>
      </c>
    </row>
    <row r="245" spans="2:13">
      <c r="B245" s="725" t="s">
        <v>390</v>
      </c>
      <c r="D245" s="265"/>
      <c r="F245" s="750"/>
      <c r="G245" s="723">
        <v>1114</v>
      </c>
      <c r="H245" s="715" t="s">
        <v>1793</v>
      </c>
      <c r="I245" s="724" t="s">
        <v>312</v>
      </c>
      <c r="J245" s="704"/>
      <c r="K245" s="704"/>
      <c r="L245" s="716" t="s">
        <v>1795</v>
      </c>
      <c r="M245" s="724" t="s">
        <v>1060</v>
      </c>
    </row>
    <row r="246" spans="2:13">
      <c r="B246" s="725" t="s">
        <v>391</v>
      </c>
      <c r="D246" s="265"/>
      <c r="F246" s="750"/>
      <c r="G246" s="723">
        <v>1114</v>
      </c>
      <c r="H246" s="715" t="s">
        <v>1793</v>
      </c>
      <c r="I246" s="724" t="s">
        <v>392</v>
      </c>
      <c r="J246" s="704"/>
      <c r="K246" s="704"/>
      <c r="L246" s="716" t="s">
        <v>1795</v>
      </c>
      <c r="M246" s="724" t="s">
        <v>218</v>
      </c>
    </row>
    <row r="247" spans="2:13">
      <c r="B247" s="725" t="s">
        <v>392</v>
      </c>
      <c r="D247" s="265"/>
      <c r="F247" s="750"/>
      <c r="G247" s="721"/>
      <c r="H247" s="721"/>
      <c r="I247" s="704"/>
      <c r="J247" s="704"/>
      <c r="K247" s="704"/>
      <c r="L247" s="716" t="s">
        <v>1795</v>
      </c>
      <c r="M247" s="724" t="s">
        <v>1061</v>
      </c>
    </row>
    <row r="248" spans="2:13">
      <c r="B248" s="725" t="s">
        <v>135</v>
      </c>
      <c r="D248" s="265"/>
    </row>
    <row r="249" spans="2:13">
      <c r="B249" s="726" t="s">
        <v>581</v>
      </c>
      <c r="D249" s="265"/>
    </row>
    <row r="250" spans="2:13">
      <c r="B250" s="725" t="s">
        <v>396</v>
      </c>
      <c r="D250" s="265"/>
    </row>
    <row r="251" spans="2:13">
      <c r="B251" s="725" t="s">
        <v>74</v>
      </c>
      <c r="D251" s="265"/>
    </row>
    <row r="252" spans="2:13">
      <c r="B252" s="725" t="s">
        <v>126</v>
      </c>
      <c r="D252" s="265"/>
    </row>
    <row r="253" spans="2:13">
      <c r="B253" s="725" t="s">
        <v>127</v>
      </c>
      <c r="D253" s="265"/>
    </row>
    <row r="254" spans="2:13">
      <c r="B254" s="725" t="s">
        <v>128</v>
      </c>
      <c r="D254" s="265"/>
    </row>
    <row r="255" spans="2:13">
      <c r="B255" s="725" t="s">
        <v>393</v>
      </c>
    </row>
    <row r="256" spans="2:13">
      <c r="B256" s="725" t="s">
        <v>123</v>
      </c>
    </row>
    <row r="257" spans="2:2">
      <c r="B257" s="725" t="s">
        <v>124</v>
      </c>
    </row>
    <row r="258" spans="2:2">
      <c r="B258" s="725" t="s">
        <v>125</v>
      </c>
    </row>
    <row r="259" spans="2:2">
      <c r="B259" s="725" t="s">
        <v>103</v>
      </c>
    </row>
    <row r="260" spans="2:2">
      <c r="B260" s="725" t="s">
        <v>394</v>
      </c>
    </row>
    <row r="261" spans="2:2">
      <c r="B261" s="725" t="s">
        <v>397</v>
      </c>
    </row>
    <row r="279" spans="1:4">
      <c r="A279" s="387" t="s">
        <v>332</v>
      </c>
      <c r="B279" s="393" t="s">
        <v>534</v>
      </c>
    </row>
    <row r="280" spans="1:4">
      <c r="A280" s="389" t="s">
        <v>336</v>
      </c>
      <c r="B280" s="393" t="s">
        <v>535</v>
      </c>
    </row>
    <row r="281" spans="1:4">
      <c r="A281" s="389" t="s">
        <v>333</v>
      </c>
      <c r="B281" s="393" t="s">
        <v>533</v>
      </c>
    </row>
    <row r="282" spans="1:4">
      <c r="A282" s="389" t="s">
        <v>334</v>
      </c>
      <c r="B282" s="393" t="s">
        <v>536</v>
      </c>
    </row>
    <row r="283" spans="1:4">
      <c r="A283" s="389" t="s">
        <v>335</v>
      </c>
      <c r="B283" s="393" t="s">
        <v>537</v>
      </c>
    </row>
    <row r="284" spans="1:4">
      <c r="A284" s="389" t="s">
        <v>337</v>
      </c>
      <c r="B284" s="393" t="s">
        <v>538</v>
      </c>
    </row>
    <row r="285" spans="1:4">
      <c r="A285" s="389" t="s">
        <v>338</v>
      </c>
      <c r="B285" s="393" t="s">
        <v>539</v>
      </c>
    </row>
    <row r="286" spans="1:4">
      <c r="A286" s="560" t="s">
        <v>571</v>
      </c>
      <c r="B286" s="393" t="s">
        <v>572</v>
      </c>
    </row>
    <row r="287" spans="1:4">
      <c r="A287" s="560" t="s">
        <v>582</v>
      </c>
      <c r="B287" s="393"/>
    </row>
    <row r="288" spans="1:4">
      <c r="A288"/>
      <c r="B288" s="392"/>
      <c r="D288" s="627" t="s">
        <v>596</v>
      </c>
    </row>
    <row r="289" spans="1:4">
      <c r="A289"/>
      <c r="B289" s="392"/>
      <c r="D289" s="627" t="s">
        <v>27</v>
      </c>
    </row>
    <row r="290" spans="1:4">
      <c r="A290"/>
      <c r="B290" s="392"/>
      <c r="D290" s="627" t="s">
        <v>178</v>
      </c>
    </row>
    <row r="291" spans="1:4">
      <c r="A291"/>
      <c r="B291" s="392"/>
      <c r="D291" s="627" t="s">
        <v>179</v>
      </c>
    </row>
    <row r="292" spans="1:4">
      <c r="A292"/>
      <c r="D292" s="627" t="s">
        <v>180</v>
      </c>
    </row>
    <row r="293" spans="1:4">
      <c r="A293"/>
      <c r="D293" s="627" t="s">
        <v>329</v>
      </c>
    </row>
    <row r="294" spans="1:4">
      <c r="A294"/>
      <c r="D294" s="627" t="s">
        <v>597</v>
      </c>
    </row>
    <row r="295" spans="1:4">
      <c r="A295"/>
    </row>
    <row r="296" spans="1:4">
      <c r="A296"/>
    </row>
    <row r="297" spans="1:4" ht="33.75">
      <c r="A297"/>
      <c r="D297" s="633" t="s">
        <v>1045</v>
      </c>
    </row>
    <row r="298" spans="1:4">
      <c r="A298"/>
      <c r="D298" s="633" t="s">
        <v>1046</v>
      </c>
    </row>
    <row r="299" spans="1:4">
      <c r="A299"/>
      <c r="D299" s="633" t="s">
        <v>1047</v>
      </c>
    </row>
    <row r="300" spans="1:4">
      <c r="A300"/>
      <c r="D300" s="633" t="s">
        <v>1048</v>
      </c>
    </row>
    <row r="301" spans="1:4">
      <c r="A301"/>
      <c r="D301" s="633" t="s">
        <v>789</v>
      </c>
    </row>
    <row r="302" spans="1:4">
      <c r="A302"/>
      <c r="D302" s="633" t="s">
        <v>1049</v>
      </c>
    </row>
    <row r="303" spans="1:4">
      <c r="A303"/>
      <c r="D303" s="633" t="s">
        <v>1050</v>
      </c>
    </row>
    <row r="304" spans="1:4">
      <c r="A304"/>
      <c r="D304" s="633" t="s">
        <v>1051</v>
      </c>
    </row>
    <row r="305" spans="1:4">
      <c r="A305"/>
      <c r="D305" s="633" t="s">
        <v>1052</v>
      </c>
    </row>
    <row r="306" spans="1:4">
      <c r="A306"/>
      <c r="D306" s="633" t="s">
        <v>1053</v>
      </c>
    </row>
    <row r="307" spans="1:4" ht="22.5">
      <c r="A307"/>
      <c r="D307" s="633" t="s">
        <v>1054</v>
      </c>
    </row>
    <row r="308" spans="1:4">
      <c r="A308"/>
    </row>
    <row r="309" spans="1:4">
      <c r="A309"/>
    </row>
    <row r="310" spans="1:4">
      <c r="A310"/>
    </row>
    <row r="311" spans="1:4">
      <c r="A311"/>
    </row>
    <row r="312" spans="1:4">
      <c r="A312"/>
    </row>
    <row r="313" spans="1:4">
      <c r="A313"/>
    </row>
    <row r="314" spans="1:4">
      <c r="A314"/>
    </row>
    <row r="315" spans="1:4">
      <c r="A315"/>
    </row>
    <row r="316" spans="1:4">
      <c r="A316"/>
    </row>
    <row r="317" spans="1:4">
      <c r="A317"/>
    </row>
    <row r="318" spans="1:4">
      <c r="A318"/>
    </row>
  </sheetData>
  <mergeCells count="8">
    <mergeCell ref="F230:F235"/>
    <mergeCell ref="F237:F239"/>
    <mergeCell ref="F241:F247"/>
    <mergeCell ref="A46:B46"/>
    <mergeCell ref="A59:B59"/>
    <mergeCell ref="A76:B76"/>
    <mergeCell ref="F221:F223"/>
    <mergeCell ref="F225:F228"/>
  </mergeCells>
  <conditionalFormatting sqref="A279:A281">
    <cfRule type="colorScale" priority="2">
      <colorScale>
        <cfvo type="min"/>
        <cfvo type="percentile" val="50"/>
        <cfvo type="max"/>
        <color rgb="FFF8696B"/>
        <color rgb="FFFFEB84"/>
        <color rgb="FF63BE7B"/>
      </colorScale>
    </cfRule>
  </conditionalFormatting>
  <dataValidations count="3">
    <dataValidation type="list" allowBlank="1" showInputMessage="1" showErrorMessage="1" sqref="E117:E122 D288:D294">
      <formula1>proyecto_inv</formula1>
    </dataValidation>
    <dataValidation type="list" allowBlank="1" showInputMessage="1" showErrorMessage="1" sqref="B228:B261">
      <formula1>INDIRECT($Z227)</formula1>
    </dataValidation>
    <dataValidation type="list" allowBlank="1" showInputMessage="1" showErrorMessage="1" sqref="D297:D307">
      <formula1>INDIRECT($AI297)</formula1>
    </dataValidation>
  </dataValidations>
  <hyperlinks>
    <hyperlink ref="C79" r:id="rId1"/>
    <hyperlink ref="C77" r:id="rId2"/>
    <hyperlink ref="C83" r:id="rId3"/>
    <hyperlink ref="C78" r:id="rId4"/>
    <hyperlink ref="C82" r:id="rId5"/>
  </hyperlinks>
  <pageMargins left="0.7" right="0.7" top="0.75" bottom="0.75" header="0.3" footer="0.3"/>
  <pageSetup paperSize="9" orientation="portrait" horizontalDpi="300" verticalDpi="300"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31"/>
  <sheetViews>
    <sheetView workbookViewId="0">
      <selection activeCell="A10" sqref="A10"/>
    </sheetView>
  </sheetViews>
  <sheetFormatPr baseColWidth="10" defaultRowHeight="12.75"/>
  <cols>
    <col min="1" max="1" width="17.85546875" customWidth="1"/>
    <col min="2" max="2" width="28.42578125" bestFit="1" customWidth="1"/>
    <col min="3" max="10" width="23" bestFit="1" customWidth="1"/>
    <col min="11" max="11" width="13.140625" bestFit="1" customWidth="1"/>
  </cols>
  <sheetData>
    <row r="3" spans="1:2">
      <c r="A3" s="729" t="s">
        <v>1808</v>
      </c>
      <c r="B3" t="s">
        <v>1809</v>
      </c>
    </row>
    <row r="4" spans="1:2">
      <c r="A4" s="730">
        <v>1</v>
      </c>
      <c r="B4" s="731">
        <v>10088933044</v>
      </c>
    </row>
    <row r="5" spans="1:2">
      <c r="A5" s="730">
        <v>2</v>
      </c>
      <c r="B5" s="731">
        <v>5192656824</v>
      </c>
    </row>
    <row r="6" spans="1:2">
      <c r="A6" s="730">
        <v>3</v>
      </c>
      <c r="B6" s="731">
        <v>1095503828</v>
      </c>
    </row>
    <row r="7" spans="1:2">
      <c r="A7" s="730">
        <v>4</v>
      </c>
      <c r="B7" s="731">
        <v>1085540314</v>
      </c>
    </row>
    <row r="8" spans="1:2">
      <c r="A8" s="730">
        <v>5</v>
      </c>
      <c r="B8" s="731">
        <v>3303799158</v>
      </c>
    </row>
    <row r="9" spans="1:2">
      <c r="A9" s="730">
        <v>6</v>
      </c>
      <c r="B9" s="731">
        <v>6557653868</v>
      </c>
    </row>
    <row r="10" spans="1:2">
      <c r="A10" s="730">
        <v>7</v>
      </c>
      <c r="B10" s="731">
        <v>2329999999</v>
      </c>
    </row>
    <row r="11" spans="1:2">
      <c r="A11" s="730">
        <v>8</v>
      </c>
      <c r="B11" s="731">
        <v>2815341984</v>
      </c>
    </row>
    <row r="12" spans="1:2">
      <c r="A12" s="730">
        <v>10</v>
      </c>
      <c r="B12" s="731">
        <v>2006000000</v>
      </c>
    </row>
    <row r="13" spans="1:2">
      <c r="A13" s="730" t="s">
        <v>351</v>
      </c>
      <c r="B13" s="144">
        <v>43732716</v>
      </c>
    </row>
    <row r="14" spans="1:2">
      <c r="A14" s="730" t="s">
        <v>357</v>
      </c>
      <c r="B14" s="731">
        <v>34519161735</v>
      </c>
    </row>
    <row r="21" spans="1:5">
      <c r="A21" s="734" t="s">
        <v>1810</v>
      </c>
      <c r="B21" s="734" t="s">
        <v>1820</v>
      </c>
      <c r="D21" s="733" t="s">
        <v>1820</v>
      </c>
    </row>
    <row r="22" spans="1:5">
      <c r="A22" t="s">
        <v>1811</v>
      </c>
      <c r="B22" s="139">
        <v>10089</v>
      </c>
      <c r="C22" s="732">
        <v>10088.933043999999</v>
      </c>
      <c r="D22" s="139">
        <f>+C22</f>
        <v>10088.933043999999</v>
      </c>
      <c r="E22" s="735">
        <f>+D22/$D$30</f>
        <v>0.29264126164868942</v>
      </c>
    </row>
    <row r="23" spans="1:5">
      <c r="A23" s="713" t="s">
        <v>1812</v>
      </c>
      <c r="B23" s="139">
        <v>5193</v>
      </c>
      <c r="C23" s="732">
        <v>5192.6568239999997</v>
      </c>
      <c r="D23" s="139">
        <f>+C23+C22</f>
        <v>15281.589867999999</v>
      </c>
      <c r="E23" s="735">
        <f t="shared" ref="E23:E31" si="0">+D23/$D$30</f>
        <v>0.44326032489916373</v>
      </c>
    </row>
    <row r="24" spans="1:5">
      <c r="A24" s="713" t="s">
        <v>1813</v>
      </c>
      <c r="B24" s="139">
        <v>1096</v>
      </c>
      <c r="C24" s="732">
        <v>1095.5038280000001</v>
      </c>
      <c r="D24" s="139">
        <f>+C24+D23</f>
        <v>16377.093696</v>
      </c>
      <c r="E24" s="735">
        <f t="shared" si="0"/>
        <v>0.47503669024609674</v>
      </c>
    </row>
    <row r="25" spans="1:5">
      <c r="A25" s="713" t="s">
        <v>1814</v>
      </c>
      <c r="B25" s="139">
        <v>1086</v>
      </c>
      <c r="C25" s="732">
        <v>1085.5403140000001</v>
      </c>
      <c r="D25" s="139">
        <f t="shared" ref="D25:D30" si="1">+C25+D24</f>
        <v>17462.634010000002</v>
      </c>
      <c r="E25" s="735">
        <f t="shared" si="0"/>
        <v>0.50652405225692898</v>
      </c>
    </row>
    <row r="26" spans="1:5">
      <c r="A26" s="713" t="s">
        <v>1815</v>
      </c>
      <c r="B26" s="139">
        <v>3304</v>
      </c>
      <c r="C26" s="732">
        <v>3303.7991579999998</v>
      </c>
      <c r="D26" s="139">
        <f t="shared" si="1"/>
        <v>20766.433168000003</v>
      </c>
      <c r="E26" s="735">
        <f t="shared" si="0"/>
        <v>0.60235459743097797</v>
      </c>
    </row>
    <row r="27" spans="1:5">
      <c r="A27" s="713" t="s">
        <v>1816</v>
      </c>
      <c r="B27" s="139">
        <v>6558</v>
      </c>
      <c r="C27" s="732">
        <v>6557.6538680000003</v>
      </c>
      <c r="D27" s="139">
        <f t="shared" si="1"/>
        <v>27324.087036000004</v>
      </c>
      <c r="E27" s="735">
        <f t="shared" si="0"/>
        <v>0.7925669908543046</v>
      </c>
    </row>
    <row r="28" spans="1:5">
      <c r="A28" s="713" t="s">
        <v>1817</v>
      </c>
      <c r="B28" s="139">
        <v>2330</v>
      </c>
      <c r="C28" s="732">
        <v>2329.9999990000001</v>
      </c>
      <c r="D28" s="139">
        <f t="shared" si="1"/>
        <v>29654.087035000004</v>
      </c>
      <c r="E28" s="735">
        <f t="shared" si="0"/>
        <v>0.86015135645323304</v>
      </c>
    </row>
    <row r="29" spans="1:5">
      <c r="A29" s="713" t="s">
        <v>1818</v>
      </c>
      <c r="B29" s="139">
        <v>2815</v>
      </c>
      <c r="C29" s="732">
        <v>2815.3419840000001</v>
      </c>
      <c r="D29" s="139">
        <f t="shared" si="1"/>
        <v>32469.429019000003</v>
      </c>
      <c r="E29" s="735">
        <f t="shared" si="0"/>
        <v>0.9418136319958641</v>
      </c>
    </row>
    <row r="30" spans="1:5">
      <c r="A30" s="713" t="s">
        <v>1819</v>
      </c>
      <c r="B30" s="139">
        <v>2006</v>
      </c>
      <c r="C30" s="732">
        <v>2006</v>
      </c>
      <c r="D30" s="139">
        <f t="shared" si="1"/>
        <v>34475.429019000003</v>
      </c>
      <c r="E30" s="735">
        <f t="shared" si="0"/>
        <v>1</v>
      </c>
    </row>
    <row r="31" spans="1:5">
      <c r="D31" s="139"/>
      <c r="E31" s="735">
        <f t="shared" si="0"/>
        <v>0</v>
      </c>
    </row>
  </sheetData>
  <pageMargins left="0.7" right="0.7"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dimension ref="A1:CG1390"/>
  <sheetViews>
    <sheetView tabSelected="1" topLeftCell="F4" zoomScaleNormal="100" workbookViewId="0">
      <selection activeCell="O10" sqref="O10"/>
    </sheetView>
  </sheetViews>
  <sheetFormatPr baseColWidth="10" defaultColWidth="9" defaultRowHeight="11.25" outlineLevelCol="1"/>
  <cols>
    <col min="1" max="1" width="9" style="689" hidden="1" customWidth="1"/>
    <col min="2" max="4" width="9" style="690" hidden="1" customWidth="1"/>
    <col min="5" max="5" width="9" style="689" hidden="1" customWidth="1"/>
    <col min="6" max="6" width="11" style="691" customWidth="1"/>
    <col min="7" max="7" width="11.85546875" style="692" hidden="1" customWidth="1" outlineLevel="1"/>
    <col min="8" max="8" width="12.7109375" style="689" hidden="1" customWidth="1" outlineLevel="1"/>
    <col min="9" max="9" width="7.7109375" style="689" customWidth="1" collapsed="1"/>
    <col min="10" max="10" width="15.85546875" style="689" customWidth="1"/>
    <col min="11" max="11" width="13.28515625" style="689" customWidth="1"/>
    <col min="12" max="12" width="20.7109375" style="689" customWidth="1"/>
    <col min="13" max="13" width="33.7109375" style="689" customWidth="1"/>
    <col min="14" max="14" width="13.28515625" style="689" customWidth="1"/>
    <col min="15" max="15" width="16" style="689" customWidth="1"/>
    <col min="16" max="16" width="5.5703125" style="689" customWidth="1"/>
    <col min="17" max="17" width="14.5703125" style="689" customWidth="1"/>
    <col min="18" max="18" width="8" style="693" customWidth="1"/>
    <col min="19" max="19" width="7.5703125" style="689" customWidth="1"/>
    <col min="20" max="20" width="5.28515625" style="689" customWidth="1"/>
    <col min="21" max="21" width="10.7109375" style="694" customWidth="1"/>
    <col min="22" max="22" width="11.42578125" style="689" customWidth="1"/>
    <col min="23" max="23" width="13.140625" style="689" customWidth="1"/>
    <col min="24" max="24" width="9" style="689" customWidth="1"/>
    <col min="25" max="25" width="9.140625" style="689" customWidth="1"/>
    <col min="26" max="26" width="12.85546875" style="689" bestFit="1" customWidth="1"/>
    <col min="27" max="27" width="13.28515625" style="689" customWidth="1"/>
    <col min="28" max="28" width="16.7109375" style="689" customWidth="1"/>
    <col min="29" max="29" width="16.5703125" style="689" customWidth="1"/>
    <col min="30" max="31" width="9.140625" style="689" customWidth="1"/>
    <col min="32" max="32" width="16.5703125" style="689" customWidth="1"/>
    <col min="33" max="37" width="9" style="689" customWidth="1"/>
    <col min="38" max="38" width="9.28515625" style="689" customWidth="1"/>
    <col min="39" max="39" width="9" style="689" customWidth="1"/>
    <col min="40" max="40" width="29.5703125" style="689" customWidth="1"/>
    <col min="41" max="41" width="40.7109375" style="689" customWidth="1"/>
    <col min="42" max="42" width="9" style="689"/>
    <col min="43" max="43" width="9.140625" style="689" customWidth="1"/>
    <col min="44" max="44" width="13.42578125" style="689" customWidth="1"/>
    <col min="45" max="46" width="9" style="689" customWidth="1"/>
    <col min="47" max="47" width="24.140625" style="689" customWidth="1"/>
    <col min="48" max="48" width="9.140625" style="689" customWidth="1"/>
    <col min="49" max="49" width="12.42578125" style="689" customWidth="1"/>
    <col min="50" max="50" width="11.7109375" style="695" customWidth="1"/>
    <col min="51" max="51" width="12.28515625" style="695" customWidth="1"/>
    <col min="52" max="52" width="11.7109375" style="696" customWidth="1"/>
    <col min="53" max="53" width="14.7109375" style="695" bestFit="1" customWidth="1"/>
    <col min="54" max="54" width="9" style="697"/>
    <col min="55" max="55" width="9.140625" style="694" bestFit="1" customWidth="1"/>
    <col min="56" max="56" width="12.42578125" style="696" customWidth="1"/>
    <col min="57" max="57" width="9.140625" style="689" bestFit="1" customWidth="1"/>
    <col min="58" max="58" width="13.7109375" style="696" bestFit="1" customWidth="1"/>
    <col min="59" max="59" width="11.5703125" style="696" customWidth="1"/>
    <col min="60" max="60" width="16.5703125" style="703" bestFit="1" customWidth="1"/>
    <col min="61" max="61" width="9.140625" style="699" bestFit="1" customWidth="1"/>
    <col min="62" max="62" width="13.85546875" style="696" bestFit="1" customWidth="1"/>
    <col min="63" max="63" width="13.85546875" style="695" customWidth="1"/>
    <col min="64" max="64" width="15.28515625" style="698" bestFit="1" customWidth="1"/>
    <col min="65" max="65" width="9.140625" style="700" customWidth="1"/>
    <col min="66" max="66" width="9.140625" style="692" customWidth="1"/>
    <col min="67" max="67" width="9" style="701" customWidth="1"/>
    <col min="68" max="68" width="9.140625" style="695" customWidth="1"/>
    <col min="69" max="69" width="10.85546875" style="695" customWidth="1"/>
    <col min="70" max="76" width="13.28515625" style="695" customWidth="1"/>
    <col min="77" max="77" width="12.7109375" style="695" bestFit="1" customWidth="1"/>
    <col min="78" max="78" width="14.5703125" style="695" bestFit="1" customWidth="1"/>
    <col min="79" max="79" width="9.28515625" style="695" bestFit="1" customWidth="1"/>
    <col min="80" max="81" width="13.7109375" style="695" bestFit="1" customWidth="1"/>
    <col min="82" max="82" width="59.7109375" style="702" customWidth="1"/>
    <col min="83" max="16384" width="9" style="689"/>
  </cols>
  <sheetData>
    <row r="1" spans="1:82" s="574" customFormat="1">
      <c r="B1" s="575"/>
      <c r="C1" s="575"/>
      <c r="D1" s="575"/>
      <c r="F1" s="582"/>
      <c r="G1" s="583"/>
      <c r="H1" s="583"/>
      <c r="I1" s="583"/>
      <c r="J1" s="583"/>
      <c r="K1" s="583"/>
      <c r="L1" s="584" t="s">
        <v>146</v>
      </c>
      <c r="M1" s="583"/>
      <c r="N1" s="583"/>
      <c r="O1" s="585"/>
      <c r="P1" s="585"/>
      <c r="Q1" s="585"/>
      <c r="R1" s="586"/>
      <c r="S1" s="585"/>
      <c r="T1" s="585"/>
      <c r="U1" s="585"/>
      <c r="V1" s="585"/>
      <c r="W1" s="585"/>
      <c r="X1" s="585"/>
      <c r="Y1" s="585"/>
      <c r="Z1" s="585"/>
      <c r="AA1" s="585"/>
      <c r="AB1" s="585"/>
      <c r="AC1" s="585"/>
      <c r="AD1" s="585"/>
      <c r="AE1" s="585"/>
      <c r="AF1" s="585"/>
      <c r="AG1" s="585"/>
      <c r="AH1" s="585"/>
      <c r="AJ1" s="585"/>
      <c r="AK1" s="585"/>
      <c r="AL1" s="585"/>
      <c r="AM1" s="585"/>
      <c r="AN1" s="583"/>
      <c r="AO1" s="583"/>
      <c r="AP1" s="583"/>
      <c r="AQ1" s="583"/>
      <c r="AR1" s="583"/>
      <c r="AS1" s="583"/>
      <c r="AT1" s="583"/>
      <c r="AU1" s="583"/>
      <c r="AV1" s="583"/>
      <c r="AW1" s="587"/>
      <c r="AX1" s="587"/>
      <c r="AY1" s="587"/>
      <c r="BA1" s="588"/>
      <c r="BB1" s="588"/>
      <c r="BC1" s="586"/>
      <c r="BD1" s="589"/>
      <c r="BE1" s="585"/>
      <c r="BF1" s="578"/>
      <c r="BG1" s="578"/>
      <c r="BH1" s="655"/>
      <c r="BI1" s="585"/>
      <c r="BJ1" s="589"/>
      <c r="BL1" s="657"/>
      <c r="BM1" s="580"/>
      <c r="BN1" s="581"/>
      <c r="BO1" s="585"/>
      <c r="BP1" s="590"/>
      <c r="BQ1" s="590"/>
      <c r="BR1" s="590"/>
      <c r="BS1" s="590"/>
      <c r="BT1" s="590"/>
      <c r="BU1" s="590"/>
      <c r="BV1" s="590"/>
      <c r="BW1" s="590"/>
      <c r="BX1" s="590"/>
      <c r="BY1" s="590"/>
      <c r="BZ1" s="590"/>
      <c r="CA1" s="590"/>
      <c r="CB1" s="590"/>
      <c r="CC1" s="590"/>
      <c r="CD1" s="591"/>
    </row>
    <row r="2" spans="1:82" s="574" customFormat="1">
      <c r="B2" s="575"/>
      <c r="C2" s="575"/>
      <c r="D2" s="575"/>
      <c r="F2" s="582"/>
      <c r="G2" s="583"/>
      <c r="H2" s="583"/>
      <c r="I2" s="583"/>
      <c r="J2" s="583"/>
      <c r="K2" s="583"/>
      <c r="L2" s="584"/>
      <c r="M2" s="583"/>
      <c r="N2" s="583"/>
      <c r="O2" s="585"/>
      <c r="P2" s="585"/>
      <c r="Q2" s="585"/>
      <c r="R2" s="586"/>
      <c r="S2" s="585"/>
      <c r="T2" s="585"/>
      <c r="U2" s="585"/>
      <c r="V2" s="585"/>
      <c r="W2" s="585"/>
      <c r="X2" s="585"/>
      <c r="Y2" s="585"/>
      <c r="Z2" s="585"/>
      <c r="AA2" s="585"/>
      <c r="AB2" s="585"/>
      <c r="AC2" s="585"/>
      <c r="AD2" s="585"/>
      <c r="AE2" s="585"/>
      <c r="AF2" s="585"/>
      <c r="AG2" s="585"/>
      <c r="AH2" s="585"/>
      <c r="AJ2" s="585"/>
      <c r="AK2" s="585"/>
      <c r="AL2" s="585"/>
      <c r="AM2" s="585"/>
      <c r="AN2" s="583"/>
      <c r="AO2" s="583"/>
      <c r="AP2" s="583"/>
      <c r="AQ2" s="583"/>
      <c r="AR2" s="583"/>
      <c r="AS2" s="583"/>
      <c r="AT2" s="583"/>
      <c r="AU2" s="583"/>
      <c r="AV2" s="583"/>
      <c r="AW2" s="587"/>
      <c r="AX2" s="587"/>
      <c r="AY2" s="587"/>
      <c r="BA2" s="588"/>
      <c r="BB2" s="588"/>
      <c r="BC2" s="586"/>
      <c r="BD2" s="589"/>
      <c r="BE2" s="585"/>
      <c r="BF2" s="578"/>
      <c r="BG2" s="578"/>
      <c r="BH2" s="655"/>
      <c r="BI2" s="585"/>
      <c r="BJ2" s="589"/>
      <c r="BL2" s="657"/>
      <c r="BM2" s="580"/>
      <c r="BN2" s="581"/>
      <c r="BO2" s="585"/>
      <c r="BP2" s="590"/>
      <c r="BQ2" s="590"/>
      <c r="BR2" s="590"/>
      <c r="BS2" s="590"/>
      <c r="BT2" s="590"/>
      <c r="BU2" s="590"/>
      <c r="BV2" s="590"/>
      <c r="BW2" s="590"/>
      <c r="BX2" s="590"/>
      <c r="BY2" s="590"/>
      <c r="BZ2" s="590"/>
      <c r="CA2" s="590"/>
      <c r="CB2" s="590"/>
      <c r="CC2" s="590"/>
      <c r="CD2" s="591"/>
    </row>
    <row r="3" spans="1:82" s="574" customFormat="1" ht="12" thickBot="1">
      <c r="B3" s="575"/>
      <c r="C3" s="575"/>
      <c r="D3" s="575"/>
      <c r="F3" s="582"/>
      <c r="G3" s="583"/>
      <c r="H3" s="583"/>
      <c r="I3" s="583"/>
      <c r="J3" s="583"/>
      <c r="K3" s="583"/>
      <c r="L3" s="592" t="s">
        <v>147</v>
      </c>
      <c r="M3" s="583"/>
      <c r="N3" s="583"/>
      <c r="O3" s="585"/>
      <c r="P3" s="585"/>
      <c r="Q3" s="585"/>
      <c r="R3" s="586"/>
      <c r="S3" s="585"/>
      <c r="T3" s="585"/>
      <c r="U3" s="585"/>
      <c r="V3" s="585"/>
      <c r="W3" s="585"/>
      <c r="X3" s="585"/>
      <c r="Y3" s="585"/>
      <c r="Z3" s="585"/>
      <c r="AA3" s="585"/>
      <c r="AB3" s="585"/>
      <c r="AC3" s="585"/>
      <c r="AD3" s="585"/>
      <c r="AE3" s="585"/>
      <c r="AF3" s="585"/>
      <c r="AG3" s="585"/>
      <c r="AH3" s="585"/>
      <c r="AJ3" s="585"/>
      <c r="AK3" s="585"/>
      <c r="AL3" s="585"/>
      <c r="AM3" s="585"/>
      <c r="AN3" s="583"/>
      <c r="AO3" s="583"/>
      <c r="AP3" s="583"/>
      <c r="AQ3" s="583"/>
      <c r="AR3" s="583"/>
      <c r="AS3" s="583"/>
      <c r="AT3" s="583"/>
      <c r="AU3" s="583"/>
      <c r="AV3" s="583"/>
      <c r="AW3" s="587"/>
      <c r="AX3" s="587"/>
      <c r="AY3" s="587"/>
      <c r="BA3" s="588"/>
      <c r="BB3" s="588"/>
      <c r="BC3" s="586"/>
      <c r="BD3" s="589"/>
      <c r="BE3" s="585"/>
      <c r="BF3" s="578"/>
      <c r="BG3" s="578"/>
      <c r="BH3" s="655"/>
      <c r="BI3" s="585"/>
      <c r="BJ3" s="589"/>
      <c r="BL3" s="657"/>
      <c r="BM3" s="580"/>
      <c r="BN3" s="581"/>
      <c r="BO3" s="585"/>
      <c r="BP3" s="590"/>
      <c r="BQ3" s="590"/>
      <c r="BR3" s="590"/>
      <c r="BS3" s="590"/>
      <c r="BT3" s="590"/>
      <c r="BU3" s="590"/>
      <c r="BV3" s="590"/>
      <c r="BW3" s="590"/>
      <c r="BX3" s="590"/>
      <c r="BY3" s="590"/>
      <c r="BZ3" s="590"/>
      <c r="CA3" s="590"/>
      <c r="CB3" s="590"/>
      <c r="CC3" s="590"/>
      <c r="CD3" s="591"/>
    </row>
    <row r="4" spans="1:82" s="574" customFormat="1" ht="22.5">
      <c r="B4" s="575"/>
      <c r="C4" s="575"/>
      <c r="D4" s="575"/>
      <c r="F4" s="582"/>
      <c r="G4" s="583"/>
      <c r="H4" s="583"/>
      <c r="I4" s="583"/>
      <c r="J4" s="583"/>
      <c r="K4" s="583"/>
      <c r="L4" s="593" t="s">
        <v>148</v>
      </c>
      <c r="M4" s="594" t="s">
        <v>149</v>
      </c>
      <c r="N4" s="583"/>
      <c r="R4" s="576"/>
      <c r="W4" s="585"/>
      <c r="X4" s="585"/>
      <c r="Y4" s="585"/>
      <c r="Z4" s="585"/>
      <c r="AA4" s="585"/>
      <c r="AB4" s="585"/>
      <c r="AC4" s="585"/>
      <c r="AD4" s="585"/>
      <c r="AE4" s="585"/>
      <c r="AF4" s="585"/>
      <c r="AG4" s="585"/>
      <c r="AH4" s="585"/>
      <c r="AJ4" s="585"/>
      <c r="AK4" s="585"/>
      <c r="AL4" s="585"/>
      <c r="AM4" s="585"/>
      <c r="AN4" s="561"/>
      <c r="AO4" s="561"/>
      <c r="AP4" s="561"/>
      <c r="AQ4" s="561"/>
      <c r="AR4" s="561"/>
      <c r="AS4" s="561"/>
      <c r="AT4" s="561"/>
      <c r="AU4" s="561"/>
      <c r="AV4" s="561"/>
      <c r="AW4" s="590"/>
      <c r="AX4" s="590"/>
      <c r="AY4" s="587"/>
      <c r="BA4" s="588"/>
      <c r="BB4" s="588"/>
      <c r="BC4" s="586"/>
      <c r="BD4" s="589"/>
      <c r="BE4" s="585"/>
      <c r="BF4" s="578"/>
      <c r="BG4" s="578"/>
      <c r="BH4" s="655"/>
      <c r="BI4" s="585"/>
      <c r="BJ4" s="589"/>
      <c r="BL4" s="657"/>
      <c r="BM4" s="580"/>
      <c r="BN4" s="581"/>
      <c r="BO4" s="585"/>
      <c r="BP4" s="590"/>
      <c r="BQ4" s="590"/>
      <c r="BR4" s="590"/>
      <c r="BS4" s="590"/>
      <c r="BT4" s="590"/>
      <c r="BU4" s="590"/>
      <c r="BV4" s="590"/>
      <c r="BW4" s="590"/>
      <c r="BX4" s="590"/>
      <c r="BY4" s="590"/>
      <c r="BZ4" s="590"/>
      <c r="CA4" s="590"/>
      <c r="CB4" s="590"/>
      <c r="CC4" s="590"/>
      <c r="CD4" s="591"/>
    </row>
    <row r="5" spans="1:82" s="574" customFormat="1">
      <c r="B5" s="575"/>
      <c r="C5" s="575"/>
      <c r="D5" s="575"/>
      <c r="F5" s="582"/>
      <c r="G5" s="583"/>
      <c r="H5" s="583"/>
      <c r="I5" s="583"/>
      <c r="J5" s="583"/>
      <c r="K5" s="583"/>
      <c r="L5" s="595" t="s">
        <v>150</v>
      </c>
      <c r="M5" s="596" t="s">
        <v>404</v>
      </c>
      <c r="N5" s="583"/>
      <c r="R5" s="576"/>
      <c r="W5" s="585"/>
      <c r="X5" s="585"/>
      <c r="Y5" s="585"/>
      <c r="Z5" s="585"/>
      <c r="AA5" s="585"/>
      <c r="AB5" s="585"/>
      <c r="AC5" s="585"/>
      <c r="AD5" s="585"/>
      <c r="AE5" s="585"/>
      <c r="AF5" s="585"/>
      <c r="AG5" s="585"/>
      <c r="AH5" s="585"/>
      <c r="AJ5" s="585"/>
      <c r="AK5" s="585"/>
      <c r="AL5" s="585"/>
      <c r="AM5" s="585"/>
      <c r="AN5" s="561"/>
      <c r="AO5" s="561"/>
      <c r="AP5" s="561"/>
      <c r="AQ5" s="561"/>
      <c r="AR5" s="561"/>
      <c r="AS5" s="561"/>
      <c r="AT5" s="561"/>
      <c r="AU5" s="561"/>
      <c r="AV5" s="561"/>
      <c r="AW5" s="590"/>
      <c r="AX5" s="590"/>
      <c r="AY5" s="587"/>
      <c r="BA5" s="588"/>
      <c r="BB5" s="588"/>
      <c r="BC5" s="586"/>
      <c r="BD5" s="589"/>
      <c r="BE5" s="585"/>
      <c r="BF5" s="578"/>
      <c r="BG5" s="578"/>
      <c r="BH5" s="655"/>
      <c r="BI5" s="585"/>
      <c r="BJ5" s="589"/>
      <c r="BL5" s="657"/>
      <c r="BM5" s="580"/>
      <c r="BN5" s="581"/>
      <c r="BO5" s="585"/>
      <c r="BP5" s="590"/>
      <c r="BQ5" s="590"/>
      <c r="BR5" s="590"/>
      <c r="BS5" s="590"/>
      <c r="BT5" s="590"/>
      <c r="BU5" s="590"/>
      <c r="BV5" s="590"/>
      <c r="BW5" s="590"/>
      <c r="BX5" s="590"/>
      <c r="BY5" s="590"/>
      <c r="BZ5" s="590"/>
      <c r="CA5" s="590"/>
      <c r="CB5" s="590"/>
      <c r="CC5" s="590"/>
      <c r="CD5" s="591"/>
    </row>
    <row r="6" spans="1:82" s="574" customFormat="1">
      <c r="B6" s="575"/>
      <c r="C6" s="575"/>
      <c r="D6" s="575"/>
      <c r="F6" s="582"/>
      <c r="G6" s="583"/>
      <c r="H6" s="583"/>
      <c r="I6" s="583"/>
      <c r="J6" s="583"/>
      <c r="K6" s="583"/>
      <c r="L6" s="595" t="s">
        <v>151</v>
      </c>
      <c r="M6" s="597">
        <v>3550800</v>
      </c>
      <c r="N6" s="673"/>
      <c r="R6" s="576"/>
      <c r="W6" s="585"/>
      <c r="X6" s="585"/>
      <c r="Y6" s="585"/>
      <c r="Z6" s="585"/>
      <c r="AA6" s="585"/>
      <c r="AB6" s="585"/>
      <c r="AC6" s="585"/>
      <c r="AD6" s="585"/>
      <c r="AE6" s="585"/>
      <c r="AF6" s="585"/>
      <c r="AG6" s="585"/>
      <c r="AH6" s="585"/>
      <c r="AJ6" s="585"/>
      <c r="AK6" s="585"/>
      <c r="AL6" s="585"/>
      <c r="AM6" s="585"/>
      <c r="AN6" s="561"/>
      <c r="AO6" s="561"/>
      <c r="AP6" s="561"/>
      <c r="AQ6" s="561"/>
      <c r="AR6" s="561"/>
      <c r="AS6" s="561"/>
      <c r="AT6" s="561"/>
      <c r="AU6" s="561"/>
      <c r="AV6" s="561"/>
      <c r="AW6" s="590"/>
      <c r="AX6" s="590"/>
      <c r="AY6" s="587"/>
      <c r="BA6" s="588"/>
      <c r="BB6" s="588"/>
      <c r="BC6" s="586"/>
      <c r="BD6" s="589"/>
      <c r="BE6" s="585"/>
      <c r="BF6" s="578"/>
      <c r="BG6" s="578"/>
      <c r="BH6" s="655"/>
      <c r="BI6" s="585"/>
      <c r="BJ6" s="589"/>
      <c r="BL6" s="657"/>
      <c r="BM6" s="580"/>
      <c r="BN6" s="581"/>
      <c r="BO6" s="585"/>
      <c r="BP6" s="590"/>
      <c r="BQ6" s="590"/>
      <c r="BR6" s="590"/>
      <c r="BS6" s="590"/>
      <c r="BT6" s="590"/>
      <c r="BU6" s="590"/>
      <c r="BV6" s="590"/>
      <c r="BW6" s="590"/>
      <c r="BX6" s="590"/>
      <c r="BY6" s="590"/>
      <c r="BZ6" s="590"/>
      <c r="CA6" s="590"/>
      <c r="CB6" s="590"/>
      <c r="CC6" s="590"/>
      <c r="CD6" s="591"/>
    </row>
    <row r="7" spans="1:82" s="574" customFormat="1" ht="18.75" customHeight="1">
      <c r="B7" s="575"/>
      <c r="C7" s="575"/>
      <c r="D7" s="575"/>
      <c r="F7" s="582"/>
      <c r="G7" s="583"/>
      <c r="H7" s="583"/>
      <c r="I7" s="583"/>
      <c r="J7" s="583"/>
      <c r="K7" s="583"/>
      <c r="L7" s="595" t="s">
        <v>152</v>
      </c>
      <c r="M7" s="598" t="s">
        <v>153</v>
      </c>
      <c r="N7" s="674"/>
      <c r="R7" s="576"/>
      <c r="W7" s="585"/>
      <c r="X7" s="585"/>
      <c r="Y7" s="585"/>
      <c r="Z7" s="585"/>
      <c r="AA7" s="585"/>
      <c r="AB7" s="585"/>
      <c r="AC7" s="585"/>
      <c r="AD7" s="585"/>
      <c r="AE7" s="585"/>
      <c r="AF7" s="585"/>
      <c r="AG7" s="585"/>
      <c r="AH7" s="585"/>
      <c r="AJ7" s="585"/>
      <c r="AK7" s="585"/>
      <c r="AL7" s="585"/>
      <c r="AM7" s="585"/>
      <c r="AN7" s="561"/>
      <c r="AO7" s="561"/>
      <c r="AP7" s="561"/>
      <c r="AQ7" s="561"/>
      <c r="AR7" s="561"/>
      <c r="AS7" s="561"/>
      <c r="AT7" s="561"/>
      <c r="AU7" s="561"/>
      <c r="AV7" s="561"/>
      <c r="AW7" s="590"/>
      <c r="AX7" s="590"/>
      <c r="AY7" s="587"/>
      <c r="BA7" s="588"/>
      <c r="BB7" s="588"/>
      <c r="BC7" s="586"/>
      <c r="BD7" s="589"/>
      <c r="BE7" s="585"/>
      <c r="BF7" s="578"/>
      <c r="BG7" s="578"/>
      <c r="BH7" s="655"/>
      <c r="BI7" s="585"/>
      <c r="BJ7" s="589"/>
      <c r="BL7" s="657"/>
      <c r="BM7" s="580"/>
      <c r="BN7" s="581"/>
      <c r="BO7" s="585"/>
      <c r="BP7" s="590"/>
      <c r="BQ7" s="590"/>
      <c r="BR7" s="590"/>
      <c r="BS7" s="590"/>
      <c r="BT7" s="590"/>
      <c r="BU7" s="590"/>
      <c r="BV7" s="590"/>
      <c r="BW7" s="590"/>
      <c r="BX7" s="590"/>
      <c r="BY7" s="590"/>
      <c r="BZ7" s="590"/>
      <c r="CA7" s="590"/>
      <c r="CB7" s="590"/>
      <c r="CC7" s="590"/>
      <c r="CD7" s="591"/>
    </row>
    <row r="8" spans="1:82" s="574" customFormat="1" ht="113.25" customHeight="1">
      <c r="B8" s="575"/>
      <c r="C8" s="575"/>
      <c r="D8" s="575"/>
      <c r="F8" s="582"/>
      <c r="G8" s="583"/>
      <c r="H8" s="583"/>
      <c r="I8" s="583"/>
      <c r="J8" s="583"/>
      <c r="K8" s="583"/>
      <c r="L8" s="595" t="s">
        <v>154</v>
      </c>
      <c r="M8" s="599" t="s">
        <v>401</v>
      </c>
      <c r="N8" s="675"/>
      <c r="R8" s="576"/>
      <c r="W8" s="585"/>
      <c r="X8" s="585"/>
      <c r="Y8" s="585"/>
      <c r="Z8" s="585"/>
      <c r="AA8" s="585"/>
      <c r="AB8" s="585"/>
      <c r="AC8" s="585"/>
      <c r="AD8" s="585"/>
      <c r="AE8" s="585"/>
      <c r="AF8" s="585"/>
      <c r="AG8" s="585"/>
      <c r="AH8" s="585"/>
      <c r="AJ8" s="585"/>
      <c r="AK8" s="585"/>
      <c r="AL8" s="585"/>
      <c r="AM8" s="585"/>
      <c r="AN8" s="561"/>
      <c r="AO8" s="561"/>
      <c r="AP8" s="561"/>
      <c r="AQ8" s="561"/>
      <c r="AR8" s="561"/>
      <c r="AS8" s="561"/>
      <c r="AT8" s="561"/>
      <c r="AU8" s="561"/>
      <c r="AV8" s="561"/>
      <c r="AW8" s="590"/>
      <c r="AX8" s="590"/>
      <c r="AY8" s="587"/>
      <c r="BA8" s="588"/>
      <c r="BB8" s="588"/>
      <c r="BC8" s="586"/>
      <c r="BD8" s="589"/>
      <c r="BE8" s="585"/>
      <c r="BF8" s="578"/>
      <c r="BG8" s="578"/>
      <c r="BH8" s="655"/>
      <c r="BI8" s="585"/>
      <c r="BJ8" s="589"/>
      <c r="BL8" s="657"/>
      <c r="BM8" s="580"/>
      <c r="BN8" s="581"/>
      <c r="BO8" s="585"/>
      <c r="BP8" s="590"/>
      <c r="BQ8" s="590"/>
      <c r="BR8" s="590"/>
      <c r="BS8" s="590"/>
      <c r="BT8" s="590"/>
      <c r="BU8" s="590"/>
      <c r="BV8" s="590"/>
      <c r="BW8" s="590"/>
      <c r="BX8" s="590"/>
      <c r="BY8" s="590"/>
      <c r="BZ8" s="590"/>
      <c r="CA8" s="590"/>
      <c r="CB8" s="590"/>
      <c r="CC8" s="590"/>
      <c r="CD8" s="591"/>
    </row>
    <row r="9" spans="1:82" s="574" customFormat="1" ht="47.25" customHeight="1">
      <c r="B9" s="575"/>
      <c r="C9" s="575"/>
      <c r="D9" s="575"/>
      <c r="F9" s="582"/>
      <c r="G9" s="583"/>
      <c r="H9" s="583"/>
      <c r="I9" s="583"/>
      <c r="J9" s="583"/>
      <c r="K9" s="583"/>
      <c r="L9" s="595" t="s">
        <v>155</v>
      </c>
      <c r="M9" s="599" t="s">
        <v>402</v>
      </c>
      <c r="N9" s="675"/>
      <c r="O9" s="585"/>
      <c r="P9" s="585"/>
      <c r="Q9" s="585"/>
      <c r="R9" s="586"/>
      <c r="S9" s="585"/>
      <c r="T9" s="585"/>
      <c r="U9" s="585"/>
      <c r="V9" s="585"/>
      <c r="W9" s="585"/>
      <c r="X9" s="585"/>
      <c r="Y9" s="585"/>
      <c r="Z9" s="585"/>
      <c r="AA9" s="585"/>
      <c r="AB9" s="585"/>
      <c r="AC9" s="585"/>
      <c r="AD9" s="585"/>
      <c r="AE9" s="585"/>
      <c r="AF9" s="585"/>
      <c r="AG9" s="585"/>
      <c r="AH9" s="585"/>
      <c r="AJ9" s="585"/>
      <c r="AK9" s="585"/>
      <c r="AL9" s="585"/>
      <c r="AM9" s="585"/>
      <c r="AN9" s="600"/>
      <c r="AO9" s="583"/>
      <c r="AP9" s="583"/>
      <c r="AQ9" s="583"/>
      <c r="AR9" s="583"/>
      <c r="AS9" s="583"/>
      <c r="AT9" s="583"/>
      <c r="AU9" s="583"/>
      <c r="AV9" s="583"/>
      <c r="AX9" s="587"/>
      <c r="AY9" s="587"/>
      <c r="BA9" s="588"/>
      <c r="BB9" s="588"/>
      <c r="BC9" s="586"/>
      <c r="BD9" s="589"/>
      <c r="BE9" s="585"/>
      <c r="BF9" s="578"/>
      <c r="BG9" s="578"/>
      <c r="BH9" s="655"/>
      <c r="BI9" s="585"/>
      <c r="BJ9" s="589"/>
      <c r="BL9" s="657"/>
      <c r="BM9" s="580"/>
      <c r="BN9" s="581"/>
      <c r="BO9" s="585"/>
      <c r="BP9" s="590"/>
      <c r="BQ9" s="590"/>
      <c r="BR9" s="590"/>
      <c r="BS9" s="590"/>
      <c r="BT9" s="590"/>
      <c r="BU9" s="590"/>
      <c r="BV9" s="590"/>
      <c r="BW9" s="590"/>
      <c r="BX9" s="590"/>
      <c r="BY9" s="590"/>
      <c r="BZ9" s="590"/>
      <c r="CA9" s="590"/>
      <c r="CB9" s="590"/>
      <c r="CC9" s="590"/>
      <c r="CD9" s="591"/>
    </row>
    <row r="10" spans="1:82" s="574" customFormat="1" ht="33.75">
      <c r="B10" s="575"/>
      <c r="C10" s="575"/>
      <c r="D10" s="575"/>
      <c r="F10" s="582"/>
      <c r="G10" s="583"/>
      <c r="H10" s="583"/>
      <c r="I10" s="583"/>
      <c r="J10" s="583"/>
      <c r="K10" s="583"/>
      <c r="L10" s="595" t="s">
        <v>156</v>
      </c>
      <c r="M10" s="601" t="s">
        <v>403</v>
      </c>
      <c r="N10" s="676"/>
      <c r="O10" s="585"/>
      <c r="P10" s="585"/>
      <c r="Q10" s="585"/>
      <c r="R10" s="586"/>
      <c r="S10" s="585"/>
      <c r="T10" s="585"/>
      <c r="U10" s="585"/>
      <c r="V10" s="585"/>
      <c r="W10" s="585"/>
      <c r="X10" s="585"/>
      <c r="Y10" s="585"/>
      <c r="Z10" s="585"/>
      <c r="AA10" s="585"/>
      <c r="AB10" s="585"/>
      <c r="AC10" s="585"/>
      <c r="AD10" s="585"/>
      <c r="AE10" s="585"/>
      <c r="AF10" s="585"/>
      <c r="AG10" s="585"/>
      <c r="AH10" s="585"/>
      <c r="AJ10" s="585"/>
      <c r="AK10" s="585"/>
      <c r="AL10" s="585"/>
      <c r="AM10" s="585"/>
      <c r="AN10" s="583"/>
      <c r="AO10" s="583"/>
      <c r="AP10" s="583"/>
      <c r="AQ10" s="583"/>
      <c r="AR10" s="583"/>
      <c r="AS10" s="583"/>
      <c r="AT10" s="583"/>
      <c r="AU10" s="583"/>
      <c r="AV10" s="583"/>
      <c r="AW10" s="587"/>
      <c r="AX10" s="587"/>
      <c r="AY10" s="587"/>
      <c r="BA10" s="588"/>
      <c r="BB10" s="588"/>
      <c r="BC10" s="586"/>
      <c r="BD10" s="589"/>
      <c r="BE10" s="585"/>
      <c r="BF10" s="578"/>
      <c r="BG10" s="578"/>
      <c r="BH10" s="655"/>
      <c r="BI10" s="585"/>
      <c r="BJ10" s="589"/>
      <c r="BL10" s="657"/>
      <c r="BM10" s="580"/>
      <c r="BN10" s="581"/>
      <c r="BO10" s="585"/>
      <c r="BP10" s="590"/>
      <c r="BQ10" s="590"/>
      <c r="BR10" s="590"/>
      <c r="BS10" s="590"/>
      <c r="BT10" s="590"/>
      <c r="BU10" s="590"/>
      <c r="BV10" s="590"/>
      <c r="BW10" s="590"/>
      <c r="BX10" s="590"/>
      <c r="BY10" s="590"/>
      <c r="BZ10" s="590"/>
      <c r="CA10" s="590"/>
      <c r="CB10" s="590"/>
      <c r="CC10" s="590"/>
      <c r="CD10" s="591"/>
    </row>
    <row r="11" spans="1:82" s="574" customFormat="1">
      <c r="B11" s="575"/>
      <c r="C11" s="575"/>
      <c r="D11" s="575"/>
      <c r="F11" s="582"/>
      <c r="G11" s="583"/>
      <c r="H11" s="583"/>
      <c r="I11" s="583"/>
      <c r="J11" s="583"/>
      <c r="K11" s="583"/>
      <c r="L11" s="595" t="s">
        <v>157</v>
      </c>
      <c r="M11" s="602">
        <v>34519161735</v>
      </c>
      <c r="N11" s="677"/>
      <c r="O11" s="585"/>
      <c r="P11" s="585"/>
      <c r="Q11" s="585"/>
      <c r="R11" s="586"/>
      <c r="S11" s="585"/>
      <c r="T11" s="585"/>
      <c r="U11" s="585"/>
      <c r="V11" s="585"/>
      <c r="W11" s="585"/>
      <c r="X11" s="585"/>
      <c r="Y11" s="585"/>
      <c r="Z11" s="585"/>
      <c r="AA11" s="585"/>
      <c r="AB11" s="585"/>
      <c r="AC11" s="585"/>
      <c r="AD11" s="585"/>
      <c r="AE11" s="585"/>
      <c r="AF11" s="585"/>
      <c r="AG11" s="585"/>
      <c r="AH11" s="585"/>
      <c r="AJ11" s="585"/>
      <c r="AK11" s="585"/>
      <c r="AL11" s="585"/>
      <c r="AM11" s="585"/>
      <c r="AN11" s="561"/>
      <c r="AO11" s="561"/>
      <c r="AP11" s="561"/>
      <c r="AQ11" s="561"/>
      <c r="AR11" s="561"/>
      <c r="AS11" s="561"/>
      <c r="AT11" s="561"/>
      <c r="AU11" s="561"/>
      <c r="AV11" s="561"/>
      <c r="AW11" s="590"/>
      <c r="AX11" s="590"/>
      <c r="AY11" s="590"/>
      <c r="AZ11" s="590"/>
      <c r="BA11" s="590"/>
      <c r="BB11" s="561"/>
      <c r="BC11" s="603"/>
      <c r="BD11" s="604"/>
      <c r="BE11" s="605"/>
      <c r="BF11" s="604"/>
      <c r="BG11" s="604"/>
      <c r="BH11" s="655"/>
      <c r="BI11" s="606"/>
      <c r="BJ11" s="604"/>
      <c r="BK11" s="590"/>
      <c r="BL11" s="657"/>
      <c r="BM11" s="580"/>
      <c r="BN11" s="581"/>
      <c r="BO11" s="579"/>
      <c r="BP11" s="590"/>
      <c r="BQ11" s="590"/>
      <c r="BR11" s="590"/>
      <c r="BS11" s="590"/>
      <c r="BT11" s="590"/>
      <c r="BU11" s="590"/>
      <c r="BV11" s="590"/>
      <c r="BW11" s="590"/>
      <c r="BX11" s="590"/>
      <c r="BY11" s="590"/>
      <c r="BZ11" s="590"/>
      <c r="CA11" s="590"/>
      <c r="CB11" s="590"/>
      <c r="CC11" s="590"/>
      <c r="CD11" s="591"/>
    </row>
    <row r="12" spans="1:82" s="574" customFormat="1" ht="33.75" customHeight="1">
      <c r="B12" s="575"/>
      <c r="C12" s="575"/>
      <c r="D12" s="575"/>
      <c r="F12" s="582"/>
      <c r="G12" s="583"/>
      <c r="H12" s="583"/>
      <c r="I12" s="583"/>
      <c r="J12" s="583"/>
      <c r="K12" s="583"/>
      <c r="L12" s="595" t="s">
        <v>158</v>
      </c>
      <c r="M12" s="602">
        <v>231872480</v>
      </c>
      <c r="N12" s="677"/>
      <c r="O12" s="585"/>
      <c r="P12" s="585"/>
      <c r="Q12" s="585"/>
      <c r="R12" s="586"/>
      <c r="S12" s="585"/>
      <c r="T12" s="585"/>
      <c r="U12" s="585"/>
      <c r="V12" s="585"/>
      <c r="W12" s="585"/>
      <c r="X12" s="585"/>
      <c r="Y12" s="585"/>
      <c r="Z12" s="585"/>
      <c r="AA12" s="585"/>
      <c r="AB12" s="585"/>
      <c r="AC12" s="585"/>
      <c r="AD12" s="585"/>
      <c r="AE12" s="585"/>
      <c r="AF12" s="585"/>
      <c r="AG12" s="585"/>
      <c r="AH12" s="585"/>
      <c r="AJ12" s="585"/>
      <c r="AK12" s="585"/>
      <c r="AL12" s="585"/>
      <c r="AM12" s="585"/>
      <c r="AN12" s="583"/>
      <c r="AO12" s="583"/>
      <c r="AP12" s="583"/>
      <c r="AQ12" s="583"/>
      <c r="AR12" s="583"/>
      <c r="AS12" s="583"/>
      <c r="AT12" s="583"/>
      <c r="AU12" s="583"/>
      <c r="AV12" s="583"/>
      <c r="AW12" s="587"/>
      <c r="AX12" s="587"/>
      <c r="AY12" s="587"/>
      <c r="BA12" s="588"/>
      <c r="BB12" s="588"/>
      <c r="BC12" s="586"/>
      <c r="BD12" s="589"/>
      <c r="BE12" s="585"/>
      <c r="BF12" s="578"/>
      <c r="BG12" s="578"/>
      <c r="BH12" s="655"/>
      <c r="BI12" s="585"/>
      <c r="BJ12" s="589"/>
      <c r="BL12" s="657"/>
      <c r="BM12" s="580"/>
      <c r="BN12" s="581"/>
      <c r="BO12" s="585"/>
      <c r="BP12" s="590"/>
      <c r="BQ12" s="590"/>
      <c r="BR12" s="590"/>
      <c r="BS12" s="590"/>
      <c r="BT12" s="590"/>
      <c r="BU12" s="590"/>
      <c r="BV12" s="590"/>
      <c r="BW12" s="590"/>
      <c r="BX12" s="590"/>
      <c r="BY12" s="590"/>
      <c r="BZ12" s="590"/>
      <c r="CA12" s="590"/>
      <c r="CB12" s="590"/>
      <c r="CC12" s="590"/>
      <c r="CD12" s="591"/>
    </row>
    <row r="13" spans="1:82" s="574" customFormat="1" ht="33.75" customHeight="1">
      <c r="B13" s="575"/>
      <c r="C13" s="575"/>
      <c r="D13" s="575"/>
      <c r="F13" s="582"/>
      <c r="G13" s="583"/>
      <c r="H13" s="583"/>
      <c r="I13" s="583"/>
      <c r="J13" s="583"/>
      <c r="K13" s="583"/>
      <c r="L13" s="595" t="s">
        <v>159</v>
      </c>
      <c r="M13" s="602">
        <v>23187248</v>
      </c>
      <c r="N13" s="677"/>
      <c r="O13" s="585"/>
      <c r="P13" s="585"/>
      <c r="Q13" s="585"/>
      <c r="R13" s="586"/>
      <c r="S13" s="585"/>
      <c r="T13" s="585"/>
      <c r="U13" s="585"/>
      <c r="V13" s="585"/>
      <c r="W13" s="585"/>
      <c r="X13" s="585"/>
      <c r="Y13" s="585"/>
      <c r="Z13" s="585"/>
      <c r="AA13" s="585"/>
      <c r="AB13" s="585"/>
      <c r="AC13" s="585"/>
      <c r="AD13" s="585"/>
      <c r="AE13" s="585"/>
      <c r="AF13" s="585"/>
      <c r="AG13" s="585"/>
      <c r="AH13" s="585"/>
      <c r="AJ13" s="585"/>
      <c r="AK13" s="585"/>
      <c r="AL13" s="585"/>
      <c r="AM13" s="585"/>
      <c r="AN13" s="583"/>
      <c r="AO13" s="583"/>
      <c r="AP13" s="583"/>
      <c r="AQ13" s="583"/>
      <c r="AR13" s="583"/>
      <c r="AS13" s="583"/>
      <c r="AT13" s="583"/>
      <c r="AU13" s="583"/>
      <c r="AV13" s="583"/>
      <c r="AW13" s="587"/>
      <c r="AX13" s="587"/>
      <c r="AY13" s="587"/>
      <c r="BA13" s="588"/>
      <c r="BB13" s="588"/>
      <c r="BC13" s="586"/>
      <c r="BD13" s="589"/>
      <c r="BE13" s="585"/>
      <c r="BF13" s="578"/>
      <c r="BG13" s="578"/>
      <c r="BH13" s="655"/>
      <c r="BI13" s="585"/>
      <c r="BJ13" s="589"/>
      <c r="BL13" s="657"/>
      <c r="BM13" s="580"/>
      <c r="BN13" s="581"/>
      <c r="BO13" s="585"/>
      <c r="BP13" s="590"/>
      <c r="BQ13" s="590"/>
      <c r="BR13" s="590"/>
      <c r="BS13" s="590"/>
      <c r="BT13" s="590"/>
      <c r="BU13" s="590"/>
      <c r="BV13" s="590"/>
      <c r="BW13" s="590"/>
      <c r="BX13" s="590"/>
      <c r="BY13" s="590"/>
      <c r="BZ13" s="590"/>
      <c r="CA13" s="590"/>
      <c r="CB13" s="590"/>
      <c r="CC13" s="590"/>
      <c r="CD13" s="591"/>
    </row>
    <row r="14" spans="1:82" s="561" customFormat="1">
      <c r="A14" s="574"/>
      <c r="B14" s="575"/>
      <c r="C14" s="575"/>
      <c r="D14" s="575"/>
      <c r="E14" s="574"/>
      <c r="F14" s="582"/>
      <c r="G14" s="583"/>
      <c r="H14" s="583"/>
      <c r="I14" s="583"/>
      <c r="J14" s="583"/>
      <c r="K14" s="583"/>
      <c r="L14" s="585"/>
      <c r="M14" s="583"/>
      <c r="N14" s="583"/>
      <c r="O14" s="585"/>
      <c r="P14" s="585"/>
      <c r="Q14" s="585"/>
      <c r="R14" s="586"/>
      <c r="S14" s="585"/>
      <c r="T14" s="585"/>
      <c r="U14" s="585"/>
      <c r="V14" s="585"/>
      <c r="W14" s="585"/>
      <c r="X14" s="585"/>
      <c r="Y14" s="585"/>
      <c r="Z14" s="585"/>
      <c r="AA14" s="585"/>
      <c r="AB14" s="585"/>
      <c r="AC14" s="585"/>
      <c r="AD14" s="585"/>
      <c r="AE14" s="585"/>
      <c r="AF14" s="585"/>
      <c r="AG14" s="585"/>
      <c r="AH14" s="585"/>
      <c r="AI14" s="574"/>
      <c r="AJ14" s="585"/>
      <c r="AK14" s="585"/>
      <c r="AL14" s="585"/>
      <c r="AM14" s="585"/>
      <c r="AN14" s="583"/>
      <c r="AO14" s="583"/>
      <c r="AP14" s="583"/>
      <c r="AQ14" s="583"/>
      <c r="AR14" s="583"/>
      <c r="AS14" s="583"/>
      <c r="AT14" s="583"/>
      <c r="AU14" s="583"/>
      <c r="AV14" s="583"/>
      <c r="AW14" s="587"/>
      <c r="AX14" s="587"/>
      <c r="AY14" s="587"/>
      <c r="AZ14" s="574"/>
      <c r="BA14" s="588"/>
      <c r="BB14" s="588"/>
      <c r="BC14" s="586"/>
      <c r="BD14" s="589"/>
      <c r="BE14" s="585"/>
      <c r="BF14" s="578"/>
      <c r="BG14" s="578"/>
      <c r="BH14" s="655"/>
      <c r="BI14" s="585"/>
      <c r="BJ14" s="589"/>
      <c r="BK14" s="574"/>
      <c r="BL14" s="657"/>
      <c r="BM14" s="580"/>
      <c r="BN14" s="581"/>
      <c r="BO14" s="585"/>
      <c r="BP14" s="590"/>
      <c r="BQ14" s="590"/>
      <c r="BR14" s="590"/>
      <c r="BS14" s="590"/>
      <c r="BT14" s="590"/>
      <c r="BU14" s="590"/>
      <c r="BV14" s="590"/>
      <c r="BW14" s="590"/>
      <c r="BX14" s="590"/>
      <c r="BY14" s="590"/>
      <c r="BZ14" s="590"/>
      <c r="CA14" s="590"/>
      <c r="CB14" s="590"/>
      <c r="CC14" s="590"/>
      <c r="CD14" s="607"/>
    </row>
    <row r="15" spans="1:82" s="561" customFormat="1" ht="12" customHeight="1">
      <c r="A15" s="574"/>
      <c r="B15" s="575"/>
      <c r="C15" s="575"/>
      <c r="D15" s="575"/>
      <c r="E15" s="574"/>
      <c r="F15" s="582"/>
      <c r="G15" s="583"/>
      <c r="H15" s="583"/>
      <c r="I15" s="583"/>
      <c r="J15" s="583"/>
      <c r="K15" s="583"/>
      <c r="L15" s="584" t="s">
        <v>160</v>
      </c>
      <c r="M15" s="583"/>
      <c r="N15" s="583"/>
      <c r="O15" s="585"/>
      <c r="P15" s="585"/>
      <c r="Q15" s="585"/>
      <c r="R15" s="586"/>
      <c r="S15" s="585"/>
      <c r="T15" s="585"/>
      <c r="U15" s="585"/>
      <c r="V15" s="585"/>
      <c r="W15" s="585"/>
      <c r="X15" s="585"/>
      <c r="Y15" s="585"/>
      <c r="Z15" s="585"/>
      <c r="AA15" s="585"/>
      <c r="AB15" s="585"/>
      <c r="AC15" s="585"/>
      <c r="AD15" s="585"/>
      <c r="AE15" s="585"/>
      <c r="AF15" s="585"/>
      <c r="AG15" s="585"/>
      <c r="AH15" s="585"/>
      <c r="AI15" s="574"/>
      <c r="AJ15" s="585"/>
      <c r="AK15" s="585"/>
      <c r="AL15" s="585"/>
      <c r="AM15" s="585"/>
      <c r="AN15" s="583"/>
      <c r="AO15" s="583"/>
      <c r="AP15" s="583"/>
      <c r="AQ15" s="583"/>
      <c r="AR15" s="583"/>
      <c r="AS15" s="583"/>
      <c r="AT15" s="583"/>
      <c r="AU15" s="583"/>
      <c r="AV15" s="583"/>
      <c r="AW15" s="587"/>
      <c r="AX15" s="587"/>
      <c r="AY15" s="587"/>
      <c r="AZ15" s="574"/>
      <c r="BA15" s="588"/>
      <c r="BB15" s="588"/>
      <c r="BC15" s="586"/>
      <c r="BD15" s="589"/>
      <c r="BE15" s="585"/>
      <c r="BF15" s="578"/>
      <c r="BG15" s="578"/>
      <c r="BH15" s="655"/>
      <c r="BI15" s="585"/>
      <c r="BJ15" s="589"/>
      <c r="BK15" s="574"/>
      <c r="BL15" s="657"/>
      <c r="BM15" s="580"/>
      <c r="BN15" s="581"/>
      <c r="BO15" s="585"/>
      <c r="BP15" s="590"/>
      <c r="BQ15" s="590"/>
      <c r="BR15" s="590"/>
      <c r="BS15" s="590"/>
      <c r="BT15" s="590"/>
      <c r="BU15" s="590"/>
      <c r="BV15" s="590"/>
      <c r="BW15" s="590"/>
      <c r="BX15" s="590"/>
      <c r="BY15" s="590"/>
      <c r="BZ15" s="590"/>
      <c r="CA15" s="590"/>
      <c r="CB15" s="590"/>
      <c r="CC15" s="590"/>
      <c r="CD15" s="607"/>
    </row>
    <row r="16" spans="1:82" s="561" customFormat="1">
      <c r="A16" s="574"/>
      <c r="B16" s="575"/>
      <c r="C16" s="575"/>
      <c r="D16" s="575"/>
      <c r="E16" s="574"/>
      <c r="F16" s="610"/>
      <c r="G16" s="608"/>
      <c r="H16" s="583"/>
      <c r="I16" s="583"/>
      <c r="J16" s="574" t="s">
        <v>408</v>
      </c>
      <c r="K16" s="574"/>
      <c r="L16" s="574"/>
      <c r="M16" s="574"/>
      <c r="N16" s="574"/>
      <c r="O16" s="574"/>
      <c r="P16" s="574"/>
      <c r="Q16" s="574"/>
      <c r="R16" s="576"/>
      <c r="S16" s="574"/>
      <c r="T16" s="574"/>
      <c r="U16" s="585"/>
      <c r="V16" s="585"/>
      <c r="W16" s="585"/>
      <c r="X16" s="585"/>
      <c r="Y16" s="585"/>
      <c r="Z16" s="585"/>
      <c r="AA16" s="585"/>
      <c r="AB16" s="585"/>
      <c r="AC16" s="585"/>
      <c r="AD16" s="585"/>
      <c r="AE16" s="585"/>
      <c r="AF16" s="585"/>
      <c r="AG16" s="585"/>
      <c r="AH16" s="585"/>
      <c r="AI16" s="574"/>
      <c r="AJ16" s="585"/>
      <c r="AK16" s="585"/>
      <c r="AL16" s="585"/>
      <c r="AM16" s="585"/>
      <c r="AN16" s="583"/>
      <c r="AO16" s="583"/>
      <c r="AP16" s="583"/>
      <c r="AQ16" s="583"/>
      <c r="AR16" s="583"/>
      <c r="AS16" s="583"/>
      <c r="AT16" s="583"/>
      <c r="AU16" s="583"/>
      <c r="AV16" s="583"/>
      <c r="AW16" s="587"/>
      <c r="AX16" s="587"/>
      <c r="AY16" s="587"/>
      <c r="AZ16" s="578"/>
      <c r="BA16" s="588"/>
      <c r="BB16" s="589"/>
      <c r="BC16" s="586"/>
      <c r="BD16" s="589"/>
      <c r="BE16" s="585"/>
      <c r="BF16" s="578"/>
      <c r="BG16" s="578"/>
      <c r="BH16" s="655"/>
      <c r="BI16" s="589"/>
      <c r="BJ16" s="589"/>
      <c r="BK16" s="577"/>
      <c r="BL16" s="657"/>
      <c r="BM16" s="580"/>
      <c r="BN16" s="581"/>
      <c r="BO16" s="585"/>
      <c r="BP16" s="590"/>
      <c r="BQ16" s="590"/>
      <c r="BR16" s="590"/>
      <c r="BS16" s="590"/>
      <c r="BT16" s="590"/>
      <c r="BU16" s="590"/>
      <c r="BV16" s="590"/>
      <c r="BW16" s="590"/>
      <c r="BX16" s="590"/>
      <c r="BY16" s="590"/>
      <c r="BZ16" s="590"/>
      <c r="CA16" s="590"/>
      <c r="CB16" s="590"/>
      <c r="CC16" s="590"/>
      <c r="CD16" s="607"/>
    </row>
    <row r="17" spans="1:82" s="561" customFormat="1" ht="33.75">
      <c r="A17" s="574"/>
      <c r="B17" s="575"/>
      <c r="C17" s="575"/>
      <c r="D17" s="575"/>
      <c r="E17" s="574"/>
      <c r="F17" s="610"/>
      <c r="G17" s="608"/>
      <c r="H17" s="583"/>
      <c r="I17" s="583"/>
      <c r="J17" s="611" t="s">
        <v>1807</v>
      </c>
      <c r="K17" s="611" t="s">
        <v>406</v>
      </c>
      <c r="L17" s="611" t="s">
        <v>407</v>
      </c>
      <c r="M17" s="611" t="s">
        <v>327</v>
      </c>
      <c r="N17" s="611" t="s">
        <v>163</v>
      </c>
      <c r="O17" s="611" t="s">
        <v>405</v>
      </c>
      <c r="P17" s="611" t="s">
        <v>406</v>
      </c>
      <c r="Q17" s="611" t="s">
        <v>407</v>
      </c>
      <c r="R17" s="576"/>
      <c r="S17" s="574"/>
      <c r="T17" s="574"/>
      <c r="U17" s="585"/>
      <c r="V17" s="585"/>
      <c r="W17" s="585"/>
      <c r="X17" s="585"/>
      <c r="Y17" s="585"/>
      <c r="Z17" s="585"/>
      <c r="AA17" s="585"/>
      <c r="AB17" s="585"/>
      <c r="AC17" s="585"/>
      <c r="AD17" s="585"/>
      <c r="AE17" s="585"/>
      <c r="AF17" s="585"/>
      <c r="AG17" s="585"/>
      <c r="AH17" s="585"/>
      <c r="AI17" s="574"/>
      <c r="AJ17" s="585"/>
      <c r="AK17" s="585"/>
      <c r="AL17" s="585"/>
      <c r="AM17" s="585"/>
      <c r="AN17" s="583"/>
      <c r="AO17" s="583"/>
      <c r="AP17" s="583"/>
      <c r="AQ17" s="583"/>
      <c r="AR17" s="583"/>
      <c r="AS17" s="583"/>
      <c r="AT17" s="583"/>
      <c r="AU17" s="583"/>
      <c r="AV17" s="583"/>
      <c r="AW17" s="587"/>
      <c r="AX17" s="587"/>
      <c r="AY17" s="587"/>
      <c r="AZ17" s="578"/>
      <c r="BA17" s="588"/>
      <c r="BB17" s="589"/>
      <c r="BC17" s="586"/>
      <c r="BD17" s="589"/>
      <c r="BE17" s="585"/>
      <c r="BF17" s="578"/>
      <c r="BG17" s="578"/>
      <c r="BH17" s="655"/>
      <c r="BI17" s="589"/>
      <c r="BJ17" s="589"/>
      <c r="BK17" s="577"/>
      <c r="BL17" s="657"/>
      <c r="BM17" s="580"/>
      <c r="BN17" s="581"/>
      <c r="BO17" s="585"/>
      <c r="BP17" s="590"/>
      <c r="BQ17" s="590"/>
      <c r="BR17" s="590"/>
      <c r="BS17" s="590"/>
      <c r="BT17" s="590"/>
      <c r="BU17" s="590"/>
      <c r="BV17" s="590"/>
      <c r="BW17" s="590"/>
      <c r="BX17" s="590"/>
      <c r="BY17" s="590"/>
      <c r="BZ17" s="590"/>
      <c r="CA17" s="590"/>
      <c r="CB17" s="590"/>
      <c r="CC17" s="590"/>
      <c r="CD17" s="607"/>
    </row>
    <row r="18" spans="1:82" s="561" customFormat="1">
      <c r="A18" s="574"/>
      <c r="B18" s="575"/>
      <c r="C18" s="575"/>
      <c r="D18" s="575"/>
      <c r="E18" s="574"/>
      <c r="F18" s="610"/>
      <c r="G18" s="608"/>
      <c r="H18" s="583"/>
      <c r="I18" s="583"/>
      <c r="J18" s="612">
        <v>204000000</v>
      </c>
      <c r="K18" s="615">
        <f t="shared" ref="K18:K24" si="0">+SUMIF($K$32:$K$967,M18,$AB$32:$AB$967)</f>
        <v>203999736</v>
      </c>
      <c r="L18" s="613">
        <f>+J18-K18</f>
        <v>264</v>
      </c>
      <c r="M18" s="614" t="s">
        <v>331</v>
      </c>
      <c r="N18" s="705" t="s">
        <v>597</v>
      </c>
      <c r="O18" s="612">
        <v>204000000</v>
      </c>
      <c r="P18" s="615">
        <f t="shared" ref="P18:P24" si="1">+SUMIF($K$32:$K$967,M18,$AB$32:$AB$967)</f>
        <v>203999736</v>
      </c>
      <c r="Q18" s="613">
        <f t="shared" ref="Q18:Q24" si="2">+O18-P18</f>
        <v>264</v>
      </c>
      <c r="R18" s="576"/>
      <c r="S18" s="574"/>
      <c r="T18" s="574"/>
      <c r="U18" s="585"/>
      <c r="V18" s="585"/>
      <c r="W18" s="585"/>
      <c r="X18" s="585"/>
      <c r="Y18" s="585"/>
      <c r="Z18" s="585"/>
      <c r="AA18" s="585"/>
      <c r="AB18" s="585"/>
      <c r="AC18" s="585"/>
      <c r="AD18" s="585"/>
      <c r="AE18" s="585"/>
      <c r="AF18" s="585"/>
      <c r="AG18" s="585"/>
      <c r="AH18" s="585"/>
      <c r="AI18" s="574"/>
      <c r="AJ18" s="585"/>
      <c r="AK18" s="585"/>
      <c r="AL18" s="585"/>
      <c r="AM18" s="585"/>
      <c r="AN18" s="583"/>
      <c r="AO18" s="583"/>
      <c r="AP18" s="583"/>
      <c r="AQ18" s="583"/>
      <c r="AR18" s="583"/>
      <c r="AS18" s="583"/>
      <c r="AT18" s="583"/>
      <c r="AU18" s="583"/>
      <c r="AV18" s="583"/>
      <c r="AW18" s="587"/>
      <c r="AX18" s="587"/>
      <c r="AY18" s="587"/>
      <c r="AZ18" s="578"/>
      <c r="BA18" s="588"/>
      <c r="BB18" s="589"/>
      <c r="BC18" s="586"/>
      <c r="BD18" s="589"/>
      <c r="BE18" s="585"/>
      <c r="BF18" s="578"/>
      <c r="BG18" s="578"/>
      <c r="BH18" s="655"/>
      <c r="BI18" s="589"/>
      <c r="BJ18" s="589"/>
      <c r="BK18" s="577"/>
      <c r="BL18" s="657"/>
      <c r="BM18" s="580"/>
      <c r="BN18" s="581"/>
      <c r="BO18" s="585"/>
      <c r="BP18" s="590"/>
      <c r="BQ18" s="590"/>
      <c r="BR18" s="590"/>
      <c r="BS18" s="590"/>
      <c r="BT18" s="590"/>
      <c r="BU18" s="590"/>
      <c r="BV18" s="590"/>
      <c r="BW18" s="590"/>
      <c r="BX18" s="590"/>
      <c r="BY18" s="590"/>
      <c r="BZ18" s="590"/>
      <c r="CA18" s="590"/>
      <c r="CB18" s="590"/>
      <c r="CC18" s="590"/>
      <c r="CD18" s="607"/>
    </row>
    <row r="19" spans="1:82" s="561" customFormat="1">
      <c r="A19" s="574"/>
      <c r="B19" s="575"/>
      <c r="C19" s="575"/>
      <c r="D19" s="575"/>
      <c r="E19" s="574"/>
      <c r="F19" s="610"/>
      <c r="G19" s="608"/>
      <c r="H19" s="609"/>
      <c r="I19" s="583"/>
      <c r="J19" s="612">
        <v>1600000000</v>
      </c>
      <c r="K19" s="615">
        <f t="shared" si="0"/>
        <v>1600000000</v>
      </c>
      <c r="L19" s="613">
        <f t="shared" ref="L19:L24" si="3">+J19-K19</f>
        <v>0</v>
      </c>
      <c r="M19" s="614" t="s">
        <v>330</v>
      </c>
      <c r="N19" s="705" t="s">
        <v>329</v>
      </c>
      <c r="O19" s="612">
        <v>1600000000</v>
      </c>
      <c r="P19" s="615">
        <f t="shared" si="1"/>
        <v>1600000000</v>
      </c>
      <c r="Q19" s="613">
        <f t="shared" si="2"/>
        <v>0</v>
      </c>
      <c r="R19" s="576"/>
      <c r="S19" s="574"/>
      <c r="T19" s="574"/>
      <c r="U19" s="585"/>
      <c r="V19" s="585"/>
      <c r="W19" s="585"/>
      <c r="X19" s="585"/>
      <c r="Y19" s="585"/>
      <c r="Z19" s="585"/>
      <c r="AA19" s="585"/>
      <c r="AB19" s="585"/>
      <c r="AC19" s="585"/>
      <c r="AD19" s="585"/>
      <c r="AE19" s="585"/>
      <c r="AF19" s="585"/>
      <c r="AG19" s="585"/>
      <c r="AH19" s="585"/>
      <c r="AI19" s="574"/>
      <c r="AJ19" s="585"/>
      <c r="AK19" s="585"/>
      <c r="AL19" s="585"/>
      <c r="AM19" s="585"/>
      <c r="AN19" s="583"/>
      <c r="AO19" s="583"/>
      <c r="AP19" s="583"/>
      <c r="AQ19" s="583"/>
      <c r="AR19" s="583"/>
      <c r="AS19" s="583"/>
      <c r="AT19" s="583"/>
      <c r="AU19" s="583"/>
      <c r="AV19" s="583"/>
      <c r="AW19" s="587"/>
      <c r="AX19" s="587"/>
      <c r="AY19" s="587"/>
      <c r="AZ19" s="578"/>
      <c r="BA19" s="588"/>
      <c r="BB19" s="589"/>
      <c r="BC19" s="586"/>
      <c r="BD19" s="589"/>
      <c r="BE19" s="585"/>
      <c r="BF19" s="578"/>
      <c r="BG19" s="578"/>
      <c r="BH19" s="655"/>
      <c r="BI19" s="589"/>
      <c r="BJ19" s="589"/>
      <c r="BK19" s="577"/>
      <c r="BL19" s="657"/>
      <c r="BM19" s="580"/>
      <c r="BN19" s="581"/>
      <c r="BO19" s="585"/>
      <c r="BP19" s="590"/>
      <c r="BQ19" s="590"/>
      <c r="BR19" s="590"/>
      <c r="BS19" s="590"/>
      <c r="BT19" s="590"/>
      <c r="BU19" s="590"/>
      <c r="BV19" s="590"/>
      <c r="BW19" s="590"/>
      <c r="BX19" s="590"/>
      <c r="BY19" s="590"/>
      <c r="BZ19" s="590"/>
      <c r="CA19" s="590"/>
      <c r="CB19" s="590"/>
      <c r="CC19" s="590"/>
      <c r="CD19" s="607"/>
    </row>
    <row r="20" spans="1:82" s="561" customFormat="1">
      <c r="A20" s="574"/>
      <c r="B20" s="575"/>
      <c r="C20" s="575"/>
      <c r="D20" s="575"/>
      <c r="E20" s="574"/>
      <c r="F20" s="610"/>
      <c r="G20" s="608"/>
      <c r="H20" s="583"/>
      <c r="I20" s="583"/>
      <c r="J20" s="612">
        <v>740000000</v>
      </c>
      <c r="K20" s="615">
        <f t="shared" si="0"/>
        <v>740000000</v>
      </c>
      <c r="L20" s="613">
        <f t="shared" si="3"/>
        <v>0</v>
      </c>
      <c r="M20" s="614" t="s">
        <v>185</v>
      </c>
      <c r="N20" s="705" t="s">
        <v>596</v>
      </c>
      <c r="O20" s="612">
        <v>740000000</v>
      </c>
      <c r="P20" s="615">
        <f t="shared" si="1"/>
        <v>740000000</v>
      </c>
      <c r="Q20" s="613">
        <f t="shared" si="2"/>
        <v>0</v>
      </c>
      <c r="R20" s="576"/>
      <c r="S20" s="574"/>
      <c r="T20" s="574"/>
      <c r="U20" s="585"/>
      <c r="V20" s="585"/>
      <c r="W20" s="585"/>
      <c r="X20" s="585"/>
      <c r="Y20" s="585"/>
      <c r="Z20" s="585"/>
      <c r="AA20" s="585"/>
      <c r="AB20" s="585"/>
      <c r="AC20" s="585"/>
      <c r="AD20" s="585"/>
      <c r="AE20" s="585"/>
      <c r="AF20" s="585"/>
      <c r="AG20" s="585"/>
      <c r="AH20" s="585"/>
      <c r="AI20" s="574"/>
      <c r="AJ20" s="585"/>
      <c r="AK20" s="585"/>
      <c r="AL20" s="616"/>
      <c r="AM20" s="616"/>
      <c r="AN20" s="583"/>
      <c r="AO20" s="583"/>
      <c r="AP20" s="583"/>
      <c r="AQ20" s="583"/>
      <c r="AR20" s="583"/>
      <c r="AS20" s="583"/>
      <c r="AT20" s="583"/>
      <c r="AU20" s="583"/>
      <c r="AV20" s="583"/>
      <c r="AW20" s="587"/>
      <c r="AX20" s="587"/>
      <c r="AY20" s="587"/>
      <c r="AZ20" s="578"/>
      <c r="BA20" s="588"/>
      <c r="BB20" s="589"/>
      <c r="BC20" s="586"/>
      <c r="BD20" s="589"/>
      <c r="BE20" s="585"/>
      <c r="BF20" s="578"/>
      <c r="BG20" s="578"/>
      <c r="BH20" s="655"/>
      <c r="BI20" s="589"/>
      <c r="BJ20" s="589"/>
      <c r="BK20" s="577"/>
      <c r="BL20" s="657"/>
      <c r="BM20" s="580"/>
      <c r="BN20" s="581"/>
      <c r="BO20" s="585"/>
      <c r="BP20" s="590"/>
      <c r="BQ20" s="590"/>
      <c r="BR20" s="590"/>
      <c r="BS20" s="590"/>
      <c r="BT20" s="590"/>
      <c r="BU20" s="590"/>
      <c r="BV20" s="590"/>
      <c r="BW20" s="590"/>
      <c r="BX20" s="590"/>
      <c r="BY20" s="590"/>
      <c r="BZ20" s="590"/>
      <c r="CA20" s="590"/>
      <c r="CB20" s="590"/>
      <c r="CC20" s="590"/>
      <c r="CD20" s="607"/>
    </row>
    <row r="21" spans="1:82" s="561" customFormat="1">
      <c r="A21" s="574"/>
      <c r="B21" s="575"/>
      <c r="C21" s="575"/>
      <c r="D21" s="575"/>
      <c r="E21" s="574"/>
      <c r="F21" s="610"/>
      <c r="G21" s="608"/>
      <c r="H21" s="583"/>
      <c r="I21" s="583"/>
      <c r="J21" s="612">
        <v>6976000000</v>
      </c>
      <c r="K21" s="615">
        <f t="shared" si="0"/>
        <v>6976000000</v>
      </c>
      <c r="L21" s="613">
        <f t="shared" si="3"/>
        <v>0</v>
      </c>
      <c r="M21" s="614" t="s">
        <v>229</v>
      </c>
      <c r="N21" s="705" t="s">
        <v>27</v>
      </c>
      <c r="O21" s="612">
        <v>6976000000</v>
      </c>
      <c r="P21" s="615">
        <f t="shared" si="1"/>
        <v>6976000000</v>
      </c>
      <c r="Q21" s="613">
        <f t="shared" si="2"/>
        <v>0</v>
      </c>
      <c r="R21" s="576"/>
      <c r="S21" s="574"/>
      <c r="T21" s="574"/>
      <c r="U21" s="585"/>
      <c r="V21" s="585"/>
      <c r="W21" s="585"/>
      <c r="X21" s="585"/>
      <c r="Y21" s="585"/>
      <c r="Z21" s="585"/>
      <c r="AA21" s="585"/>
      <c r="AB21" s="585"/>
      <c r="AC21" s="585"/>
      <c r="AD21" s="585"/>
      <c r="AE21" s="585"/>
      <c r="AF21" s="585"/>
      <c r="AG21" s="585"/>
      <c r="AH21" s="585"/>
      <c r="AI21" s="574"/>
      <c r="AJ21" s="585"/>
      <c r="AK21" s="585"/>
      <c r="AL21" s="585"/>
      <c r="AM21" s="585"/>
      <c r="AN21" s="583"/>
      <c r="AO21" s="583"/>
      <c r="AP21" s="583"/>
      <c r="AQ21" s="583"/>
      <c r="AR21" s="583"/>
      <c r="AS21" s="583"/>
      <c r="AT21" s="583"/>
      <c r="AU21" s="583"/>
      <c r="AV21" s="583"/>
      <c r="AW21" s="587"/>
      <c r="AX21" s="587"/>
      <c r="AY21" s="587"/>
      <c r="AZ21" s="578"/>
      <c r="BA21" s="588"/>
      <c r="BB21" s="589"/>
      <c r="BC21" s="586"/>
      <c r="BD21" s="589"/>
      <c r="BE21" s="585"/>
      <c r="BF21" s="578"/>
      <c r="BG21" s="578"/>
      <c r="BH21" s="655"/>
      <c r="BI21" s="589"/>
      <c r="BJ21" s="589"/>
      <c r="BK21" s="577"/>
      <c r="BL21" s="657"/>
      <c r="BM21" s="580"/>
      <c r="BN21" s="581"/>
      <c r="BO21" s="585"/>
      <c r="BP21" s="590"/>
      <c r="BQ21" s="590"/>
      <c r="BR21" s="590"/>
      <c r="BS21" s="590"/>
      <c r="BT21" s="590"/>
      <c r="BU21" s="590"/>
      <c r="BV21" s="590"/>
      <c r="BW21" s="590"/>
      <c r="BX21" s="590"/>
      <c r="BY21" s="590"/>
      <c r="BZ21" s="590"/>
      <c r="CA21" s="590"/>
      <c r="CB21" s="590"/>
      <c r="CC21" s="590"/>
      <c r="CD21" s="607"/>
    </row>
    <row r="22" spans="1:82" s="561" customFormat="1">
      <c r="A22" s="574"/>
      <c r="B22" s="575"/>
      <c r="C22" s="575"/>
      <c r="D22" s="575"/>
      <c r="E22" s="574"/>
      <c r="F22" s="610"/>
      <c r="G22" s="608"/>
      <c r="H22" s="583"/>
      <c r="I22" s="583"/>
      <c r="J22" s="612">
        <v>5578162000</v>
      </c>
      <c r="K22" s="615">
        <f t="shared" si="0"/>
        <v>5578162000</v>
      </c>
      <c r="L22" s="613">
        <f>+J22-K22</f>
        <v>0</v>
      </c>
      <c r="M22" s="614" t="s">
        <v>233</v>
      </c>
      <c r="N22" s="705" t="s">
        <v>178</v>
      </c>
      <c r="O22" s="612">
        <v>5578162000</v>
      </c>
      <c r="P22" s="615">
        <f t="shared" si="1"/>
        <v>5578162000</v>
      </c>
      <c r="Q22" s="613">
        <f t="shared" si="2"/>
        <v>0</v>
      </c>
      <c r="R22" s="576"/>
      <c r="S22" s="574"/>
      <c r="T22" s="574"/>
      <c r="U22" s="585"/>
      <c r="V22" s="585"/>
      <c r="W22" s="585"/>
      <c r="X22" s="585"/>
      <c r="Y22" s="585"/>
      <c r="Z22" s="585"/>
      <c r="AA22" s="585"/>
      <c r="AB22" s="585"/>
      <c r="AC22" s="585"/>
      <c r="AD22" s="585"/>
      <c r="AE22" s="585"/>
      <c r="AF22" s="585"/>
      <c r="AG22" s="585"/>
      <c r="AH22" s="585"/>
      <c r="AI22" s="574"/>
      <c r="AJ22" s="585"/>
      <c r="AK22" s="585"/>
      <c r="AL22" s="585"/>
      <c r="AM22" s="585"/>
      <c r="AN22" s="583"/>
      <c r="AO22" s="583"/>
      <c r="AP22" s="583"/>
      <c r="AQ22" s="583"/>
      <c r="AR22" s="583"/>
      <c r="AS22" s="583"/>
      <c r="AT22" s="583"/>
      <c r="AU22" s="583"/>
      <c r="AV22" s="583"/>
      <c r="AW22" s="587"/>
      <c r="AX22" s="587"/>
      <c r="AY22" s="587"/>
      <c r="AZ22" s="578"/>
      <c r="BA22" s="588"/>
      <c r="BB22" s="589"/>
      <c r="BC22" s="586"/>
      <c r="BD22" s="589"/>
      <c r="BE22" s="585"/>
      <c r="BF22" s="578"/>
      <c r="BG22" s="578"/>
      <c r="BH22" s="655"/>
      <c r="BI22" s="589"/>
      <c r="BJ22" s="589"/>
      <c r="BK22" s="577"/>
      <c r="BL22" s="657"/>
      <c r="BM22" s="580"/>
      <c r="BN22" s="581"/>
      <c r="BO22" s="585"/>
      <c r="BP22" s="590"/>
      <c r="BQ22" s="590"/>
      <c r="BR22" s="590"/>
      <c r="BS22" s="590"/>
      <c r="BT22" s="590"/>
      <c r="BU22" s="590"/>
      <c r="BV22" s="590"/>
      <c r="BW22" s="590"/>
      <c r="BX22" s="590"/>
      <c r="BY22" s="590"/>
      <c r="BZ22" s="590"/>
      <c r="CA22" s="590"/>
      <c r="CB22" s="590"/>
      <c r="CC22" s="590"/>
      <c r="CD22" s="607"/>
    </row>
    <row r="23" spans="1:82" s="561" customFormat="1">
      <c r="A23" s="574"/>
      <c r="B23" s="575"/>
      <c r="C23" s="575"/>
      <c r="D23" s="575"/>
      <c r="E23" s="574"/>
      <c r="F23" s="610"/>
      <c r="G23" s="608"/>
      <c r="H23" s="583"/>
      <c r="I23" s="583"/>
      <c r="J23" s="612">
        <f>16996999999+1</f>
        <v>16997000000</v>
      </c>
      <c r="K23" s="615">
        <f t="shared" si="0"/>
        <v>16996999999</v>
      </c>
      <c r="L23" s="613">
        <f>+J23-K23</f>
        <v>1</v>
      </c>
      <c r="M23" s="614" t="s">
        <v>214</v>
      </c>
      <c r="N23" s="705" t="s">
        <v>180</v>
      </c>
      <c r="O23" s="612">
        <f>16996999999+1</f>
        <v>16997000000</v>
      </c>
      <c r="P23" s="617">
        <f t="shared" si="1"/>
        <v>16996999999</v>
      </c>
      <c r="Q23" s="613">
        <f t="shared" si="2"/>
        <v>1</v>
      </c>
      <c r="R23" s="576"/>
      <c r="S23" s="574"/>
      <c r="T23" s="574"/>
      <c r="U23" s="585"/>
      <c r="V23" s="585"/>
      <c r="W23" s="585"/>
      <c r="X23" s="585"/>
      <c r="Y23" s="585"/>
      <c r="Z23" s="585"/>
      <c r="AA23" s="585"/>
      <c r="AB23" s="585"/>
      <c r="AC23" s="585"/>
      <c r="AD23" s="585"/>
      <c r="AE23" s="585"/>
      <c r="AF23" s="585"/>
      <c r="AG23" s="585"/>
      <c r="AH23" s="585"/>
      <c r="AI23" s="574"/>
      <c r="AJ23" s="585"/>
      <c r="AK23" s="585"/>
      <c r="AL23" s="585"/>
      <c r="AM23" s="585"/>
      <c r="AN23" s="583"/>
      <c r="AO23" s="583"/>
      <c r="AP23" s="583"/>
      <c r="AQ23" s="583"/>
      <c r="AR23" s="583"/>
      <c r="AS23" s="583"/>
      <c r="AT23" s="583"/>
      <c r="AU23" s="583"/>
      <c r="AV23" s="583"/>
      <c r="AW23" s="587"/>
      <c r="AX23" s="587"/>
      <c r="AY23" s="587"/>
      <c r="AZ23" s="578"/>
      <c r="BA23" s="588"/>
      <c r="BB23" s="589"/>
      <c r="BC23" s="586"/>
      <c r="BD23" s="589"/>
      <c r="BE23" s="585"/>
      <c r="BF23" s="578"/>
      <c r="BG23" s="578"/>
      <c r="BH23" s="655"/>
      <c r="BI23" s="589"/>
      <c r="BJ23" s="589"/>
      <c r="BK23" s="577"/>
      <c r="BL23" s="657"/>
      <c r="BM23" s="580"/>
      <c r="BN23" s="581"/>
      <c r="BO23" s="585"/>
      <c r="BP23" s="590"/>
      <c r="BQ23" s="590"/>
      <c r="BR23" s="590"/>
      <c r="BS23" s="590"/>
      <c r="BT23" s="590"/>
      <c r="BU23" s="590"/>
      <c r="BV23" s="590"/>
      <c r="BW23" s="590"/>
      <c r="BX23" s="590"/>
      <c r="BY23" s="590"/>
      <c r="BZ23" s="590"/>
      <c r="CA23" s="590"/>
      <c r="CB23" s="590"/>
      <c r="CC23" s="590"/>
      <c r="CD23" s="607"/>
    </row>
    <row r="24" spans="1:82" s="561" customFormat="1">
      <c r="A24" s="574"/>
      <c r="B24" s="575"/>
      <c r="C24" s="575"/>
      <c r="D24" s="575"/>
      <c r="E24" s="574"/>
      <c r="F24" s="610"/>
      <c r="G24" s="608"/>
      <c r="H24" s="583"/>
      <c r="I24" s="583"/>
      <c r="J24" s="612">
        <v>2424000000</v>
      </c>
      <c r="K24" s="615">
        <f t="shared" si="0"/>
        <v>2424000000</v>
      </c>
      <c r="L24" s="613">
        <f t="shared" si="3"/>
        <v>0</v>
      </c>
      <c r="M24" s="614" t="s">
        <v>199</v>
      </c>
      <c r="N24" s="705" t="s">
        <v>179</v>
      </c>
      <c r="O24" s="612">
        <v>2424000000</v>
      </c>
      <c r="P24" s="615">
        <f t="shared" si="1"/>
        <v>2424000000</v>
      </c>
      <c r="Q24" s="613">
        <f t="shared" si="2"/>
        <v>0</v>
      </c>
      <c r="R24" s="576"/>
      <c r="S24" s="574"/>
      <c r="T24" s="574"/>
      <c r="U24" s="585"/>
      <c r="V24" s="585"/>
      <c r="W24" s="585"/>
      <c r="X24" s="585"/>
      <c r="Y24" s="585"/>
      <c r="Z24" s="585"/>
      <c r="AA24" s="585"/>
      <c r="AB24" s="585"/>
      <c r="AC24" s="585"/>
      <c r="AD24" s="585"/>
      <c r="AE24" s="585"/>
      <c r="AF24" s="585"/>
      <c r="AG24" s="585"/>
      <c r="AH24" s="585"/>
      <c r="AI24" s="574"/>
      <c r="AJ24" s="585"/>
      <c r="AK24" s="585"/>
      <c r="AL24" s="585"/>
      <c r="AM24" s="585"/>
      <c r="AN24" s="583"/>
      <c r="AO24" s="583"/>
      <c r="AP24" s="583"/>
      <c r="AQ24" s="583"/>
      <c r="AR24" s="583"/>
      <c r="AS24" s="583"/>
      <c r="AT24" s="583"/>
      <c r="AU24" s="583"/>
      <c r="AV24" s="583"/>
      <c r="AW24" s="587"/>
      <c r="AX24" s="587"/>
      <c r="AY24" s="587"/>
      <c r="AZ24" s="578"/>
      <c r="BA24" s="588"/>
      <c r="BB24" s="589"/>
      <c r="BC24" s="586"/>
      <c r="BD24" s="589"/>
      <c r="BE24" s="585"/>
      <c r="BF24" s="578"/>
      <c r="BG24" s="578"/>
      <c r="BH24" s="655"/>
      <c r="BI24" s="589"/>
      <c r="BJ24" s="589"/>
      <c r="BK24" s="577"/>
      <c r="BL24" s="657"/>
      <c r="BM24" s="580"/>
      <c r="BN24" s="581"/>
      <c r="BO24" s="585"/>
      <c r="BP24" s="590"/>
      <c r="BQ24" s="590"/>
      <c r="BR24" s="590"/>
      <c r="BS24" s="590"/>
      <c r="BT24" s="590"/>
      <c r="BU24" s="590"/>
      <c r="BV24" s="590"/>
      <c r="BW24" s="590"/>
      <c r="BX24" s="590"/>
      <c r="BY24" s="590"/>
      <c r="BZ24" s="590"/>
      <c r="CA24" s="590"/>
      <c r="CB24" s="590"/>
      <c r="CC24" s="590"/>
      <c r="CD24" s="607"/>
    </row>
    <row r="25" spans="1:82" s="590" customFormat="1">
      <c r="A25" s="574"/>
      <c r="B25" s="575"/>
      <c r="C25" s="575"/>
      <c r="E25" s="574"/>
      <c r="F25" s="610"/>
      <c r="G25" s="608"/>
      <c r="H25" s="583"/>
      <c r="I25" s="587"/>
      <c r="J25" s="589"/>
      <c r="K25" s="589"/>
      <c r="L25" s="589"/>
      <c r="M25" s="587"/>
      <c r="N25" s="583"/>
      <c r="O25" s="589"/>
      <c r="P25" s="589"/>
      <c r="Q25" s="589"/>
      <c r="R25" s="577"/>
      <c r="S25" s="574"/>
      <c r="T25" s="577"/>
      <c r="U25" s="589"/>
      <c r="V25" s="589"/>
      <c r="W25" s="589"/>
      <c r="X25" s="589"/>
      <c r="Y25" s="589"/>
      <c r="Z25" s="589"/>
      <c r="AA25" s="589"/>
      <c r="AB25" s="577"/>
      <c r="AC25" s="577"/>
      <c r="AD25" s="589"/>
      <c r="AE25" s="589"/>
      <c r="AF25" s="589"/>
      <c r="AG25" s="589"/>
      <c r="AH25" s="589"/>
      <c r="AI25" s="577"/>
      <c r="AJ25" s="589"/>
      <c r="AK25" s="585"/>
      <c r="AL25" s="589"/>
      <c r="AM25" s="589"/>
      <c r="AN25" s="587"/>
      <c r="AO25" s="587"/>
      <c r="AP25" s="587"/>
      <c r="AQ25" s="587"/>
      <c r="AR25" s="587"/>
      <c r="AS25" s="587"/>
      <c r="AT25" s="587"/>
      <c r="AU25" s="587"/>
      <c r="AV25" s="587"/>
      <c r="AW25" s="587"/>
      <c r="AX25" s="587"/>
      <c r="AY25" s="587"/>
      <c r="AZ25" s="578"/>
      <c r="BA25" s="588"/>
      <c r="BB25" s="589"/>
      <c r="BC25" s="586"/>
      <c r="BD25" s="589"/>
      <c r="BE25" s="589"/>
      <c r="BF25" s="578"/>
      <c r="BG25" s="578"/>
      <c r="BH25" s="656"/>
      <c r="BI25" s="589"/>
      <c r="BJ25" s="589"/>
      <c r="BK25" s="577"/>
      <c r="BL25" s="658"/>
      <c r="BM25" s="580"/>
      <c r="BN25" s="618"/>
      <c r="BO25" s="589"/>
      <c r="CD25" s="619"/>
    </row>
    <row r="26" spans="1:82" s="561" customFormat="1">
      <c r="A26" s="574"/>
      <c r="B26" s="575"/>
      <c r="C26" s="575"/>
      <c r="D26" s="575"/>
      <c r="E26" s="574"/>
      <c r="F26" s="610"/>
      <c r="G26" s="608"/>
      <c r="H26" s="583"/>
      <c r="I26" s="583"/>
      <c r="J26" s="583"/>
      <c r="K26" s="609"/>
      <c r="L26" s="584"/>
      <c r="M26" s="583"/>
      <c r="N26" s="583"/>
      <c r="O26" s="585"/>
      <c r="P26" s="585"/>
      <c r="Q26" s="585"/>
      <c r="R26" s="586"/>
      <c r="S26" s="585"/>
      <c r="T26" s="585"/>
      <c r="U26" s="585"/>
      <c r="V26" s="585"/>
      <c r="W26" s="585"/>
      <c r="X26" s="585"/>
      <c r="Y26" s="585"/>
      <c r="Z26" s="585"/>
      <c r="AA26" s="585"/>
      <c r="AB26" s="585"/>
      <c r="AC26" s="585"/>
      <c r="AD26" s="585"/>
      <c r="AE26" s="585"/>
      <c r="AF26" s="585"/>
      <c r="AG26" s="585"/>
      <c r="AH26" s="585"/>
      <c r="AI26" s="574"/>
      <c r="AJ26" s="585"/>
      <c r="AK26" s="620"/>
      <c r="AL26" s="620"/>
      <c r="AM26" s="620"/>
      <c r="AN26" s="621"/>
      <c r="AO26" s="621"/>
      <c r="AP26" s="621"/>
      <c r="AQ26" s="621"/>
      <c r="AR26" s="621"/>
      <c r="AS26" s="621"/>
      <c r="AT26" s="621"/>
      <c r="AU26" s="621"/>
      <c r="AV26" s="621"/>
      <c r="AW26" s="574"/>
      <c r="AX26" s="587"/>
      <c r="AY26" s="587"/>
      <c r="AZ26" s="578"/>
      <c r="BA26" s="588"/>
      <c r="BB26" s="589"/>
      <c r="BC26" s="586"/>
      <c r="BD26" s="589"/>
      <c r="BE26" s="585"/>
      <c r="BF26" s="578"/>
      <c r="BG26" s="578"/>
      <c r="BH26" s="655"/>
      <c r="BI26" s="589"/>
      <c r="BJ26" s="589"/>
      <c r="BK26" s="577"/>
      <c r="BL26" s="657"/>
      <c r="BM26" s="580"/>
      <c r="BN26" s="581"/>
      <c r="BO26" s="585"/>
      <c r="BP26" s="577"/>
      <c r="BQ26" s="577"/>
      <c r="BR26" s="577"/>
      <c r="BS26" s="577"/>
      <c r="BT26" s="577"/>
      <c r="BU26" s="577"/>
      <c r="BV26" s="577"/>
      <c r="BW26" s="577"/>
      <c r="BX26" s="577"/>
      <c r="BY26" s="577"/>
      <c r="BZ26" s="577"/>
      <c r="CA26" s="577"/>
      <c r="CB26" s="577"/>
      <c r="CC26" s="577"/>
      <c r="CD26" s="607"/>
    </row>
    <row r="27" spans="1:82" s="561" customFormat="1" ht="14.25" customHeight="1">
      <c r="A27" s="574"/>
      <c r="B27" s="622"/>
      <c r="C27" s="575"/>
      <c r="D27" s="575"/>
      <c r="E27" s="574"/>
      <c r="F27" s="761" t="s">
        <v>325</v>
      </c>
      <c r="G27" s="752"/>
      <c r="H27" s="752"/>
      <c r="I27" s="752"/>
      <c r="J27" s="752"/>
      <c r="K27" s="752"/>
      <c r="L27" s="752"/>
      <c r="M27" s="752"/>
      <c r="N27" s="752"/>
      <c r="O27" s="752"/>
      <c r="P27" s="752"/>
      <c r="Q27" s="752"/>
      <c r="R27" s="752"/>
      <c r="S27" s="752"/>
      <c r="T27" s="752"/>
      <c r="U27" s="752"/>
      <c r="V27" s="752"/>
      <c r="W27" s="752"/>
      <c r="X27" s="752"/>
      <c r="Y27" s="752"/>
      <c r="Z27" s="752"/>
      <c r="AA27" s="752"/>
      <c r="AB27" s="752"/>
      <c r="AC27" s="752"/>
      <c r="AD27" s="752"/>
      <c r="AE27" s="752"/>
      <c r="AF27" s="752"/>
      <c r="AG27" s="752"/>
      <c r="AH27" s="752"/>
      <c r="AI27" s="752"/>
      <c r="AJ27" s="752"/>
      <c r="AK27" s="762" t="s">
        <v>326</v>
      </c>
      <c r="AL27" s="763"/>
      <c r="AM27" s="763"/>
      <c r="AN27" s="763"/>
      <c r="AO27" s="763"/>
      <c r="AP27" s="763"/>
      <c r="AQ27" s="763"/>
      <c r="AR27" s="763"/>
      <c r="AS27" s="763"/>
      <c r="AT27" s="763"/>
      <c r="AU27" s="763"/>
      <c r="AV27" s="764"/>
      <c r="AW27" s="752" t="s">
        <v>328</v>
      </c>
      <c r="AX27" s="752"/>
      <c r="AY27" s="752"/>
      <c r="AZ27" s="753"/>
      <c r="BA27" s="754"/>
      <c r="BB27" s="755"/>
      <c r="BC27" s="756"/>
      <c r="BD27" s="753"/>
      <c r="BE27" s="752"/>
      <c r="BF27" s="753"/>
      <c r="BG27" s="752"/>
      <c r="BH27" s="757"/>
      <c r="BI27" s="758"/>
      <c r="BJ27" s="754"/>
      <c r="BK27" s="754"/>
      <c r="BL27" s="759"/>
      <c r="BM27" s="752"/>
      <c r="BN27" s="752"/>
      <c r="BO27" s="752"/>
      <c r="BP27" s="754"/>
      <c r="BQ27" s="754"/>
      <c r="BR27" s="754"/>
      <c r="BS27" s="754"/>
      <c r="BT27" s="754"/>
      <c r="BU27" s="754"/>
      <c r="BV27" s="754"/>
      <c r="BW27" s="754"/>
      <c r="BX27" s="754"/>
      <c r="BY27" s="754"/>
      <c r="BZ27" s="754"/>
      <c r="CA27" s="754"/>
      <c r="CB27" s="754"/>
      <c r="CC27" s="754"/>
      <c r="CD27" s="752"/>
    </row>
    <row r="28" spans="1:82" s="561" customFormat="1">
      <c r="A28" s="574"/>
      <c r="B28" s="575"/>
      <c r="C28" s="575"/>
      <c r="D28" s="575"/>
      <c r="E28" s="574"/>
      <c r="F28" s="761"/>
      <c r="G28" s="752"/>
      <c r="H28" s="752"/>
      <c r="I28" s="752"/>
      <c r="J28" s="752"/>
      <c r="K28" s="752"/>
      <c r="L28" s="752"/>
      <c r="M28" s="752"/>
      <c r="N28" s="752"/>
      <c r="O28" s="752"/>
      <c r="P28" s="752"/>
      <c r="Q28" s="752"/>
      <c r="R28" s="752"/>
      <c r="S28" s="752"/>
      <c r="T28" s="752"/>
      <c r="U28" s="752"/>
      <c r="V28" s="752"/>
      <c r="W28" s="752"/>
      <c r="X28" s="752"/>
      <c r="Y28" s="752"/>
      <c r="Z28" s="752"/>
      <c r="AA28" s="752"/>
      <c r="AB28" s="752"/>
      <c r="AC28" s="752"/>
      <c r="AD28" s="752"/>
      <c r="AE28" s="752"/>
      <c r="AF28" s="752"/>
      <c r="AG28" s="752"/>
      <c r="AH28" s="752"/>
      <c r="AI28" s="752"/>
      <c r="AJ28" s="752"/>
      <c r="AK28" s="765"/>
      <c r="AL28" s="766"/>
      <c r="AM28" s="766"/>
      <c r="AN28" s="766"/>
      <c r="AO28" s="766"/>
      <c r="AP28" s="766"/>
      <c r="AQ28" s="766"/>
      <c r="AR28" s="766"/>
      <c r="AS28" s="766"/>
      <c r="AT28" s="766"/>
      <c r="AU28" s="766"/>
      <c r="AV28" s="767"/>
      <c r="AW28" s="752"/>
      <c r="AX28" s="752"/>
      <c r="AY28" s="752"/>
      <c r="AZ28" s="752"/>
      <c r="BA28" s="752"/>
      <c r="BB28" s="752"/>
      <c r="BC28" s="756"/>
      <c r="BD28" s="753"/>
      <c r="BE28" s="752"/>
      <c r="BF28" s="753"/>
      <c r="BG28" s="752"/>
      <c r="BH28" s="757"/>
      <c r="BI28" s="760"/>
      <c r="BJ28" s="752"/>
      <c r="BK28" s="752"/>
      <c r="BL28" s="759"/>
      <c r="BM28" s="752"/>
      <c r="BN28" s="752"/>
      <c r="BO28" s="752"/>
      <c r="BP28" s="752"/>
      <c r="BQ28" s="752"/>
      <c r="BR28" s="752"/>
      <c r="BS28" s="754"/>
      <c r="BT28" s="754"/>
      <c r="BU28" s="754"/>
      <c r="BV28" s="754"/>
      <c r="BW28" s="754"/>
      <c r="BX28" s="754"/>
      <c r="BY28" s="754"/>
      <c r="BZ28" s="754"/>
      <c r="CA28" s="754"/>
      <c r="CB28" s="754"/>
      <c r="CC28" s="752"/>
      <c r="CD28" s="752"/>
    </row>
    <row r="29" spans="1:82" s="623" customFormat="1">
      <c r="A29" s="622"/>
      <c r="B29" s="622"/>
      <c r="C29" s="575"/>
      <c r="D29" s="575"/>
      <c r="E29" s="574"/>
      <c r="F29" s="761"/>
      <c r="G29" s="752"/>
      <c r="H29" s="752"/>
      <c r="I29" s="752"/>
      <c r="J29" s="752"/>
      <c r="K29" s="752"/>
      <c r="L29" s="752"/>
      <c r="M29" s="752"/>
      <c r="N29" s="752"/>
      <c r="O29" s="752"/>
      <c r="P29" s="752"/>
      <c r="Q29" s="752"/>
      <c r="R29" s="752"/>
      <c r="S29" s="752"/>
      <c r="T29" s="752"/>
      <c r="U29" s="752"/>
      <c r="V29" s="752"/>
      <c r="W29" s="752"/>
      <c r="X29" s="752"/>
      <c r="Y29" s="752"/>
      <c r="Z29" s="752"/>
      <c r="AA29" s="752"/>
      <c r="AB29" s="752"/>
      <c r="AC29" s="752"/>
      <c r="AD29" s="752"/>
      <c r="AE29" s="752"/>
      <c r="AF29" s="752"/>
      <c r="AG29" s="752"/>
      <c r="AH29" s="752"/>
      <c r="AI29" s="752"/>
      <c r="AJ29" s="752"/>
      <c r="AK29" s="765"/>
      <c r="AL29" s="766"/>
      <c r="AM29" s="766"/>
      <c r="AN29" s="766"/>
      <c r="AO29" s="766"/>
      <c r="AP29" s="766"/>
      <c r="AQ29" s="766"/>
      <c r="AR29" s="766"/>
      <c r="AS29" s="766"/>
      <c r="AT29" s="766"/>
      <c r="AU29" s="766"/>
      <c r="AV29" s="767"/>
      <c r="AW29" s="752"/>
      <c r="AX29" s="752"/>
      <c r="AY29" s="752"/>
      <c r="AZ29" s="752"/>
      <c r="BA29" s="752"/>
      <c r="BB29" s="752"/>
      <c r="BC29" s="756"/>
      <c r="BD29" s="753"/>
      <c r="BE29" s="752"/>
      <c r="BF29" s="753"/>
      <c r="BG29" s="752"/>
      <c r="BH29" s="757"/>
      <c r="BI29" s="760"/>
      <c r="BJ29" s="752"/>
      <c r="BK29" s="752"/>
      <c r="BL29" s="759"/>
      <c r="BM29" s="752"/>
      <c r="BN29" s="752"/>
      <c r="BO29" s="752"/>
      <c r="BP29" s="752"/>
      <c r="BQ29" s="752"/>
      <c r="BR29" s="752"/>
      <c r="BS29" s="754"/>
      <c r="BT29" s="754"/>
      <c r="BU29" s="754"/>
      <c r="BV29" s="754"/>
      <c r="BW29" s="754"/>
      <c r="BX29" s="754"/>
      <c r="BY29" s="754"/>
      <c r="BZ29" s="754"/>
      <c r="CA29" s="754"/>
      <c r="CB29" s="754"/>
      <c r="CC29" s="752"/>
      <c r="CD29" s="752"/>
    </row>
    <row r="30" spans="1:82" s="561" customFormat="1" ht="14.25" customHeight="1">
      <c r="B30" s="624"/>
      <c r="C30" s="624"/>
      <c r="D30" s="624"/>
      <c r="E30" s="574"/>
      <c r="F30" s="761"/>
      <c r="G30" s="752"/>
      <c r="H30" s="752"/>
      <c r="I30" s="752"/>
      <c r="J30" s="752"/>
      <c r="K30" s="752"/>
      <c r="L30" s="752"/>
      <c r="M30" s="752"/>
      <c r="N30" s="752"/>
      <c r="O30" s="752"/>
      <c r="P30" s="752"/>
      <c r="Q30" s="752"/>
      <c r="R30" s="752"/>
      <c r="S30" s="752"/>
      <c r="T30" s="752"/>
      <c r="U30" s="752"/>
      <c r="V30" s="752"/>
      <c r="W30" s="752"/>
      <c r="X30" s="752"/>
      <c r="Y30" s="752"/>
      <c r="Z30" s="752"/>
      <c r="AA30" s="752"/>
      <c r="AB30" s="752"/>
      <c r="AC30" s="752"/>
      <c r="AD30" s="752"/>
      <c r="AE30" s="752"/>
      <c r="AF30" s="752"/>
      <c r="AG30" s="752"/>
      <c r="AH30" s="752"/>
      <c r="AI30" s="752"/>
      <c r="AJ30" s="752"/>
      <c r="AK30" s="768"/>
      <c r="AL30" s="769"/>
      <c r="AM30" s="769"/>
      <c r="AN30" s="769"/>
      <c r="AO30" s="769"/>
      <c r="AP30" s="769"/>
      <c r="AQ30" s="769"/>
      <c r="AR30" s="769"/>
      <c r="AS30" s="769"/>
      <c r="AT30" s="769"/>
      <c r="AU30" s="769"/>
      <c r="AV30" s="770"/>
      <c r="AW30" s="752"/>
      <c r="AX30" s="752"/>
      <c r="AY30" s="752"/>
      <c r="AZ30" s="753"/>
      <c r="BA30" s="754"/>
      <c r="BB30" s="755"/>
      <c r="BC30" s="756"/>
      <c r="BD30" s="753"/>
      <c r="BE30" s="752"/>
      <c r="BF30" s="753"/>
      <c r="BG30" s="752"/>
      <c r="BH30" s="757"/>
      <c r="BI30" s="758"/>
      <c r="BJ30" s="754"/>
      <c r="BK30" s="754"/>
      <c r="BL30" s="759"/>
      <c r="BM30" s="752"/>
      <c r="BN30" s="752"/>
      <c r="BO30" s="752"/>
      <c r="BP30" s="754"/>
      <c r="BQ30" s="754"/>
      <c r="BR30" s="754"/>
      <c r="BS30" s="754"/>
      <c r="BT30" s="754"/>
      <c r="BU30" s="754"/>
      <c r="BV30" s="754"/>
      <c r="BW30" s="754"/>
      <c r="BX30" s="754"/>
      <c r="BY30" s="754"/>
      <c r="BZ30" s="754"/>
      <c r="CA30" s="754"/>
      <c r="CB30" s="754"/>
      <c r="CC30" s="754"/>
      <c r="CD30" s="752"/>
    </row>
    <row r="31" spans="1:82" s="686" customFormat="1" ht="30.75" customHeight="1">
      <c r="A31" s="678" t="s">
        <v>556</v>
      </c>
      <c r="B31" s="678" t="s">
        <v>553</v>
      </c>
      <c r="C31" s="678" t="s">
        <v>541</v>
      </c>
      <c r="D31" s="678" t="s">
        <v>486</v>
      </c>
      <c r="E31" s="679" t="s">
        <v>410</v>
      </c>
      <c r="F31" s="680" t="s">
        <v>161</v>
      </c>
      <c r="G31" s="680" t="s">
        <v>420</v>
      </c>
      <c r="H31" s="687" t="s">
        <v>593</v>
      </c>
      <c r="I31" s="681" t="s">
        <v>352</v>
      </c>
      <c r="J31" s="681" t="s">
        <v>162</v>
      </c>
      <c r="K31" s="681" t="s">
        <v>327</v>
      </c>
      <c r="L31" s="681" t="s">
        <v>256</v>
      </c>
      <c r="M31" s="681" t="s">
        <v>163</v>
      </c>
      <c r="N31" s="681" t="s">
        <v>245</v>
      </c>
      <c r="O31" s="681" t="s">
        <v>164</v>
      </c>
      <c r="P31" s="681" t="s">
        <v>456</v>
      </c>
      <c r="Q31" s="681" t="s">
        <v>457</v>
      </c>
      <c r="R31" s="682" t="s">
        <v>463</v>
      </c>
      <c r="S31" s="681" t="s">
        <v>202</v>
      </c>
      <c r="T31" s="681" t="s">
        <v>203</v>
      </c>
      <c r="U31" s="681" t="s">
        <v>568</v>
      </c>
      <c r="V31" s="681" t="s">
        <v>204</v>
      </c>
      <c r="W31" s="681" t="s">
        <v>255</v>
      </c>
      <c r="X31" s="681" t="s">
        <v>165</v>
      </c>
      <c r="Y31" s="681" t="s">
        <v>166</v>
      </c>
      <c r="Z31" s="681" t="s">
        <v>1063</v>
      </c>
      <c r="AA31" s="681" t="s">
        <v>1062</v>
      </c>
      <c r="AB31" s="681" t="s">
        <v>205</v>
      </c>
      <c r="AC31" s="681" t="s">
        <v>206</v>
      </c>
      <c r="AD31" s="681" t="s">
        <v>207</v>
      </c>
      <c r="AE31" s="681" t="s">
        <v>208</v>
      </c>
      <c r="AF31" s="681" t="s">
        <v>209</v>
      </c>
      <c r="AG31" s="681" t="s">
        <v>210</v>
      </c>
      <c r="AH31" s="681" t="s">
        <v>211</v>
      </c>
      <c r="AI31" s="681" t="s">
        <v>212</v>
      </c>
      <c r="AJ31" s="681" t="s">
        <v>213</v>
      </c>
      <c r="AK31" s="683" t="s">
        <v>1806</v>
      </c>
      <c r="AL31" s="683" t="s">
        <v>1796</v>
      </c>
      <c r="AM31" s="683" t="s">
        <v>342</v>
      </c>
      <c r="AN31" s="683" t="s">
        <v>119</v>
      </c>
      <c r="AO31" s="683" t="s">
        <v>286</v>
      </c>
      <c r="AP31" s="683" t="s">
        <v>3</v>
      </c>
      <c r="AQ31" s="683" t="s">
        <v>540</v>
      </c>
      <c r="AR31" s="683" t="s">
        <v>287</v>
      </c>
      <c r="AS31" s="683" t="s">
        <v>188</v>
      </c>
      <c r="AT31" s="683" t="s">
        <v>288</v>
      </c>
      <c r="AU31" s="683" t="s">
        <v>167</v>
      </c>
      <c r="AV31" s="683" t="s">
        <v>191</v>
      </c>
      <c r="AW31" s="684" t="s">
        <v>168</v>
      </c>
      <c r="AX31" s="684" t="s">
        <v>169</v>
      </c>
      <c r="AY31" s="684" t="s">
        <v>170</v>
      </c>
      <c r="AZ31" s="684" t="s">
        <v>171</v>
      </c>
      <c r="BA31" s="684" t="s">
        <v>172</v>
      </c>
      <c r="BB31" s="684" t="s">
        <v>289</v>
      </c>
      <c r="BC31" s="682" t="s">
        <v>398</v>
      </c>
      <c r="BD31" s="684" t="s">
        <v>409</v>
      </c>
      <c r="BE31" s="679" t="s">
        <v>173</v>
      </c>
      <c r="BF31" s="684" t="s">
        <v>290</v>
      </c>
      <c r="BG31" s="684" t="s">
        <v>563</v>
      </c>
      <c r="BH31" s="685" t="s">
        <v>294</v>
      </c>
      <c r="BI31" s="684" t="s">
        <v>174</v>
      </c>
      <c r="BJ31" s="684" t="s">
        <v>291</v>
      </c>
      <c r="BK31" s="684" t="s">
        <v>292</v>
      </c>
      <c r="BL31" s="685" t="s">
        <v>175</v>
      </c>
      <c r="BM31" s="682" t="s">
        <v>557</v>
      </c>
      <c r="BN31" s="680" t="s">
        <v>295</v>
      </c>
      <c r="BO31" s="681" t="s">
        <v>296</v>
      </c>
      <c r="BP31" s="684" t="s">
        <v>313</v>
      </c>
      <c r="BQ31" s="684" t="s">
        <v>314</v>
      </c>
      <c r="BR31" s="684" t="s">
        <v>315</v>
      </c>
      <c r="BS31" s="684" t="s">
        <v>316</v>
      </c>
      <c r="BT31" s="684" t="s">
        <v>317</v>
      </c>
      <c r="BU31" s="684" t="s">
        <v>318</v>
      </c>
      <c r="BV31" s="684" t="s">
        <v>319</v>
      </c>
      <c r="BW31" s="684" t="s">
        <v>320</v>
      </c>
      <c r="BX31" s="684" t="s">
        <v>321</v>
      </c>
      <c r="BY31" s="684" t="s">
        <v>322</v>
      </c>
      <c r="BZ31" s="684" t="s">
        <v>323</v>
      </c>
      <c r="CA31" s="684" t="s">
        <v>324</v>
      </c>
      <c r="CB31" s="684" t="s">
        <v>4</v>
      </c>
      <c r="CC31" s="684" t="s">
        <v>293</v>
      </c>
      <c r="CD31" s="688" t="s">
        <v>464</v>
      </c>
    </row>
    <row r="32" spans="1:82" s="561" customFormat="1" ht="61.5" customHeight="1">
      <c r="A32" s="625" t="str">
        <f t="shared" ref="A32:A95" si="4">+CONCATENATE(B32,"-",AO32)</f>
        <v>1024-124-FONT1024-04-01-0187-Formación en catedra de patrimonio en colegios del distrito capital</v>
      </c>
      <c r="B32" s="626" t="str">
        <f t="shared" ref="B32:B95" si="5">CONCATENATE(RIGHT(K32,8),"-",AQ32,"-",LEFT(AS32,2),"-",LEFT(AT32,2),"-",LEFT(AU32,4))</f>
        <v>1024-124-FONT1024-04-01-0187</v>
      </c>
      <c r="C32" s="626" t="str">
        <f t="shared" ref="C32:C95" si="6">+CONCATENATE(RIGHT(K32,8),"-",AQ32,"-",AO32)</f>
        <v>1024-124-FONT1024-Formación en catedra de patrimonio en colegios del distrito capital</v>
      </c>
      <c r="D32" s="626" t="str">
        <f t="shared" ref="D32:D95" si="7">+CONCATENATE(RIGHT(K32,8),"-",AR32,"-",LEFT(AS32,2),"-",LEFT(AT32,2),"-",LEFT(AU32,4))</f>
        <v>1024-124-12-Otros Distrito-04-01-0187</v>
      </c>
      <c r="E32" s="626" t="str">
        <f t="shared" ref="E32" si="8">+CONCATENATE(AO32,"-",AR32,"-",AU32)</f>
        <v>Formación en catedra de patrimonio en colegios del distrito capital-12-Otros Distrito-0187-Actividades de formación en arte, cultura, patrimonio, recreación y deporte</v>
      </c>
      <c r="F32" s="627">
        <v>1</v>
      </c>
      <c r="G32" s="628">
        <f>+F32</f>
        <v>1</v>
      </c>
      <c r="H32" s="629" t="b">
        <f t="shared" ref="H32" si="9">+G32=G31</f>
        <v>0</v>
      </c>
      <c r="I32" s="630" t="s">
        <v>594</v>
      </c>
      <c r="J32" s="627" t="s">
        <v>596</v>
      </c>
      <c r="K32" s="631" t="str">
        <f>+IFERROR(VLOOKUP(J32,Listas!$A$108:$B$114,2,FALSE),"Alerta: Seleccione la celda en la comumna B con el nombre del proyecto")</f>
        <v>3-3-1-15-01-11-1024-124</v>
      </c>
      <c r="L32" s="632" t="s">
        <v>598</v>
      </c>
      <c r="M32" s="633" t="s">
        <v>599</v>
      </c>
      <c r="N32" s="634" t="str">
        <f t="shared" ref="N32" si="10">+CONCATENATE("(Cód. ",F32,") ",M32)</f>
        <v>(Cód. 1) Prestar servicios profesionales al Instituto Distrital de Patrimonio Cultural para apoyar en la implementación en aula del programa de formación en patrimonio cultural CIVINAUTAS, dirigido a estudiantes de colegios distritales.</v>
      </c>
      <c r="O32" s="635">
        <v>43490</v>
      </c>
      <c r="P32" s="636">
        <f>IFERROR(VLOOKUP(W32,'Estimación CRP'!$D$21:$E$30,2,FALSE),0)</f>
        <v>10</v>
      </c>
      <c r="Q32" s="637">
        <f>IF(O32="No aplica","No aplica",WORKDAY.INTL(O32,P32,1,'Estimación CRP'!A218:A234))</f>
        <v>43504</v>
      </c>
      <c r="R32" s="636">
        <f>IF(O32="No aplica","No aplica",MONTH(Q32))</f>
        <v>2</v>
      </c>
      <c r="S32" s="636">
        <f>IF(O32="No aplica","No aplica",MONTH(O32))</f>
        <v>1</v>
      </c>
      <c r="T32" s="636">
        <f>IF(O32="No aplica","No aplica",S32)</f>
        <v>1</v>
      </c>
      <c r="U32" s="712">
        <f>10*30+15</f>
        <v>315</v>
      </c>
      <c r="V32" s="638">
        <v>0</v>
      </c>
      <c r="W32" s="639" t="s">
        <v>274</v>
      </c>
      <c r="X32" s="640" t="str">
        <f>IFERROR(VLOOKUP(W32,Listas!$A$60:$B$73,2,FALSE),"Alerta: Seleccione primero Modalidad de selección")</f>
        <v>CCE-16</v>
      </c>
      <c r="Y32" s="641">
        <v>0</v>
      </c>
      <c r="Z32" s="641" t="s">
        <v>346</v>
      </c>
      <c r="AA32" s="641" t="s">
        <v>1064</v>
      </c>
      <c r="AB32" s="642">
        <f t="shared" ref="AB32" si="11">+BA32</f>
        <v>28119000</v>
      </c>
      <c r="AC32" s="642">
        <f t="shared" ref="AC32" si="12">+AB32</f>
        <v>28119000</v>
      </c>
      <c r="AD32" s="641">
        <v>0</v>
      </c>
      <c r="AE32" s="643">
        <v>0</v>
      </c>
      <c r="AF32" s="639" t="s">
        <v>276</v>
      </c>
      <c r="AG32" s="639" t="s">
        <v>277</v>
      </c>
      <c r="AH32" s="639" t="s">
        <v>284</v>
      </c>
      <c r="AI32" s="626" t="str">
        <f>IFERROR(VLOOKUP(AH32,Listas!$A$77:$C$83,2,FALSE),"Alerta: Seleccione primero el responsable")</f>
        <v>3550800</v>
      </c>
      <c r="AJ32" s="640" t="str">
        <f>IFERROR(VLOOKUP(AH32,Listas!$A$77:$C$83,3,FALSE),"Alerta: Seleccione primero el responsable")</f>
        <v>margarita.castaneda@idpc.gov.co</v>
      </c>
      <c r="AK32" s="640" t="str">
        <f>IF(J32="Funcionamiento Gastos Generales","No aplica",IF(J32="Funcionamiento Servicios Personales indirectos","No aplica",IFERROR(VLOOKUP(J32,Listas!$A$127:$E$139,3,FALSE),"Alerta: Seleccione la celda en la comumna B con el nombre del proyecto")))</f>
        <v>ME20181024</v>
      </c>
      <c r="AL32" s="640" t="str">
        <f>IF(J32="Funcionamiento Gastos Generales","No aplica",IF(J32="Funcionamiento Servicios Personales","No aplica",IFERROR(VLOOKUP(J32,Listas!$A$220:$D$224,2,FALSE),"Alerta: Seleccione la celda en la comumna B con el nombre del proyecto")))</f>
        <v>COMP1024</v>
      </c>
      <c r="AM32" s="640" t="str">
        <f>IF(J32="Funcionamiento Gastos Generales","No aplica",IF(J32="Funcionamiento Servicios Personales","No aplica",IFERROR(VLOOKUP(J32,Listas!$A$220:$D$224,3,FALSE),"Alerta: Seleccione la celda en la comumna B con el nombre del proyecto")))</f>
        <v>CONC1024</v>
      </c>
      <c r="AN32" s="633" t="s">
        <v>1045</v>
      </c>
      <c r="AO32" s="633" t="s">
        <v>309</v>
      </c>
      <c r="AP32" s="634" t="str">
        <f>IFERROR(VLOOKUP(J32,Listas!$A$182:$E$215,5,FALSE),"Alerta: Seleccione la celda en la comumna B con el nombre del proyecto")</f>
        <v>12. Formación en Cátedra de Patrimonio en colegios distritales</v>
      </c>
      <c r="AQ32" s="634" t="str">
        <f>IF(J32="Funcionamiento Gastos Generales","No aplica",IF(J32="Funcionamiento Servicios Personales","No aplica",IFERROR(VLOOKUP(J32,Listas!$A$220:$D$224,4,FALSE),"Alerta: Seleccione la celda en la comumna B con el nombre del proyecto")))</f>
        <v>FONT1024</v>
      </c>
      <c r="AR32" s="633" t="s">
        <v>198</v>
      </c>
      <c r="AS32" s="634" t="str">
        <f>IFERROR(VLOOKUP(AU32,Listas!$E$85:$L$105,7,FALSE),"Alerta: Seleccione la celda en la comumna AI con el concepto de gasto")</f>
        <v>04-INVESTIGACION Y ESTUDIOS</v>
      </c>
      <c r="AT32" s="634" t="str">
        <f>IFERROR(VLOOKUP(AU32,Listas!$E$85:$L$105,8,FALSE),"Alerta: Seleccione la celda en la comumna AI con el concepto de gasto")</f>
        <v>01-INVESTIGACIÓN BÁSICA APLICADA Y ESTUDIOS PROPIOS DEL SECTOR</v>
      </c>
      <c r="AU32" s="633" t="s">
        <v>196</v>
      </c>
      <c r="AV32" s="634">
        <f>IFERROR(VLOOKUP(AU32,Listas!$E$85:$F$105,2,FALSE),"Alerta: Seleccione el Concepto de Gasto primero")</f>
        <v>0</v>
      </c>
      <c r="AW32" s="644">
        <v>28119000</v>
      </c>
      <c r="AX32" s="645"/>
      <c r="AY32" s="645"/>
      <c r="AZ32" s="645"/>
      <c r="BA32" s="646">
        <f t="shared" ref="BA32" si="13">+AW32+AX32+AY32-AZ32</f>
        <v>28119000</v>
      </c>
      <c r="BB32" s="647"/>
      <c r="BC32" s="648"/>
      <c r="BD32" s="649"/>
      <c r="BE32" s="647"/>
      <c r="BF32" s="644"/>
      <c r="BG32" s="646">
        <f t="shared" ref="BG32" si="14">+BA32-BF32</f>
        <v>28119000</v>
      </c>
      <c r="BH32" s="650"/>
      <c r="BI32" s="647"/>
      <c r="BJ32" s="644"/>
      <c r="BK32" s="646">
        <f t="shared" ref="BK32" si="15">BF32-BJ32</f>
        <v>0</v>
      </c>
      <c r="BL32" s="651"/>
      <c r="BM32" s="652">
        <f t="shared" ref="BM32" si="16">MONTH(BL32)</f>
        <v>1</v>
      </c>
      <c r="BN32" s="628"/>
      <c r="BO32" s="670"/>
      <c r="BP32" s="644"/>
      <c r="BQ32" s="644"/>
      <c r="BR32" s="644"/>
      <c r="BS32" s="644"/>
      <c r="BT32" s="644"/>
      <c r="BU32" s="644"/>
      <c r="BV32" s="644"/>
      <c r="BW32" s="644"/>
      <c r="BX32" s="644"/>
      <c r="BY32" s="644"/>
      <c r="BZ32" s="644"/>
      <c r="CA32" s="644"/>
      <c r="CB32" s="646">
        <f t="shared" ref="CB32" si="17">+SUM(BP32:CA32)</f>
        <v>0</v>
      </c>
      <c r="CC32" s="646">
        <f t="shared" ref="CC32" si="18">BJ32-CB32</f>
        <v>0</v>
      </c>
      <c r="CD32" s="614"/>
    </row>
    <row r="33" spans="1:82" s="561" customFormat="1" ht="61.5" customHeight="1">
      <c r="A33" s="625" t="str">
        <f t="shared" si="4"/>
        <v>1024-124-FONT1024-04-01-0187-Formación en catedra de patrimonio en colegios del distrito capital</v>
      </c>
      <c r="B33" s="626" t="str">
        <f t="shared" si="5"/>
        <v>1024-124-FONT1024-04-01-0187</v>
      </c>
      <c r="C33" s="626" t="str">
        <f t="shared" si="6"/>
        <v>1024-124-FONT1024-Formación en catedra de patrimonio en colegios del distrito capital</v>
      </c>
      <c r="D33" s="626" t="str">
        <f t="shared" si="7"/>
        <v>1024-124-12-Otros Distrito-04-01-0187</v>
      </c>
      <c r="E33" s="626" t="str">
        <f t="shared" ref="E33:E96" si="19">+CONCATENATE(AO33,"-",AR33,"-",AU33)</f>
        <v>Formación en catedra de patrimonio en colegios del distrito capital-12-Otros Distrito-0187-Actividades de formación en arte, cultura, patrimonio, recreación y deporte</v>
      </c>
      <c r="F33" s="627">
        <v>2</v>
      </c>
      <c r="G33" s="628">
        <f t="shared" ref="G33:G96" si="20">+F33</f>
        <v>2</v>
      </c>
      <c r="H33" s="629" t="b">
        <f t="shared" ref="H33:H96" si="21">+G33=G32</f>
        <v>0</v>
      </c>
      <c r="I33" s="630" t="s">
        <v>594</v>
      </c>
      <c r="J33" s="627" t="s">
        <v>596</v>
      </c>
      <c r="K33" s="631" t="str">
        <f>+IFERROR(VLOOKUP(J33,Listas!$A$108:$B$114,2,FALSE),"Alerta: Seleccione la celda en la comumna B con el nombre del proyecto")</f>
        <v>3-3-1-15-01-11-1024-124</v>
      </c>
      <c r="L33" s="632" t="s">
        <v>598</v>
      </c>
      <c r="M33" s="633" t="s">
        <v>600</v>
      </c>
      <c r="N33" s="634" t="str">
        <f t="shared" ref="N33:N96" si="22">+CONCATENATE("(Cód. ",F33,") ",M33)</f>
        <v>(Cód. 2) Prestar servicios profesionales al Instituto Distrital de Patrimonio Cultural para acompañar el componente de apropiación social del patrimonio de los procesos de formación en patrimonio cultural, en el marco del proyecto de inversión 1024 - Formación en patrimonio cultural.</v>
      </c>
      <c r="O33" s="635">
        <v>43480</v>
      </c>
      <c r="P33" s="636">
        <f>IFERROR(VLOOKUP(W33,'Estimación CRP'!$D$21:$E$30,2,FALSE),0)</f>
        <v>10</v>
      </c>
      <c r="Q33" s="637">
        <f>IF(O33="No aplica","No aplica",WORKDAY.INTL(O33,P33,1,'Estimación CRP'!A219:A235))</f>
        <v>43494</v>
      </c>
      <c r="R33" s="636">
        <f t="shared" ref="R33:R96" si="23">IF(O33="No aplica","No aplica",MONTH(Q33))</f>
        <v>1</v>
      </c>
      <c r="S33" s="636">
        <f t="shared" ref="S33:S96" si="24">IF(O33="No aplica","No aplica",MONTH(O33))</f>
        <v>1</v>
      </c>
      <c r="T33" s="636">
        <f t="shared" ref="T33:T96" si="25">IF(O33="No aplica","No aplica",S33)</f>
        <v>1</v>
      </c>
      <c r="U33" s="712">
        <v>11</v>
      </c>
      <c r="V33" s="638">
        <v>1</v>
      </c>
      <c r="W33" s="639" t="s">
        <v>274</v>
      </c>
      <c r="X33" s="640" t="str">
        <f>IFERROR(VLOOKUP(W33,Listas!$A$60:$B$73,2,FALSE),"Alerta: Seleccione primero Modalidad de selección")</f>
        <v>CCE-16</v>
      </c>
      <c r="Y33" s="641">
        <v>0</v>
      </c>
      <c r="Z33" s="641" t="s">
        <v>346</v>
      </c>
      <c r="AA33" s="641" t="s">
        <v>1065</v>
      </c>
      <c r="AB33" s="642">
        <f t="shared" ref="AB33:AB96" si="26">+BA33</f>
        <v>53460000</v>
      </c>
      <c r="AC33" s="642">
        <f t="shared" ref="AC33:AC96" si="27">+AB33</f>
        <v>53460000</v>
      </c>
      <c r="AD33" s="641">
        <v>0</v>
      </c>
      <c r="AE33" s="643">
        <v>0</v>
      </c>
      <c r="AF33" s="639" t="s">
        <v>276</v>
      </c>
      <c r="AG33" s="639" t="s">
        <v>277</v>
      </c>
      <c r="AH33" s="639" t="s">
        <v>284</v>
      </c>
      <c r="AI33" s="626" t="str">
        <f>IFERROR(VLOOKUP(AH33,Listas!$A$77:$C$83,2,FALSE),"Alerta: Seleccione primero el responsable")</f>
        <v>3550800</v>
      </c>
      <c r="AJ33" s="640" t="str">
        <f>IFERROR(VLOOKUP(AH33,Listas!$A$77:$C$83,3,FALSE),"Alerta: Seleccione primero el responsable")</f>
        <v>margarita.castaneda@idpc.gov.co</v>
      </c>
      <c r="AK33" s="640" t="str">
        <f>IF(J33="Funcionamiento Gastos Generales","No aplica",IF(J33="Funcionamiento Servicios Personales indirectos","No aplica",IFERROR(VLOOKUP(J33,Listas!$A$127:$E$139,3,FALSE),"Alerta: Seleccione la celda en la comumna B con el nombre del proyecto")))</f>
        <v>ME20181024</v>
      </c>
      <c r="AL33" s="640" t="str">
        <f>IF(J33="Funcionamiento Gastos Generales","No aplica",IF(J33="Funcionamiento Servicios Personales","No aplica",IFERROR(VLOOKUP(J33,Listas!$A$220:$D$224,2,FALSE),"Alerta: Seleccione la celda en la comumna B con el nombre del proyecto")))</f>
        <v>COMP1024</v>
      </c>
      <c r="AM33" s="640" t="str">
        <f>IF(J33="Funcionamiento Gastos Generales","No aplica",IF(J33="Funcionamiento Servicios Personales","No aplica",IFERROR(VLOOKUP(J33,Listas!$A$220:$D$224,3,FALSE),"Alerta: Seleccione la celda en la comumna B con el nombre del proyecto")))</f>
        <v>CONC1024</v>
      </c>
      <c r="AN33" s="633" t="s">
        <v>1045</v>
      </c>
      <c r="AO33" s="633" t="s">
        <v>309</v>
      </c>
      <c r="AP33" s="634" t="str">
        <f>IFERROR(VLOOKUP(J33,Listas!$A$182:$E$215,5,FALSE),"Alerta: Seleccione la celda en la comumna B con el nombre del proyecto")</f>
        <v>12. Formación en Cátedra de Patrimonio en colegios distritales</v>
      </c>
      <c r="AQ33" s="634" t="str">
        <f>IF(J33="Funcionamiento Gastos Generales","No aplica",IF(J33="Funcionamiento Servicios Personales","No aplica",IFERROR(VLOOKUP(J33,Listas!$A$220:$D$224,4,FALSE),"Alerta: Seleccione la celda en la comumna B con el nombre del proyecto")))</f>
        <v>FONT1024</v>
      </c>
      <c r="AR33" s="633" t="s">
        <v>198</v>
      </c>
      <c r="AS33" s="634" t="str">
        <f>IFERROR(VLOOKUP(AU33,Listas!$E$85:$L$105,7,FALSE),"Alerta: Seleccione la celda en la comumna AI con el concepto de gasto")</f>
        <v>04-INVESTIGACION Y ESTUDIOS</v>
      </c>
      <c r="AT33" s="634" t="str">
        <f>IFERROR(VLOOKUP(AU33,Listas!$E$85:$L$105,8,FALSE),"Alerta: Seleccione la celda en la comumna AI con el concepto de gasto")</f>
        <v>01-INVESTIGACIÓN BÁSICA APLICADA Y ESTUDIOS PROPIOS DEL SECTOR</v>
      </c>
      <c r="AU33" s="633" t="s">
        <v>196</v>
      </c>
      <c r="AV33" s="634">
        <f>IFERROR(VLOOKUP(AU33,Listas!$E$85:$F$105,2,FALSE),"Alerta: Seleccione el Concepto de Gasto primero")</f>
        <v>0</v>
      </c>
      <c r="AW33" s="644">
        <v>53460000</v>
      </c>
      <c r="AX33" s="645"/>
      <c r="AY33" s="645"/>
      <c r="AZ33" s="645"/>
      <c r="BA33" s="646">
        <f t="shared" ref="BA33:BA96" si="28">+AW33+AX33+AY33-AZ33</f>
        <v>53460000</v>
      </c>
      <c r="BB33" s="647"/>
      <c r="BC33" s="648"/>
      <c r="BD33" s="649"/>
      <c r="BE33" s="647"/>
      <c r="BF33" s="644"/>
      <c r="BG33" s="646">
        <f t="shared" ref="BG33:BG96" si="29">+BA33-BF33</f>
        <v>53460000</v>
      </c>
      <c r="BH33" s="650"/>
      <c r="BI33" s="647"/>
      <c r="BJ33" s="644"/>
      <c r="BK33" s="646">
        <f t="shared" ref="BK33:BK96" si="30">BF33-BJ33</f>
        <v>0</v>
      </c>
      <c r="BL33" s="651"/>
      <c r="BM33" s="652">
        <f t="shared" ref="BM33:BM96" si="31">MONTH(BL33)</f>
        <v>1</v>
      </c>
      <c r="BN33" s="628"/>
      <c r="BO33" s="670"/>
      <c r="BP33" s="644"/>
      <c r="BQ33" s="644"/>
      <c r="BR33" s="644"/>
      <c r="BS33" s="644"/>
      <c r="BT33" s="644"/>
      <c r="BU33" s="644"/>
      <c r="BV33" s="644"/>
      <c r="BW33" s="644"/>
      <c r="BX33" s="644"/>
      <c r="BY33" s="644"/>
      <c r="BZ33" s="644"/>
      <c r="CA33" s="644"/>
      <c r="CB33" s="646">
        <f t="shared" ref="CB33:CB96" si="32">+SUM(BP33:CA33)</f>
        <v>0</v>
      </c>
      <c r="CC33" s="646">
        <f t="shared" ref="CC33:CC96" si="33">BJ33-CB33</f>
        <v>0</v>
      </c>
      <c r="CD33" s="614"/>
    </row>
    <row r="34" spans="1:82" s="561" customFormat="1" ht="61.5" customHeight="1">
      <c r="A34" s="625" t="str">
        <f t="shared" si="4"/>
        <v>1024-124-FONT1024-04-01-0187-Formación en catedra de patrimonio en colegios del distrito capital</v>
      </c>
      <c r="B34" s="626" t="str">
        <f t="shared" si="5"/>
        <v>1024-124-FONT1024-04-01-0187</v>
      </c>
      <c r="C34" s="626" t="str">
        <f t="shared" si="6"/>
        <v>1024-124-FONT1024-Formación en catedra de patrimonio en colegios del distrito capital</v>
      </c>
      <c r="D34" s="626" t="str">
        <f t="shared" si="7"/>
        <v>1024-124-12-Otros Distrito-04-01-0187</v>
      </c>
      <c r="E34" s="626" t="str">
        <f t="shared" si="19"/>
        <v>Formación en catedra de patrimonio en colegios del distrito capital-12-Otros Distrito-0187-Actividades de formación en arte, cultura, patrimonio, recreación y deporte</v>
      </c>
      <c r="F34" s="627" t="s">
        <v>346</v>
      </c>
      <c r="G34" s="628" t="str">
        <f t="shared" si="20"/>
        <v>N.A.</v>
      </c>
      <c r="H34" s="629" t="b">
        <f t="shared" si="21"/>
        <v>0</v>
      </c>
      <c r="I34" s="630" t="s">
        <v>595</v>
      </c>
      <c r="J34" s="627" t="s">
        <v>596</v>
      </c>
      <c r="K34" s="631" t="str">
        <f>+IFERROR(VLOOKUP(J34,Listas!$A$108:$B$114,2,FALSE),"Alerta: Seleccione la celda en la comumna B con el nombre del proyecto")</f>
        <v>3-3-1-15-01-11-1024-124</v>
      </c>
      <c r="L34" s="632" t="s">
        <v>351</v>
      </c>
      <c r="M34" s="633" t="s">
        <v>601</v>
      </c>
      <c r="N34" s="634" t="str">
        <f t="shared" si="22"/>
        <v>(Cód. N.A.) Valor correspondiente para reconocer el pago de la planilla integrada de aportes a riesgos laborales con tarifa tipo V de los contratistas de la Subdirección de Divulgación.</v>
      </c>
      <c r="O34" s="635" t="s">
        <v>351</v>
      </c>
      <c r="P34" s="636">
        <f>IFERROR(VLOOKUP(W34,'Estimación CRP'!$D$21:$E$30,2,FALSE),0)</f>
        <v>10</v>
      </c>
      <c r="Q34" s="637" t="str">
        <f>IF(O34="No aplica","No aplica",WORKDAY.INTL(O34,P34,1,'Estimación CRP'!A220:A236))</f>
        <v>No aplica</v>
      </c>
      <c r="R34" s="636" t="str">
        <f t="shared" si="23"/>
        <v>No aplica</v>
      </c>
      <c r="S34" s="636" t="str">
        <f t="shared" si="24"/>
        <v>No aplica</v>
      </c>
      <c r="T34" s="636" t="str">
        <f t="shared" si="25"/>
        <v>No aplica</v>
      </c>
      <c r="U34" s="638">
        <v>11</v>
      </c>
      <c r="V34" s="638">
        <v>1</v>
      </c>
      <c r="W34" s="639" t="s">
        <v>269</v>
      </c>
      <c r="X34" s="640" t="str">
        <f>IFERROR(VLOOKUP(W34,Listas!$A$60:$B$73,2,FALSE),"Alerta: Seleccione primero Modalidad de selección")</f>
        <v>CCE-16</v>
      </c>
      <c r="Y34" s="641">
        <v>0</v>
      </c>
      <c r="Z34" s="641" t="s">
        <v>1066</v>
      </c>
      <c r="AA34" s="641" t="s">
        <v>1067</v>
      </c>
      <c r="AB34" s="642">
        <f t="shared" si="26"/>
        <v>11000000</v>
      </c>
      <c r="AC34" s="642">
        <f t="shared" si="27"/>
        <v>11000000</v>
      </c>
      <c r="AD34" s="641">
        <v>0</v>
      </c>
      <c r="AE34" s="643">
        <v>0</v>
      </c>
      <c r="AF34" s="639" t="s">
        <v>276</v>
      </c>
      <c r="AG34" s="639" t="s">
        <v>277</v>
      </c>
      <c r="AH34" s="639" t="s">
        <v>284</v>
      </c>
      <c r="AI34" s="626" t="str">
        <f>IFERROR(VLOOKUP(AH34,Listas!$A$77:$C$83,2,FALSE),"Alerta: Seleccione primero el responsable")</f>
        <v>3550800</v>
      </c>
      <c r="AJ34" s="640" t="str">
        <f>IFERROR(VLOOKUP(AH34,Listas!$A$77:$C$83,3,FALSE),"Alerta: Seleccione primero el responsable")</f>
        <v>margarita.castaneda@idpc.gov.co</v>
      </c>
      <c r="AK34" s="640" t="str">
        <f>IF(J34="Funcionamiento Gastos Generales","No aplica",IF(J34="Funcionamiento Servicios Personales indirectos","No aplica",IFERROR(VLOOKUP(J34,Listas!$A$127:$E$139,3,FALSE),"Alerta: Seleccione la celda en la comumna B con el nombre del proyecto")))</f>
        <v>ME20181024</v>
      </c>
      <c r="AL34" s="640" t="str">
        <f>IF(J34="Funcionamiento Gastos Generales","No aplica",IF(J34="Funcionamiento Servicios Personales","No aplica",IFERROR(VLOOKUP(J34,Listas!$A$220:$D$224,2,FALSE),"Alerta: Seleccione la celda en la comumna B con el nombre del proyecto")))</f>
        <v>COMP1024</v>
      </c>
      <c r="AM34" s="640" t="str">
        <f>IF(J34="Funcionamiento Gastos Generales","No aplica",IF(J34="Funcionamiento Servicios Personales","No aplica",IFERROR(VLOOKUP(J34,Listas!$A$220:$D$224,3,FALSE),"Alerta: Seleccione la celda en la comumna B con el nombre del proyecto")))</f>
        <v>CONC1024</v>
      </c>
      <c r="AN34" s="633" t="s">
        <v>1045</v>
      </c>
      <c r="AO34" s="633" t="s">
        <v>309</v>
      </c>
      <c r="AP34" s="634" t="str">
        <f>IFERROR(VLOOKUP(J34,Listas!$A$182:$E$215,5,FALSE),"Alerta: Seleccione la celda en la comumna B con el nombre del proyecto")</f>
        <v>12. Formación en Cátedra de Patrimonio en colegios distritales</v>
      </c>
      <c r="AQ34" s="634" t="str">
        <f>IF(J34="Funcionamiento Gastos Generales","No aplica",IF(J34="Funcionamiento Servicios Personales","No aplica",IFERROR(VLOOKUP(J34,Listas!$A$220:$D$224,4,FALSE),"Alerta: Seleccione la celda en la comumna B con el nombre del proyecto")))</f>
        <v>FONT1024</v>
      </c>
      <c r="AR34" s="633" t="s">
        <v>198</v>
      </c>
      <c r="AS34" s="634" t="str">
        <f>IFERROR(VLOOKUP(AU34,Listas!$E$85:$L$105,7,FALSE),"Alerta: Seleccione la celda en la comumna AI con el concepto de gasto")</f>
        <v>04-INVESTIGACION Y ESTUDIOS</v>
      </c>
      <c r="AT34" s="634" t="str">
        <f>IFERROR(VLOOKUP(AU34,Listas!$E$85:$L$105,8,FALSE),"Alerta: Seleccione la celda en la comumna AI con el concepto de gasto")</f>
        <v>01-INVESTIGACIÓN BÁSICA APLICADA Y ESTUDIOS PROPIOS DEL SECTOR</v>
      </c>
      <c r="AU34" s="633" t="s">
        <v>196</v>
      </c>
      <c r="AV34" s="634">
        <f>IFERROR(VLOOKUP(AU34,Listas!$E$85:$F$105,2,FALSE),"Alerta: Seleccione el Concepto de Gasto primero")</f>
        <v>0</v>
      </c>
      <c r="AW34" s="644">
        <v>11000000</v>
      </c>
      <c r="AX34" s="645"/>
      <c r="AY34" s="645"/>
      <c r="AZ34" s="645"/>
      <c r="BA34" s="646">
        <f t="shared" si="28"/>
        <v>11000000</v>
      </c>
      <c r="BB34" s="647"/>
      <c r="BC34" s="648"/>
      <c r="BD34" s="649"/>
      <c r="BE34" s="647"/>
      <c r="BF34" s="644"/>
      <c r="BG34" s="646">
        <f t="shared" si="29"/>
        <v>11000000</v>
      </c>
      <c r="BH34" s="650"/>
      <c r="BI34" s="647"/>
      <c r="BJ34" s="644"/>
      <c r="BK34" s="646">
        <f t="shared" si="30"/>
        <v>0</v>
      </c>
      <c r="BL34" s="651"/>
      <c r="BM34" s="652">
        <f t="shared" si="31"/>
        <v>1</v>
      </c>
      <c r="BN34" s="628"/>
      <c r="BO34" s="670"/>
      <c r="BP34" s="644"/>
      <c r="BQ34" s="644"/>
      <c r="BR34" s="644"/>
      <c r="BS34" s="644"/>
      <c r="BT34" s="644"/>
      <c r="BU34" s="644"/>
      <c r="BV34" s="644"/>
      <c r="BW34" s="644"/>
      <c r="BX34" s="644"/>
      <c r="BY34" s="644"/>
      <c r="BZ34" s="644"/>
      <c r="CA34" s="644"/>
      <c r="CB34" s="646">
        <f t="shared" si="32"/>
        <v>0</v>
      </c>
      <c r="CC34" s="646">
        <f t="shared" si="33"/>
        <v>0</v>
      </c>
      <c r="CD34" s="614"/>
    </row>
    <row r="35" spans="1:82" s="561" customFormat="1" ht="61.5" customHeight="1">
      <c r="A35" s="625" t="str">
        <f t="shared" si="4"/>
        <v>1024-124-FONT1024-04-01-0187-Formación en catedra de patrimonio en colegios del distrito capital</v>
      </c>
      <c r="B35" s="626" t="str">
        <f t="shared" si="5"/>
        <v>1024-124-FONT1024-04-01-0187</v>
      </c>
      <c r="C35" s="626" t="str">
        <f t="shared" si="6"/>
        <v>1024-124-FONT1024-Formación en catedra de patrimonio en colegios del distrito capital</v>
      </c>
      <c r="D35" s="626" t="str">
        <f t="shared" si="7"/>
        <v>1024-124-12-Otros Distrito-04-01-0187</v>
      </c>
      <c r="E35" s="626" t="str">
        <f t="shared" si="19"/>
        <v>Formación en catedra de patrimonio en colegios del distrito capital-12-Otros Distrito-0187-Actividades de formación en arte, cultura, patrimonio, recreación y deporte</v>
      </c>
      <c r="F35" s="627">
        <v>3</v>
      </c>
      <c r="G35" s="628">
        <f t="shared" si="20"/>
        <v>3</v>
      </c>
      <c r="H35" s="629" t="b">
        <f t="shared" si="21"/>
        <v>0</v>
      </c>
      <c r="I35" s="630" t="s">
        <v>594</v>
      </c>
      <c r="J35" s="627" t="s">
        <v>596</v>
      </c>
      <c r="K35" s="631" t="str">
        <f>+IFERROR(VLOOKUP(J35,Listas!$A$108:$B$114,2,FALSE),"Alerta: Seleccione la celda en la comumna B con el nombre del proyecto")</f>
        <v>3-3-1-15-01-11-1024-124</v>
      </c>
      <c r="L35" s="632" t="s">
        <v>598</v>
      </c>
      <c r="M35" s="633" t="s">
        <v>599</v>
      </c>
      <c r="N35" s="634" t="str">
        <f t="shared" si="22"/>
        <v>(Cód. 3) Prestar servicios profesionales al Instituto Distrital de Patrimonio Cultural para apoyar en la implementación en aula del programa de formación en patrimonio cultural CIVINAUTAS, dirigido a estudiantes de colegios distritales.</v>
      </c>
      <c r="O35" s="635">
        <v>43490</v>
      </c>
      <c r="P35" s="636">
        <f>IFERROR(VLOOKUP(W35,'Estimación CRP'!$D$21:$E$30,2,FALSE),0)</f>
        <v>10</v>
      </c>
      <c r="Q35" s="637">
        <f>IF(O35="No aplica","No aplica",WORKDAY.INTL(O35,P35,1,'Estimación CRP'!A221:A237))</f>
        <v>43504</v>
      </c>
      <c r="R35" s="636">
        <f t="shared" si="23"/>
        <v>2</v>
      </c>
      <c r="S35" s="636">
        <f t="shared" si="24"/>
        <v>1</v>
      </c>
      <c r="T35" s="636">
        <f t="shared" si="25"/>
        <v>1</v>
      </c>
      <c r="U35" s="712">
        <f>10*30+15</f>
        <v>315</v>
      </c>
      <c r="V35" s="638">
        <v>0</v>
      </c>
      <c r="W35" s="639" t="s">
        <v>274</v>
      </c>
      <c r="X35" s="640" t="str">
        <f>IFERROR(VLOOKUP(W35,Listas!$A$60:$B$73,2,FALSE),"Alerta: Seleccione primero Modalidad de selección")</f>
        <v>CCE-16</v>
      </c>
      <c r="Y35" s="641">
        <v>0</v>
      </c>
      <c r="Z35" s="641" t="s">
        <v>346</v>
      </c>
      <c r="AA35" s="641" t="s">
        <v>1068</v>
      </c>
      <c r="AB35" s="642">
        <f t="shared" si="26"/>
        <v>28119000</v>
      </c>
      <c r="AC35" s="642">
        <f t="shared" si="27"/>
        <v>28119000</v>
      </c>
      <c r="AD35" s="641">
        <v>0</v>
      </c>
      <c r="AE35" s="643">
        <v>0</v>
      </c>
      <c r="AF35" s="639" t="s">
        <v>276</v>
      </c>
      <c r="AG35" s="639" t="s">
        <v>277</v>
      </c>
      <c r="AH35" s="639" t="s">
        <v>284</v>
      </c>
      <c r="AI35" s="626" t="str">
        <f>IFERROR(VLOOKUP(AH35,Listas!$A$77:$C$83,2,FALSE),"Alerta: Seleccione primero el responsable")</f>
        <v>3550800</v>
      </c>
      <c r="AJ35" s="640" t="str">
        <f>IFERROR(VLOOKUP(AH35,Listas!$A$77:$C$83,3,FALSE),"Alerta: Seleccione primero el responsable")</f>
        <v>margarita.castaneda@idpc.gov.co</v>
      </c>
      <c r="AK35" s="640" t="str">
        <f>IF(J35="Funcionamiento Gastos Generales","No aplica",IF(J35="Funcionamiento Servicios Personales indirectos","No aplica",IFERROR(VLOOKUP(J35,Listas!$A$127:$E$139,3,FALSE),"Alerta: Seleccione la celda en la comumna B con el nombre del proyecto")))</f>
        <v>ME20181024</v>
      </c>
      <c r="AL35" s="640" t="str">
        <f>IF(J35="Funcionamiento Gastos Generales","No aplica",IF(J35="Funcionamiento Servicios Personales","No aplica",IFERROR(VLOOKUP(J35,Listas!$A$220:$D$224,2,FALSE),"Alerta: Seleccione la celda en la comumna B con el nombre del proyecto")))</f>
        <v>COMP1024</v>
      </c>
      <c r="AM35" s="640" t="str">
        <f>IF(J35="Funcionamiento Gastos Generales","No aplica",IF(J35="Funcionamiento Servicios Personales","No aplica",IFERROR(VLOOKUP(J35,Listas!$A$220:$D$224,3,FALSE),"Alerta: Seleccione la celda en la comumna B con el nombre del proyecto")))</f>
        <v>CONC1024</v>
      </c>
      <c r="AN35" s="633" t="s">
        <v>1045</v>
      </c>
      <c r="AO35" s="633" t="s">
        <v>309</v>
      </c>
      <c r="AP35" s="634" t="str">
        <f>IFERROR(VLOOKUP(J35,Listas!$A$182:$E$215,5,FALSE),"Alerta: Seleccione la celda en la comumna B con el nombre del proyecto")</f>
        <v>12. Formación en Cátedra de Patrimonio en colegios distritales</v>
      </c>
      <c r="AQ35" s="634" t="str">
        <f>IF(J35="Funcionamiento Gastos Generales","No aplica",IF(J35="Funcionamiento Servicios Personales","No aplica",IFERROR(VLOOKUP(J35,Listas!$A$220:$D$224,4,FALSE),"Alerta: Seleccione la celda en la comumna B con el nombre del proyecto")))</f>
        <v>FONT1024</v>
      </c>
      <c r="AR35" s="633" t="s">
        <v>198</v>
      </c>
      <c r="AS35" s="634" t="str">
        <f>IFERROR(VLOOKUP(AU35,Listas!$E$85:$L$105,7,FALSE),"Alerta: Seleccione la celda en la comumna AI con el concepto de gasto")</f>
        <v>04-INVESTIGACION Y ESTUDIOS</v>
      </c>
      <c r="AT35" s="634" t="str">
        <f>IFERROR(VLOOKUP(AU35,Listas!$E$85:$L$105,8,FALSE),"Alerta: Seleccione la celda en la comumna AI con el concepto de gasto")</f>
        <v>01-INVESTIGACIÓN BÁSICA APLICADA Y ESTUDIOS PROPIOS DEL SECTOR</v>
      </c>
      <c r="AU35" s="633" t="s">
        <v>196</v>
      </c>
      <c r="AV35" s="634">
        <f>IFERROR(VLOOKUP(AU35,Listas!$E$85:$F$105,2,FALSE),"Alerta: Seleccione el Concepto de Gasto primero")</f>
        <v>0</v>
      </c>
      <c r="AW35" s="644">
        <v>28119000</v>
      </c>
      <c r="AX35" s="645"/>
      <c r="AY35" s="645"/>
      <c r="AZ35" s="645"/>
      <c r="BA35" s="646">
        <f t="shared" si="28"/>
        <v>28119000</v>
      </c>
      <c r="BB35" s="647"/>
      <c r="BC35" s="648"/>
      <c r="BD35" s="649"/>
      <c r="BE35" s="647"/>
      <c r="BF35" s="644"/>
      <c r="BG35" s="646">
        <f t="shared" si="29"/>
        <v>28119000</v>
      </c>
      <c r="BH35" s="650"/>
      <c r="BI35" s="647"/>
      <c r="BJ35" s="644"/>
      <c r="BK35" s="646">
        <f t="shared" si="30"/>
        <v>0</v>
      </c>
      <c r="BL35" s="651"/>
      <c r="BM35" s="652">
        <f t="shared" si="31"/>
        <v>1</v>
      </c>
      <c r="BN35" s="628"/>
      <c r="BO35" s="670"/>
      <c r="BP35" s="644"/>
      <c r="BQ35" s="644"/>
      <c r="BR35" s="644"/>
      <c r="BS35" s="644"/>
      <c r="BT35" s="644"/>
      <c r="BU35" s="644"/>
      <c r="BV35" s="644"/>
      <c r="BW35" s="644"/>
      <c r="BX35" s="644"/>
      <c r="BY35" s="644"/>
      <c r="BZ35" s="644"/>
      <c r="CA35" s="644"/>
      <c r="CB35" s="646">
        <f t="shared" si="32"/>
        <v>0</v>
      </c>
      <c r="CC35" s="646">
        <f t="shared" si="33"/>
        <v>0</v>
      </c>
      <c r="CD35" s="614"/>
    </row>
    <row r="36" spans="1:82" s="561" customFormat="1" ht="61.5" customHeight="1">
      <c r="A36" s="625" t="str">
        <f t="shared" si="4"/>
        <v>1024-124-FONT1024-04-01-0187-Sistematizacion de la experiencia</v>
      </c>
      <c r="B36" s="626" t="str">
        <f t="shared" si="5"/>
        <v>1024-124-FONT1024-04-01-0187</v>
      </c>
      <c r="C36" s="626" t="str">
        <f t="shared" si="6"/>
        <v>1024-124-FONT1024-Sistematizacion de la experiencia</v>
      </c>
      <c r="D36" s="626" t="str">
        <f t="shared" si="7"/>
        <v>1024-124-12-Otros Distrito-04-01-0187</v>
      </c>
      <c r="E36" s="626" t="str">
        <f t="shared" si="19"/>
        <v>Sistematizacion de la experiencia-12-Otros Distrito-0187-Actividades de formación en arte, cultura, patrimonio, recreación y deporte</v>
      </c>
      <c r="F36" s="627">
        <v>4</v>
      </c>
      <c r="G36" s="628">
        <f t="shared" si="20"/>
        <v>4</v>
      </c>
      <c r="H36" s="629" t="b">
        <f t="shared" si="21"/>
        <v>0</v>
      </c>
      <c r="I36" s="630" t="s">
        <v>594</v>
      </c>
      <c r="J36" s="627" t="s">
        <v>596</v>
      </c>
      <c r="K36" s="631" t="str">
        <f>+IFERROR(VLOOKUP(J36,Listas!$A$108:$B$114,2,FALSE),"Alerta: Seleccione la celda en la comumna B con el nombre del proyecto")</f>
        <v>3-3-1-15-01-11-1024-124</v>
      </c>
      <c r="L36" s="632" t="s">
        <v>602</v>
      </c>
      <c r="M36" s="633" t="s">
        <v>603</v>
      </c>
      <c r="N36" s="634" t="str">
        <f t="shared" si="22"/>
        <v>(Cód. 4) Adquisición de equipos de cómputo y periféricos requeridos para el desarrollo administrativo y misional del Instituto Distrital de Patrimonio Cultural.</v>
      </c>
      <c r="O36" s="635">
        <v>43539</v>
      </c>
      <c r="P36" s="636">
        <f>IFERROR(VLOOKUP(W36,'Estimación CRP'!$D$21:$E$30,2,FALSE),0)</f>
        <v>45</v>
      </c>
      <c r="Q36" s="637">
        <f>IF(O36="No aplica","No aplica",WORKDAY.INTL(O36,P36,1,'Estimación CRP'!A222:A238))</f>
        <v>43602</v>
      </c>
      <c r="R36" s="636">
        <f t="shared" si="23"/>
        <v>5</v>
      </c>
      <c r="S36" s="636">
        <f t="shared" si="24"/>
        <v>3</v>
      </c>
      <c r="T36" s="636">
        <f t="shared" si="25"/>
        <v>3</v>
      </c>
      <c r="U36" s="712">
        <v>1</v>
      </c>
      <c r="V36" s="638">
        <v>1</v>
      </c>
      <c r="W36" s="639" t="s">
        <v>347</v>
      </c>
      <c r="X36" s="640" t="str">
        <f>IFERROR(VLOOKUP(W36,Listas!$A$60:$B$73,2,FALSE),"Alerta: Seleccione primero Modalidad de selección")</f>
        <v>CCE-07</v>
      </c>
      <c r="Y36" s="641">
        <v>0</v>
      </c>
      <c r="Z36" s="641" t="s">
        <v>1069</v>
      </c>
      <c r="AA36" s="641" t="s">
        <v>1070</v>
      </c>
      <c r="AB36" s="642">
        <f t="shared" si="26"/>
        <v>10000000</v>
      </c>
      <c r="AC36" s="642">
        <f t="shared" si="27"/>
        <v>10000000</v>
      </c>
      <c r="AD36" s="641">
        <v>0</v>
      </c>
      <c r="AE36" s="643">
        <v>0</v>
      </c>
      <c r="AF36" s="639" t="s">
        <v>276</v>
      </c>
      <c r="AG36" s="639" t="s">
        <v>277</v>
      </c>
      <c r="AH36" s="639" t="s">
        <v>284</v>
      </c>
      <c r="AI36" s="626" t="str">
        <f>IFERROR(VLOOKUP(AH36,Listas!$A$77:$C$83,2,FALSE),"Alerta: Seleccione primero el responsable")</f>
        <v>3550800</v>
      </c>
      <c r="AJ36" s="640" t="str">
        <f>IFERROR(VLOOKUP(AH36,Listas!$A$77:$C$83,3,FALSE),"Alerta: Seleccione primero el responsable")</f>
        <v>margarita.castaneda@idpc.gov.co</v>
      </c>
      <c r="AK36" s="640" t="str">
        <f>IF(J36="Funcionamiento Gastos Generales","No aplica",IF(J36="Funcionamiento Servicios Personales indirectos","No aplica",IFERROR(VLOOKUP(J36,Listas!$A$127:$E$139,3,FALSE),"Alerta: Seleccione la celda en la comumna B con el nombre del proyecto")))</f>
        <v>ME20181024</v>
      </c>
      <c r="AL36" s="640" t="str">
        <f>IF(J36="Funcionamiento Gastos Generales","No aplica",IF(J36="Funcionamiento Servicios Personales","No aplica",IFERROR(VLOOKUP(J36,Listas!$A$220:$D$224,2,FALSE),"Alerta: Seleccione la celda en la comumna B con el nombre del proyecto")))</f>
        <v>COMP1024</v>
      </c>
      <c r="AM36" s="640" t="str">
        <f>IF(J36="Funcionamiento Gastos Generales","No aplica",IF(J36="Funcionamiento Servicios Personales","No aplica",IFERROR(VLOOKUP(J36,Listas!$A$220:$D$224,3,FALSE),"Alerta: Seleccione la celda en la comumna B con el nombre del proyecto")))</f>
        <v>CONC1024</v>
      </c>
      <c r="AN36" s="633" t="s">
        <v>1045</v>
      </c>
      <c r="AO36" s="633" t="s">
        <v>96</v>
      </c>
      <c r="AP36" s="634" t="str">
        <f>IFERROR(VLOOKUP(J36,Listas!$A$182:$E$215,5,FALSE),"Alerta: Seleccione la celda en la comumna B con el nombre del proyecto")</f>
        <v>12. Formación en Cátedra de Patrimonio en colegios distritales</v>
      </c>
      <c r="AQ36" s="634" t="str">
        <f>IF(J36="Funcionamiento Gastos Generales","No aplica",IF(J36="Funcionamiento Servicios Personales","No aplica",IFERROR(VLOOKUP(J36,Listas!$A$220:$D$224,4,FALSE),"Alerta: Seleccione la celda en la comumna B con el nombre del proyecto")))</f>
        <v>FONT1024</v>
      </c>
      <c r="AR36" s="633" t="s">
        <v>198</v>
      </c>
      <c r="AS36" s="634" t="str">
        <f>IFERROR(VLOOKUP(AU36,Listas!$E$85:$L$105,7,FALSE),"Alerta: Seleccione la celda en la comumna AI con el concepto de gasto")</f>
        <v>04-INVESTIGACION Y ESTUDIOS</v>
      </c>
      <c r="AT36" s="634" t="str">
        <f>IFERROR(VLOOKUP(AU36,Listas!$E$85:$L$105,8,FALSE),"Alerta: Seleccione la celda en la comumna AI con el concepto de gasto")</f>
        <v>01-INVESTIGACIÓN BÁSICA APLICADA Y ESTUDIOS PROPIOS DEL SECTOR</v>
      </c>
      <c r="AU36" s="633" t="s">
        <v>196</v>
      </c>
      <c r="AV36" s="634">
        <f>IFERROR(VLOOKUP(AU36,Listas!$E$85:$F$105,2,FALSE),"Alerta: Seleccione el Concepto de Gasto primero")</f>
        <v>0</v>
      </c>
      <c r="AW36" s="644">
        <v>10000000</v>
      </c>
      <c r="AX36" s="645"/>
      <c r="AY36" s="645"/>
      <c r="AZ36" s="645"/>
      <c r="BA36" s="646">
        <f t="shared" si="28"/>
        <v>10000000</v>
      </c>
      <c r="BB36" s="647"/>
      <c r="BC36" s="648"/>
      <c r="BD36" s="649"/>
      <c r="BE36" s="647"/>
      <c r="BF36" s="644"/>
      <c r="BG36" s="646">
        <f t="shared" si="29"/>
        <v>10000000</v>
      </c>
      <c r="BH36" s="650"/>
      <c r="BI36" s="647"/>
      <c r="BJ36" s="644"/>
      <c r="BK36" s="646">
        <f t="shared" si="30"/>
        <v>0</v>
      </c>
      <c r="BL36" s="651"/>
      <c r="BM36" s="652">
        <f t="shared" si="31"/>
        <v>1</v>
      </c>
      <c r="BN36" s="628"/>
      <c r="BO36" s="670"/>
      <c r="BP36" s="644"/>
      <c r="BQ36" s="644"/>
      <c r="BR36" s="644"/>
      <c r="BS36" s="644"/>
      <c r="BT36" s="644"/>
      <c r="BU36" s="644"/>
      <c r="BV36" s="644"/>
      <c r="BW36" s="644"/>
      <c r="BX36" s="644"/>
      <c r="BY36" s="644"/>
      <c r="BZ36" s="644"/>
      <c r="CA36" s="644"/>
      <c r="CB36" s="646">
        <f t="shared" si="32"/>
        <v>0</v>
      </c>
      <c r="CC36" s="646">
        <f t="shared" si="33"/>
        <v>0</v>
      </c>
      <c r="CD36" s="614"/>
    </row>
    <row r="37" spans="1:82" s="561" customFormat="1" ht="61.5" customHeight="1">
      <c r="A37" s="625" t="str">
        <f t="shared" si="4"/>
        <v>1024-124-FONT1024-04-01-0187-Formación en catedra de patrimonio en colegios del distrito capital</v>
      </c>
      <c r="B37" s="626" t="str">
        <f t="shared" si="5"/>
        <v>1024-124-FONT1024-04-01-0187</v>
      </c>
      <c r="C37" s="626" t="str">
        <f t="shared" si="6"/>
        <v>1024-124-FONT1024-Formación en catedra de patrimonio en colegios del distrito capital</v>
      </c>
      <c r="D37" s="626" t="str">
        <f t="shared" si="7"/>
        <v>1024-124-12-Otros Distrito-04-01-0187</v>
      </c>
      <c r="E37" s="626" t="str">
        <f t="shared" si="19"/>
        <v>Formación en catedra de patrimonio en colegios del distrito capital-12-Otros Distrito-0187-Actividades de formación en arte, cultura, patrimonio, recreación y deporte</v>
      </c>
      <c r="F37" s="627">
        <v>5</v>
      </c>
      <c r="G37" s="628">
        <f t="shared" si="20"/>
        <v>5</v>
      </c>
      <c r="H37" s="629" t="b">
        <f t="shared" si="21"/>
        <v>0</v>
      </c>
      <c r="I37" s="630" t="s">
        <v>594</v>
      </c>
      <c r="J37" s="627" t="s">
        <v>596</v>
      </c>
      <c r="K37" s="631" t="str">
        <f>+IFERROR(VLOOKUP(J37,Listas!$A$108:$B$114,2,FALSE),"Alerta: Seleccione la celda en la comumna B con el nombre del proyecto")</f>
        <v>3-3-1-15-01-11-1024-124</v>
      </c>
      <c r="L37" s="632" t="s">
        <v>604</v>
      </c>
      <c r="M37" s="633" t="s">
        <v>605</v>
      </c>
      <c r="N37" s="634" t="str">
        <f t="shared" si="22"/>
        <v>(Cód. 5) Prestar los servicios requeridos por el Instituto Distrital de Patrimonio Cultural para atender las actividades y proyectos relacionados con la formación y divulgación del patrimonio cultural del Distrito Capital.</v>
      </c>
      <c r="O37" s="635">
        <v>43485</v>
      </c>
      <c r="P37" s="636">
        <f>IFERROR(VLOOKUP(W37,'Estimación CRP'!$D$21:$E$30,2,FALSE),0)</f>
        <v>10</v>
      </c>
      <c r="Q37" s="637">
        <f>IF(O37="No aplica","No aplica",WORKDAY.INTL(O37,P37,1,'Estimación CRP'!A223:A239))</f>
        <v>43497</v>
      </c>
      <c r="R37" s="636">
        <f t="shared" si="23"/>
        <v>2</v>
      </c>
      <c r="S37" s="636">
        <f t="shared" si="24"/>
        <v>1</v>
      </c>
      <c r="T37" s="636">
        <f t="shared" si="25"/>
        <v>1</v>
      </c>
      <c r="U37" s="712">
        <v>10</v>
      </c>
      <c r="V37" s="638">
        <v>1</v>
      </c>
      <c r="W37" s="639" t="s">
        <v>269</v>
      </c>
      <c r="X37" s="640" t="str">
        <f>IFERROR(VLOOKUP(W37,Listas!$A$60:$B$73,2,FALSE),"Alerta: Seleccione primero Modalidad de selección")</f>
        <v>CCE-16</v>
      </c>
      <c r="Y37" s="641">
        <v>0</v>
      </c>
      <c r="Z37" s="641" t="s">
        <v>1071</v>
      </c>
      <c r="AA37" s="641" t="s">
        <v>1072</v>
      </c>
      <c r="AB37" s="642">
        <f t="shared" si="26"/>
        <v>59400000</v>
      </c>
      <c r="AC37" s="642">
        <f t="shared" si="27"/>
        <v>59400000</v>
      </c>
      <c r="AD37" s="641">
        <v>0</v>
      </c>
      <c r="AE37" s="643">
        <v>0</v>
      </c>
      <c r="AF37" s="639" t="s">
        <v>276</v>
      </c>
      <c r="AG37" s="639" t="s">
        <v>277</v>
      </c>
      <c r="AH37" s="639" t="s">
        <v>284</v>
      </c>
      <c r="AI37" s="626" t="str">
        <f>IFERROR(VLOOKUP(AH37,Listas!$A$77:$C$83,2,FALSE),"Alerta: Seleccione primero el responsable")</f>
        <v>3550800</v>
      </c>
      <c r="AJ37" s="640" t="str">
        <f>IFERROR(VLOOKUP(AH37,Listas!$A$77:$C$83,3,FALSE),"Alerta: Seleccione primero el responsable")</f>
        <v>margarita.castaneda@idpc.gov.co</v>
      </c>
      <c r="AK37" s="640" t="str">
        <f>IF(J37="Funcionamiento Gastos Generales","No aplica",IF(J37="Funcionamiento Servicios Personales indirectos","No aplica",IFERROR(VLOOKUP(J37,Listas!$A$127:$E$139,3,FALSE),"Alerta: Seleccione la celda en la comumna B con el nombre del proyecto")))</f>
        <v>ME20181024</v>
      </c>
      <c r="AL37" s="640" t="str">
        <f>IF(J37="Funcionamiento Gastos Generales","No aplica",IF(J37="Funcionamiento Servicios Personales","No aplica",IFERROR(VLOOKUP(J37,Listas!$A$220:$D$224,2,FALSE),"Alerta: Seleccione la celda en la comumna B con el nombre del proyecto")))</f>
        <v>COMP1024</v>
      </c>
      <c r="AM37" s="640" t="str">
        <f>IF(J37="Funcionamiento Gastos Generales","No aplica",IF(J37="Funcionamiento Servicios Personales","No aplica",IFERROR(VLOOKUP(J37,Listas!$A$220:$D$224,3,FALSE),"Alerta: Seleccione la celda en la comumna B con el nombre del proyecto")))</f>
        <v>CONC1024</v>
      </c>
      <c r="AN37" s="633" t="s">
        <v>1045</v>
      </c>
      <c r="AO37" s="633" t="s">
        <v>309</v>
      </c>
      <c r="AP37" s="634" t="str">
        <f>IFERROR(VLOOKUP(J37,Listas!$A$182:$E$215,5,FALSE),"Alerta: Seleccione la celda en la comumna B con el nombre del proyecto")</f>
        <v>12. Formación en Cátedra de Patrimonio en colegios distritales</v>
      </c>
      <c r="AQ37" s="634" t="str">
        <f>IF(J37="Funcionamiento Gastos Generales","No aplica",IF(J37="Funcionamiento Servicios Personales","No aplica",IFERROR(VLOOKUP(J37,Listas!$A$220:$D$224,4,FALSE),"Alerta: Seleccione la celda en la comumna B con el nombre del proyecto")))</f>
        <v>FONT1024</v>
      </c>
      <c r="AR37" s="633" t="s">
        <v>198</v>
      </c>
      <c r="AS37" s="634" t="str">
        <f>IFERROR(VLOOKUP(AU37,Listas!$E$85:$L$105,7,FALSE),"Alerta: Seleccione la celda en la comumna AI con el concepto de gasto")</f>
        <v>04-INVESTIGACION Y ESTUDIOS</v>
      </c>
      <c r="AT37" s="634" t="str">
        <f>IFERROR(VLOOKUP(AU37,Listas!$E$85:$L$105,8,FALSE),"Alerta: Seleccione la celda en la comumna AI con el concepto de gasto")</f>
        <v>01-INVESTIGACIÓN BÁSICA APLICADA Y ESTUDIOS PROPIOS DEL SECTOR</v>
      </c>
      <c r="AU37" s="633" t="s">
        <v>196</v>
      </c>
      <c r="AV37" s="634">
        <f>IFERROR(VLOOKUP(AU37,Listas!$E$85:$F$105,2,FALSE),"Alerta: Seleccione el Concepto de Gasto primero")</f>
        <v>0</v>
      </c>
      <c r="AW37" s="644">
        <v>59400000</v>
      </c>
      <c r="AX37" s="645"/>
      <c r="AY37" s="645"/>
      <c r="AZ37" s="645"/>
      <c r="BA37" s="646">
        <f t="shared" si="28"/>
        <v>59400000</v>
      </c>
      <c r="BB37" s="647"/>
      <c r="BC37" s="648"/>
      <c r="BD37" s="649"/>
      <c r="BE37" s="647"/>
      <c r="BF37" s="644"/>
      <c r="BG37" s="646">
        <f t="shared" si="29"/>
        <v>59400000</v>
      </c>
      <c r="BH37" s="650"/>
      <c r="BI37" s="647"/>
      <c r="BJ37" s="644"/>
      <c r="BK37" s="646">
        <f t="shared" si="30"/>
        <v>0</v>
      </c>
      <c r="BL37" s="651"/>
      <c r="BM37" s="652">
        <f t="shared" si="31"/>
        <v>1</v>
      </c>
      <c r="BN37" s="628"/>
      <c r="BO37" s="670"/>
      <c r="BP37" s="644"/>
      <c r="BQ37" s="644"/>
      <c r="BR37" s="644"/>
      <c r="BS37" s="644"/>
      <c r="BT37" s="644"/>
      <c r="BU37" s="644"/>
      <c r="BV37" s="644"/>
      <c r="BW37" s="644"/>
      <c r="BX37" s="644"/>
      <c r="BY37" s="644"/>
      <c r="BZ37" s="644"/>
      <c r="CA37" s="644"/>
      <c r="CB37" s="646">
        <f t="shared" si="32"/>
        <v>0</v>
      </c>
      <c r="CC37" s="646">
        <f t="shared" si="33"/>
        <v>0</v>
      </c>
      <c r="CD37" s="614"/>
    </row>
    <row r="38" spans="1:82" s="561" customFormat="1" ht="61.5" customHeight="1">
      <c r="A38" s="625" t="str">
        <f t="shared" si="4"/>
        <v>1024-124-FONT1024-04-01-0187-Formacion a docentes</v>
      </c>
      <c r="B38" s="626" t="str">
        <f t="shared" si="5"/>
        <v>1024-124-FONT1024-04-01-0187</v>
      </c>
      <c r="C38" s="626" t="str">
        <f t="shared" si="6"/>
        <v>1024-124-FONT1024-Formacion a docentes</v>
      </c>
      <c r="D38" s="626" t="str">
        <f t="shared" si="7"/>
        <v>1024-124-12-Otros Distrito-04-01-0187</v>
      </c>
      <c r="E38" s="626" t="str">
        <f t="shared" si="19"/>
        <v>Formacion a docentes-12-Otros Distrito-0187-Actividades de formación en arte, cultura, patrimonio, recreación y deporte</v>
      </c>
      <c r="F38" s="627">
        <v>6</v>
      </c>
      <c r="G38" s="628">
        <f t="shared" si="20"/>
        <v>6</v>
      </c>
      <c r="H38" s="629" t="b">
        <f t="shared" si="21"/>
        <v>0</v>
      </c>
      <c r="I38" s="630" t="s">
        <v>594</v>
      </c>
      <c r="J38" s="627" t="s">
        <v>596</v>
      </c>
      <c r="K38" s="631" t="str">
        <f>+IFERROR(VLOOKUP(J38,Listas!$A$108:$B$114,2,FALSE),"Alerta: Seleccione la celda en la comumna B con el nombre del proyecto")</f>
        <v>3-3-1-15-01-11-1024-124</v>
      </c>
      <c r="L38" s="632" t="s">
        <v>598</v>
      </c>
      <c r="M38" s="633" t="s">
        <v>606</v>
      </c>
      <c r="N38" s="634" t="str">
        <f t="shared" si="22"/>
        <v>(Cód. 6)  Prestar servicios profesionales al Instituto Distrital de Patrimonio Cultural para apoyar las actividades administrativas del programa de formación en patrimonio cultural CIVINAUTAS, dirigido a estudiantes de colegios distritales.</v>
      </c>
      <c r="O38" s="635">
        <v>43480</v>
      </c>
      <c r="P38" s="636">
        <f>IFERROR(VLOOKUP(W38,'Estimación CRP'!$D$21:$E$30,2,FALSE),0)</f>
        <v>10</v>
      </c>
      <c r="Q38" s="637">
        <f>IF(O38="No aplica","No aplica",WORKDAY.INTL(O38,P38,1,'Estimación CRP'!A224:A240))</f>
        <v>43494</v>
      </c>
      <c r="R38" s="636">
        <f t="shared" si="23"/>
        <v>1</v>
      </c>
      <c r="S38" s="636">
        <f t="shared" si="24"/>
        <v>1</v>
      </c>
      <c r="T38" s="636">
        <f t="shared" si="25"/>
        <v>1</v>
      </c>
      <c r="U38" s="712">
        <v>11</v>
      </c>
      <c r="V38" s="638">
        <v>1</v>
      </c>
      <c r="W38" s="639" t="s">
        <v>274</v>
      </c>
      <c r="X38" s="640" t="str">
        <f>IFERROR(VLOOKUP(W38,Listas!$A$60:$B$73,2,FALSE),"Alerta: Seleccione primero Modalidad de selección")</f>
        <v>CCE-16</v>
      </c>
      <c r="Y38" s="641">
        <v>0</v>
      </c>
      <c r="Z38" s="641" t="s">
        <v>346</v>
      </c>
      <c r="AA38" s="641" t="s">
        <v>1073</v>
      </c>
      <c r="AB38" s="642">
        <f t="shared" si="26"/>
        <v>5180000</v>
      </c>
      <c r="AC38" s="642">
        <f t="shared" si="27"/>
        <v>5180000</v>
      </c>
      <c r="AD38" s="641">
        <v>0</v>
      </c>
      <c r="AE38" s="643">
        <v>0</v>
      </c>
      <c r="AF38" s="639" t="s">
        <v>276</v>
      </c>
      <c r="AG38" s="639" t="s">
        <v>277</v>
      </c>
      <c r="AH38" s="639" t="s">
        <v>284</v>
      </c>
      <c r="AI38" s="626" t="str">
        <f>IFERROR(VLOOKUP(AH38,Listas!$A$77:$C$83,2,FALSE),"Alerta: Seleccione primero el responsable")</f>
        <v>3550800</v>
      </c>
      <c r="AJ38" s="640" t="str">
        <f>IFERROR(VLOOKUP(AH38,Listas!$A$77:$C$83,3,FALSE),"Alerta: Seleccione primero el responsable")</f>
        <v>margarita.castaneda@idpc.gov.co</v>
      </c>
      <c r="AK38" s="640" t="str">
        <f>IF(J38="Funcionamiento Gastos Generales","No aplica",IF(J38="Funcionamiento Servicios Personales indirectos","No aplica",IFERROR(VLOOKUP(J38,Listas!$A$127:$E$139,3,FALSE),"Alerta: Seleccione la celda en la comumna B con el nombre del proyecto")))</f>
        <v>ME20181024</v>
      </c>
      <c r="AL38" s="640" t="str">
        <f>IF(J38="Funcionamiento Gastos Generales","No aplica",IF(J38="Funcionamiento Servicios Personales","No aplica",IFERROR(VLOOKUP(J38,Listas!$A$220:$D$224,2,FALSE),"Alerta: Seleccione la celda en la comumna B con el nombre del proyecto")))</f>
        <v>COMP1024</v>
      </c>
      <c r="AM38" s="640" t="str">
        <f>IF(J38="Funcionamiento Gastos Generales","No aplica",IF(J38="Funcionamiento Servicios Personales","No aplica",IFERROR(VLOOKUP(J38,Listas!$A$220:$D$224,3,FALSE),"Alerta: Seleccione la celda en la comumna B con el nombre del proyecto")))</f>
        <v>CONC1024</v>
      </c>
      <c r="AN38" s="633" t="s">
        <v>1045</v>
      </c>
      <c r="AO38" s="633" t="s">
        <v>95</v>
      </c>
      <c r="AP38" s="634" t="str">
        <f>IFERROR(VLOOKUP(J38,Listas!$A$182:$E$215,5,FALSE),"Alerta: Seleccione la celda en la comumna B con el nombre del proyecto")</f>
        <v>12. Formación en Cátedra de Patrimonio en colegios distritales</v>
      </c>
      <c r="AQ38" s="634" t="str">
        <f>IF(J38="Funcionamiento Gastos Generales","No aplica",IF(J38="Funcionamiento Servicios Personales","No aplica",IFERROR(VLOOKUP(J38,Listas!$A$220:$D$224,4,FALSE),"Alerta: Seleccione la celda en la comumna B con el nombre del proyecto")))</f>
        <v>FONT1024</v>
      </c>
      <c r="AR38" s="633" t="s">
        <v>198</v>
      </c>
      <c r="AS38" s="634" t="str">
        <f>IFERROR(VLOOKUP(AU38,Listas!$E$85:$L$105,7,FALSE),"Alerta: Seleccione la celda en la comumna AI con el concepto de gasto")</f>
        <v>04-INVESTIGACION Y ESTUDIOS</v>
      </c>
      <c r="AT38" s="634" t="str">
        <f>IFERROR(VLOOKUP(AU38,Listas!$E$85:$L$105,8,FALSE),"Alerta: Seleccione la celda en la comumna AI con el concepto de gasto")</f>
        <v>01-INVESTIGACIÓN BÁSICA APLICADA Y ESTUDIOS PROPIOS DEL SECTOR</v>
      </c>
      <c r="AU38" s="633" t="s">
        <v>196</v>
      </c>
      <c r="AV38" s="634">
        <f>IFERROR(VLOOKUP(AU38,Listas!$E$85:$F$105,2,FALSE),"Alerta: Seleccione el Concepto de Gasto primero")</f>
        <v>0</v>
      </c>
      <c r="AW38" s="644">
        <v>5180000</v>
      </c>
      <c r="AX38" s="645"/>
      <c r="AY38" s="645"/>
      <c r="AZ38" s="645"/>
      <c r="BA38" s="646">
        <f t="shared" si="28"/>
        <v>5180000</v>
      </c>
      <c r="BB38" s="647"/>
      <c r="BC38" s="648"/>
      <c r="BD38" s="649"/>
      <c r="BE38" s="647"/>
      <c r="BF38" s="644"/>
      <c r="BG38" s="646">
        <f t="shared" si="29"/>
        <v>5180000</v>
      </c>
      <c r="BH38" s="650"/>
      <c r="BI38" s="647"/>
      <c r="BJ38" s="644"/>
      <c r="BK38" s="646">
        <f t="shared" si="30"/>
        <v>0</v>
      </c>
      <c r="BL38" s="651"/>
      <c r="BM38" s="652">
        <f t="shared" si="31"/>
        <v>1</v>
      </c>
      <c r="BN38" s="628"/>
      <c r="BO38" s="670"/>
      <c r="BP38" s="644"/>
      <c r="BQ38" s="644"/>
      <c r="BR38" s="644"/>
      <c r="BS38" s="644"/>
      <c r="BT38" s="644"/>
      <c r="BU38" s="644"/>
      <c r="BV38" s="644"/>
      <c r="BW38" s="644"/>
      <c r="BX38" s="644"/>
      <c r="BY38" s="644"/>
      <c r="BZ38" s="644"/>
      <c r="CA38" s="644"/>
      <c r="CB38" s="646">
        <f t="shared" si="32"/>
        <v>0</v>
      </c>
      <c r="CC38" s="646">
        <f t="shared" si="33"/>
        <v>0</v>
      </c>
      <c r="CD38" s="614"/>
    </row>
    <row r="39" spans="1:82" s="561" customFormat="1" ht="61.5" customHeight="1">
      <c r="A39" s="625" t="str">
        <f t="shared" si="4"/>
        <v>1024-124-FONT1024-04-01-0187-Formación en catedra de patrimonio en colegios del distrito capital</v>
      </c>
      <c r="B39" s="626" t="str">
        <f t="shared" si="5"/>
        <v>1024-124-FONT1024-04-01-0187</v>
      </c>
      <c r="C39" s="626" t="str">
        <f t="shared" si="6"/>
        <v>1024-124-FONT1024-Formación en catedra de patrimonio en colegios del distrito capital</v>
      </c>
      <c r="D39" s="626" t="str">
        <f t="shared" si="7"/>
        <v>1024-124-12-Otros Distrito-04-01-0187</v>
      </c>
      <c r="E39" s="626" t="str">
        <f t="shared" si="19"/>
        <v>Formación en catedra de patrimonio en colegios del distrito capital-12-Otros Distrito-0187-Actividades de formación en arte, cultura, patrimonio, recreación y deporte</v>
      </c>
      <c r="F39" s="627">
        <v>6</v>
      </c>
      <c r="G39" s="628">
        <f t="shared" si="20"/>
        <v>6</v>
      </c>
      <c r="H39" s="629" t="b">
        <f t="shared" si="21"/>
        <v>1</v>
      </c>
      <c r="I39" s="630" t="s">
        <v>594</v>
      </c>
      <c r="J39" s="627" t="s">
        <v>596</v>
      </c>
      <c r="K39" s="631" t="str">
        <f>+IFERROR(VLOOKUP(J39,Listas!$A$108:$B$114,2,FALSE),"Alerta: Seleccione la celda en la comumna B con el nombre del proyecto")</f>
        <v>3-3-1-15-01-11-1024-124</v>
      </c>
      <c r="L39" s="632" t="s">
        <v>598</v>
      </c>
      <c r="M39" s="633" t="s">
        <v>606</v>
      </c>
      <c r="N39" s="634" t="str">
        <f t="shared" si="22"/>
        <v>(Cód. 6)  Prestar servicios profesionales al Instituto Distrital de Patrimonio Cultural para apoyar las actividades administrativas del programa de formación en patrimonio cultural CIVINAUTAS, dirigido a estudiantes de colegios distritales.</v>
      </c>
      <c r="O39" s="635">
        <v>43480</v>
      </c>
      <c r="P39" s="636">
        <f>IFERROR(VLOOKUP(W39,'Estimación CRP'!$D$21:$E$30,2,FALSE),0)</f>
        <v>10</v>
      </c>
      <c r="Q39" s="637">
        <f>IF(O39="No aplica","No aplica",WORKDAY.INTL(O39,P39,1,'Estimación CRP'!A225:A241))</f>
        <v>43494</v>
      </c>
      <c r="R39" s="636">
        <f t="shared" si="23"/>
        <v>1</v>
      </c>
      <c r="S39" s="636">
        <f t="shared" si="24"/>
        <v>1</v>
      </c>
      <c r="T39" s="636">
        <f t="shared" si="25"/>
        <v>1</v>
      </c>
      <c r="U39" s="712">
        <v>11</v>
      </c>
      <c r="V39" s="638">
        <v>1</v>
      </c>
      <c r="W39" s="639" t="s">
        <v>274</v>
      </c>
      <c r="X39" s="640" t="str">
        <f>IFERROR(VLOOKUP(W39,Listas!$A$60:$B$73,2,FALSE),"Alerta: Seleccione primero Modalidad de selección")</f>
        <v>CCE-16</v>
      </c>
      <c r="Y39" s="641">
        <v>0</v>
      </c>
      <c r="Z39" s="641" t="s">
        <v>346</v>
      </c>
      <c r="AA39" s="641" t="s">
        <v>1073</v>
      </c>
      <c r="AB39" s="642">
        <f t="shared" si="26"/>
        <v>48280000</v>
      </c>
      <c r="AC39" s="642">
        <f t="shared" si="27"/>
        <v>48280000</v>
      </c>
      <c r="AD39" s="641">
        <v>0</v>
      </c>
      <c r="AE39" s="643">
        <v>0</v>
      </c>
      <c r="AF39" s="639" t="s">
        <v>276</v>
      </c>
      <c r="AG39" s="639" t="s">
        <v>277</v>
      </c>
      <c r="AH39" s="639" t="s">
        <v>284</v>
      </c>
      <c r="AI39" s="626" t="str">
        <f>IFERROR(VLOOKUP(AH39,Listas!$A$77:$C$83,2,FALSE),"Alerta: Seleccione primero el responsable")</f>
        <v>3550800</v>
      </c>
      <c r="AJ39" s="640" t="str">
        <f>IFERROR(VLOOKUP(AH39,Listas!$A$77:$C$83,3,FALSE),"Alerta: Seleccione primero el responsable")</f>
        <v>margarita.castaneda@idpc.gov.co</v>
      </c>
      <c r="AK39" s="640" t="str">
        <f>IF(J39="Funcionamiento Gastos Generales","No aplica",IF(J39="Funcionamiento Servicios Personales indirectos","No aplica",IFERROR(VLOOKUP(J39,Listas!$A$127:$E$139,3,FALSE),"Alerta: Seleccione la celda en la comumna B con el nombre del proyecto")))</f>
        <v>ME20181024</v>
      </c>
      <c r="AL39" s="640" t="str">
        <f>IF(J39="Funcionamiento Gastos Generales","No aplica",IF(J39="Funcionamiento Servicios Personales","No aplica",IFERROR(VLOOKUP(J39,Listas!$A$220:$D$224,2,FALSE),"Alerta: Seleccione la celda en la comumna B con el nombre del proyecto")))</f>
        <v>COMP1024</v>
      </c>
      <c r="AM39" s="640" t="str">
        <f>IF(J39="Funcionamiento Gastos Generales","No aplica",IF(J39="Funcionamiento Servicios Personales","No aplica",IFERROR(VLOOKUP(J39,Listas!$A$220:$D$224,3,FALSE),"Alerta: Seleccione la celda en la comumna B con el nombre del proyecto")))</f>
        <v>CONC1024</v>
      </c>
      <c r="AN39" s="633" t="s">
        <v>1045</v>
      </c>
      <c r="AO39" s="633" t="s">
        <v>309</v>
      </c>
      <c r="AP39" s="634" t="str">
        <f>IFERROR(VLOOKUP(J39,Listas!$A$182:$E$215,5,FALSE),"Alerta: Seleccione la celda en la comumna B con el nombre del proyecto")</f>
        <v>12. Formación en Cátedra de Patrimonio en colegios distritales</v>
      </c>
      <c r="AQ39" s="634" t="str">
        <f>IF(J39="Funcionamiento Gastos Generales","No aplica",IF(J39="Funcionamiento Servicios Personales","No aplica",IFERROR(VLOOKUP(J39,Listas!$A$220:$D$224,4,FALSE),"Alerta: Seleccione la celda en la comumna B con el nombre del proyecto")))</f>
        <v>FONT1024</v>
      </c>
      <c r="AR39" s="633" t="s">
        <v>198</v>
      </c>
      <c r="AS39" s="634" t="str">
        <f>IFERROR(VLOOKUP(AU39,Listas!$E$85:$L$105,7,FALSE),"Alerta: Seleccione la celda en la comumna AI con el concepto de gasto")</f>
        <v>04-INVESTIGACION Y ESTUDIOS</v>
      </c>
      <c r="AT39" s="634" t="str">
        <f>IFERROR(VLOOKUP(AU39,Listas!$E$85:$L$105,8,FALSE),"Alerta: Seleccione la celda en la comumna AI con el concepto de gasto")</f>
        <v>01-INVESTIGACIÓN BÁSICA APLICADA Y ESTUDIOS PROPIOS DEL SECTOR</v>
      </c>
      <c r="AU39" s="633" t="s">
        <v>196</v>
      </c>
      <c r="AV39" s="634">
        <f>IFERROR(VLOOKUP(AU39,Listas!$E$85:$F$105,2,FALSE),"Alerta: Seleccione el Concepto de Gasto primero")</f>
        <v>0</v>
      </c>
      <c r="AW39" s="644">
        <v>48280000</v>
      </c>
      <c r="AX39" s="645"/>
      <c r="AY39" s="645"/>
      <c r="AZ39" s="645"/>
      <c r="BA39" s="646">
        <f t="shared" si="28"/>
        <v>48280000</v>
      </c>
      <c r="BB39" s="647"/>
      <c r="BC39" s="648"/>
      <c r="BD39" s="649"/>
      <c r="BE39" s="647"/>
      <c r="BF39" s="644"/>
      <c r="BG39" s="646">
        <f t="shared" si="29"/>
        <v>48280000</v>
      </c>
      <c r="BH39" s="650"/>
      <c r="BI39" s="647"/>
      <c r="BJ39" s="644"/>
      <c r="BK39" s="646">
        <f t="shared" si="30"/>
        <v>0</v>
      </c>
      <c r="BL39" s="651"/>
      <c r="BM39" s="652">
        <f t="shared" si="31"/>
        <v>1</v>
      </c>
      <c r="BN39" s="628"/>
      <c r="BO39" s="670"/>
      <c r="BP39" s="644"/>
      <c r="BQ39" s="644"/>
      <c r="BR39" s="644"/>
      <c r="BS39" s="644"/>
      <c r="BT39" s="644"/>
      <c r="BU39" s="644"/>
      <c r="BV39" s="644"/>
      <c r="BW39" s="644"/>
      <c r="BX39" s="644"/>
      <c r="BY39" s="644"/>
      <c r="BZ39" s="644"/>
      <c r="CA39" s="644"/>
      <c r="CB39" s="646">
        <f t="shared" si="32"/>
        <v>0</v>
      </c>
      <c r="CC39" s="646">
        <f t="shared" si="33"/>
        <v>0</v>
      </c>
      <c r="CD39" s="614"/>
    </row>
    <row r="40" spans="1:82" s="561" customFormat="1" ht="61.5" customHeight="1">
      <c r="A40" s="625" t="str">
        <f t="shared" si="4"/>
        <v>1024-124-FONT1024-04-01-0187-Formacion a docentes</v>
      </c>
      <c r="B40" s="626" t="str">
        <f t="shared" si="5"/>
        <v>1024-124-FONT1024-04-01-0187</v>
      </c>
      <c r="C40" s="626" t="str">
        <f t="shared" si="6"/>
        <v>1024-124-FONT1024-Formacion a docentes</v>
      </c>
      <c r="D40" s="626" t="str">
        <f t="shared" si="7"/>
        <v>1024-124-12-Otros Distrito-04-01-0187</v>
      </c>
      <c r="E40" s="626" t="str">
        <f t="shared" si="19"/>
        <v>Formacion a docentes-12-Otros Distrito-0187-Actividades de formación en arte, cultura, patrimonio, recreación y deporte</v>
      </c>
      <c r="F40" s="627">
        <v>7</v>
      </c>
      <c r="G40" s="628">
        <f t="shared" si="20"/>
        <v>7</v>
      </c>
      <c r="H40" s="629" t="b">
        <f t="shared" si="21"/>
        <v>0</v>
      </c>
      <c r="I40" s="630" t="s">
        <v>594</v>
      </c>
      <c r="J40" s="627" t="s">
        <v>596</v>
      </c>
      <c r="K40" s="631" t="str">
        <f>+IFERROR(VLOOKUP(J40,Listas!$A$108:$B$114,2,FALSE),"Alerta: Seleccione la celda en la comumna B con el nombre del proyecto")</f>
        <v>3-3-1-15-01-11-1024-124</v>
      </c>
      <c r="L40" s="632" t="s">
        <v>598</v>
      </c>
      <c r="M40" s="633" t="s">
        <v>607</v>
      </c>
      <c r="N40" s="634" t="str">
        <f t="shared" si="22"/>
        <v>(Cód. 7) Prestar servicios profesionales al Instituto Distrital de Patrimonio Cultural para orientar los procesos de formación en patrimonio cultural, en el marco del proyecto de inversión 1024 - Formación en patrimonio cultural.</v>
      </c>
      <c r="O40" s="635">
        <v>43480</v>
      </c>
      <c r="P40" s="636">
        <f>IFERROR(VLOOKUP(W40,'Estimación CRP'!$D$21:$E$30,2,FALSE),0)</f>
        <v>10</v>
      </c>
      <c r="Q40" s="637">
        <f>IF(O40="No aplica","No aplica",WORKDAY.INTL(O40,P40,1,'Estimación CRP'!A226:A242))</f>
        <v>43494</v>
      </c>
      <c r="R40" s="636">
        <f t="shared" si="23"/>
        <v>1</v>
      </c>
      <c r="S40" s="636">
        <f t="shared" si="24"/>
        <v>1</v>
      </c>
      <c r="T40" s="636">
        <f t="shared" si="25"/>
        <v>1</v>
      </c>
      <c r="U40" s="712">
        <v>11</v>
      </c>
      <c r="V40" s="638">
        <v>1</v>
      </c>
      <c r="W40" s="639" t="s">
        <v>274</v>
      </c>
      <c r="X40" s="640" t="str">
        <f>IFERROR(VLOOKUP(W40,Listas!$A$60:$B$73,2,FALSE),"Alerta: Seleccione primero Modalidad de selección")</f>
        <v>CCE-16</v>
      </c>
      <c r="Y40" s="641">
        <v>0</v>
      </c>
      <c r="Z40" s="641" t="s">
        <v>346</v>
      </c>
      <c r="AA40" s="641" t="s">
        <v>1074</v>
      </c>
      <c r="AB40" s="642">
        <f t="shared" si="26"/>
        <v>72820000</v>
      </c>
      <c r="AC40" s="642">
        <f t="shared" si="27"/>
        <v>72820000</v>
      </c>
      <c r="AD40" s="641">
        <v>0</v>
      </c>
      <c r="AE40" s="643">
        <v>0</v>
      </c>
      <c r="AF40" s="639" t="s">
        <v>276</v>
      </c>
      <c r="AG40" s="639" t="s">
        <v>277</v>
      </c>
      <c r="AH40" s="639" t="s">
        <v>284</v>
      </c>
      <c r="AI40" s="626" t="str">
        <f>IFERROR(VLOOKUP(AH40,Listas!$A$77:$C$83,2,FALSE),"Alerta: Seleccione primero el responsable")</f>
        <v>3550800</v>
      </c>
      <c r="AJ40" s="640" t="str">
        <f>IFERROR(VLOOKUP(AH40,Listas!$A$77:$C$83,3,FALSE),"Alerta: Seleccione primero el responsable")</f>
        <v>margarita.castaneda@idpc.gov.co</v>
      </c>
      <c r="AK40" s="640" t="str">
        <f>IF(J40="Funcionamiento Gastos Generales","No aplica",IF(J40="Funcionamiento Servicios Personales indirectos","No aplica",IFERROR(VLOOKUP(J40,Listas!$A$127:$E$139,3,FALSE),"Alerta: Seleccione la celda en la comumna B con el nombre del proyecto")))</f>
        <v>ME20181024</v>
      </c>
      <c r="AL40" s="640" t="str">
        <f>IF(J40="Funcionamiento Gastos Generales","No aplica",IF(J40="Funcionamiento Servicios Personales","No aplica",IFERROR(VLOOKUP(J40,Listas!$A$220:$D$224,2,FALSE),"Alerta: Seleccione la celda en la comumna B con el nombre del proyecto")))</f>
        <v>COMP1024</v>
      </c>
      <c r="AM40" s="640" t="str">
        <f>IF(J40="Funcionamiento Gastos Generales","No aplica",IF(J40="Funcionamiento Servicios Personales","No aplica",IFERROR(VLOOKUP(J40,Listas!$A$220:$D$224,3,FALSE),"Alerta: Seleccione la celda en la comumna B con el nombre del proyecto")))</f>
        <v>CONC1024</v>
      </c>
      <c r="AN40" s="633" t="s">
        <v>1045</v>
      </c>
      <c r="AO40" s="633" t="s">
        <v>95</v>
      </c>
      <c r="AP40" s="634" t="str">
        <f>IFERROR(VLOOKUP(J40,Listas!$A$182:$E$215,5,FALSE),"Alerta: Seleccione la celda en la comumna B con el nombre del proyecto")</f>
        <v>12. Formación en Cátedra de Patrimonio en colegios distritales</v>
      </c>
      <c r="AQ40" s="634" t="str">
        <f>IF(J40="Funcionamiento Gastos Generales","No aplica",IF(J40="Funcionamiento Servicios Personales","No aplica",IFERROR(VLOOKUP(J40,Listas!$A$220:$D$224,4,FALSE),"Alerta: Seleccione la celda en la comumna B con el nombre del proyecto")))</f>
        <v>FONT1024</v>
      </c>
      <c r="AR40" s="633" t="s">
        <v>198</v>
      </c>
      <c r="AS40" s="634" t="str">
        <f>IFERROR(VLOOKUP(AU40,Listas!$E$85:$L$105,7,FALSE),"Alerta: Seleccione la celda en la comumna AI con el concepto de gasto")</f>
        <v>04-INVESTIGACION Y ESTUDIOS</v>
      </c>
      <c r="AT40" s="634" t="str">
        <f>IFERROR(VLOOKUP(AU40,Listas!$E$85:$L$105,8,FALSE),"Alerta: Seleccione la celda en la comumna AI con el concepto de gasto")</f>
        <v>01-INVESTIGACIÓN BÁSICA APLICADA Y ESTUDIOS PROPIOS DEL SECTOR</v>
      </c>
      <c r="AU40" s="633" t="s">
        <v>196</v>
      </c>
      <c r="AV40" s="634">
        <f>IFERROR(VLOOKUP(AU40,Listas!$E$85:$F$105,2,FALSE),"Alerta: Seleccione el Concepto de Gasto primero")</f>
        <v>0</v>
      </c>
      <c r="AW40" s="644">
        <v>72820000</v>
      </c>
      <c r="AX40" s="645"/>
      <c r="AY40" s="645"/>
      <c r="AZ40" s="645"/>
      <c r="BA40" s="646">
        <f t="shared" si="28"/>
        <v>72820000</v>
      </c>
      <c r="BB40" s="647"/>
      <c r="BC40" s="648"/>
      <c r="BD40" s="649"/>
      <c r="BE40" s="647"/>
      <c r="BF40" s="644"/>
      <c r="BG40" s="646">
        <f t="shared" si="29"/>
        <v>72820000</v>
      </c>
      <c r="BH40" s="650"/>
      <c r="BI40" s="647"/>
      <c r="BJ40" s="644"/>
      <c r="BK40" s="646">
        <f t="shared" si="30"/>
        <v>0</v>
      </c>
      <c r="BL40" s="651"/>
      <c r="BM40" s="652">
        <f t="shared" si="31"/>
        <v>1</v>
      </c>
      <c r="BN40" s="628"/>
      <c r="BO40" s="670"/>
      <c r="BP40" s="644"/>
      <c r="BQ40" s="644"/>
      <c r="BR40" s="644"/>
      <c r="BS40" s="644"/>
      <c r="BT40" s="644"/>
      <c r="BU40" s="644"/>
      <c r="BV40" s="644"/>
      <c r="BW40" s="644"/>
      <c r="BX40" s="644"/>
      <c r="BY40" s="644"/>
      <c r="BZ40" s="644"/>
      <c r="CA40" s="644"/>
      <c r="CB40" s="646">
        <f t="shared" si="32"/>
        <v>0</v>
      </c>
      <c r="CC40" s="646">
        <f t="shared" si="33"/>
        <v>0</v>
      </c>
      <c r="CD40" s="614"/>
    </row>
    <row r="41" spans="1:82" s="561" customFormat="1" ht="61.5" customHeight="1">
      <c r="A41" s="625" t="str">
        <f t="shared" si="4"/>
        <v>1024-124-FONT1024-04-01-0187-Formación en catedra de patrimonio en colegios del distrito capital</v>
      </c>
      <c r="B41" s="626" t="str">
        <f t="shared" si="5"/>
        <v>1024-124-FONT1024-04-01-0187</v>
      </c>
      <c r="C41" s="626" t="str">
        <f t="shared" si="6"/>
        <v>1024-124-FONT1024-Formación en catedra de patrimonio en colegios del distrito capital</v>
      </c>
      <c r="D41" s="626" t="str">
        <f t="shared" si="7"/>
        <v>1024-124-12-Otros Distrito-04-01-0187</v>
      </c>
      <c r="E41" s="626" t="str">
        <f t="shared" si="19"/>
        <v>Formación en catedra de patrimonio en colegios del distrito capital-12-Otros Distrito-0187-Actividades de formación en arte, cultura, patrimonio, recreación y deporte</v>
      </c>
      <c r="F41" s="627">
        <v>8</v>
      </c>
      <c r="G41" s="628">
        <f t="shared" si="20"/>
        <v>8</v>
      </c>
      <c r="H41" s="629" t="b">
        <f t="shared" si="21"/>
        <v>0</v>
      </c>
      <c r="I41" s="630" t="s">
        <v>594</v>
      </c>
      <c r="J41" s="627" t="s">
        <v>596</v>
      </c>
      <c r="K41" s="631" t="str">
        <f>+IFERROR(VLOOKUP(J41,Listas!$A$108:$B$114,2,FALSE),"Alerta: Seleccione la celda en la comumna B con el nombre del proyecto")</f>
        <v>3-3-1-15-01-11-1024-124</v>
      </c>
      <c r="L41" s="632" t="s">
        <v>608</v>
      </c>
      <c r="M41" s="633" t="s">
        <v>609</v>
      </c>
      <c r="N41" s="634" t="str">
        <f t="shared" si="22"/>
        <v>(Cód. 8) Contratar la impresión del material divulgativo requerido para la ejecución de los procesos misionales de la Subdirección de Divulgación del Instituto Distrital de Patrimonio Cultural.</v>
      </c>
      <c r="O41" s="635">
        <v>43539</v>
      </c>
      <c r="P41" s="636">
        <f>IFERROR(VLOOKUP(W41,'Estimación CRP'!$D$21:$E$30,2,FALSE),0)</f>
        <v>45</v>
      </c>
      <c r="Q41" s="637">
        <f>IF(O41="No aplica","No aplica",WORKDAY.INTL(O41,P41,1,'Estimación CRP'!A227:A243))</f>
        <v>43602</v>
      </c>
      <c r="R41" s="636">
        <f t="shared" si="23"/>
        <v>5</v>
      </c>
      <c r="S41" s="636">
        <f t="shared" si="24"/>
        <v>3</v>
      </c>
      <c r="T41" s="636">
        <f t="shared" si="25"/>
        <v>3</v>
      </c>
      <c r="U41" s="712">
        <v>4</v>
      </c>
      <c r="V41" s="638">
        <v>1</v>
      </c>
      <c r="W41" s="639" t="s">
        <v>348</v>
      </c>
      <c r="X41" s="640" t="str">
        <f>IFERROR(VLOOKUP(W41,Listas!$A$60:$B$73,2,FALSE),"Alerta: Seleccione primero Modalidad de selección")</f>
        <v>CCE-06</v>
      </c>
      <c r="Y41" s="641">
        <v>0</v>
      </c>
      <c r="Z41" s="641" t="s">
        <v>1075</v>
      </c>
      <c r="AA41" s="641" t="s">
        <v>1076</v>
      </c>
      <c r="AB41" s="642">
        <f t="shared" si="26"/>
        <v>29528000</v>
      </c>
      <c r="AC41" s="642">
        <f t="shared" si="27"/>
        <v>29528000</v>
      </c>
      <c r="AD41" s="641">
        <v>0</v>
      </c>
      <c r="AE41" s="643">
        <v>0</v>
      </c>
      <c r="AF41" s="639" t="s">
        <v>276</v>
      </c>
      <c r="AG41" s="639" t="s">
        <v>277</v>
      </c>
      <c r="AH41" s="639" t="s">
        <v>284</v>
      </c>
      <c r="AI41" s="626" t="str">
        <f>IFERROR(VLOOKUP(AH41,Listas!$A$77:$C$83,2,FALSE),"Alerta: Seleccione primero el responsable")</f>
        <v>3550800</v>
      </c>
      <c r="AJ41" s="640" t="str">
        <f>IFERROR(VLOOKUP(AH41,Listas!$A$77:$C$83,3,FALSE),"Alerta: Seleccione primero el responsable")</f>
        <v>margarita.castaneda@idpc.gov.co</v>
      </c>
      <c r="AK41" s="640" t="str">
        <f>IF(J41="Funcionamiento Gastos Generales","No aplica",IF(J41="Funcionamiento Servicios Personales indirectos","No aplica",IFERROR(VLOOKUP(J41,Listas!$A$127:$E$139,3,FALSE),"Alerta: Seleccione la celda en la comumna B con el nombre del proyecto")))</f>
        <v>ME20181024</v>
      </c>
      <c r="AL41" s="640" t="str">
        <f>IF(J41="Funcionamiento Gastos Generales","No aplica",IF(J41="Funcionamiento Servicios Personales","No aplica",IFERROR(VLOOKUP(J41,Listas!$A$220:$D$224,2,FALSE),"Alerta: Seleccione la celda en la comumna B con el nombre del proyecto")))</f>
        <v>COMP1024</v>
      </c>
      <c r="AM41" s="640" t="str">
        <f>IF(J41="Funcionamiento Gastos Generales","No aplica",IF(J41="Funcionamiento Servicios Personales","No aplica",IFERROR(VLOOKUP(J41,Listas!$A$220:$D$224,3,FALSE),"Alerta: Seleccione la celda en la comumna B con el nombre del proyecto")))</f>
        <v>CONC1024</v>
      </c>
      <c r="AN41" s="633" t="s">
        <v>1045</v>
      </c>
      <c r="AO41" s="633" t="s">
        <v>309</v>
      </c>
      <c r="AP41" s="634" t="str">
        <f>IFERROR(VLOOKUP(J41,Listas!$A$182:$E$215,5,FALSE),"Alerta: Seleccione la celda en la comumna B con el nombre del proyecto")</f>
        <v>12. Formación en Cátedra de Patrimonio en colegios distritales</v>
      </c>
      <c r="AQ41" s="634" t="str">
        <f>IF(J41="Funcionamiento Gastos Generales","No aplica",IF(J41="Funcionamiento Servicios Personales","No aplica",IFERROR(VLOOKUP(J41,Listas!$A$220:$D$224,4,FALSE),"Alerta: Seleccione la celda en la comumna B con el nombre del proyecto")))</f>
        <v>FONT1024</v>
      </c>
      <c r="AR41" s="633" t="s">
        <v>198</v>
      </c>
      <c r="AS41" s="634" t="str">
        <f>IFERROR(VLOOKUP(AU41,Listas!$E$85:$L$105,7,FALSE),"Alerta: Seleccione la celda en la comumna AI con el concepto de gasto")</f>
        <v>04-INVESTIGACION Y ESTUDIOS</v>
      </c>
      <c r="AT41" s="634" t="str">
        <f>IFERROR(VLOOKUP(AU41,Listas!$E$85:$L$105,8,FALSE),"Alerta: Seleccione la celda en la comumna AI con el concepto de gasto")</f>
        <v>01-INVESTIGACIÓN BÁSICA APLICADA Y ESTUDIOS PROPIOS DEL SECTOR</v>
      </c>
      <c r="AU41" s="633" t="s">
        <v>196</v>
      </c>
      <c r="AV41" s="634">
        <f>IFERROR(VLOOKUP(AU41,Listas!$E$85:$F$105,2,FALSE),"Alerta: Seleccione el Concepto de Gasto primero")</f>
        <v>0</v>
      </c>
      <c r="AW41" s="644">
        <v>29528000</v>
      </c>
      <c r="AX41" s="645"/>
      <c r="AY41" s="645"/>
      <c r="AZ41" s="645"/>
      <c r="BA41" s="646">
        <f t="shared" si="28"/>
        <v>29528000</v>
      </c>
      <c r="BB41" s="647"/>
      <c r="BC41" s="648"/>
      <c r="BD41" s="649"/>
      <c r="BE41" s="647"/>
      <c r="BF41" s="644"/>
      <c r="BG41" s="646">
        <f t="shared" si="29"/>
        <v>29528000</v>
      </c>
      <c r="BH41" s="650"/>
      <c r="BI41" s="647"/>
      <c r="BJ41" s="644"/>
      <c r="BK41" s="646">
        <f t="shared" si="30"/>
        <v>0</v>
      </c>
      <c r="BL41" s="651"/>
      <c r="BM41" s="652">
        <f t="shared" si="31"/>
        <v>1</v>
      </c>
      <c r="BN41" s="628"/>
      <c r="BO41" s="670"/>
      <c r="BP41" s="644"/>
      <c r="BQ41" s="644"/>
      <c r="BR41" s="644"/>
      <c r="BS41" s="644"/>
      <c r="BT41" s="644"/>
      <c r="BU41" s="644"/>
      <c r="BV41" s="644"/>
      <c r="BW41" s="644"/>
      <c r="BX41" s="644"/>
      <c r="BY41" s="644"/>
      <c r="BZ41" s="644"/>
      <c r="CA41" s="644"/>
      <c r="CB41" s="646">
        <f t="shared" si="32"/>
        <v>0</v>
      </c>
      <c r="CC41" s="646">
        <f t="shared" si="33"/>
        <v>0</v>
      </c>
      <c r="CD41" s="614"/>
    </row>
    <row r="42" spans="1:82" s="561" customFormat="1" ht="61.5" customHeight="1">
      <c r="A42" s="625" t="str">
        <f t="shared" si="4"/>
        <v>1024-124-FONT1024-04-01-0187-Formación en catedra de patrimonio en colegios del distrito capital</v>
      </c>
      <c r="B42" s="626" t="str">
        <f t="shared" si="5"/>
        <v>1024-124-FONT1024-04-01-0187</v>
      </c>
      <c r="C42" s="626" t="str">
        <f t="shared" si="6"/>
        <v>1024-124-FONT1024-Formación en catedra de patrimonio en colegios del distrito capital</v>
      </c>
      <c r="D42" s="626" t="str">
        <f t="shared" si="7"/>
        <v>1024-124-12-Otros Distrito-04-01-0187</v>
      </c>
      <c r="E42" s="626" t="str">
        <f t="shared" si="19"/>
        <v>Formación en catedra de patrimonio en colegios del distrito capital-12-Otros Distrito-0187-Actividades de formación en arte, cultura, patrimonio, recreación y deporte</v>
      </c>
      <c r="F42" s="627">
        <v>9</v>
      </c>
      <c r="G42" s="628">
        <f t="shared" si="20"/>
        <v>9</v>
      </c>
      <c r="H42" s="629" t="b">
        <f t="shared" si="21"/>
        <v>0</v>
      </c>
      <c r="I42" s="630" t="s">
        <v>594</v>
      </c>
      <c r="J42" s="627" t="s">
        <v>596</v>
      </c>
      <c r="K42" s="631" t="str">
        <f>+IFERROR(VLOOKUP(J42,Listas!$A$108:$B$114,2,FALSE),"Alerta: Seleccione la celda en la comumna B con el nombre del proyecto")</f>
        <v>3-3-1-15-01-11-1024-124</v>
      </c>
      <c r="L42" s="632" t="s">
        <v>598</v>
      </c>
      <c r="M42" s="633" t="s">
        <v>599</v>
      </c>
      <c r="N42" s="634" t="str">
        <f t="shared" si="22"/>
        <v>(Cód. 9) Prestar servicios profesionales al Instituto Distrital de Patrimonio Cultural para apoyar en la implementación en aula del programa de formación en patrimonio cultural CIVINAUTAS, dirigido a estudiantes de colegios distritales.</v>
      </c>
      <c r="O42" s="635">
        <v>43490</v>
      </c>
      <c r="P42" s="636">
        <f>IFERROR(VLOOKUP(W42,'Estimación CRP'!$D$21:$E$30,2,FALSE),0)</f>
        <v>10</v>
      </c>
      <c r="Q42" s="637">
        <f>IF(O42="No aplica","No aplica",WORKDAY.INTL(O42,P42,1,'Estimación CRP'!A228:A244))</f>
        <v>43504</v>
      </c>
      <c r="R42" s="636">
        <f t="shared" si="23"/>
        <v>2</v>
      </c>
      <c r="S42" s="636">
        <f t="shared" si="24"/>
        <v>1</v>
      </c>
      <c r="T42" s="636">
        <f t="shared" si="25"/>
        <v>1</v>
      </c>
      <c r="U42" s="712">
        <f>10*30+15</f>
        <v>315</v>
      </c>
      <c r="V42" s="638">
        <v>0</v>
      </c>
      <c r="W42" s="639" t="s">
        <v>274</v>
      </c>
      <c r="X42" s="640" t="str">
        <f>IFERROR(VLOOKUP(W42,Listas!$A$60:$B$73,2,FALSE),"Alerta: Seleccione primero Modalidad de selección")</f>
        <v>CCE-16</v>
      </c>
      <c r="Y42" s="641">
        <v>0</v>
      </c>
      <c r="Z42" s="641" t="s">
        <v>346</v>
      </c>
      <c r="AA42" s="641" t="s">
        <v>1077</v>
      </c>
      <c r="AB42" s="642">
        <f t="shared" si="26"/>
        <v>28119000</v>
      </c>
      <c r="AC42" s="642">
        <f t="shared" si="27"/>
        <v>28119000</v>
      </c>
      <c r="AD42" s="641">
        <v>0</v>
      </c>
      <c r="AE42" s="643">
        <v>0</v>
      </c>
      <c r="AF42" s="639" t="s">
        <v>276</v>
      </c>
      <c r="AG42" s="639" t="s">
        <v>277</v>
      </c>
      <c r="AH42" s="639" t="s">
        <v>284</v>
      </c>
      <c r="AI42" s="626" t="str">
        <f>IFERROR(VLOOKUP(AH42,Listas!$A$77:$C$83,2,FALSE),"Alerta: Seleccione primero el responsable")</f>
        <v>3550800</v>
      </c>
      <c r="AJ42" s="640" t="str">
        <f>IFERROR(VLOOKUP(AH42,Listas!$A$77:$C$83,3,FALSE),"Alerta: Seleccione primero el responsable")</f>
        <v>margarita.castaneda@idpc.gov.co</v>
      </c>
      <c r="AK42" s="640" t="str">
        <f>IF(J42="Funcionamiento Gastos Generales","No aplica",IF(J42="Funcionamiento Servicios Personales indirectos","No aplica",IFERROR(VLOOKUP(J42,Listas!$A$127:$E$139,3,FALSE),"Alerta: Seleccione la celda en la comumna B con el nombre del proyecto")))</f>
        <v>ME20181024</v>
      </c>
      <c r="AL42" s="640" t="str">
        <f>IF(J42="Funcionamiento Gastos Generales","No aplica",IF(J42="Funcionamiento Servicios Personales","No aplica",IFERROR(VLOOKUP(J42,Listas!$A$220:$D$224,2,FALSE),"Alerta: Seleccione la celda en la comumna B con el nombre del proyecto")))</f>
        <v>COMP1024</v>
      </c>
      <c r="AM42" s="640" t="str">
        <f>IF(J42="Funcionamiento Gastos Generales","No aplica",IF(J42="Funcionamiento Servicios Personales","No aplica",IFERROR(VLOOKUP(J42,Listas!$A$220:$D$224,3,FALSE),"Alerta: Seleccione la celda en la comumna B con el nombre del proyecto")))</f>
        <v>CONC1024</v>
      </c>
      <c r="AN42" s="633" t="s">
        <v>1045</v>
      </c>
      <c r="AO42" s="633" t="s">
        <v>309</v>
      </c>
      <c r="AP42" s="634" t="str">
        <f>IFERROR(VLOOKUP(J42,Listas!$A$182:$E$215,5,FALSE),"Alerta: Seleccione la celda en la comumna B con el nombre del proyecto")</f>
        <v>12. Formación en Cátedra de Patrimonio en colegios distritales</v>
      </c>
      <c r="AQ42" s="634" t="str">
        <f>IF(J42="Funcionamiento Gastos Generales","No aplica",IF(J42="Funcionamiento Servicios Personales","No aplica",IFERROR(VLOOKUP(J42,Listas!$A$220:$D$224,4,FALSE),"Alerta: Seleccione la celda en la comumna B con el nombre del proyecto")))</f>
        <v>FONT1024</v>
      </c>
      <c r="AR42" s="633" t="s">
        <v>198</v>
      </c>
      <c r="AS42" s="634" t="str">
        <f>IFERROR(VLOOKUP(AU42,Listas!$E$85:$L$105,7,FALSE),"Alerta: Seleccione la celda en la comumna AI con el concepto de gasto")</f>
        <v>04-INVESTIGACION Y ESTUDIOS</v>
      </c>
      <c r="AT42" s="634" t="str">
        <f>IFERROR(VLOOKUP(AU42,Listas!$E$85:$L$105,8,FALSE),"Alerta: Seleccione la celda en la comumna AI con el concepto de gasto")</f>
        <v>01-INVESTIGACIÓN BÁSICA APLICADA Y ESTUDIOS PROPIOS DEL SECTOR</v>
      </c>
      <c r="AU42" s="633" t="s">
        <v>196</v>
      </c>
      <c r="AV42" s="634">
        <f>IFERROR(VLOOKUP(AU42,Listas!$E$85:$F$105,2,FALSE),"Alerta: Seleccione el Concepto de Gasto primero")</f>
        <v>0</v>
      </c>
      <c r="AW42" s="644">
        <v>28119000</v>
      </c>
      <c r="AX42" s="645"/>
      <c r="AY42" s="645"/>
      <c r="AZ42" s="645"/>
      <c r="BA42" s="646">
        <f t="shared" si="28"/>
        <v>28119000</v>
      </c>
      <c r="BB42" s="647"/>
      <c r="BC42" s="648"/>
      <c r="BD42" s="649"/>
      <c r="BE42" s="647"/>
      <c r="BF42" s="644"/>
      <c r="BG42" s="646">
        <f t="shared" si="29"/>
        <v>28119000</v>
      </c>
      <c r="BH42" s="650"/>
      <c r="BI42" s="647"/>
      <c r="BJ42" s="644"/>
      <c r="BK42" s="646">
        <f t="shared" si="30"/>
        <v>0</v>
      </c>
      <c r="BL42" s="651"/>
      <c r="BM42" s="652">
        <f t="shared" si="31"/>
        <v>1</v>
      </c>
      <c r="BN42" s="628"/>
      <c r="BO42" s="670"/>
      <c r="BP42" s="644"/>
      <c r="BQ42" s="644"/>
      <c r="BR42" s="644"/>
      <c r="BS42" s="644"/>
      <c r="BT42" s="644"/>
      <c r="BU42" s="644"/>
      <c r="BV42" s="644"/>
      <c r="BW42" s="644"/>
      <c r="BX42" s="644"/>
      <c r="BY42" s="644"/>
      <c r="BZ42" s="644"/>
      <c r="CA42" s="644"/>
      <c r="CB42" s="646">
        <f t="shared" si="32"/>
        <v>0</v>
      </c>
      <c r="CC42" s="646">
        <f t="shared" si="33"/>
        <v>0</v>
      </c>
      <c r="CD42" s="614"/>
    </row>
    <row r="43" spans="1:82" s="561" customFormat="1" ht="61.5" customHeight="1">
      <c r="A43" s="625" t="str">
        <f t="shared" si="4"/>
        <v>1024-124-FONT1024-04-01-0187-Formación en catedra de patrimonio en colegios del distrito capital</v>
      </c>
      <c r="B43" s="626" t="str">
        <f t="shared" si="5"/>
        <v>1024-124-FONT1024-04-01-0187</v>
      </c>
      <c r="C43" s="626" t="str">
        <f t="shared" si="6"/>
        <v>1024-124-FONT1024-Formación en catedra de patrimonio en colegios del distrito capital</v>
      </c>
      <c r="D43" s="626" t="str">
        <f t="shared" si="7"/>
        <v>1024-124-12-Otros Distrito-04-01-0187</v>
      </c>
      <c r="E43" s="626" t="str">
        <f t="shared" si="19"/>
        <v>Formación en catedra de patrimonio en colegios del distrito capital-12-Otros Distrito-0187-Actividades de formación en arte, cultura, patrimonio, recreación y deporte</v>
      </c>
      <c r="F43" s="627">
        <v>10</v>
      </c>
      <c r="G43" s="628">
        <f t="shared" si="20"/>
        <v>10</v>
      </c>
      <c r="H43" s="629" t="b">
        <f t="shared" si="21"/>
        <v>0</v>
      </c>
      <c r="I43" s="630" t="s">
        <v>594</v>
      </c>
      <c r="J43" s="627" t="s">
        <v>596</v>
      </c>
      <c r="K43" s="631" t="str">
        <f>+IFERROR(VLOOKUP(J43,Listas!$A$108:$B$114,2,FALSE),"Alerta: Seleccione la celda en la comumna B con el nombre del proyecto")</f>
        <v>3-3-1-15-01-11-1024-124</v>
      </c>
      <c r="L43" s="632" t="s">
        <v>598</v>
      </c>
      <c r="M43" s="633" t="s">
        <v>599</v>
      </c>
      <c r="N43" s="634" t="str">
        <f t="shared" si="22"/>
        <v>(Cód. 10) Prestar servicios profesionales al Instituto Distrital de Patrimonio Cultural para apoyar en la implementación en aula del programa de formación en patrimonio cultural CIVINAUTAS, dirigido a estudiantes de colegios distritales.</v>
      </c>
      <c r="O43" s="635">
        <v>43490</v>
      </c>
      <c r="P43" s="636">
        <f>IFERROR(VLOOKUP(W43,'Estimación CRP'!$D$21:$E$30,2,FALSE),0)</f>
        <v>10</v>
      </c>
      <c r="Q43" s="637">
        <f>IF(O43="No aplica","No aplica",WORKDAY.INTL(O43,P43,1,'Estimación CRP'!A229:A245))</f>
        <v>43504</v>
      </c>
      <c r="R43" s="636">
        <f t="shared" si="23"/>
        <v>2</v>
      </c>
      <c r="S43" s="636">
        <f t="shared" si="24"/>
        <v>1</v>
      </c>
      <c r="T43" s="636">
        <f t="shared" si="25"/>
        <v>1</v>
      </c>
      <c r="U43" s="712">
        <f>10*30+15</f>
        <v>315</v>
      </c>
      <c r="V43" s="638">
        <v>0</v>
      </c>
      <c r="W43" s="639" t="s">
        <v>274</v>
      </c>
      <c r="X43" s="640" t="str">
        <f>IFERROR(VLOOKUP(W43,Listas!$A$60:$B$73,2,FALSE),"Alerta: Seleccione primero Modalidad de selección")</f>
        <v>CCE-16</v>
      </c>
      <c r="Y43" s="641">
        <v>0</v>
      </c>
      <c r="Z43" s="641" t="s">
        <v>346</v>
      </c>
      <c r="AA43" s="641" t="s">
        <v>1077</v>
      </c>
      <c r="AB43" s="642">
        <f t="shared" si="26"/>
        <v>28119000</v>
      </c>
      <c r="AC43" s="642">
        <f t="shared" si="27"/>
        <v>28119000</v>
      </c>
      <c r="AD43" s="641">
        <v>0</v>
      </c>
      <c r="AE43" s="643">
        <v>0</v>
      </c>
      <c r="AF43" s="639" t="s">
        <v>276</v>
      </c>
      <c r="AG43" s="639" t="s">
        <v>277</v>
      </c>
      <c r="AH43" s="639" t="s">
        <v>284</v>
      </c>
      <c r="AI43" s="626" t="str">
        <f>IFERROR(VLOOKUP(AH43,Listas!$A$77:$C$83,2,FALSE),"Alerta: Seleccione primero el responsable")</f>
        <v>3550800</v>
      </c>
      <c r="AJ43" s="640" t="str">
        <f>IFERROR(VLOOKUP(AH43,Listas!$A$77:$C$83,3,FALSE),"Alerta: Seleccione primero el responsable")</f>
        <v>margarita.castaneda@idpc.gov.co</v>
      </c>
      <c r="AK43" s="640" t="str">
        <f>IF(J43="Funcionamiento Gastos Generales","No aplica",IF(J43="Funcionamiento Servicios Personales indirectos","No aplica",IFERROR(VLOOKUP(J43,Listas!$A$127:$E$139,3,FALSE),"Alerta: Seleccione la celda en la comumna B con el nombre del proyecto")))</f>
        <v>ME20181024</v>
      </c>
      <c r="AL43" s="640" t="str">
        <f>IF(J43="Funcionamiento Gastos Generales","No aplica",IF(J43="Funcionamiento Servicios Personales","No aplica",IFERROR(VLOOKUP(J43,Listas!$A$220:$D$224,2,FALSE),"Alerta: Seleccione la celda en la comumna B con el nombre del proyecto")))</f>
        <v>COMP1024</v>
      </c>
      <c r="AM43" s="640" t="str">
        <f>IF(J43="Funcionamiento Gastos Generales","No aplica",IF(J43="Funcionamiento Servicios Personales","No aplica",IFERROR(VLOOKUP(J43,Listas!$A$220:$D$224,3,FALSE),"Alerta: Seleccione la celda en la comumna B con el nombre del proyecto")))</f>
        <v>CONC1024</v>
      </c>
      <c r="AN43" s="633" t="s">
        <v>1045</v>
      </c>
      <c r="AO43" s="633" t="s">
        <v>309</v>
      </c>
      <c r="AP43" s="634" t="str">
        <f>IFERROR(VLOOKUP(J43,Listas!$A$182:$E$215,5,FALSE),"Alerta: Seleccione la celda en la comumna B con el nombre del proyecto")</f>
        <v>12. Formación en Cátedra de Patrimonio en colegios distritales</v>
      </c>
      <c r="AQ43" s="634" t="str">
        <f>IF(J43="Funcionamiento Gastos Generales","No aplica",IF(J43="Funcionamiento Servicios Personales","No aplica",IFERROR(VLOOKUP(J43,Listas!$A$220:$D$224,4,FALSE),"Alerta: Seleccione la celda en la comumna B con el nombre del proyecto")))</f>
        <v>FONT1024</v>
      </c>
      <c r="AR43" s="633" t="s">
        <v>198</v>
      </c>
      <c r="AS43" s="634" t="str">
        <f>IFERROR(VLOOKUP(AU43,Listas!$E$85:$L$105,7,FALSE),"Alerta: Seleccione la celda en la comumna AI con el concepto de gasto")</f>
        <v>04-INVESTIGACION Y ESTUDIOS</v>
      </c>
      <c r="AT43" s="634" t="str">
        <f>IFERROR(VLOOKUP(AU43,Listas!$E$85:$L$105,8,FALSE),"Alerta: Seleccione la celda en la comumna AI con el concepto de gasto")</f>
        <v>01-INVESTIGACIÓN BÁSICA APLICADA Y ESTUDIOS PROPIOS DEL SECTOR</v>
      </c>
      <c r="AU43" s="633" t="s">
        <v>196</v>
      </c>
      <c r="AV43" s="634">
        <f>IFERROR(VLOOKUP(AU43,Listas!$E$85:$F$105,2,FALSE),"Alerta: Seleccione el Concepto de Gasto primero")</f>
        <v>0</v>
      </c>
      <c r="AW43" s="644">
        <v>28119000</v>
      </c>
      <c r="AX43" s="645"/>
      <c r="AY43" s="645"/>
      <c r="AZ43" s="645"/>
      <c r="BA43" s="646">
        <f t="shared" si="28"/>
        <v>28119000</v>
      </c>
      <c r="BB43" s="647"/>
      <c r="BC43" s="648"/>
      <c r="BD43" s="649"/>
      <c r="BE43" s="647"/>
      <c r="BF43" s="644"/>
      <c r="BG43" s="646">
        <f t="shared" si="29"/>
        <v>28119000</v>
      </c>
      <c r="BH43" s="650"/>
      <c r="BI43" s="647"/>
      <c r="BJ43" s="644"/>
      <c r="BK43" s="646">
        <f t="shared" si="30"/>
        <v>0</v>
      </c>
      <c r="BL43" s="651"/>
      <c r="BM43" s="652">
        <f t="shared" si="31"/>
        <v>1</v>
      </c>
      <c r="BN43" s="628"/>
      <c r="BO43" s="670"/>
      <c r="BP43" s="644"/>
      <c r="BQ43" s="644"/>
      <c r="BR43" s="644"/>
      <c r="BS43" s="644"/>
      <c r="BT43" s="644"/>
      <c r="BU43" s="644"/>
      <c r="BV43" s="644"/>
      <c r="BW43" s="644"/>
      <c r="BX43" s="644"/>
      <c r="BY43" s="644"/>
      <c r="BZ43" s="644"/>
      <c r="CA43" s="644"/>
      <c r="CB43" s="646">
        <f t="shared" si="32"/>
        <v>0</v>
      </c>
      <c r="CC43" s="646">
        <f t="shared" si="33"/>
        <v>0</v>
      </c>
      <c r="CD43" s="614"/>
    </row>
    <row r="44" spans="1:82" s="561" customFormat="1" ht="61.5" customHeight="1">
      <c r="A44" s="625" t="str">
        <f t="shared" si="4"/>
        <v>1024-124-FONT1024-04-01-0187-Formación en catedra de patrimonio en colegios del distrito capital</v>
      </c>
      <c r="B44" s="626" t="str">
        <f t="shared" si="5"/>
        <v>1024-124-FONT1024-04-01-0187</v>
      </c>
      <c r="C44" s="626" t="str">
        <f t="shared" si="6"/>
        <v>1024-124-FONT1024-Formación en catedra de patrimonio en colegios del distrito capital</v>
      </c>
      <c r="D44" s="626" t="str">
        <f t="shared" si="7"/>
        <v>1024-124-12-Otros Distrito-04-01-0187</v>
      </c>
      <c r="E44" s="626" t="str">
        <f t="shared" si="19"/>
        <v>Formación en catedra de patrimonio en colegios del distrito capital-12-Otros Distrito-0187-Actividades de formación en arte, cultura, patrimonio, recreación y deporte</v>
      </c>
      <c r="F44" s="627">
        <v>11</v>
      </c>
      <c r="G44" s="628">
        <f t="shared" si="20"/>
        <v>11</v>
      </c>
      <c r="H44" s="629" t="b">
        <f t="shared" si="21"/>
        <v>0</v>
      </c>
      <c r="I44" s="630" t="s">
        <v>594</v>
      </c>
      <c r="J44" s="627" t="s">
        <v>596</v>
      </c>
      <c r="K44" s="631" t="str">
        <f>+IFERROR(VLOOKUP(J44,Listas!$A$108:$B$114,2,FALSE),"Alerta: Seleccione la celda en la comumna B con el nombre del proyecto")</f>
        <v>3-3-1-15-01-11-1024-124</v>
      </c>
      <c r="L44" s="632" t="s">
        <v>598</v>
      </c>
      <c r="M44" s="633" t="s">
        <v>599</v>
      </c>
      <c r="N44" s="634" t="str">
        <f t="shared" si="22"/>
        <v>(Cód. 11) Prestar servicios profesionales al Instituto Distrital de Patrimonio Cultural para apoyar en la implementación en aula del programa de formación en patrimonio cultural CIVINAUTAS, dirigido a estudiantes de colegios distritales.</v>
      </c>
      <c r="O44" s="635">
        <v>43490</v>
      </c>
      <c r="P44" s="636">
        <f>IFERROR(VLOOKUP(W44,'Estimación CRP'!$D$21:$E$30,2,FALSE),0)</f>
        <v>10</v>
      </c>
      <c r="Q44" s="637">
        <f>IF(O44="No aplica","No aplica",WORKDAY.INTL(O44,P44,1,'Estimación CRP'!A230:A246))</f>
        <v>43504</v>
      </c>
      <c r="R44" s="636">
        <f t="shared" si="23"/>
        <v>2</v>
      </c>
      <c r="S44" s="636">
        <f t="shared" si="24"/>
        <v>1</v>
      </c>
      <c r="T44" s="636">
        <f t="shared" si="25"/>
        <v>1</v>
      </c>
      <c r="U44" s="712">
        <f>10*30+15</f>
        <v>315</v>
      </c>
      <c r="V44" s="638">
        <v>0</v>
      </c>
      <c r="W44" s="639" t="s">
        <v>274</v>
      </c>
      <c r="X44" s="640" t="str">
        <f>IFERROR(VLOOKUP(W44,Listas!$A$60:$B$73,2,FALSE),"Alerta: Seleccione primero Modalidad de selección")</f>
        <v>CCE-16</v>
      </c>
      <c r="Y44" s="641">
        <v>0</v>
      </c>
      <c r="Z44" s="641" t="s">
        <v>346</v>
      </c>
      <c r="AA44" s="641" t="s">
        <v>1077</v>
      </c>
      <c r="AB44" s="642">
        <f t="shared" si="26"/>
        <v>28119000</v>
      </c>
      <c r="AC44" s="642">
        <f t="shared" si="27"/>
        <v>28119000</v>
      </c>
      <c r="AD44" s="641">
        <v>0</v>
      </c>
      <c r="AE44" s="643">
        <v>0</v>
      </c>
      <c r="AF44" s="639" t="s">
        <v>276</v>
      </c>
      <c r="AG44" s="639" t="s">
        <v>277</v>
      </c>
      <c r="AH44" s="639" t="s">
        <v>284</v>
      </c>
      <c r="AI44" s="626" t="str">
        <f>IFERROR(VLOOKUP(AH44,Listas!$A$77:$C$83,2,FALSE),"Alerta: Seleccione primero el responsable")</f>
        <v>3550800</v>
      </c>
      <c r="AJ44" s="640" t="str">
        <f>IFERROR(VLOOKUP(AH44,Listas!$A$77:$C$83,3,FALSE),"Alerta: Seleccione primero el responsable")</f>
        <v>margarita.castaneda@idpc.gov.co</v>
      </c>
      <c r="AK44" s="640" t="str">
        <f>IF(J44="Funcionamiento Gastos Generales","No aplica",IF(J44="Funcionamiento Servicios Personales indirectos","No aplica",IFERROR(VLOOKUP(J44,Listas!$A$127:$E$139,3,FALSE),"Alerta: Seleccione la celda en la comumna B con el nombre del proyecto")))</f>
        <v>ME20181024</v>
      </c>
      <c r="AL44" s="640" t="str">
        <f>IF(J44="Funcionamiento Gastos Generales","No aplica",IF(J44="Funcionamiento Servicios Personales","No aplica",IFERROR(VLOOKUP(J44,Listas!$A$220:$D$224,2,FALSE),"Alerta: Seleccione la celda en la comumna B con el nombre del proyecto")))</f>
        <v>COMP1024</v>
      </c>
      <c r="AM44" s="640" t="str">
        <f>IF(J44="Funcionamiento Gastos Generales","No aplica",IF(J44="Funcionamiento Servicios Personales","No aplica",IFERROR(VLOOKUP(J44,Listas!$A$220:$D$224,3,FALSE),"Alerta: Seleccione la celda en la comumna B con el nombre del proyecto")))</f>
        <v>CONC1024</v>
      </c>
      <c r="AN44" s="633" t="s">
        <v>1045</v>
      </c>
      <c r="AO44" s="633" t="s">
        <v>309</v>
      </c>
      <c r="AP44" s="634" t="str">
        <f>IFERROR(VLOOKUP(J44,Listas!$A$182:$E$215,5,FALSE),"Alerta: Seleccione la celda en la comumna B con el nombre del proyecto")</f>
        <v>12. Formación en Cátedra de Patrimonio en colegios distritales</v>
      </c>
      <c r="AQ44" s="634" t="str">
        <f>IF(J44="Funcionamiento Gastos Generales","No aplica",IF(J44="Funcionamiento Servicios Personales","No aplica",IFERROR(VLOOKUP(J44,Listas!$A$220:$D$224,4,FALSE),"Alerta: Seleccione la celda en la comumna B con el nombre del proyecto")))</f>
        <v>FONT1024</v>
      </c>
      <c r="AR44" s="633" t="s">
        <v>198</v>
      </c>
      <c r="AS44" s="634" t="str">
        <f>IFERROR(VLOOKUP(AU44,Listas!$E$85:$L$105,7,FALSE),"Alerta: Seleccione la celda en la comumna AI con el concepto de gasto")</f>
        <v>04-INVESTIGACION Y ESTUDIOS</v>
      </c>
      <c r="AT44" s="634" t="str">
        <f>IFERROR(VLOOKUP(AU44,Listas!$E$85:$L$105,8,FALSE),"Alerta: Seleccione la celda en la comumna AI con el concepto de gasto")</f>
        <v>01-INVESTIGACIÓN BÁSICA APLICADA Y ESTUDIOS PROPIOS DEL SECTOR</v>
      </c>
      <c r="AU44" s="633" t="s">
        <v>196</v>
      </c>
      <c r="AV44" s="634">
        <f>IFERROR(VLOOKUP(AU44,Listas!$E$85:$F$105,2,FALSE),"Alerta: Seleccione el Concepto de Gasto primero")</f>
        <v>0</v>
      </c>
      <c r="AW44" s="644">
        <v>28119000</v>
      </c>
      <c r="AX44" s="645"/>
      <c r="AY44" s="645"/>
      <c r="AZ44" s="645"/>
      <c r="BA44" s="646">
        <f t="shared" si="28"/>
        <v>28119000</v>
      </c>
      <c r="BB44" s="647"/>
      <c r="BC44" s="648"/>
      <c r="BD44" s="649"/>
      <c r="BE44" s="647"/>
      <c r="BF44" s="644"/>
      <c r="BG44" s="646">
        <f t="shared" si="29"/>
        <v>28119000</v>
      </c>
      <c r="BH44" s="650"/>
      <c r="BI44" s="647"/>
      <c r="BJ44" s="644"/>
      <c r="BK44" s="646">
        <f t="shared" si="30"/>
        <v>0</v>
      </c>
      <c r="BL44" s="651"/>
      <c r="BM44" s="652">
        <f t="shared" si="31"/>
        <v>1</v>
      </c>
      <c r="BN44" s="628"/>
      <c r="BO44" s="670"/>
      <c r="BP44" s="644"/>
      <c r="BQ44" s="644"/>
      <c r="BR44" s="644"/>
      <c r="BS44" s="644"/>
      <c r="BT44" s="644"/>
      <c r="BU44" s="644"/>
      <c r="BV44" s="644"/>
      <c r="BW44" s="644"/>
      <c r="BX44" s="644"/>
      <c r="BY44" s="644"/>
      <c r="BZ44" s="644"/>
      <c r="CA44" s="644"/>
      <c r="CB44" s="646">
        <f t="shared" si="32"/>
        <v>0</v>
      </c>
      <c r="CC44" s="646">
        <f t="shared" si="33"/>
        <v>0</v>
      </c>
      <c r="CD44" s="614"/>
    </row>
    <row r="45" spans="1:82" s="561" customFormat="1" ht="61.5" customHeight="1">
      <c r="A45" s="625" t="str">
        <f t="shared" si="4"/>
        <v>1024-124-FONT1024-04-01-0187-Formación en catedra de patrimonio en colegios del distrito capital</v>
      </c>
      <c r="B45" s="626" t="str">
        <f t="shared" si="5"/>
        <v>1024-124-FONT1024-04-01-0187</v>
      </c>
      <c r="C45" s="626" t="str">
        <f t="shared" si="6"/>
        <v>1024-124-FONT1024-Formación en catedra de patrimonio en colegios del distrito capital</v>
      </c>
      <c r="D45" s="626" t="str">
        <f t="shared" si="7"/>
        <v>1024-124-12-Otros Distrito-04-01-0187</v>
      </c>
      <c r="E45" s="626" t="str">
        <f t="shared" si="19"/>
        <v>Formación en catedra de patrimonio en colegios del distrito capital-12-Otros Distrito-0187-Actividades de formación en arte, cultura, patrimonio, recreación y deporte</v>
      </c>
      <c r="F45" s="627">
        <v>12</v>
      </c>
      <c r="G45" s="628">
        <f t="shared" si="20"/>
        <v>12</v>
      </c>
      <c r="H45" s="629" t="b">
        <f t="shared" si="21"/>
        <v>0</v>
      </c>
      <c r="I45" s="630" t="s">
        <v>594</v>
      </c>
      <c r="J45" s="627" t="s">
        <v>596</v>
      </c>
      <c r="K45" s="631" t="str">
        <f>+IFERROR(VLOOKUP(J45,Listas!$A$108:$B$114,2,FALSE),"Alerta: Seleccione la celda en la comumna B con el nombre del proyecto")</f>
        <v>3-3-1-15-01-11-1024-124</v>
      </c>
      <c r="L45" s="632" t="s">
        <v>598</v>
      </c>
      <c r="M45" s="633" t="s">
        <v>599</v>
      </c>
      <c r="N45" s="634" t="str">
        <f t="shared" si="22"/>
        <v>(Cód. 12) Prestar servicios profesionales al Instituto Distrital de Patrimonio Cultural para apoyar en la implementación en aula del programa de formación en patrimonio cultural CIVINAUTAS, dirigido a estudiantes de colegios distritales.</v>
      </c>
      <c r="O45" s="635">
        <v>43490</v>
      </c>
      <c r="P45" s="636">
        <f>IFERROR(VLOOKUP(W45,'Estimación CRP'!$D$21:$E$30,2,FALSE),0)</f>
        <v>10</v>
      </c>
      <c r="Q45" s="637">
        <f>IF(O45="No aplica","No aplica",WORKDAY.INTL(O45,P45,1,'Estimación CRP'!A231:A247))</f>
        <v>43504</v>
      </c>
      <c r="R45" s="636">
        <f t="shared" si="23"/>
        <v>2</v>
      </c>
      <c r="S45" s="636">
        <f t="shared" si="24"/>
        <v>1</v>
      </c>
      <c r="T45" s="636">
        <f t="shared" si="25"/>
        <v>1</v>
      </c>
      <c r="U45" s="712">
        <f>10*30+15</f>
        <v>315</v>
      </c>
      <c r="V45" s="638">
        <v>0</v>
      </c>
      <c r="W45" s="639" t="s">
        <v>274</v>
      </c>
      <c r="X45" s="640" t="str">
        <f>IFERROR(VLOOKUP(W45,Listas!$A$60:$B$73,2,FALSE),"Alerta: Seleccione primero Modalidad de selección")</f>
        <v>CCE-16</v>
      </c>
      <c r="Y45" s="641">
        <v>0</v>
      </c>
      <c r="Z45" s="641" t="s">
        <v>346</v>
      </c>
      <c r="AA45" s="641" t="s">
        <v>1077</v>
      </c>
      <c r="AB45" s="642">
        <f t="shared" si="26"/>
        <v>28119000</v>
      </c>
      <c r="AC45" s="642">
        <f t="shared" si="27"/>
        <v>28119000</v>
      </c>
      <c r="AD45" s="641">
        <v>0</v>
      </c>
      <c r="AE45" s="643">
        <v>0</v>
      </c>
      <c r="AF45" s="639" t="s">
        <v>276</v>
      </c>
      <c r="AG45" s="639" t="s">
        <v>277</v>
      </c>
      <c r="AH45" s="639" t="s">
        <v>284</v>
      </c>
      <c r="AI45" s="626" t="str">
        <f>IFERROR(VLOOKUP(AH45,Listas!$A$77:$C$83,2,FALSE),"Alerta: Seleccione primero el responsable")</f>
        <v>3550800</v>
      </c>
      <c r="AJ45" s="640" t="str">
        <f>IFERROR(VLOOKUP(AH45,Listas!$A$77:$C$83,3,FALSE),"Alerta: Seleccione primero el responsable")</f>
        <v>margarita.castaneda@idpc.gov.co</v>
      </c>
      <c r="AK45" s="640" t="str">
        <f>IF(J45="Funcionamiento Gastos Generales","No aplica",IF(J45="Funcionamiento Servicios Personales indirectos","No aplica",IFERROR(VLOOKUP(J45,Listas!$A$127:$E$139,3,FALSE),"Alerta: Seleccione la celda en la comumna B con el nombre del proyecto")))</f>
        <v>ME20181024</v>
      </c>
      <c r="AL45" s="640" t="str">
        <f>IF(J45="Funcionamiento Gastos Generales","No aplica",IF(J45="Funcionamiento Servicios Personales","No aplica",IFERROR(VLOOKUP(J45,Listas!$A$220:$D$224,2,FALSE),"Alerta: Seleccione la celda en la comumna B con el nombre del proyecto")))</f>
        <v>COMP1024</v>
      </c>
      <c r="AM45" s="640" t="str">
        <f>IF(J45="Funcionamiento Gastos Generales","No aplica",IF(J45="Funcionamiento Servicios Personales","No aplica",IFERROR(VLOOKUP(J45,Listas!$A$220:$D$224,3,FALSE),"Alerta: Seleccione la celda en la comumna B con el nombre del proyecto")))</f>
        <v>CONC1024</v>
      </c>
      <c r="AN45" s="633" t="s">
        <v>1045</v>
      </c>
      <c r="AO45" s="633" t="s">
        <v>309</v>
      </c>
      <c r="AP45" s="634" t="str">
        <f>IFERROR(VLOOKUP(J45,Listas!$A$182:$E$215,5,FALSE),"Alerta: Seleccione la celda en la comumna B con el nombre del proyecto")</f>
        <v>12. Formación en Cátedra de Patrimonio en colegios distritales</v>
      </c>
      <c r="AQ45" s="634" t="str">
        <f>IF(J45="Funcionamiento Gastos Generales","No aplica",IF(J45="Funcionamiento Servicios Personales","No aplica",IFERROR(VLOOKUP(J45,Listas!$A$220:$D$224,4,FALSE),"Alerta: Seleccione la celda en la comumna B con el nombre del proyecto")))</f>
        <v>FONT1024</v>
      </c>
      <c r="AR45" s="633" t="s">
        <v>198</v>
      </c>
      <c r="AS45" s="634" t="str">
        <f>IFERROR(VLOOKUP(AU45,Listas!$E$85:$L$105,7,FALSE),"Alerta: Seleccione la celda en la comumna AI con el concepto de gasto")</f>
        <v>04-INVESTIGACION Y ESTUDIOS</v>
      </c>
      <c r="AT45" s="634" t="str">
        <f>IFERROR(VLOOKUP(AU45,Listas!$E$85:$L$105,8,FALSE),"Alerta: Seleccione la celda en la comumna AI con el concepto de gasto")</f>
        <v>01-INVESTIGACIÓN BÁSICA APLICADA Y ESTUDIOS PROPIOS DEL SECTOR</v>
      </c>
      <c r="AU45" s="633" t="s">
        <v>196</v>
      </c>
      <c r="AV45" s="634">
        <f>IFERROR(VLOOKUP(AU45,Listas!$E$85:$F$105,2,FALSE),"Alerta: Seleccione el Concepto de Gasto primero")</f>
        <v>0</v>
      </c>
      <c r="AW45" s="644">
        <v>28119000</v>
      </c>
      <c r="AX45" s="645"/>
      <c r="AY45" s="645"/>
      <c r="AZ45" s="645"/>
      <c r="BA45" s="646">
        <f t="shared" si="28"/>
        <v>28119000</v>
      </c>
      <c r="BB45" s="647"/>
      <c r="BC45" s="648"/>
      <c r="BD45" s="649"/>
      <c r="BE45" s="647"/>
      <c r="BF45" s="644"/>
      <c r="BG45" s="646">
        <f t="shared" si="29"/>
        <v>28119000</v>
      </c>
      <c r="BH45" s="650"/>
      <c r="BI45" s="647"/>
      <c r="BJ45" s="644"/>
      <c r="BK45" s="646">
        <f t="shared" si="30"/>
        <v>0</v>
      </c>
      <c r="BL45" s="651"/>
      <c r="BM45" s="652">
        <f t="shared" si="31"/>
        <v>1</v>
      </c>
      <c r="BN45" s="628"/>
      <c r="BO45" s="670"/>
      <c r="BP45" s="644"/>
      <c r="BQ45" s="644"/>
      <c r="BR45" s="644"/>
      <c r="BS45" s="644"/>
      <c r="BT45" s="644"/>
      <c r="BU45" s="644"/>
      <c r="BV45" s="644"/>
      <c r="BW45" s="644"/>
      <c r="BX45" s="644"/>
      <c r="BY45" s="644"/>
      <c r="BZ45" s="644"/>
      <c r="CA45" s="644"/>
      <c r="CB45" s="646">
        <f t="shared" si="32"/>
        <v>0</v>
      </c>
      <c r="CC45" s="646">
        <f t="shared" si="33"/>
        <v>0</v>
      </c>
      <c r="CD45" s="614"/>
    </row>
    <row r="46" spans="1:82" s="561" customFormat="1" ht="61.5" customHeight="1">
      <c r="A46" s="625" t="str">
        <f t="shared" si="4"/>
        <v>1024-124-FONT1024-04-01-0187-Formación en catedra de patrimonio en colegios del distrito capital</v>
      </c>
      <c r="B46" s="626" t="str">
        <f t="shared" si="5"/>
        <v>1024-124-FONT1024-04-01-0187</v>
      </c>
      <c r="C46" s="626" t="str">
        <f t="shared" si="6"/>
        <v>1024-124-FONT1024-Formación en catedra de patrimonio en colegios del distrito capital</v>
      </c>
      <c r="D46" s="626" t="str">
        <f t="shared" si="7"/>
        <v>1024-124-12-Otros Distrito-04-01-0187</v>
      </c>
      <c r="E46" s="626" t="str">
        <f t="shared" si="19"/>
        <v>Formación en catedra de patrimonio en colegios del distrito capital-12-Otros Distrito-0187-Actividades de formación en arte, cultura, patrimonio, recreación y deporte</v>
      </c>
      <c r="F46" s="627">
        <v>13</v>
      </c>
      <c r="G46" s="628">
        <f t="shared" si="20"/>
        <v>13</v>
      </c>
      <c r="H46" s="629" t="b">
        <f t="shared" si="21"/>
        <v>0</v>
      </c>
      <c r="I46" s="630" t="s">
        <v>594</v>
      </c>
      <c r="J46" s="627" t="s">
        <v>596</v>
      </c>
      <c r="K46" s="631" t="str">
        <f>+IFERROR(VLOOKUP(J46,Listas!$A$108:$B$114,2,FALSE),"Alerta: Seleccione la celda en la comumna B con el nombre del proyecto")</f>
        <v>3-3-1-15-01-11-1024-124</v>
      </c>
      <c r="L46" s="632" t="s">
        <v>610</v>
      </c>
      <c r="M46" s="633" t="s">
        <v>611</v>
      </c>
      <c r="N46" s="634" t="str">
        <f t="shared" si="22"/>
        <v>(Cód. 13) Suministro de papelería, elementos de oficina, útiles escolares y material fungible requeridos para el desarrollo administrativo y misional del Instituto Distrital de Patrimonio Cultural.</v>
      </c>
      <c r="O46" s="635">
        <v>43539</v>
      </c>
      <c r="P46" s="636">
        <f>IFERROR(VLOOKUP(W46,'Estimación CRP'!$D$21:$E$30,2,FALSE),0)</f>
        <v>45</v>
      </c>
      <c r="Q46" s="637">
        <f>IF(O46="No aplica","No aplica",WORKDAY.INTL(O46,P46,1,'Estimación CRP'!A232:A248))</f>
        <v>43602</v>
      </c>
      <c r="R46" s="636">
        <f t="shared" si="23"/>
        <v>5</v>
      </c>
      <c r="S46" s="636">
        <f t="shared" si="24"/>
        <v>3</v>
      </c>
      <c r="T46" s="636">
        <f t="shared" si="25"/>
        <v>3</v>
      </c>
      <c r="U46" s="712">
        <v>10</v>
      </c>
      <c r="V46" s="638">
        <v>1</v>
      </c>
      <c r="W46" s="639" t="s">
        <v>347</v>
      </c>
      <c r="X46" s="640" t="str">
        <f>IFERROR(VLOOKUP(W46,Listas!$A$60:$B$73,2,FALSE),"Alerta: Seleccione primero Modalidad de selección")</f>
        <v>CCE-07</v>
      </c>
      <c r="Y46" s="641">
        <v>0</v>
      </c>
      <c r="Z46" s="641" t="s">
        <v>1078</v>
      </c>
      <c r="AA46" s="641" t="s">
        <v>1079</v>
      </c>
      <c r="AB46" s="642">
        <f t="shared" si="26"/>
        <v>30000000</v>
      </c>
      <c r="AC46" s="642">
        <f t="shared" si="27"/>
        <v>30000000</v>
      </c>
      <c r="AD46" s="641">
        <v>0</v>
      </c>
      <c r="AE46" s="643">
        <v>0</v>
      </c>
      <c r="AF46" s="639" t="s">
        <v>276</v>
      </c>
      <c r="AG46" s="639" t="s">
        <v>277</v>
      </c>
      <c r="AH46" s="639" t="s">
        <v>284</v>
      </c>
      <c r="AI46" s="626" t="str">
        <f>IFERROR(VLOOKUP(AH46,Listas!$A$77:$C$83,2,FALSE),"Alerta: Seleccione primero el responsable")</f>
        <v>3550800</v>
      </c>
      <c r="AJ46" s="640" t="str">
        <f>IFERROR(VLOOKUP(AH46,Listas!$A$77:$C$83,3,FALSE),"Alerta: Seleccione primero el responsable")</f>
        <v>margarita.castaneda@idpc.gov.co</v>
      </c>
      <c r="AK46" s="640" t="str">
        <f>IF(J46="Funcionamiento Gastos Generales","No aplica",IF(J46="Funcionamiento Servicios Personales indirectos","No aplica",IFERROR(VLOOKUP(J46,Listas!$A$127:$E$139,3,FALSE),"Alerta: Seleccione la celda en la comumna B con el nombre del proyecto")))</f>
        <v>ME20181024</v>
      </c>
      <c r="AL46" s="640" t="str">
        <f>IF(J46="Funcionamiento Gastos Generales","No aplica",IF(J46="Funcionamiento Servicios Personales","No aplica",IFERROR(VLOOKUP(J46,Listas!$A$220:$D$224,2,FALSE),"Alerta: Seleccione la celda en la comumna B con el nombre del proyecto")))</f>
        <v>COMP1024</v>
      </c>
      <c r="AM46" s="640" t="str">
        <f>IF(J46="Funcionamiento Gastos Generales","No aplica",IF(J46="Funcionamiento Servicios Personales","No aplica",IFERROR(VLOOKUP(J46,Listas!$A$220:$D$224,3,FALSE),"Alerta: Seleccione la celda en la comumna B con el nombre del proyecto")))</f>
        <v>CONC1024</v>
      </c>
      <c r="AN46" s="633" t="s">
        <v>1045</v>
      </c>
      <c r="AO46" s="633" t="s">
        <v>309</v>
      </c>
      <c r="AP46" s="634" t="str">
        <f>IFERROR(VLOOKUP(J46,Listas!$A$182:$E$215,5,FALSE),"Alerta: Seleccione la celda en la comumna B con el nombre del proyecto")</f>
        <v>12. Formación en Cátedra de Patrimonio en colegios distritales</v>
      </c>
      <c r="AQ46" s="634" t="str">
        <f>IF(J46="Funcionamiento Gastos Generales","No aplica",IF(J46="Funcionamiento Servicios Personales","No aplica",IFERROR(VLOOKUP(J46,Listas!$A$220:$D$224,4,FALSE),"Alerta: Seleccione la celda en la comumna B con el nombre del proyecto")))</f>
        <v>FONT1024</v>
      </c>
      <c r="AR46" s="633" t="s">
        <v>198</v>
      </c>
      <c r="AS46" s="634" t="str">
        <f>IFERROR(VLOOKUP(AU46,Listas!$E$85:$L$105,7,FALSE),"Alerta: Seleccione la celda en la comumna AI con el concepto de gasto")</f>
        <v>04-INVESTIGACION Y ESTUDIOS</v>
      </c>
      <c r="AT46" s="634" t="str">
        <f>IFERROR(VLOOKUP(AU46,Listas!$E$85:$L$105,8,FALSE),"Alerta: Seleccione la celda en la comumna AI con el concepto de gasto")</f>
        <v>01-INVESTIGACIÓN BÁSICA APLICADA Y ESTUDIOS PROPIOS DEL SECTOR</v>
      </c>
      <c r="AU46" s="633" t="s">
        <v>196</v>
      </c>
      <c r="AV46" s="634">
        <f>IFERROR(VLOOKUP(AU46,Listas!$E$85:$F$105,2,FALSE),"Alerta: Seleccione el Concepto de Gasto primero")</f>
        <v>0</v>
      </c>
      <c r="AW46" s="644">
        <v>30000000</v>
      </c>
      <c r="AX46" s="645"/>
      <c r="AY46" s="645"/>
      <c r="AZ46" s="645"/>
      <c r="BA46" s="646">
        <f t="shared" si="28"/>
        <v>30000000</v>
      </c>
      <c r="BB46" s="647"/>
      <c r="BC46" s="648"/>
      <c r="BD46" s="649"/>
      <c r="BE46" s="647"/>
      <c r="BF46" s="644"/>
      <c r="BG46" s="646">
        <f t="shared" si="29"/>
        <v>30000000</v>
      </c>
      <c r="BH46" s="650"/>
      <c r="BI46" s="647"/>
      <c r="BJ46" s="644"/>
      <c r="BK46" s="646">
        <f t="shared" si="30"/>
        <v>0</v>
      </c>
      <c r="BL46" s="651"/>
      <c r="BM46" s="652">
        <f t="shared" si="31"/>
        <v>1</v>
      </c>
      <c r="BN46" s="628"/>
      <c r="BO46" s="670"/>
      <c r="BP46" s="644"/>
      <c r="BQ46" s="644"/>
      <c r="BR46" s="644"/>
      <c r="BS46" s="644"/>
      <c r="BT46" s="644"/>
      <c r="BU46" s="644"/>
      <c r="BV46" s="644"/>
      <c r="BW46" s="644"/>
      <c r="BX46" s="644"/>
      <c r="BY46" s="644"/>
      <c r="BZ46" s="644"/>
      <c r="CA46" s="644"/>
      <c r="CB46" s="646">
        <f t="shared" si="32"/>
        <v>0</v>
      </c>
      <c r="CC46" s="646">
        <f t="shared" si="33"/>
        <v>0</v>
      </c>
      <c r="CD46" s="614"/>
    </row>
    <row r="47" spans="1:82" s="561" customFormat="1" ht="61.5" customHeight="1">
      <c r="A47" s="625" t="str">
        <f t="shared" si="4"/>
        <v>1024-124-FONT1024-04-01-0187-Formación en catedra de patrimonio en colegios del distrito capital</v>
      </c>
      <c r="B47" s="626" t="str">
        <f t="shared" si="5"/>
        <v>1024-124-FONT1024-04-01-0187</v>
      </c>
      <c r="C47" s="626" t="str">
        <f t="shared" si="6"/>
        <v>1024-124-FONT1024-Formación en catedra de patrimonio en colegios del distrito capital</v>
      </c>
      <c r="D47" s="626" t="str">
        <f t="shared" si="7"/>
        <v>1024-124-12-Otros Distrito-04-01-0187</v>
      </c>
      <c r="E47" s="626" t="str">
        <f t="shared" si="19"/>
        <v>Formación en catedra de patrimonio en colegios del distrito capital-12-Otros Distrito-0187-Actividades de formación en arte, cultura, patrimonio, recreación y deporte</v>
      </c>
      <c r="F47" s="627">
        <v>14</v>
      </c>
      <c r="G47" s="628">
        <f t="shared" si="20"/>
        <v>14</v>
      </c>
      <c r="H47" s="629" t="b">
        <f t="shared" si="21"/>
        <v>0</v>
      </c>
      <c r="I47" s="630" t="s">
        <v>594</v>
      </c>
      <c r="J47" s="627" t="s">
        <v>596</v>
      </c>
      <c r="K47" s="631" t="str">
        <f>+IFERROR(VLOOKUP(J47,Listas!$A$108:$B$114,2,FALSE),"Alerta: Seleccione la celda en la comumna B con el nombre del proyecto")</f>
        <v>3-3-1-15-01-11-1024-124</v>
      </c>
      <c r="L47" s="632" t="s">
        <v>598</v>
      </c>
      <c r="M47" s="633" t="s">
        <v>612</v>
      </c>
      <c r="N47" s="634" t="str">
        <f t="shared" si="22"/>
        <v>(Cód. 14) Prestar servicios profesionales al Instituto Distrital de Patrimonio Cultural para acompañar el componente pedagógico de los procesos de formación en patrimonio cultural, en el marco del proyecto de inversión 1024 - Formación en patrimonio cultural.</v>
      </c>
      <c r="O47" s="635">
        <v>43480</v>
      </c>
      <c r="P47" s="636">
        <f>IFERROR(VLOOKUP(W47,'Estimación CRP'!$D$21:$E$30,2,FALSE),0)</f>
        <v>10</v>
      </c>
      <c r="Q47" s="637">
        <f>IF(O47="No aplica","No aplica",WORKDAY.INTL(O47,P47,1,'Estimación CRP'!A233:A249))</f>
        <v>43494</v>
      </c>
      <c r="R47" s="636">
        <f t="shared" si="23"/>
        <v>1</v>
      </c>
      <c r="S47" s="636">
        <f t="shared" si="24"/>
        <v>1</v>
      </c>
      <c r="T47" s="636">
        <f t="shared" si="25"/>
        <v>1</v>
      </c>
      <c r="U47" s="712">
        <v>11</v>
      </c>
      <c r="V47" s="638">
        <v>1</v>
      </c>
      <c r="W47" s="639" t="s">
        <v>274</v>
      </c>
      <c r="X47" s="640" t="str">
        <f>IFERROR(VLOOKUP(W47,Listas!$A$60:$B$73,2,FALSE),"Alerta: Seleccione primero Modalidad de selección")</f>
        <v>CCE-16</v>
      </c>
      <c r="Y47" s="641">
        <v>0</v>
      </c>
      <c r="Z47" s="641" t="s">
        <v>346</v>
      </c>
      <c r="AA47" s="641" t="s">
        <v>1080</v>
      </c>
      <c r="AB47" s="642">
        <f t="shared" si="26"/>
        <v>53460000</v>
      </c>
      <c r="AC47" s="642">
        <f t="shared" si="27"/>
        <v>53460000</v>
      </c>
      <c r="AD47" s="641">
        <v>0</v>
      </c>
      <c r="AE47" s="643">
        <v>0</v>
      </c>
      <c r="AF47" s="639" t="s">
        <v>276</v>
      </c>
      <c r="AG47" s="639" t="s">
        <v>277</v>
      </c>
      <c r="AH47" s="639" t="s">
        <v>284</v>
      </c>
      <c r="AI47" s="626" t="str">
        <f>IFERROR(VLOOKUP(AH47,Listas!$A$77:$C$83,2,FALSE),"Alerta: Seleccione primero el responsable")</f>
        <v>3550800</v>
      </c>
      <c r="AJ47" s="640" t="str">
        <f>IFERROR(VLOOKUP(AH47,Listas!$A$77:$C$83,3,FALSE),"Alerta: Seleccione primero el responsable")</f>
        <v>margarita.castaneda@idpc.gov.co</v>
      </c>
      <c r="AK47" s="640" t="str">
        <f>IF(J47="Funcionamiento Gastos Generales","No aplica",IF(J47="Funcionamiento Servicios Personales indirectos","No aplica",IFERROR(VLOOKUP(J47,Listas!$A$127:$E$139,3,FALSE),"Alerta: Seleccione la celda en la comumna B con el nombre del proyecto")))</f>
        <v>ME20181024</v>
      </c>
      <c r="AL47" s="640" t="str">
        <f>IF(J47="Funcionamiento Gastos Generales","No aplica",IF(J47="Funcionamiento Servicios Personales","No aplica",IFERROR(VLOOKUP(J47,Listas!$A$220:$D$224,2,FALSE),"Alerta: Seleccione la celda en la comumna B con el nombre del proyecto")))</f>
        <v>COMP1024</v>
      </c>
      <c r="AM47" s="640" t="str">
        <f>IF(J47="Funcionamiento Gastos Generales","No aplica",IF(J47="Funcionamiento Servicios Personales","No aplica",IFERROR(VLOOKUP(J47,Listas!$A$220:$D$224,3,FALSE),"Alerta: Seleccione la celda en la comumna B con el nombre del proyecto")))</f>
        <v>CONC1024</v>
      </c>
      <c r="AN47" s="633" t="s">
        <v>1045</v>
      </c>
      <c r="AO47" s="633" t="s">
        <v>309</v>
      </c>
      <c r="AP47" s="634" t="str">
        <f>IFERROR(VLOOKUP(J47,Listas!$A$182:$E$215,5,FALSE),"Alerta: Seleccione la celda en la comumna B con el nombre del proyecto")</f>
        <v>12. Formación en Cátedra de Patrimonio en colegios distritales</v>
      </c>
      <c r="AQ47" s="634" t="str">
        <f>IF(J47="Funcionamiento Gastos Generales","No aplica",IF(J47="Funcionamiento Servicios Personales","No aplica",IFERROR(VLOOKUP(J47,Listas!$A$220:$D$224,4,FALSE),"Alerta: Seleccione la celda en la comumna B con el nombre del proyecto")))</f>
        <v>FONT1024</v>
      </c>
      <c r="AR47" s="633" t="s">
        <v>198</v>
      </c>
      <c r="AS47" s="634" t="str">
        <f>IFERROR(VLOOKUP(AU47,Listas!$E$85:$L$105,7,FALSE),"Alerta: Seleccione la celda en la comumna AI con el concepto de gasto")</f>
        <v>04-INVESTIGACION Y ESTUDIOS</v>
      </c>
      <c r="AT47" s="634" t="str">
        <f>IFERROR(VLOOKUP(AU47,Listas!$E$85:$L$105,8,FALSE),"Alerta: Seleccione la celda en la comumna AI con el concepto de gasto")</f>
        <v>01-INVESTIGACIÓN BÁSICA APLICADA Y ESTUDIOS PROPIOS DEL SECTOR</v>
      </c>
      <c r="AU47" s="633" t="s">
        <v>196</v>
      </c>
      <c r="AV47" s="634">
        <f>IFERROR(VLOOKUP(AU47,Listas!$E$85:$F$105,2,FALSE),"Alerta: Seleccione el Concepto de Gasto primero")</f>
        <v>0</v>
      </c>
      <c r="AW47" s="644">
        <v>53460000</v>
      </c>
      <c r="AX47" s="645"/>
      <c r="AY47" s="645"/>
      <c r="AZ47" s="645"/>
      <c r="BA47" s="646">
        <f t="shared" si="28"/>
        <v>53460000</v>
      </c>
      <c r="BB47" s="647"/>
      <c r="BC47" s="648"/>
      <c r="BD47" s="649"/>
      <c r="BE47" s="647"/>
      <c r="BF47" s="644"/>
      <c r="BG47" s="646">
        <f t="shared" si="29"/>
        <v>53460000</v>
      </c>
      <c r="BH47" s="650"/>
      <c r="BI47" s="647"/>
      <c r="BJ47" s="644"/>
      <c r="BK47" s="646">
        <f t="shared" si="30"/>
        <v>0</v>
      </c>
      <c r="BL47" s="651"/>
      <c r="BM47" s="652">
        <f t="shared" si="31"/>
        <v>1</v>
      </c>
      <c r="BN47" s="628"/>
      <c r="BO47" s="670"/>
      <c r="BP47" s="644"/>
      <c r="BQ47" s="644"/>
      <c r="BR47" s="644"/>
      <c r="BS47" s="644"/>
      <c r="BT47" s="644"/>
      <c r="BU47" s="644"/>
      <c r="BV47" s="644"/>
      <c r="BW47" s="644"/>
      <c r="BX47" s="644"/>
      <c r="BY47" s="644"/>
      <c r="BZ47" s="644"/>
      <c r="CA47" s="644"/>
      <c r="CB47" s="646">
        <f t="shared" si="32"/>
        <v>0</v>
      </c>
      <c r="CC47" s="646">
        <f t="shared" si="33"/>
        <v>0</v>
      </c>
      <c r="CD47" s="614"/>
    </row>
    <row r="48" spans="1:82" s="561" customFormat="1" ht="61.5" customHeight="1">
      <c r="A48" s="625" t="str">
        <f t="shared" si="4"/>
        <v>1024-124-FONT1024-04-01-0187-Formación en catedra de patrimonio en colegios del distrito capital</v>
      </c>
      <c r="B48" s="626" t="str">
        <f t="shared" si="5"/>
        <v>1024-124-FONT1024-04-01-0187</v>
      </c>
      <c r="C48" s="626" t="str">
        <f t="shared" si="6"/>
        <v>1024-124-FONT1024-Formación en catedra de patrimonio en colegios del distrito capital</v>
      </c>
      <c r="D48" s="626" t="str">
        <f t="shared" si="7"/>
        <v>1024-124-12-Otros Distrito-04-01-0187</v>
      </c>
      <c r="E48" s="626" t="str">
        <f t="shared" si="19"/>
        <v>Formación en catedra de patrimonio en colegios del distrito capital-12-Otros Distrito-0187-Actividades de formación en arte, cultura, patrimonio, recreación y deporte</v>
      </c>
      <c r="F48" s="627">
        <v>15</v>
      </c>
      <c r="G48" s="628">
        <f t="shared" si="20"/>
        <v>15</v>
      </c>
      <c r="H48" s="629" t="b">
        <f t="shared" si="21"/>
        <v>0</v>
      </c>
      <c r="I48" s="630" t="s">
        <v>594</v>
      </c>
      <c r="J48" s="627" t="s">
        <v>596</v>
      </c>
      <c r="K48" s="631" t="str">
        <f>+IFERROR(VLOOKUP(J48,Listas!$A$108:$B$114,2,FALSE),"Alerta: Seleccione la celda en la comumna B con el nombre del proyecto")</f>
        <v>3-3-1-15-01-11-1024-124</v>
      </c>
      <c r="L48" s="632" t="s">
        <v>608</v>
      </c>
      <c r="M48" s="633" t="s">
        <v>613</v>
      </c>
      <c r="N48" s="634" t="str">
        <f t="shared" si="22"/>
        <v>(Cód. 15) Contratar el proceso de impresión, encuadernación y acabados de los impresos y publicaciones requeridos para el desarrollo de los proyectos misionales adelantados por la Subdirección de Divulgación del Instituto Distrital de Patrimonio Cultural.</v>
      </c>
      <c r="O48" s="635">
        <v>43544</v>
      </c>
      <c r="P48" s="636">
        <f>IFERROR(VLOOKUP(W48,'Estimación CRP'!$D$21:$E$30,2,FALSE),0)</f>
        <v>50</v>
      </c>
      <c r="Q48" s="637">
        <f>IF(O48="No aplica","No aplica",WORKDAY.INTL(O48,P48,1,'Estimación CRP'!A234:A250))</f>
        <v>43614</v>
      </c>
      <c r="R48" s="636">
        <f t="shared" si="23"/>
        <v>5</v>
      </c>
      <c r="S48" s="636">
        <f t="shared" si="24"/>
        <v>3</v>
      </c>
      <c r="T48" s="636">
        <f t="shared" si="25"/>
        <v>3</v>
      </c>
      <c r="U48" s="712">
        <v>8</v>
      </c>
      <c r="V48" s="638">
        <v>1</v>
      </c>
      <c r="W48" s="639" t="s">
        <v>258</v>
      </c>
      <c r="X48" s="640" t="str">
        <f>IFERROR(VLOOKUP(W48,Listas!$A$60:$B$73,2,FALSE),"Alerta: Seleccione primero Modalidad de selección")</f>
        <v>CCE-02</v>
      </c>
      <c r="Y48" s="641">
        <v>0</v>
      </c>
      <c r="Z48" s="641" t="s">
        <v>1075</v>
      </c>
      <c r="AA48" s="641" t="s">
        <v>1081</v>
      </c>
      <c r="AB48" s="642">
        <f t="shared" si="26"/>
        <v>20000000</v>
      </c>
      <c r="AC48" s="642">
        <f t="shared" si="27"/>
        <v>20000000</v>
      </c>
      <c r="AD48" s="641">
        <v>0</v>
      </c>
      <c r="AE48" s="643">
        <v>0</v>
      </c>
      <c r="AF48" s="639" t="s">
        <v>276</v>
      </c>
      <c r="AG48" s="639" t="s">
        <v>277</v>
      </c>
      <c r="AH48" s="639" t="s">
        <v>284</v>
      </c>
      <c r="AI48" s="626" t="str">
        <f>IFERROR(VLOOKUP(AH48,Listas!$A$77:$C$83,2,FALSE),"Alerta: Seleccione primero el responsable")</f>
        <v>3550800</v>
      </c>
      <c r="AJ48" s="640" t="str">
        <f>IFERROR(VLOOKUP(AH48,Listas!$A$77:$C$83,3,FALSE),"Alerta: Seleccione primero el responsable")</f>
        <v>margarita.castaneda@idpc.gov.co</v>
      </c>
      <c r="AK48" s="640" t="str">
        <f>IF(J48="Funcionamiento Gastos Generales","No aplica",IF(J48="Funcionamiento Servicios Personales indirectos","No aplica",IFERROR(VLOOKUP(J48,Listas!$A$127:$E$139,3,FALSE),"Alerta: Seleccione la celda en la comumna B con el nombre del proyecto")))</f>
        <v>ME20181024</v>
      </c>
      <c r="AL48" s="640" t="str">
        <f>IF(J48="Funcionamiento Gastos Generales","No aplica",IF(J48="Funcionamiento Servicios Personales","No aplica",IFERROR(VLOOKUP(J48,Listas!$A$220:$D$224,2,FALSE),"Alerta: Seleccione la celda en la comumna B con el nombre del proyecto")))</f>
        <v>COMP1024</v>
      </c>
      <c r="AM48" s="640" t="str">
        <f>IF(J48="Funcionamiento Gastos Generales","No aplica",IF(J48="Funcionamiento Servicios Personales","No aplica",IFERROR(VLOOKUP(J48,Listas!$A$220:$D$224,3,FALSE),"Alerta: Seleccione la celda en la comumna B con el nombre del proyecto")))</f>
        <v>CONC1024</v>
      </c>
      <c r="AN48" s="633" t="s">
        <v>1045</v>
      </c>
      <c r="AO48" s="633" t="s">
        <v>309</v>
      </c>
      <c r="AP48" s="634" t="str">
        <f>IFERROR(VLOOKUP(J48,Listas!$A$182:$E$215,5,FALSE),"Alerta: Seleccione la celda en la comumna B con el nombre del proyecto")</f>
        <v>12. Formación en Cátedra de Patrimonio en colegios distritales</v>
      </c>
      <c r="AQ48" s="634" t="str">
        <f>IF(J48="Funcionamiento Gastos Generales","No aplica",IF(J48="Funcionamiento Servicios Personales","No aplica",IFERROR(VLOOKUP(J48,Listas!$A$220:$D$224,4,FALSE),"Alerta: Seleccione la celda en la comumna B con el nombre del proyecto")))</f>
        <v>FONT1024</v>
      </c>
      <c r="AR48" s="633" t="s">
        <v>198</v>
      </c>
      <c r="AS48" s="634" t="str">
        <f>IFERROR(VLOOKUP(AU48,Listas!$E$85:$L$105,7,FALSE),"Alerta: Seleccione la celda en la comumna AI con el concepto de gasto")</f>
        <v>04-INVESTIGACION Y ESTUDIOS</v>
      </c>
      <c r="AT48" s="634" t="str">
        <f>IFERROR(VLOOKUP(AU48,Listas!$E$85:$L$105,8,FALSE),"Alerta: Seleccione la celda en la comumna AI con el concepto de gasto")</f>
        <v>01-INVESTIGACIÓN BÁSICA APLICADA Y ESTUDIOS PROPIOS DEL SECTOR</v>
      </c>
      <c r="AU48" s="633" t="s">
        <v>196</v>
      </c>
      <c r="AV48" s="634">
        <f>IFERROR(VLOOKUP(AU48,Listas!$E$85:$F$105,2,FALSE),"Alerta: Seleccione el Concepto de Gasto primero")</f>
        <v>0</v>
      </c>
      <c r="AW48" s="644">
        <v>20000000</v>
      </c>
      <c r="AX48" s="645"/>
      <c r="AY48" s="645"/>
      <c r="AZ48" s="645"/>
      <c r="BA48" s="646">
        <f t="shared" si="28"/>
        <v>20000000</v>
      </c>
      <c r="BB48" s="647"/>
      <c r="BC48" s="648"/>
      <c r="BD48" s="649"/>
      <c r="BE48" s="647"/>
      <c r="BF48" s="644"/>
      <c r="BG48" s="646">
        <f t="shared" si="29"/>
        <v>20000000</v>
      </c>
      <c r="BH48" s="650"/>
      <c r="BI48" s="647"/>
      <c r="BJ48" s="644"/>
      <c r="BK48" s="646">
        <f t="shared" si="30"/>
        <v>0</v>
      </c>
      <c r="BL48" s="651"/>
      <c r="BM48" s="652">
        <f t="shared" si="31"/>
        <v>1</v>
      </c>
      <c r="BN48" s="628"/>
      <c r="BO48" s="670"/>
      <c r="BP48" s="644"/>
      <c r="BQ48" s="644"/>
      <c r="BR48" s="644"/>
      <c r="BS48" s="644"/>
      <c r="BT48" s="644"/>
      <c r="BU48" s="644"/>
      <c r="BV48" s="644"/>
      <c r="BW48" s="644"/>
      <c r="BX48" s="644"/>
      <c r="BY48" s="644"/>
      <c r="BZ48" s="644"/>
      <c r="CA48" s="644"/>
      <c r="CB48" s="646">
        <f t="shared" si="32"/>
        <v>0</v>
      </c>
      <c r="CC48" s="646">
        <f t="shared" si="33"/>
        <v>0</v>
      </c>
      <c r="CD48" s="614"/>
    </row>
    <row r="49" spans="1:85" s="561" customFormat="1" ht="61.5" customHeight="1">
      <c r="A49" s="625" t="str">
        <f t="shared" si="4"/>
        <v>1024-124-FONT1024-04-01-0187-Formación en catedra de patrimonio en colegios del distrito capital</v>
      </c>
      <c r="B49" s="626" t="str">
        <f t="shared" si="5"/>
        <v>1024-124-FONT1024-04-01-0187</v>
      </c>
      <c r="C49" s="626" t="str">
        <f t="shared" si="6"/>
        <v>1024-124-FONT1024-Formación en catedra de patrimonio en colegios del distrito capital</v>
      </c>
      <c r="D49" s="626" t="str">
        <f t="shared" si="7"/>
        <v>1024-124-12-Otros Distrito-04-01-0187</v>
      </c>
      <c r="E49" s="626" t="str">
        <f t="shared" si="19"/>
        <v>Formación en catedra de patrimonio en colegios del distrito capital-12-Otros Distrito-0187-Actividades de formación en arte, cultura, patrimonio, recreación y deporte</v>
      </c>
      <c r="F49" s="627">
        <v>16</v>
      </c>
      <c r="G49" s="628">
        <f t="shared" si="20"/>
        <v>16</v>
      </c>
      <c r="H49" s="629" t="b">
        <f t="shared" si="21"/>
        <v>0</v>
      </c>
      <c r="I49" s="630" t="s">
        <v>594</v>
      </c>
      <c r="J49" s="627" t="s">
        <v>596</v>
      </c>
      <c r="K49" s="631" t="str">
        <f>+IFERROR(VLOOKUP(J49,Listas!$A$108:$B$114,2,FALSE),"Alerta: Seleccione la celda en la comumna B con el nombre del proyecto")</f>
        <v>3-3-1-15-01-11-1024-124</v>
      </c>
      <c r="L49" s="632" t="s">
        <v>598</v>
      </c>
      <c r="M49" s="633" t="s">
        <v>614</v>
      </c>
      <c r="N49" s="634" t="str">
        <f t="shared" si="22"/>
        <v>(Cód. 16) Prestar servicios profesionales al Instituto Distrital de Patrimonio Cultural como apoyo en la gestión territorial de los procesos de formación, en el marco del proyecto de inversión 1024 - Formación en patrimonio cultural.</v>
      </c>
      <c r="O49" s="635">
        <v>43480</v>
      </c>
      <c r="P49" s="636">
        <f>IFERROR(VLOOKUP(W49,'Estimación CRP'!$D$21:$E$30,2,FALSE),0)</f>
        <v>10</v>
      </c>
      <c r="Q49" s="637">
        <f>IF(O49="No aplica","No aplica",WORKDAY.INTL(O49,P49,1,'Estimación CRP'!A235:A251))</f>
        <v>43494</v>
      </c>
      <c r="R49" s="636">
        <f t="shared" si="23"/>
        <v>1</v>
      </c>
      <c r="S49" s="636">
        <f t="shared" si="24"/>
        <v>1</v>
      </c>
      <c r="T49" s="636">
        <f t="shared" si="25"/>
        <v>1</v>
      </c>
      <c r="U49" s="712">
        <v>11</v>
      </c>
      <c r="V49" s="638">
        <v>1</v>
      </c>
      <c r="W49" s="639" t="s">
        <v>274</v>
      </c>
      <c r="X49" s="640" t="str">
        <f>IFERROR(VLOOKUP(W49,Listas!$A$60:$B$73,2,FALSE),"Alerta: Seleccione primero Modalidad de selección")</f>
        <v>CCE-16</v>
      </c>
      <c r="Y49" s="641">
        <v>0</v>
      </c>
      <c r="Z49" s="641" t="s">
        <v>346</v>
      </c>
      <c r="AA49" s="641" t="s">
        <v>1082</v>
      </c>
      <c r="AB49" s="642">
        <f t="shared" si="26"/>
        <v>53460000</v>
      </c>
      <c r="AC49" s="642">
        <f t="shared" si="27"/>
        <v>53460000</v>
      </c>
      <c r="AD49" s="641">
        <v>0</v>
      </c>
      <c r="AE49" s="643">
        <v>0</v>
      </c>
      <c r="AF49" s="639" t="s">
        <v>276</v>
      </c>
      <c r="AG49" s="639" t="s">
        <v>277</v>
      </c>
      <c r="AH49" s="639" t="s">
        <v>284</v>
      </c>
      <c r="AI49" s="626" t="str">
        <f>IFERROR(VLOOKUP(AH49,Listas!$A$77:$C$83,2,FALSE),"Alerta: Seleccione primero el responsable")</f>
        <v>3550800</v>
      </c>
      <c r="AJ49" s="640" t="str">
        <f>IFERROR(VLOOKUP(AH49,Listas!$A$77:$C$83,3,FALSE),"Alerta: Seleccione primero el responsable")</f>
        <v>margarita.castaneda@idpc.gov.co</v>
      </c>
      <c r="AK49" s="640" t="str">
        <f>IF(J49="Funcionamiento Gastos Generales","No aplica",IF(J49="Funcionamiento Servicios Personales indirectos","No aplica",IFERROR(VLOOKUP(J49,Listas!$A$127:$E$139,3,FALSE),"Alerta: Seleccione la celda en la comumna B con el nombre del proyecto")))</f>
        <v>ME20181024</v>
      </c>
      <c r="AL49" s="640" t="str">
        <f>IF(J49="Funcionamiento Gastos Generales","No aplica",IF(J49="Funcionamiento Servicios Personales","No aplica",IFERROR(VLOOKUP(J49,Listas!$A$220:$D$224,2,FALSE),"Alerta: Seleccione la celda en la comumna B con el nombre del proyecto")))</f>
        <v>COMP1024</v>
      </c>
      <c r="AM49" s="640" t="str">
        <f>IF(J49="Funcionamiento Gastos Generales","No aplica",IF(J49="Funcionamiento Servicios Personales","No aplica",IFERROR(VLOOKUP(J49,Listas!$A$220:$D$224,3,FALSE),"Alerta: Seleccione la celda en la comumna B con el nombre del proyecto")))</f>
        <v>CONC1024</v>
      </c>
      <c r="AN49" s="633" t="s">
        <v>1045</v>
      </c>
      <c r="AO49" s="633" t="s">
        <v>309</v>
      </c>
      <c r="AP49" s="634" t="str">
        <f>IFERROR(VLOOKUP(J49,Listas!$A$182:$E$215,5,FALSE),"Alerta: Seleccione la celda en la comumna B con el nombre del proyecto")</f>
        <v>12. Formación en Cátedra de Patrimonio en colegios distritales</v>
      </c>
      <c r="AQ49" s="634" t="str">
        <f>IF(J49="Funcionamiento Gastos Generales","No aplica",IF(J49="Funcionamiento Servicios Personales","No aplica",IFERROR(VLOOKUP(J49,Listas!$A$220:$D$224,4,FALSE),"Alerta: Seleccione la celda en la comumna B con el nombre del proyecto")))</f>
        <v>FONT1024</v>
      </c>
      <c r="AR49" s="633" t="s">
        <v>198</v>
      </c>
      <c r="AS49" s="634" t="str">
        <f>IFERROR(VLOOKUP(AU49,Listas!$E$85:$L$105,7,FALSE),"Alerta: Seleccione la celda en la comumna AI con el concepto de gasto")</f>
        <v>04-INVESTIGACION Y ESTUDIOS</v>
      </c>
      <c r="AT49" s="634" t="str">
        <f>IFERROR(VLOOKUP(AU49,Listas!$E$85:$L$105,8,FALSE),"Alerta: Seleccione la celda en la comumna AI con el concepto de gasto")</f>
        <v>01-INVESTIGACIÓN BÁSICA APLICADA Y ESTUDIOS PROPIOS DEL SECTOR</v>
      </c>
      <c r="AU49" s="633" t="s">
        <v>196</v>
      </c>
      <c r="AV49" s="634">
        <f>IFERROR(VLOOKUP(AU49,Listas!$E$85:$F$105,2,FALSE),"Alerta: Seleccione el Concepto de Gasto primero")</f>
        <v>0</v>
      </c>
      <c r="AW49" s="644">
        <v>53460000</v>
      </c>
      <c r="AX49" s="645"/>
      <c r="AY49" s="645"/>
      <c r="AZ49" s="645"/>
      <c r="BA49" s="646">
        <f t="shared" si="28"/>
        <v>53460000</v>
      </c>
      <c r="BB49" s="647"/>
      <c r="BC49" s="648"/>
      <c r="BD49" s="649"/>
      <c r="BE49" s="647"/>
      <c r="BF49" s="644"/>
      <c r="BG49" s="646">
        <f t="shared" si="29"/>
        <v>53460000</v>
      </c>
      <c r="BH49" s="650"/>
      <c r="BI49" s="647"/>
      <c r="BJ49" s="644"/>
      <c r="BK49" s="646">
        <f t="shared" si="30"/>
        <v>0</v>
      </c>
      <c r="BL49" s="651"/>
      <c r="BM49" s="652">
        <f t="shared" si="31"/>
        <v>1</v>
      </c>
      <c r="BN49" s="628"/>
      <c r="BO49" s="670"/>
      <c r="BP49" s="644"/>
      <c r="BQ49" s="644"/>
      <c r="BR49" s="644"/>
      <c r="BS49" s="644"/>
      <c r="BT49" s="644"/>
      <c r="BU49" s="644"/>
      <c r="BV49" s="644"/>
      <c r="BW49" s="644"/>
      <c r="BX49" s="644"/>
      <c r="BY49" s="644"/>
      <c r="BZ49" s="644"/>
      <c r="CA49" s="644"/>
      <c r="CB49" s="646">
        <f t="shared" si="32"/>
        <v>0</v>
      </c>
      <c r="CC49" s="646">
        <f t="shared" si="33"/>
        <v>0</v>
      </c>
      <c r="CD49" s="614"/>
    </row>
    <row r="50" spans="1:85" s="561" customFormat="1" ht="61.5" customHeight="1">
      <c r="A50" s="625" t="str">
        <f t="shared" si="4"/>
        <v>1024-124-FONT1024-04-01-0187-Sistematizacion de la experiencia</v>
      </c>
      <c r="B50" s="626" t="str">
        <f t="shared" si="5"/>
        <v>1024-124-FONT1024-04-01-0187</v>
      </c>
      <c r="C50" s="626" t="str">
        <f t="shared" si="6"/>
        <v>1024-124-FONT1024-Sistematizacion de la experiencia</v>
      </c>
      <c r="D50" s="626" t="str">
        <f t="shared" si="7"/>
        <v>1024-124-12-Otros Distrito-04-01-0187</v>
      </c>
      <c r="E50" s="626" t="str">
        <f t="shared" si="19"/>
        <v>Sistematizacion de la experiencia-12-Otros Distrito-0187-Actividades de formación en arte, cultura, patrimonio, recreación y deporte</v>
      </c>
      <c r="F50" s="627">
        <v>17</v>
      </c>
      <c r="G50" s="628">
        <f t="shared" si="20"/>
        <v>17</v>
      </c>
      <c r="H50" s="629" t="b">
        <f t="shared" si="21"/>
        <v>0</v>
      </c>
      <c r="I50" s="630" t="s">
        <v>594</v>
      </c>
      <c r="J50" s="627" t="s">
        <v>596</v>
      </c>
      <c r="K50" s="631" t="str">
        <f>+IFERROR(VLOOKUP(J50,Listas!$A$108:$B$114,2,FALSE),"Alerta: Seleccione la celda en la comumna B con el nombre del proyecto")</f>
        <v>3-3-1-15-01-11-1024-124</v>
      </c>
      <c r="L50" s="632" t="s">
        <v>615</v>
      </c>
      <c r="M50" s="633" t="s">
        <v>616</v>
      </c>
      <c r="N50" s="634" t="str">
        <f t="shared" si="22"/>
        <v>(Cód. 17) Contratar el desarrollo y diseño de la página web, así como las herramientas digitales conexas requeridas por el Instituto Distrital de Patrimonio Cultural para la formación y divulgación del patrimonio cultural del Distrito Capital.</v>
      </c>
      <c r="O50" s="635">
        <v>43525</v>
      </c>
      <c r="P50" s="636">
        <f>IFERROR(VLOOKUP(W50,'Estimación CRP'!$D$21:$E$30,2,FALSE),0)</f>
        <v>45</v>
      </c>
      <c r="Q50" s="637">
        <f>IF(O50="No aplica","No aplica",WORKDAY.INTL(O50,P50,1,'Estimación CRP'!A236:A252))</f>
        <v>43588</v>
      </c>
      <c r="R50" s="636">
        <f t="shared" si="23"/>
        <v>5</v>
      </c>
      <c r="S50" s="636">
        <f t="shared" si="24"/>
        <v>3</v>
      </c>
      <c r="T50" s="636">
        <f t="shared" si="25"/>
        <v>3</v>
      </c>
      <c r="U50" s="712">
        <v>6</v>
      </c>
      <c r="V50" s="638">
        <v>1</v>
      </c>
      <c r="W50" s="639" t="s">
        <v>348</v>
      </c>
      <c r="X50" s="640" t="str">
        <f>IFERROR(VLOOKUP(W50,Listas!$A$60:$B$73,2,FALSE),"Alerta: Seleccione primero Modalidad de selección")</f>
        <v>CCE-06</v>
      </c>
      <c r="Y50" s="641">
        <v>0</v>
      </c>
      <c r="Z50" s="641" t="s">
        <v>1083</v>
      </c>
      <c r="AA50" s="641" t="s">
        <v>1084</v>
      </c>
      <c r="AB50" s="642">
        <f t="shared" si="26"/>
        <v>15000000</v>
      </c>
      <c r="AC50" s="642">
        <f t="shared" si="27"/>
        <v>15000000</v>
      </c>
      <c r="AD50" s="641">
        <v>0</v>
      </c>
      <c r="AE50" s="643">
        <v>0</v>
      </c>
      <c r="AF50" s="639" t="s">
        <v>276</v>
      </c>
      <c r="AG50" s="639" t="s">
        <v>277</v>
      </c>
      <c r="AH50" s="639" t="s">
        <v>284</v>
      </c>
      <c r="AI50" s="626" t="str">
        <f>IFERROR(VLOOKUP(AH50,Listas!$A$77:$C$83,2,FALSE),"Alerta: Seleccione primero el responsable")</f>
        <v>3550800</v>
      </c>
      <c r="AJ50" s="640" t="str">
        <f>IFERROR(VLOOKUP(AH50,Listas!$A$77:$C$83,3,FALSE),"Alerta: Seleccione primero el responsable")</f>
        <v>margarita.castaneda@idpc.gov.co</v>
      </c>
      <c r="AK50" s="640" t="str">
        <f>IF(J50="Funcionamiento Gastos Generales","No aplica",IF(J50="Funcionamiento Servicios Personales indirectos","No aplica",IFERROR(VLOOKUP(J50,Listas!$A$127:$E$139,3,FALSE),"Alerta: Seleccione la celda en la comumna B con el nombre del proyecto")))</f>
        <v>ME20181024</v>
      </c>
      <c r="AL50" s="640" t="str">
        <f>IF(J50="Funcionamiento Gastos Generales","No aplica",IF(J50="Funcionamiento Servicios Personales","No aplica",IFERROR(VLOOKUP(J50,Listas!$A$220:$D$224,2,FALSE),"Alerta: Seleccione la celda en la comumna B con el nombre del proyecto")))</f>
        <v>COMP1024</v>
      </c>
      <c r="AM50" s="640" t="str">
        <f>IF(J50="Funcionamiento Gastos Generales","No aplica",IF(J50="Funcionamiento Servicios Personales","No aplica",IFERROR(VLOOKUP(J50,Listas!$A$220:$D$224,3,FALSE),"Alerta: Seleccione la celda en la comumna B con el nombre del proyecto")))</f>
        <v>CONC1024</v>
      </c>
      <c r="AN50" s="633" t="s">
        <v>1045</v>
      </c>
      <c r="AO50" s="633" t="s">
        <v>96</v>
      </c>
      <c r="AP50" s="634" t="str">
        <f>IFERROR(VLOOKUP(J50,Listas!$A$182:$E$215,5,FALSE),"Alerta: Seleccione la celda en la comumna B con el nombre del proyecto")</f>
        <v>12. Formación en Cátedra de Patrimonio en colegios distritales</v>
      </c>
      <c r="AQ50" s="634" t="str">
        <f>IF(J50="Funcionamiento Gastos Generales","No aplica",IF(J50="Funcionamiento Servicios Personales","No aplica",IFERROR(VLOOKUP(J50,Listas!$A$220:$D$224,4,FALSE),"Alerta: Seleccione la celda en la comumna B con el nombre del proyecto")))</f>
        <v>FONT1024</v>
      </c>
      <c r="AR50" s="633" t="s">
        <v>198</v>
      </c>
      <c r="AS50" s="634" t="str">
        <f>IFERROR(VLOOKUP(AU50,Listas!$E$85:$L$105,7,FALSE),"Alerta: Seleccione la celda en la comumna AI con el concepto de gasto")</f>
        <v>04-INVESTIGACION Y ESTUDIOS</v>
      </c>
      <c r="AT50" s="634" t="str">
        <f>IFERROR(VLOOKUP(AU50,Listas!$E$85:$L$105,8,FALSE),"Alerta: Seleccione la celda en la comumna AI con el concepto de gasto")</f>
        <v>01-INVESTIGACIÓN BÁSICA APLICADA Y ESTUDIOS PROPIOS DEL SECTOR</v>
      </c>
      <c r="AU50" s="633" t="s">
        <v>196</v>
      </c>
      <c r="AV50" s="634">
        <f>IFERROR(VLOOKUP(AU50,Listas!$E$85:$F$105,2,FALSE),"Alerta: Seleccione el Concepto de Gasto primero")</f>
        <v>0</v>
      </c>
      <c r="AW50" s="644">
        <v>15000000</v>
      </c>
      <c r="AX50" s="645"/>
      <c r="AY50" s="645"/>
      <c r="AZ50" s="645"/>
      <c r="BA50" s="646">
        <f t="shared" si="28"/>
        <v>15000000</v>
      </c>
      <c r="BB50" s="647"/>
      <c r="BC50" s="648"/>
      <c r="BD50" s="649"/>
      <c r="BE50" s="647"/>
      <c r="BF50" s="644"/>
      <c r="BG50" s="646">
        <f t="shared" si="29"/>
        <v>15000000</v>
      </c>
      <c r="BH50" s="650"/>
      <c r="BI50" s="647"/>
      <c r="BJ50" s="644"/>
      <c r="BK50" s="646">
        <f t="shared" si="30"/>
        <v>0</v>
      </c>
      <c r="BL50" s="651"/>
      <c r="BM50" s="652">
        <f t="shared" si="31"/>
        <v>1</v>
      </c>
      <c r="BN50" s="628"/>
      <c r="BO50" s="670"/>
      <c r="BP50" s="644"/>
      <c r="BQ50" s="644"/>
      <c r="BR50" s="644"/>
      <c r="BS50" s="644"/>
      <c r="BT50" s="644"/>
      <c r="BU50" s="644"/>
      <c r="BV50" s="644"/>
      <c r="BW50" s="644"/>
      <c r="BX50" s="644"/>
      <c r="BY50" s="644"/>
      <c r="BZ50" s="644"/>
      <c r="CA50" s="644"/>
      <c r="CB50" s="646">
        <f t="shared" si="32"/>
        <v>0</v>
      </c>
      <c r="CC50" s="646">
        <f t="shared" si="33"/>
        <v>0</v>
      </c>
      <c r="CD50" s="614"/>
    </row>
    <row r="51" spans="1:85" s="561" customFormat="1" ht="61.5" customHeight="1">
      <c r="A51" s="625" t="str">
        <f t="shared" si="4"/>
        <v>1024-124-FONT1024-04-01-0187-Formación en catedra de patrimonio en colegios del distrito capital</v>
      </c>
      <c r="B51" s="626" t="str">
        <f t="shared" si="5"/>
        <v>1024-124-FONT1024-04-01-0187</v>
      </c>
      <c r="C51" s="626" t="str">
        <f t="shared" si="6"/>
        <v>1024-124-FONT1024-Formación en catedra de patrimonio en colegios del distrito capital</v>
      </c>
      <c r="D51" s="626" t="str">
        <f t="shared" si="7"/>
        <v>1024-124-12-Otros Distrito-04-01-0187</v>
      </c>
      <c r="E51" s="626" t="str">
        <f t="shared" si="19"/>
        <v>Formación en catedra de patrimonio en colegios del distrito capital-12-Otros Distrito-0187-Actividades de formación en arte, cultura, patrimonio, recreación y deporte</v>
      </c>
      <c r="F51" s="627">
        <v>18</v>
      </c>
      <c r="G51" s="628">
        <f t="shared" si="20"/>
        <v>18</v>
      </c>
      <c r="H51" s="629" t="b">
        <f t="shared" si="21"/>
        <v>0</v>
      </c>
      <c r="I51" s="630" t="s">
        <v>594</v>
      </c>
      <c r="J51" s="627" t="s">
        <v>596</v>
      </c>
      <c r="K51" s="631" t="str">
        <f>+IFERROR(VLOOKUP(J51,Listas!$A$108:$B$114,2,FALSE),"Alerta: Seleccione la celda en la comumna B con el nombre del proyecto")</f>
        <v>3-3-1-15-01-11-1024-124</v>
      </c>
      <c r="L51" s="632" t="s">
        <v>598</v>
      </c>
      <c r="M51" s="633" t="s">
        <v>617</v>
      </c>
      <c r="N51" s="634" t="str">
        <f t="shared" si="22"/>
        <v>(Cód. 18) Prestar servicios profesionales al Instituto Distrital de Patrimonio Cultural para apoyar la gestión logística de los recorridos de ciudad realizados en el marco del proyecto de invesión 1024 - Formación en patrimonio cultural.</v>
      </c>
      <c r="O51" s="635">
        <v>43480</v>
      </c>
      <c r="P51" s="636">
        <f>IFERROR(VLOOKUP(W51,'Estimación CRP'!$D$21:$E$30,2,FALSE),0)</f>
        <v>10</v>
      </c>
      <c r="Q51" s="637">
        <f>IF(O51="No aplica","No aplica",WORKDAY.INTL(O51,P51,1,'Estimación CRP'!A237:A253))</f>
        <v>43494</v>
      </c>
      <c r="R51" s="636">
        <f t="shared" si="23"/>
        <v>1</v>
      </c>
      <c r="S51" s="636">
        <f t="shared" si="24"/>
        <v>1</v>
      </c>
      <c r="T51" s="636">
        <f t="shared" si="25"/>
        <v>1</v>
      </c>
      <c r="U51" s="712">
        <v>11</v>
      </c>
      <c r="V51" s="638">
        <v>1</v>
      </c>
      <c r="W51" s="639" t="s">
        <v>274</v>
      </c>
      <c r="X51" s="640" t="str">
        <f>IFERROR(VLOOKUP(W51,Listas!$A$60:$B$73,2,FALSE),"Alerta: Seleccione primero Modalidad de selección")</f>
        <v>CCE-16</v>
      </c>
      <c r="Y51" s="641">
        <v>0</v>
      </c>
      <c r="Z51" s="641" t="s">
        <v>346</v>
      </c>
      <c r="AA51" s="641" t="s">
        <v>1085</v>
      </c>
      <c r="AB51" s="642">
        <f t="shared" si="26"/>
        <v>53460000</v>
      </c>
      <c r="AC51" s="642">
        <f t="shared" si="27"/>
        <v>53460000</v>
      </c>
      <c r="AD51" s="641">
        <v>0</v>
      </c>
      <c r="AE51" s="643">
        <v>0</v>
      </c>
      <c r="AF51" s="639" t="s">
        <v>276</v>
      </c>
      <c r="AG51" s="639" t="s">
        <v>277</v>
      </c>
      <c r="AH51" s="639" t="s">
        <v>284</v>
      </c>
      <c r="AI51" s="626" t="str">
        <f>IFERROR(VLOOKUP(AH51,Listas!$A$77:$C$83,2,FALSE),"Alerta: Seleccione primero el responsable")</f>
        <v>3550800</v>
      </c>
      <c r="AJ51" s="640" t="str">
        <f>IFERROR(VLOOKUP(AH51,Listas!$A$77:$C$83,3,FALSE),"Alerta: Seleccione primero el responsable")</f>
        <v>margarita.castaneda@idpc.gov.co</v>
      </c>
      <c r="AK51" s="640" t="str">
        <f>IF(J51="Funcionamiento Gastos Generales","No aplica",IF(J51="Funcionamiento Servicios Personales indirectos","No aplica",IFERROR(VLOOKUP(J51,Listas!$A$127:$E$139,3,FALSE),"Alerta: Seleccione la celda en la comumna B con el nombre del proyecto")))</f>
        <v>ME20181024</v>
      </c>
      <c r="AL51" s="640" t="str">
        <f>IF(J51="Funcionamiento Gastos Generales","No aplica",IF(J51="Funcionamiento Servicios Personales","No aplica",IFERROR(VLOOKUP(J51,Listas!$A$220:$D$224,2,FALSE),"Alerta: Seleccione la celda en la comumna B con el nombre del proyecto")))</f>
        <v>COMP1024</v>
      </c>
      <c r="AM51" s="640" t="str">
        <f>IF(J51="Funcionamiento Gastos Generales","No aplica",IF(J51="Funcionamiento Servicios Personales","No aplica",IFERROR(VLOOKUP(J51,Listas!$A$220:$D$224,3,FALSE),"Alerta: Seleccione la celda en la comumna B con el nombre del proyecto")))</f>
        <v>CONC1024</v>
      </c>
      <c r="AN51" s="633" t="s">
        <v>1045</v>
      </c>
      <c r="AO51" s="633" t="s">
        <v>309</v>
      </c>
      <c r="AP51" s="634" t="str">
        <f>IFERROR(VLOOKUP(J51,Listas!$A$182:$E$215,5,FALSE),"Alerta: Seleccione la celda en la comumna B con el nombre del proyecto")</f>
        <v>12. Formación en Cátedra de Patrimonio en colegios distritales</v>
      </c>
      <c r="AQ51" s="634" t="str">
        <f>IF(J51="Funcionamiento Gastos Generales","No aplica",IF(J51="Funcionamiento Servicios Personales","No aplica",IFERROR(VLOOKUP(J51,Listas!$A$220:$D$224,4,FALSE),"Alerta: Seleccione la celda en la comumna B con el nombre del proyecto")))</f>
        <v>FONT1024</v>
      </c>
      <c r="AR51" s="633" t="s">
        <v>198</v>
      </c>
      <c r="AS51" s="634" t="str">
        <f>IFERROR(VLOOKUP(AU51,Listas!$E$85:$L$105,7,FALSE),"Alerta: Seleccione la celda en la comumna AI con el concepto de gasto")</f>
        <v>04-INVESTIGACION Y ESTUDIOS</v>
      </c>
      <c r="AT51" s="634" t="str">
        <f>IFERROR(VLOOKUP(AU51,Listas!$E$85:$L$105,8,FALSE),"Alerta: Seleccione la celda en la comumna AI con el concepto de gasto")</f>
        <v>01-INVESTIGACIÓN BÁSICA APLICADA Y ESTUDIOS PROPIOS DEL SECTOR</v>
      </c>
      <c r="AU51" s="633" t="s">
        <v>196</v>
      </c>
      <c r="AV51" s="634">
        <f>IFERROR(VLOOKUP(AU51,Listas!$E$85:$F$105,2,FALSE),"Alerta: Seleccione el Concepto de Gasto primero")</f>
        <v>0</v>
      </c>
      <c r="AW51" s="644">
        <v>53460000</v>
      </c>
      <c r="AX51" s="645"/>
      <c r="AY51" s="645"/>
      <c r="AZ51" s="645"/>
      <c r="BA51" s="646">
        <f t="shared" si="28"/>
        <v>53460000</v>
      </c>
      <c r="BB51" s="647"/>
      <c r="BC51" s="648"/>
      <c r="BD51" s="649"/>
      <c r="BE51" s="647"/>
      <c r="BF51" s="644"/>
      <c r="BG51" s="646">
        <f t="shared" si="29"/>
        <v>53460000</v>
      </c>
      <c r="BH51" s="650"/>
      <c r="BI51" s="647"/>
      <c r="BJ51" s="644"/>
      <c r="BK51" s="646">
        <f t="shared" si="30"/>
        <v>0</v>
      </c>
      <c r="BL51" s="651"/>
      <c r="BM51" s="652">
        <f t="shared" si="31"/>
        <v>1</v>
      </c>
      <c r="BN51" s="628"/>
      <c r="BO51" s="670"/>
      <c r="BP51" s="644"/>
      <c r="BQ51" s="644"/>
      <c r="BR51" s="644"/>
      <c r="BS51" s="644"/>
      <c r="BT51" s="644"/>
      <c r="BU51" s="644"/>
      <c r="BV51" s="644"/>
      <c r="BW51" s="644"/>
      <c r="BX51" s="644"/>
      <c r="BY51" s="644"/>
      <c r="BZ51" s="644"/>
      <c r="CA51" s="644"/>
      <c r="CB51" s="646">
        <f t="shared" si="32"/>
        <v>0</v>
      </c>
      <c r="CC51" s="646">
        <f t="shared" si="33"/>
        <v>0</v>
      </c>
      <c r="CD51" s="614"/>
    </row>
    <row r="52" spans="1:85" s="561" customFormat="1" ht="61.5" customHeight="1">
      <c r="A52" s="625" t="str">
        <f t="shared" si="4"/>
        <v>1024-124-FONT1024-04-01-0187-Formación en catedra de patrimonio en colegios del distrito capital</v>
      </c>
      <c r="B52" s="626" t="str">
        <f t="shared" si="5"/>
        <v>1024-124-FONT1024-04-01-0187</v>
      </c>
      <c r="C52" s="626" t="str">
        <f t="shared" si="6"/>
        <v>1024-124-FONT1024-Formación en catedra de patrimonio en colegios del distrito capital</v>
      </c>
      <c r="D52" s="626" t="str">
        <f t="shared" si="7"/>
        <v>1024-124-12-Otros Distrito-04-01-0187</v>
      </c>
      <c r="E52" s="626" t="str">
        <f t="shared" si="19"/>
        <v>Formación en catedra de patrimonio en colegios del distrito capital-12-Otros Distrito-0187-Actividades de formación en arte, cultura, patrimonio, recreación y deporte</v>
      </c>
      <c r="F52" s="627">
        <v>19</v>
      </c>
      <c r="G52" s="628">
        <f t="shared" si="20"/>
        <v>19</v>
      </c>
      <c r="H52" s="629" t="b">
        <f t="shared" si="21"/>
        <v>0</v>
      </c>
      <c r="I52" s="630" t="s">
        <v>594</v>
      </c>
      <c r="J52" s="627" t="s">
        <v>596</v>
      </c>
      <c r="K52" s="631" t="str">
        <f>+IFERROR(VLOOKUP(J52,Listas!$A$108:$B$114,2,FALSE),"Alerta: Seleccione la celda en la comumna B con el nombre del proyecto")</f>
        <v>3-3-1-15-01-11-1024-124</v>
      </c>
      <c r="L52" s="632" t="s">
        <v>598</v>
      </c>
      <c r="M52" s="633" t="s">
        <v>599</v>
      </c>
      <c r="N52" s="634" t="str">
        <f t="shared" si="22"/>
        <v>(Cód. 19) Prestar servicios profesionales al Instituto Distrital de Patrimonio Cultural para apoyar en la implementación en aula del programa de formación en patrimonio cultural CIVINAUTAS, dirigido a estudiantes de colegios distritales.</v>
      </c>
      <c r="O52" s="635">
        <v>43490</v>
      </c>
      <c r="P52" s="636">
        <f>IFERROR(VLOOKUP(W52,'Estimación CRP'!$D$21:$E$30,2,FALSE),0)</f>
        <v>10</v>
      </c>
      <c r="Q52" s="637">
        <f>IF(O52="No aplica","No aplica",WORKDAY.INTL(O52,P52,1,'Estimación CRP'!A238:A254))</f>
        <v>43504</v>
      </c>
      <c r="R52" s="636">
        <f t="shared" si="23"/>
        <v>2</v>
      </c>
      <c r="S52" s="636">
        <f t="shared" si="24"/>
        <v>1</v>
      </c>
      <c r="T52" s="636">
        <f t="shared" si="25"/>
        <v>1</v>
      </c>
      <c r="U52" s="712">
        <f>10*30+15</f>
        <v>315</v>
      </c>
      <c r="V52" s="638">
        <v>0</v>
      </c>
      <c r="W52" s="639" t="s">
        <v>274</v>
      </c>
      <c r="X52" s="640" t="str">
        <f>IFERROR(VLOOKUP(W52,Listas!$A$60:$B$73,2,FALSE),"Alerta: Seleccione primero Modalidad de selección")</f>
        <v>CCE-16</v>
      </c>
      <c r="Y52" s="641">
        <v>0</v>
      </c>
      <c r="Z52" s="641" t="s">
        <v>346</v>
      </c>
      <c r="AA52" s="641" t="s">
        <v>1086</v>
      </c>
      <c r="AB52" s="642">
        <f t="shared" si="26"/>
        <v>28119000</v>
      </c>
      <c r="AC52" s="642">
        <f t="shared" si="27"/>
        <v>28119000</v>
      </c>
      <c r="AD52" s="641">
        <v>0</v>
      </c>
      <c r="AE52" s="643">
        <v>0</v>
      </c>
      <c r="AF52" s="639" t="s">
        <v>276</v>
      </c>
      <c r="AG52" s="639" t="s">
        <v>277</v>
      </c>
      <c r="AH52" s="639" t="s">
        <v>284</v>
      </c>
      <c r="AI52" s="626" t="str">
        <f>IFERROR(VLOOKUP(AH52,Listas!$A$77:$C$83,2,FALSE),"Alerta: Seleccione primero el responsable")</f>
        <v>3550800</v>
      </c>
      <c r="AJ52" s="640" t="str">
        <f>IFERROR(VLOOKUP(AH52,Listas!$A$77:$C$83,3,FALSE),"Alerta: Seleccione primero el responsable")</f>
        <v>margarita.castaneda@idpc.gov.co</v>
      </c>
      <c r="AK52" s="640" t="str">
        <f>IF(J52="Funcionamiento Gastos Generales","No aplica",IF(J52="Funcionamiento Servicios Personales indirectos","No aplica",IFERROR(VLOOKUP(J52,Listas!$A$127:$E$139,3,FALSE),"Alerta: Seleccione la celda en la comumna B con el nombre del proyecto")))</f>
        <v>ME20181024</v>
      </c>
      <c r="AL52" s="640" t="str">
        <f>IF(J52="Funcionamiento Gastos Generales","No aplica",IF(J52="Funcionamiento Servicios Personales","No aplica",IFERROR(VLOOKUP(J52,Listas!$A$220:$D$224,2,FALSE),"Alerta: Seleccione la celda en la comumna B con el nombre del proyecto")))</f>
        <v>COMP1024</v>
      </c>
      <c r="AM52" s="640" t="str">
        <f>IF(J52="Funcionamiento Gastos Generales","No aplica",IF(J52="Funcionamiento Servicios Personales","No aplica",IFERROR(VLOOKUP(J52,Listas!$A$220:$D$224,3,FALSE),"Alerta: Seleccione la celda en la comumna B con el nombre del proyecto")))</f>
        <v>CONC1024</v>
      </c>
      <c r="AN52" s="633" t="s">
        <v>1045</v>
      </c>
      <c r="AO52" s="633" t="s">
        <v>309</v>
      </c>
      <c r="AP52" s="634" t="str">
        <f>IFERROR(VLOOKUP(J52,Listas!$A$182:$E$215,5,FALSE),"Alerta: Seleccione la celda en la comumna B con el nombre del proyecto")</f>
        <v>12. Formación en Cátedra de Patrimonio en colegios distritales</v>
      </c>
      <c r="AQ52" s="634" t="str">
        <f>IF(J52="Funcionamiento Gastos Generales","No aplica",IF(J52="Funcionamiento Servicios Personales","No aplica",IFERROR(VLOOKUP(J52,Listas!$A$220:$D$224,4,FALSE),"Alerta: Seleccione la celda en la comumna B con el nombre del proyecto")))</f>
        <v>FONT1024</v>
      </c>
      <c r="AR52" s="633" t="s">
        <v>198</v>
      </c>
      <c r="AS52" s="634" t="str">
        <f>IFERROR(VLOOKUP(AU52,Listas!$E$85:$L$105,7,FALSE),"Alerta: Seleccione la celda en la comumna AI con el concepto de gasto")</f>
        <v>04-INVESTIGACION Y ESTUDIOS</v>
      </c>
      <c r="AT52" s="634" t="str">
        <f>IFERROR(VLOOKUP(AU52,Listas!$E$85:$L$105,8,FALSE),"Alerta: Seleccione la celda en la comumna AI con el concepto de gasto")</f>
        <v>01-INVESTIGACIÓN BÁSICA APLICADA Y ESTUDIOS PROPIOS DEL SECTOR</v>
      </c>
      <c r="AU52" s="633" t="s">
        <v>196</v>
      </c>
      <c r="AV52" s="634">
        <f>IFERROR(VLOOKUP(AU52,Listas!$E$85:$F$105,2,FALSE),"Alerta: Seleccione el Concepto de Gasto primero")</f>
        <v>0</v>
      </c>
      <c r="AW52" s="644">
        <v>28119000</v>
      </c>
      <c r="AX52" s="645"/>
      <c r="AY52" s="645"/>
      <c r="AZ52" s="645"/>
      <c r="BA52" s="646">
        <f t="shared" si="28"/>
        <v>28119000</v>
      </c>
      <c r="BB52" s="647"/>
      <c r="BC52" s="648"/>
      <c r="BD52" s="649"/>
      <c r="BE52" s="647"/>
      <c r="BF52" s="644"/>
      <c r="BG52" s="646">
        <f t="shared" si="29"/>
        <v>28119000</v>
      </c>
      <c r="BH52" s="650"/>
      <c r="BI52" s="647"/>
      <c r="BJ52" s="644"/>
      <c r="BK52" s="646">
        <f t="shared" si="30"/>
        <v>0</v>
      </c>
      <c r="BL52" s="651"/>
      <c r="BM52" s="652">
        <f t="shared" si="31"/>
        <v>1</v>
      </c>
      <c r="BN52" s="628"/>
      <c r="BO52" s="670"/>
      <c r="BP52" s="644"/>
      <c r="BQ52" s="644"/>
      <c r="BR52" s="644"/>
      <c r="BS52" s="644"/>
      <c r="BT52" s="644"/>
      <c r="BU52" s="644"/>
      <c r="BV52" s="644"/>
      <c r="BW52" s="644"/>
      <c r="BX52" s="644"/>
      <c r="BY52" s="644"/>
      <c r="BZ52" s="644"/>
      <c r="CA52" s="644"/>
      <c r="CB52" s="646">
        <f t="shared" si="32"/>
        <v>0</v>
      </c>
      <c r="CC52" s="646">
        <f t="shared" si="33"/>
        <v>0</v>
      </c>
      <c r="CD52" s="614"/>
      <c r="CG52" s="561" t="s">
        <v>589</v>
      </c>
    </row>
    <row r="53" spans="1:85" s="659" customFormat="1" ht="61.5" customHeight="1">
      <c r="A53" s="625" t="str">
        <f t="shared" si="4"/>
        <v>1024-124-FONT1024-04-01-0187-Formación en catedra de patrimonio en colegios del distrito capital</v>
      </c>
      <c r="B53" s="626" t="str">
        <f t="shared" si="5"/>
        <v>1024-124-FONT1024-04-01-0187</v>
      </c>
      <c r="C53" s="626" t="str">
        <f t="shared" si="6"/>
        <v>1024-124-FONT1024-Formación en catedra de patrimonio en colegios del distrito capital</v>
      </c>
      <c r="D53" s="626" t="str">
        <f t="shared" si="7"/>
        <v>1024-124-12-Otros Distrito-04-01-0187</v>
      </c>
      <c r="E53" s="626" t="str">
        <f t="shared" si="19"/>
        <v>Formación en catedra de patrimonio en colegios del distrito capital-12-Otros Distrito-0187-Actividades de formación en arte, cultura, patrimonio, recreación y deporte</v>
      </c>
      <c r="F53" s="627">
        <v>20</v>
      </c>
      <c r="G53" s="628">
        <f t="shared" si="20"/>
        <v>20</v>
      </c>
      <c r="H53" s="629" t="b">
        <f t="shared" si="21"/>
        <v>0</v>
      </c>
      <c r="I53" s="630" t="s">
        <v>594</v>
      </c>
      <c r="J53" s="627" t="s">
        <v>596</v>
      </c>
      <c r="K53" s="631" t="str">
        <f>+IFERROR(VLOOKUP(J53,Listas!$A$108:$B$114,2,FALSE),"Alerta: Seleccione la celda en la comumna B con el nombre del proyecto")</f>
        <v>3-3-1-15-01-11-1024-124</v>
      </c>
      <c r="L53" s="632" t="s">
        <v>598</v>
      </c>
      <c r="M53" s="633" t="s">
        <v>599</v>
      </c>
      <c r="N53" s="634" t="str">
        <f t="shared" si="22"/>
        <v>(Cód. 20) Prestar servicios profesionales al Instituto Distrital de Patrimonio Cultural para apoyar en la implementación en aula del programa de formación en patrimonio cultural CIVINAUTAS, dirigido a estudiantes de colegios distritales.</v>
      </c>
      <c r="O53" s="635">
        <v>43490</v>
      </c>
      <c r="P53" s="636">
        <f>IFERROR(VLOOKUP(W53,'Estimación CRP'!$D$21:$E$30,2,FALSE),0)</f>
        <v>10</v>
      </c>
      <c r="Q53" s="637">
        <f>IF(O53="No aplica","No aplica",WORKDAY.INTL(O53,P53,1,'Estimación CRP'!A239:A255))</f>
        <v>43504</v>
      </c>
      <c r="R53" s="636">
        <f t="shared" si="23"/>
        <v>2</v>
      </c>
      <c r="S53" s="636">
        <f t="shared" si="24"/>
        <v>1</v>
      </c>
      <c r="T53" s="636">
        <f t="shared" si="25"/>
        <v>1</v>
      </c>
      <c r="U53" s="712">
        <f>10*30+15</f>
        <v>315</v>
      </c>
      <c r="V53" s="638">
        <v>0</v>
      </c>
      <c r="W53" s="639" t="s">
        <v>274</v>
      </c>
      <c r="X53" s="640" t="str">
        <f>IFERROR(VLOOKUP(W53,Listas!$A$60:$B$73,2,FALSE),"Alerta: Seleccione primero Modalidad de selección")</f>
        <v>CCE-16</v>
      </c>
      <c r="Y53" s="641">
        <v>0</v>
      </c>
      <c r="Z53" s="641" t="s">
        <v>346</v>
      </c>
      <c r="AA53" s="641" t="s">
        <v>1087</v>
      </c>
      <c r="AB53" s="642">
        <f t="shared" si="26"/>
        <v>28119000</v>
      </c>
      <c r="AC53" s="642">
        <f t="shared" si="27"/>
        <v>28119000</v>
      </c>
      <c r="AD53" s="641">
        <v>0</v>
      </c>
      <c r="AE53" s="643">
        <v>0</v>
      </c>
      <c r="AF53" s="639" t="s">
        <v>276</v>
      </c>
      <c r="AG53" s="639" t="s">
        <v>277</v>
      </c>
      <c r="AH53" s="639" t="s">
        <v>284</v>
      </c>
      <c r="AI53" s="626" t="str">
        <f>IFERROR(VLOOKUP(AH53,Listas!$A$77:$C$83,2,FALSE),"Alerta: Seleccione primero el responsable")</f>
        <v>3550800</v>
      </c>
      <c r="AJ53" s="640" t="str">
        <f>IFERROR(VLOOKUP(AH53,Listas!$A$77:$C$83,3,FALSE),"Alerta: Seleccione primero el responsable")</f>
        <v>margarita.castaneda@idpc.gov.co</v>
      </c>
      <c r="AK53" s="640" t="str">
        <f>IF(J53="Funcionamiento Gastos Generales","No aplica",IF(J53="Funcionamiento Servicios Personales indirectos","No aplica",IFERROR(VLOOKUP(J53,Listas!$A$127:$E$139,3,FALSE),"Alerta: Seleccione la celda en la comumna B con el nombre del proyecto")))</f>
        <v>ME20181024</v>
      </c>
      <c r="AL53" s="640" t="str">
        <f>IF(J53="Funcionamiento Gastos Generales","No aplica",IF(J53="Funcionamiento Servicios Personales","No aplica",IFERROR(VLOOKUP(J53,Listas!$A$220:$D$224,2,FALSE),"Alerta: Seleccione la celda en la comumna B con el nombre del proyecto")))</f>
        <v>COMP1024</v>
      </c>
      <c r="AM53" s="640" t="str">
        <f>IF(J53="Funcionamiento Gastos Generales","No aplica",IF(J53="Funcionamiento Servicios Personales","No aplica",IFERROR(VLOOKUP(J53,Listas!$A$220:$D$224,3,FALSE),"Alerta: Seleccione la celda en la comumna B con el nombre del proyecto")))</f>
        <v>CONC1024</v>
      </c>
      <c r="AN53" s="633" t="s">
        <v>1045</v>
      </c>
      <c r="AO53" s="633" t="s">
        <v>309</v>
      </c>
      <c r="AP53" s="634" t="str">
        <f>IFERROR(VLOOKUP(J53,Listas!$A$182:$E$215,5,FALSE),"Alerta: Seleccione la celda en la comumna B con el nombre del proyecto")</f>
        <v>12. Formación en Cátedra de Patrimonio en colegios distritales</v>
      </c>
      <c r="AQ53" s="634" t="str">
        <f>IF(J53="Funcionamiento Gastos Generales","No aplica",IF(J53="Funcionamiento Servicios Personales","No aplica",IFERROR(VLOOKUP(J53,Listas!$A$220:$D$224,4,FALSE),"Alerta: Seleccione la celda en la comumna B con el nombre del proyecto")))</f>
        <v>FONT1024</v>
      </c>
      <c r="AR53" s="633" t="s">
        <v>198</v>
      </c>
      <c r="AS53" s="634" t="str">
        <f>IFERROR(VLOOKUP(AU53,Listas!$E$85:$L$105,7,FALSE),"Alerta: Seleccione la celda en la comumna AI con el concepto de gasto")</f>
        <v>04-INVESTIGACION Y ESTUDIOS</v>
      </c>
      <c r="AT53" s="634" t="str">
        <f>IFERROR(VLOOKUP(AU53,Listas!$E$85:$L$105,8,FALSE),"Alerta: Seleccione la celda en la comumna AI con el concepto de gasto")</f>
        <v>01-INVESTIGACIÓN BÁSICA APLICADA Y ESTUDIOS PROPIOS DEL SECTOR</v>
      </c>
      <c r="AU53" s="633" t="s">
        <v>196</v>
      </c>
      <c r="AV53" s="634">
        <f>IFERROR(VLOOKUP(AU53,Listas!$E$85:$F$105,2,FALSE),"Alerta: Seleccione el Concepto de Gasto primero")</f>
        <v>0</v>
      </c>
      <c r="AW53" s="644">
        <v>28119000</v>
      </c>
      <c r="AX53" s="645"/>
      <c r="AY53" s="645"/>
      <c r="AZ53" s="645"/>
      <c r="BA53" s="646">
        <f t="shared" si="28"/>
        <v>28119000</v>
      </c>
      <c r="BB53" s="647"/>
      <c r="BC53" s="648"/>
      <c r="BD53" s="649"/>
      <c r="BE53" s="647"/>
      <c r="BF53" s="644"/>
      <c r="BG53" s="646">
        <f t="shared" si="29"/>
        <v>28119000</v>
      </c>
      <c r="BH53" s="650"/>
      <c r="BI53" s="647"/>
      <c r="BJ53" s="644"/>
      <c r="BK53" s="646">
        <f t="shared" si="30"/>
        <v>0</v>
      </c>
      <c r="BL53" s="651"/>
      <c r="BM53" s="652">
        <f t="shared" si="31"/>
        <v>1</v>
      </c>
      <c r="BN53" s="628"/>
      <c r="BO53" s="670"/>
      <c r="BP53" s="644"/>
      <c r="BQ53" s="644"/>
      <c r="BR53" s="644"/>
      <c r="BS53" s="644"/>
      <c r="BT53" s="644"/>
      <c r="BU53" s="644"/>
      <c r="BV53" s="644"/>
      <c r="BW53" s="644"/>
      <c r="BX53" s="644"/>
      <c r="BY53" s="644"/>
      <c r="BZ53" s="644"/>
      <c r="CA53" s="644"/>
      <c r="CB53" s="646">
        <f t="shared" si="32"/>
        <v>0</v>
      </c>
      <c r="CC53" s="646">
        <f t="shared" si="33"/>
        <v>0</v>
      </c>
      <c r="CD53" s="614"/>
    </row>
    <row r="54" spans="1:85" s="561" customFormat="1" ht="61.5" customHeight="1">
      <c r="A54" s="625" t="str">
        <f t="shared" si="4"/>
        <v>1107-158-FONT1107-03-01-0066-Activación del patrimonio</v>
      </c>
      <c r="B54" s="626" t="str">
        <f t="shared" si="5"/>
        <v>1107-158-FONT1107-03-01-0066</v>
      </c>
      <c r="C54" s="626" t="str">
        <f t="shared" si="6"/>
        <v>1107-158-FONT1107-Activación del patrimonio</v>
      </c>
      <c r="D54" s="626" t="str">
        <f t="shared" si="7"/>
        <v>1107-158-12-Otros Distrito-03-01-0066</v>
      </c>
      <c r="E54" s="626" t="str">
        <f t="shared" si="19"/>
        <v>Activación del patrimonio-12-Otros Distrito-0066-Fomento, apoyo y divulgación de eventos y expresiones artísticas, culturales y del patrimonio</v>
      </c>
      <c r="F54" s="627">
        <v>21</v>
      </c>
      <c r="G54" s="628">
        <f t="shared" si="20"/>
        <v>21</v>
      </c>
      <c r="H54" s="629" t="b">
        <f t="shared" si="21"/>
        <v>0</v>
      </c>
      <c r="I54" s="630" t="s">
        <v>594</v>
      </c>
      <c r="J54" s="627" t="s">
        <v>27</v>
      </c>
      <c r="K54" s="631" t="str">
        <f>+IFERROR(VLOOKUP(J54,Listas!$A$108:$B$114,2,FALSE),"Alerta: Seleccione la celda en la comumna B con el nombre del proyecto")</f>
        <v>3-3-1-15-03-25-1107-158</v>
      </c>
      <c r="L54" s="632" t="s">
        <v>618</v>
      </c>
      <c r="M54" s="633" t="s">
        <v>619</v>
      </c>
      <c r="N54" s="634" t="str">
        <f t="shared" si="22"/>
        <v>(Cód. 21) Prestar servicios profesionales al Instituto Distrital de Patrimonio Cultural como apoyo a la gestión en los procesos editoriales y de investigación desarrollados por la Subdirección de Divulgación de los Valores del Patrimonio Cultural.</v>
      </c>
      <c r="O54" s="635">
        <v>43615</v>
      </c>
      <c r="P54" s="636">
        <f>IFERROR(VLOOKUP(W54,'Estimación CRP'!$D$21:$E$30,2,FALSE),0)</f>
        <v>10</v>
      </c>
      <c r="Q54" s="637">
        <f>IF(O54="No aplica","No aplica",WORKDAY.INTL(O54,P54,1,'Estimación CRP'!A240:A256))</f>
        <v>43629</v>
      </c>
      <c r="R54" s="636">
        <f t="shared" si="23"/>
        <v>6</v>
      </c>
      <c r="S54" s="636">
        <f t="shared" si="24"/>
        <v>5</v>
      </c>
      <c r="T54" s="636">
        <f t="shared" si="25"/>
        <v>5</v>
      </c>
      <c r="U54" s="712">
        <v>2</v>
      </c>
      <c r="V54" s="638">
        <v>1</v>
      </c>
      <c r="W54" s="639" t="s">
        <v>274</v>
      </c>
      <c r="X54" s="640" t="str">
        <f>IFERROR(VLOOKUP(W54,Listas!$A$60:$B$73,2,FALSE),"Alerta: Seleccione primero Modalidad de selección")</f>
        <v>CCE-16</v>
      </c>
      <c r="Y54" s="641">
        <v>0</v>
      </c>
      <c r="Z54" s="641" t="s">
        <v>346</v>
      </c>
      <c r="AA54" s="641" t="s">
        <v>1088</v>
      </c>
      <c r="AB54" s="642">
        <f t="shared" si="26"/>
        <v>7000000</v>
      </c>
      <c r="AC54" s="642">
        <f t="shared" si="27"/>
        <v>7000000</v>
      </c>
      <c r="AD54" s="641">
        <v>0</v>
      </c>
      <c r="AE54" s="643">
        <v>0</v>
      </c>
      <c r="AF54" s="639" t="s">
        <v>276</v>
      </c>
      <c r="AG54" s="639" t="s">
        <v>277</v>
      </c>
      <c r="AH54" s="639" t="s">
        <v>284</v>
      </c>
      <c r="AI54" s="626" t="str">
        <f>IFERROR(VLOOKUP(AH54,Listas!$A$77:$C$83,2,FALSE),"Alerta: Seleccione primero el responsable")</f>
        <v>3550800</v>
      </c>
      <c r="AJ54" s="640" t="str">
        <f>IFERROR(VLOOKUP(AH54,Listas!$A$77:$C$83,3,FALSE),"Alerta: Seleccione primero el responsable")</f>
        <v>margarita.castaneda@idpc.gov.co</v>
      </c>
      <c r="AK54" s="640" t="str">
        <f>IF(J54="Funcionamiento Gastos Generales","No aplica",IF(J54="Funcionamiento Servicios Personales indirectos","No aplica",IFERROR(VLOOKUP(J54,Listas!$A$127:$E$139,3,FALSE),"Alerta: Seleccione la celda en la comumna B con el nombre del proyecto")))</f>
        <v>ME20181107</v>
      </c>
      <c r="AL54" s="640" t="str">
        <f>IF(J54="Funcionamiento Gastos Generales","No aplica",IF(J54="Funcionamiento Servicios Personales","No aplica",IFERROR(VLOOKUP(J54,Listas!$A$220:$D$224,2,FALSE),"Alerta: Seleccione la celda en la comumna B con el nombre del proyecto")))</f>
        <v>COMP1107</v>
      </c>
      <c r="AM54" s="640" t="str">
        <f>IF(J54="Funcionamiento Gastos Generales","No aplica",IF(J54="Funcionamiento Servicios Personales","No aplica",IFERROR(VLOOKUP(J54,Listas!$A$220:$D$224,3,FALSE),"Alerta: Seleccione la celda en la comumna B con el nombre del proyecto")))</f>
        <v>CONC1107</v>
      </c>
      <c r="AN54" s="633" t="s">
        <v>1046</v>
      </c>
      <c r="AO54" s="633" t="s">
        <v>54</v>
      </c>
      <c r="AP54" s="634" t="str">
        <f>IFERROR(VLOOKUP(J54,Listas!$A$182:$E$215,5,FALSE),"Alerta: Seleccione la celda en la comumna B con el nombre del proyecto")</f>
        <v>13. Oferta cultural para la valoración y divulgación del patrimonio material e  inmaterial de la ciud</v>
      </c>
      <c r="AQ54" s="634" t="str">
        <f>IF(J54="Funcionamiento Gastos Generales","No aplica",IF(J54="Funcionamiento Servicios Personales","No aplica",IFERROR(VLOOKUP(J54,Listas!$A$220:$D$224,4,FALSE),"Alerta: Seleccione la celda en la comumna B con el nombre del proyecto")))</f>
        <v>FONT1107</v>
      </c>
      <c r="AR54" s="633" t="s">
        <v>198</v>
      </c>
      <c r="AS54" s="634" t="str">
        <f>IFERROR(VLOOKUP(AU54,Listas!$E$85:$L$105,7,FALSE),"Alerta: Seleccione la celda en la comumna AI con el concepto de gasto")</f>
        <v>03-RECURSO HUMANO</v>
      </c>
      <c r="AT54" s="634" t="str">
        <f>IFERROR(VLOOKUP(AU54,Listas!$E$85:$L$105,8,FALSE),"Alerta: Seleccione la celda en la comumna AI con el concepto de gasto")</f>
        <v>01-DIVULGACION, ASISTENCIA TECNICA Y CAPACITACION DE LA POBLACION</v>
      </c>
      <c r="AU54" s="633" t="s">
        <v>232</v>
      </c>
      <c r="AV54" s="634">
        <f>IFERROR(VLOOKUP(AU54,Listas!$E$85:$F$105,2,FALSE),"Alerta: Seleccione el Concepto de Gasto primero")</f>
        <v>0</v>
      </c>
      <c r="AW54" s="644">
        <v>7000000</v>
      </c>
      <c r="AX54" s="645"/>
      <c r="AY54" s="645"/>
      <c r="AZ54" s="645"/>
      <c r="BA54" s="646">
        <f t="shared" si="28"/>
        <v>7000000</v>
      </c>
      <c r="BB54" s="647"/>
      <c r="BC54" s="648"/>
      <c r="BD54" s="649"/>
      <c r="BE54" s="647"/>
      <c r="BF54" s="644"/>
      <c r="BG54" s="646">
        <f t="shared" si="29"/>
        <v>7000000</v>
      </c>
      <c r="BH54" s="650"/>
      <c r="BI54" s="647"/>
      <c r="BJ54" s="644"/>
      <c r="BK54" s="646">
        <f t="shared" si="30"/>
        <v>0</v>
      </c>
      <c r="BL54" s="651"/>
      <c r="BM54" s="652">
        <f t="shared" si="31"/>
        <v>1</v>
      </c>
      <c r="BN54" s="628"/>
      <c r="BO54" s="670"/>
      <c r="BP54" s="644"/>
      <c r="BQ54" s="644"/>
      <c r="BR54" s="644"/>
      <c r="BS54" s="644"/>
      <c r="BT54" s="644"/>
      <c r="BU54" s="644"/>
      <c r="BV54" s="644"/>
      <c r="BW54" s="644"/>
      <c r="BX54" s="644"/>
      <c r="BY54" s="644"/>
      <c r="BZ54" s="644"/>
      <c r="CA54" s="644"/>
      <c r="CB54" s="646">
        <f t="shared" si="32"/>
        <v>0</v>
      </c>
      <c r="CC54" s="646">
        <f t="shared" si="33"/>
        <v>0</v>
      </c>
      <c r="CD54" s="614"/>
    </row>
    <row r="55" spans="1:85" s="561" customFormat="1" ht="61.5" customHeight="1">
      <c r="A55" s="625" t="str">
        <f t="shared" si="4"/>
        <v>1107-158-FONT1107-03-01-0066-Activación del patrimonio</v>
      </c>
      <c r="B55" s="626" t="str">
        <f t="shared" si="5"/>
        <v>1107-158-FONT1107-03-01-0066</v>
      </c>
      <c r="C55" s="626" t="str">
        <f t="shared" si="6"/>
        <v>1107-158-FONT1107-Activación del patrimonio</v>
      </c>
      <c r="D55" s="626" t="str">
        <f t="shared" si="7"/>
        <v>1107-158-12-Otros Distrito-03-01-0066</v>
      </c>
      <c r="E55" s="626" t="str">
        <f t="shared" si="19"/>
        <v>Activación del patrimonio-12-Otros Distrito-0066-Fomento, apoyo y divulgación de eventos y expresiones artísticas, culturales y del patrimonio</v>
      </c>
      <c r="F55" s="627">
        <v>22</v>
      </c>
      <c r="G55" s="628">
        <f t="shared" si="20"/>
        <v>22</v>
      </c>
      <c r="H55" s="629" t="b">
        <f t="shared" si="21"/>
        <v>0</v>
      </c>
      <c r="I55" s="630" t="s">
        <v>594</v>
      </c>
      <c r="J55" s="627" t="s">
        <v>27</v>
      </c>
      <c r="K55" s="631" t="str">
        <f>+IFERROR(VLOOKUP(J55,Listas!$A$108:$B$114,2,FALSE),"Alerta: Seleccione la celda en la comumna B con el nombre del proyecto")</f>
        <v>3-3-1-15-03-25-1107-158</v>
      </c>
      <c r="L55" s="632" t="s">
        <v>618</v>
      </c>
      <c r="M55" s="633" t="s">
        <v>620</v>
      </c>
      <c r="N55" s="634" t="str">
        <f t="shared" si="22"/>
        <v>(Cód. 22) Prestar servicios profesionales al Instituto Distrital de Patrimonio Cultural para administrar y actualizar los contenidos de la página web y redes sociales de la entidad, así como la generación de contenidos requeridos para el desarrollo de la estrategia de comunicaciones y de apropiación social del patrimonio cultural.</v>
      </c>
      <c r="O55" s="635">
        <v>43480</v>
      </c>
      <c r="P55" s="636">
        <f>IFERROR(VLOOKUP(W55,'Estimación CRP'!$D$21:$E$30,2,FALSE),0)</f>
        <v>10</v>
      </c>
      <c r="Q55" s="637">
        <f>IF(O55="No aplica","No aplica",WORKDAY.INTL(O55,P55,1,'Estimación CRP'!A241:A257))</f>
        <v>43494</v>
      </c>
      <c r="R55" s="636">
        <f t="shared" si="23"/>
        <v>1</v>
      </c>
      <c r="S55" s="636">
        <f t="shared" si="24"/>
        <v>1</v>
      </c>
      <c r="T55" s="636">
        <f t="shared" si="25"/>
        <v>1</v>
      </c>
      <c r="U55" s="712">
        <v>11</v>
      </c>
      <c r="V55" s="638">
        <v>1</v>
      </c>
      <c r="W55" s="639" t="s">
        <v>274</v>
      </c>
      <c r="X55" s="640" t="str">
        <f>IFERROR(VLOOKUP(W55,Listas!$A$60:$B$73,2,FALSE),"Alerta: Seleccione primero Modalidad de selección")</f>
        <v>CCE-16</v>
      </c>
      <c r="Y55" s="641">
        <v>0</v>
      </c>
      <c r="Z55" s="641" t="s">
        <v>346</v>
      </c>
      <c r="AA55" s="641" t="s">
        <v>1089</v>
      </c>
      <c r="AB55" s="642">
        <f t="shared" si="26"/>
        <v>61380000</v>
      </c>
      <c r="AC55" s="642">
        <f t="shared" si="27"/>
        <v>61380000</v>
      </c>
      <c r="AD55" s="641">
        <v>0</v>
      </c>
      <c r="AE55" s="643">
        <v>0</v>
      </c>
      <c r="AF55" s="639" t="s">
        <v>276</v>
      </c>
      <c r="AG55" s="639" t="s">
        <v>277</v>
      </c>
      <c r="AH55" s="639" t="s">
        <v>284</v>
      </c>
      <c r="AI55" s="626" t="str">
        <f>IFERROR(VLOOKUP(AH55,Listas!$A$77:$C$83,2,FALSE),"Alerta: Seleccione primero el responsable")</f>
        <v>3550800</v>
      </c>
      <c r="AJ55" s="640" t="str">
        <f>IFERROR(VLOOKUP(AH55,Listas!$A$77:$C$83,3,FALSE),"Alerta: Seleccione primero el responsable")</f>
        <v>margarita.castaneda@idpc.gov.co</v>
      </c>
      <c r="AK55" s="640" t="str">
        <f>IF(J55="Funcionamiento Gastos Generales","No aplica",IF(J55="Funcionamiento Servicios Personales indirectos","No aplica",IFERROR(VLOOKUP(J55,Listas!$A$127:$E$139,3,FALSE),"Alerta: Seleccione la celda en la comumna B con el nombre del proyecto")))</f>
        <v>ME20181107</v>
      </c>
      <c r="AL55" s="640" t="str">
        <f>IF(J55="Funcionamiento Gastos Generales","No aplica",IF(J55="Funcionamiento Servicios Personales","No aplica",IFERROR(VLOOKUP(J55,Listas!$A$220:$D$224,2,FALSE),"Alerta: Seleccione la celda en la comumna B con el nombre del proyecto")))</f>
        <v>COMP1107</v>
      </c>
      <c r="AM55" s="640" t="str">
        <f>IF(J55="Funcionamiento Gastos Generales","No aplica",IF(J55="Funcionamiento Servicios Personales","No aplica",IFERROR(VLOOKUP(J55,Listas!$A$220:$D$224,3,FALSE),"Alerta: Seleccione la celda en la comumna B con el nombre del proyecto")))</f>
        <v>CONC1107</v>
      </c>
      <c r="AN55" s="633" t="s">
        <v>1046</v>
      </c>
      <c r="AO55" s="633" t="s">
        <v>54</v>
      </c>
      <c r="AP55" s="634" t="str">
        <f>IFERROR(VLOOKUP(J55,Listas!$A$182:$E$215,5,FALSE),"Alerta: Seleccione la celda en la comumna B con el nombre del proyecto")</f>
        <v>13. Oferta cultural para la valoración y divulgación del patrimonio material e  inmaterial de la ciud</v>
      </c>
      <c r="AQ55" s="634" t="str">
        <f>IF(J55="Funcionamiento Gastos Generales","No aplica",IF(J55="Funcionamiento Servicios Personales","No aplica",IFERROR(VLOOKUP(J55,Listas!$A$220:$D$224,4,FALSE),"Alerta: Seleccione la celda en la comumna B con el nombre del proyecto")))</f>
        <v>FONT1107</v>
      </c>
      <c r="AR55" s="633" t="s">
        <v>198</v>
      </c>
      <c r="AS55" s="634" t="str">
        <f>IFERROR(VLOOKUP(AU55,Listas!$E$85:$L$105,7,FALSE),"Alerta: Seleccione la celda en la comumna AI con el concepto de gasto")</f>
        <v>03-RECURSO HUMANO</v>
      </c>
      <c r="AT55" s="634" t="str">
        <f>IFERROR(VLOOKUP(AU55,Listas!$E$85:$L$105,8,FALSE),"Alerta: Seleccione la celda en la comumna AI con el concepto de gasto")</f>
        <v>01-DIVULGACION, ASISTENCIA TECNICA Y CAPACITACION DE LA POBLACION</v>
      </c>
      <c r="AU55" s="633" t="s">
        <v>232</v>
      </c>
      <c r="AV55" s="634">
        <f>IFERROR(VLOOKUP(AU55,Listas!$E$85:$F$105,2,FALSE),"Alerta: Seleccione el Concepto de Gasto primero")</f>
        <v>0</v>
      </c>
      <c r="AW55" s="644">
        <v>61380000</v>
      </c>
      <c r="AX55" s="645"/>
      <c r="AY55" s="645"/>
      <c r="AZ55" s="645"/>
      <c r="BA55" s="646">
        <f t="shared" si="28"/>
        <v>61380000</v>
      </c>
      <c r="BB55" s="647"/>
      <c r="BC55" s="648"/>
      <c r="BD55" s="649"/>
      <c r="BE55" s="647"/>
      <c r="BF55" s="644"/>
      <c r="BG55" s="646">
        <f t="shared" si="29"/>
        <v>61380000</v>
      </c>
      <c r="BH55" s="650"/>
      <c r="BI55" s="647"/>
      <c r="BJ55" s="644"/>
      <c r="BK55" s="646">
        <f t="shared" si="30"/>
        <v>0</v>
      </c>
      <c r="BL55" s="651"/>
      <c r="BM55" s="652">
        <f t="shared" si="31"/>
        <v>1</v>
      </c>
      <c r="BN55" s="628"/>
      <c r="BO55" s="670"/>
      <c r="BP55" s="644"/>
      <c r="BQ55" s="644"/>
      <c r="BR55" s="644"/>
      <c r="BS55" s="644"/>
      <c r="BT55" s="644"/>
      <c r="BU55" s="644"/>
      <c r="BV55" s="644"/>
      <c r="BW55" s="644"/>
      <c r="BX55" s="644"/>
      <c r="BY55" s="644"/>
      <c r="BZ55" s="644"/>
      <c r="CA55" s="644"/>
      <c r="CB55" s="646">
        <f t="shared" si="32"/>
        <v>0</v>
      </c>
      <c r="CC55" s="646">
        <f t="shared" si="33"/>
        <v>0</v>
      </c>
      <c r="CD55" s="614"/>
    </row>
    <row r="56" spans="1:85" s="561" customFormat="1" ht="61.5" customHeight="1">
      <c r="A56" s="625" t="str">
        <f t="shared" si="4"/>
        <v>1107-158-FONT1107-03-01-0066-Museo de Bogotá en operación</v>
      </c>
      <c r="B56" s="626" t="str">
        <f t="shared" si="5"/>
        <v>1107-158-FONT1107-03-01-0066</v>
      </c>
      <c r="C56" s="626" t="str">
        <f t="shared" si="6"/>
        <v>1107-158-FONT1107-Museo de Bogotá en operación</v>
      </c>
      <c r="D56" s="626" t="str">
        <f t="shared" si="7"/>
        <v>1107-158-12-Otros Distrito-03-01-0066</v>
      </c>
      <c r="E56" s="626" t="str">
        <f t="shared" si="19"/>
        <v>Museo de Bogotá en operación-12-Otros Distrito-0066-Fomento, apoyo y divulgación de eventos y expresiones artísticas, culturales y del patrimonio</v>
      </c>
      <c r="F56" s="627">
        <v>23</v>
      </c>
      <c r="G56" s="628">
        <f t="shared" si="20"/>
        <v>23</v>
      </c>
      <c r="H56" s="629" t="b">
        <f t="shared" si="21"/>
        <v>0</v>
      </c>
      <c r="I56" s="630" t="s">
        <v>594</v>
      </c>
      <c r="J56" s="627" t="s">
        <v>27</v>
      </c>
      <c r="K56" s="631" t="str">
        <f>+IFERROR(VLOOKUP(J56,Listas!$A$108:$B$114,2,FALSE),"Alerta: Seleccione la celda en la comumna B con el nombre del proyecto")</f>
        <v>3-3-1-15-03-25-1107-158</v>
      </c>
      <c r="L56" s="632" t="s">
        <v>618</v>
      </c>
      <c r="M56" s="633" t="s">
        <v>621</v>
      </c>
      <c r="N56" s="634" t="str">
        <f t="shared" si="22"/>
        <v>(Cód. 23) Prestar servicios profesionales al Instituto Distrital de Patrimonio Cultural para apoyar las acciones de diseño gráfico del Museo de Bogotá.</v>
      </c>
      <c r="O56" s="635">
        <v>43480</v>
      </c>
      <c r="P56" s="636">
        <f>IFERROR(VLOOKUP(W56,'Estimación CRP'!$D$21:$E$30,2,FALSE),0)</f>
        <v>10</v>
      </c>
      <c r="Q56" s="637">
        <f>IF(O56="No aplica","No aplica",WORKDAY.INTL(O56,P56,1,'Estimación CRP'!A242:A258))</f>
        <v>43494</v>
      </c>
      <c r="R56" s="636">
        <f t="shared" si="23"/>
        <v>1</v>
      </c>
      <c r="S56" s="636">
        <f t="shared" si="24"/>
        <v>1</v>
      </c>
      <c r="T56" s="636">
        <f t="shared" si="25"/>
        <v>1</v>
      </c>
      <c r="U56" s="712">
        <v>3</v>
      </c>
      <c r="V56" s="638">
        <v>1</v>
      </c>
      <c r="W56" s="639" t="s">
        <v>274</v>
      </c>
      <c r="X56" s="640" t="str">
        <f>IFERROR(VLOOKUP(W56,Listas!$A$60:$B$73,2,FALSE),"Alerta: Seleccione primero Modalidad de selección")</f>
        <v>CCE-16</v>
      </c>
      <c r="Y56" s="641">
        <v>0</v>
      </c>
      <c r="Z56" s="641" t="s">
        <v>346</v>
      </c>
      <c r="AA56" s="641" t="s">
        <v>1090</v>
      </c>
      <c r="AB56" s="642">
        <f t="shared" si="26"/>
        <v>14520000</v>
      </c>
      <c r="AC56" s="642">
        <f t="shared" si="27"/>
        <v>14520000</v>
      </c>
      <c r="AD56" s="641">
        <v>0</v>
      </c>
      <c r="AE56" s="643">
        <v>0</v>
      </c>
      <c r="AF56" s="639" t="s">
        <v>276</v>
      </c>
      <c r="AG56" s="639" t="s">
        <v>277</v>
      </c>
      <c r="AH56" s="639" t="s">
        <v>284</v>
      </c>
      <c r="AI56" s="626" t="str">
        <f>IFERROR(VLOOKUP(AH56,Listas!$A$77:$C$83,2,FALSE),"Alerta: Seleccione primero el responsable")</f>
        <v>3550800</v>
      </c>
      <c r="AJ56" s="640" t="str">
        <f>IFERROR(VLOOKUP(AH56,Listas!$A$77:$C$83,3,FALSE),"Alerta: Seleccione primero el responsable")</f>
        <v>margarita.castaneda@idpc.gov.co</v>
      </c>
      <c r="AK56" s="640" t="str">
        <f>IF(J56="Funcionamiento Gastos Generales","No aplica",IF(J56="Funcionamiento Servicios Personales indirectos","No aplica",IFERROR(VLOOKUP(J56,Listas!$A$127:$E$139,3,FALSE),"Alerta: Seleccione la celda en la comumna B con el nombre del proyecto")))</f>
        <v>ME20181107</v>
      </c>
      <c r="AL56" s="640" t="str">
        <f>IF(J56="Funcionamiento Gastos Generales","No aplica",IF(J56="Funcionamiento Servicios Personales","No aplica",IFERROR(VLOOKUP(J56,Listas!$A$220:$D$224,2,FALSE),"Alerta: Seleccione la celda en la comumna B con el nombre del proyecto")))</f>
        <v>COMP1107</v>
      </c>
      <c r="AM56" s="640" t="str">
        <f>IF(J56="Funcionamiento Gastos Generales","No aplica",IF(J56="Funcionamiento Servicios Personales","No aplica",IFERROR(VLOOKUP(J56,Listas!$A$220:$D$224,3,FALSE),"Alerta: Seleccione la celda en la comumna B con el nombre del proyecto")))</f>
        <v>CONC1107</v>
      </c>
      <c r="AN56" s="633" t="s">
        <v>1047</v>
      </c>
      <c r="AO56" s="633" t="s">
        <v>53</v>
      </c>
      <c r="AP56" s="634" t="str">
        <f>IFERROR(VLOOKUP(J56,Listas!$A$182:$E$215,5,FALSE),"Alerta: Seleccione la celda en la comumna B con el nombre del proyecto")</f>
        <v>13. Oferta cultural para la valoración y divulgación del patrimonio material e  inmaterial de la ciud</v>
      </c>
      <c r="AQ56" s="634" t="str">
        <f>IF(J56="Funcionamiento Gastos Generales","No aplica",IF(J56="Funcionamiento Servicios Personales","No aplica",IFERROR(VLOOKUP(J56,Listas!$A$220:$D$224,4,FALSE),"Alerta: Seleccione la celda en la comumna B con el nombre del proyecto")))</f>
        <v>FONT1107</v>
      </c>
      <c r="AR56" s="633" t="s">
        <v>198</v>
      </c>
      <c r="AS56" s="634" t="str">
        <f>IFERROR(VLOOKUP(AU56,Listas!$E$85:$L$105,7,FALSE),"Alerta: Seleccione la celda en la comumna AI con el concepto de gasto")</f>
        <v>03-RECURSO HUMANO</v>
      </c>
      <c r="AT56" s="634" t="str">
        <f>IFERROR(VLOOKUP(AU56,Listas!$E$85:$L$105,8,FALSE),"Alerta: Seleccione la celda en la comumna AI con el concepto de gasto")</f>
        <v>01-DIVULGACION, ASISTENCIA TECNICA Y CAPACITACION DE LA POBLACION</v>
      </c>
      <c r="AU56" s="633" t="s">
        <v>232</v>
      </c>
      <c r="AV56" s="634">
        <f>IFERROR(VLOOKUP(AU56,Listas!$E$85:$F$105,2,FALSE),"Alerta: Seleccione el Concepto de Gasto primero")</f>
        <v>0</v>
      </c>
      <c r="AW56" s="644">
        <v>14520000</v>
      </c>
      <c r="AX56" s="645"/>
      <c r="AY56" s="645"/>
      <c r="AZ56" s="645"/>
      <c r="BA56" s="646">
        <f t="shared" si="28"/>
        <v>14520000</v>
      </c>
      <c r="BB56" s="647"/>
      <c r="BC56" s="648"/>
      <c r="BD56" s="649"/>
      <c r="BE56" s="647"/>
      <c r="BF56" s="644"/>
      <c r="BG56" s="646">
        <f t="shared" si="29"/>
        <v>14520000</v>
      </c>
      <c r="BH56" s="650"/>
      <c r="BI56" s="647"/>
      <c r="BJ56" s="644"/>
      <c r="BK56" s="646">
        <f t="shared" si="30"/>
        <v>0</v>
      </c>
      <c r="BL56" s="651"/>
      <c r="BM56" s="652">
        <f t="shared" si="31"/>
        <v>1</v>
      </c>
      <c r="BN56" s="628"/>
      <c r="BO56" s="670"/>
      <c r="BP56" s="644"/>
      <c r="BQ56" s="644"/>
      <c r="BR56" s="644"/>
      <c r="BS56" s="644"/>
      <c r="BT56" s="644"/>
      <c r="BU56" s="644"/>
      <c r="BV56" s="644"/>
      <c r="BW56" s="644"/>
      <c r="BX56" s="644"/>
      <c r="BY56" s="644"/>
      <c r="BZ56" s="644"/>
      <c r="CA56" s="644"/>
      <c r="CB56" s="646">
        <f t="shared" si="32"/>
        <v>0</v>
      </c>
      <c r="CC56" s="646">
        <f t="shared" si="33"/>
        <v>0</v>
      </c>
      <c r="CD56" s="614"/>
    </row>
    <row r="57" spans="1:85" s="561" customFormat="1" ht="61.5" customHeight="1">
      <c r="A57" s="625" t="str">
        <f t="shared" si="4"/>
        <v>1107-158-FONT1107-03-01-0066-Museo de Bogotá en operación</v>
      </c>
      <c r="B57" s="626" t="str">
        <f t="shared" si="5"/>
        <v>1107-158-FONT1107-03-01-0066</v>
      </c>
      <c r="C57" s="626" t="str">
        <f t="shared" si="6"/>
        <v>1107-158-FONT1107-Museo de Bogotá en operación</v>
      </c>
      <c r="D57" s="626" t="str">
        <f t="shared" si="7"/>
        <v>1107-158-12-Otros Distrito-03-01-0066</v>
      </c>
      <c r="E57" s="626" t="str">
        <f t="shared" si="19"/>
        <v>Museo de Bogotá en operación-12-Otros Distrito-0066-Fomento, apoyo y divulgación de eventos y expresiones artísticas, culturales y del patrimonio</v>
      </c>
      <c r="F57" s="627">
        <v>24</v>
      </c>
      <c r="G57" s="628">
        <f t="shared" si="20"/>
        <v>24</v>
      </c>
      <c r="H57" s="629" t="b">
        <f t="shared" si="21"/>
        <v>0</v>
      </c>
      <c r="I57" s="630" t="s">
        <v>594</v>
      </c>
      <c r="J57" s="627" t="s">
        <v>27</v>
      </c>
      <c r="K57" s="631" t="str">
        <f>+IFERROR(VLOOKUP(J57,Listas!$A$108:$B$114,2,FALSE),"Alerta: Seleccione la celda en la comumna B con el nombre del proyecto")</f>
        <v>3-3-1-15-03-25-1107-158</v>
      </c>
      <c r="L57" s="632" t="s">
        <v>618</v>
      </c>
      <c r="M57" s="633" t="s">
        <v>622</v>
      </c>
      <c r="N57" s="634" t="str">
        <f t="shared" si="22"/>
        <v>(Cód. 24) Prestar servicios profesionales al Instituto Distrital de Patrimonio Cultural para acompañar la planeación y desarrollo de los procesos de contratación sin límite de cuantía, así como el impulso de los trámites jurídico/legales que se generen en el marco de las funciones de la Subdirección de Divulgación de los Valores del Patrimonio Cultural.</v>
      </c>
      <c r="O57" s="635">
        <v>43480</v>
      </c>
      <c r="P57" s="636">
        <f>IFERROR(VLOOKUP(W57,'Estimación CRP'!$D$21:$E$30,2,FALSE),0)</f>
        <v>10</v>
      </c>
      <c r="Q57" s="637">
        <f>IF(O57="No aplica","No aplica",WORKDAY.INTL(O57,P57,1,'Estimación CRP'!A243:A259))</f>
        <v>43494</v>
      </c>
      <c r="R57" s="636">
        <f t="shared" si="23"/>
        <v>1</v>
      </c>
      <c r="S57" s="636">
        <f t="shared" si="24"/>
        <v>1</v>
      </c>
      <c r="T57" s="636">
        <f t="shared" si="25"/>
        <v>1</v>
      </c>
      <c r="U57" s="712">
        <v>11</v>
      </c>
      <c r="V57" s="638">
        <v>1</v>
      </c>
      <c r="W57" s="639" t="s">
        <v>274</v>
      </c>
      <c r="X57" s="640" t="str">
        <f>IFERROR(VLOOKUP(W57,Listas!$A$60:$B$73,2,FALSE),"Alerta: Seleccione primero Modalidad de selección")</f>
        <v>CCE-16</v>
      </c>
      <c r="Y57" s="641">
        <v>0</v>
      </c>
      <c r="Z57" s="641" t="s">
        <v>346</v>
      </c>
      <c r="AA57" s="641" t="s">
        <v>1091</v>
      </c>
      <c r="AB57" s="642">
        <f t="shared" si="26"/>
        <v>30576619</v>
      </c>
      <c r="AC57" s="642">
        <f t="shared" si="27"/>
        <v>30576619</v>
      </c>
      <c r="AD57" s="641">
        <v>0</v>
      </c>
      <c r="AE57" s="643">
        <v>0</v>
      </c>
      <c r="AF57" s="639" t="s">
        <v>276</v>
      </c>
      <c r="AG57" s="639" t="s">
        <v>277</v>
      </c>
      <c r="AH57" s="639" t="s">
        <v>284</v>
      </c>
      <c r="AI57" s="626" t="str">
        <f>IFERROR(VLOOKUP(AH57,Listas!$A$77:$C$83,2,FALSE),"Alerta: Seleccione primero el responsable")</f>
        <v>3550800</v>
      </c>
      <c r="AJ57" s="640" t="str">
        <f>IFERROR(VLOOKUP(AH57,Listas!$A$77:$C$83,3,FALSE),"Alerta: Seleccione primero el responsable")</f>
        <v>margarita.castaneda@idpc.gov.co</v>
      </c>
      <c r="AK57" s="640" t="str">
        <f>IF(J57="Funcionamiento Gastos Generales","No aplica",IF(J57="Funcionamiento Servicios Personales indirectos","No aplica",IFERROR(VLOOKUP(J57,Listas!$A$127:$E$139,3,FALSE),"Alerta: Seleccione la celda en la comumna B con el nombre del proyecto")))</f>
        <v>ME20181107</v>
      </c>
      <c r="AL57" s="640" t="str">
        <f>IF(J57="Funcionamiento Gastos Generales","No aplica",IF(J57="Funcionamiento Servicios Personales","No aplica",IFERROR(VLOOKUP(J57,Listas!$A$220:$D$224,2,FALSE),"Alerta: Seleccione la celda en la comumna B con el nombre del proyecto")))</f>
        <v>COMP1107</v>
      </c>
      <c r="AM57" s="640" t="str">
        <f>IF(J57="Funcionamiento Gastos Generales","No aplica",IF(J57="Funcionamiento Servicios Personales","No aplica",IFERROR(VLOOKUP(J57,Listas!$A$220:$D$224,3,FALSE),"Alerta: Seleccione la celda en la comumna B con el nombre del proyecto")))</f>
        <v>CONC1107</v>
      </c>
      <c r="AN57" s="633" t="s">
        <v>1047</v>
      </c>
      <c r="AO57" s="633" t="s">
        <v>53</v>
      </c>
      <c r="AP57" s="634" t="str">
        <f>IFERROR(VLOOKUP(J57,Listas!$A$182:$E$215,5,FALSE),"Alerta: Seleccione la celda en la comumna B con el nombre del proyecto")</f>
        <v>13. Oferta cultural para la valoración y divulgación del patrimonio material e  inmaterial de la ciud</v>
      </c>
      <c r="AQ57" s="634" t="str">
        <f>IF(J57="Funcionamiento Gastos Generales","No aplica",IF(J57="Funcionamiento Servicios Personales","No aplica",IFERROR(VLOOKUP(J57,Listas!$A$220:$D$224,4,FALSE),"Alerta: Seleccione la celda en la comumna B con el nombre del proyecto")))</f>
        <v>FONT1107</v>
      </c>
      <c r="AR57" s="633" t="s">
        <v>198</v>
      </c>
      <c r="AS57" s="634" t="str">
        <f>IFERROR(VLOOKUP(AU57,Listas!$E$85:$L$105,7,FALSE),"Alerta: Seleccione la celda en la comumna AI con el concepto de gasto")</f>
        <v>03-RECURSO HUMANO</v>
      </c>
      <c r="AT57" s="634" t="str">
        <f>IFERROR(VLOOKUP(AU57,Listas!$E$85:$L$105,8,FALSE),"Alerta: Seleccione la celda en la comumna AI con el concepto de gasto")</f>
        <v>01-DIVULGACION, ASISTENCIA TECNICA Y CAPACITACION DE LA POBLACION</v>
      </c>
      <c r="AU57" s="633" t="s">
        <v>232</v>
      </c>
      <c r="AV57" s="634">
        <f>IFERROR(VLOOKUP(AU57,Listas!$E$85:$F$105,2,FALSE),"Alerta: Seleccione el Concepto de Gasto primero")</f>
        <v>0</v>
      </c>
      <c r="AW57" s="644">
        <v>30576619</v>
      </c>
      <c r="AX57" s="645"/>
      <c r="AY57" s="645"/>
      <c r="AZ57" s="645"/>
      <c r="BA57" s="646">
        <f t="shared" si="28"/>
        <v>30576619</v>
      </c>
      <c r="BB57" s="647"/>
      <c r="BC57" s="648"/>
      <c r="BD57" s="649"/>
      <c r="BE57" s="647"/>
      <c r="BF57" s="644"/>
      <c r="BG57" s="646">
        <f t="shared" si="29"/>
        <v>30576619</v>
      </c>
      <c r="BH57" s="650"/>
      <c r="BI57" s="647"/>
      <c r="BJ57" s="644"/>
      <c r="BK57" s="646">
        <f t="shared" si="30"/>
        <v>0</v>
      </c>
      <c r="BL57" s="651"/>
      <c r="BM57" s="652">
        <f t="shared" si="31"/>
        <v>1</v>
      </c>
      <c r="BN57" s="628"/>
      <c r="BO57" s="670"/>
      <c r="BP57" s="644"/>
      <c r="BQ57" s="644"/>
      <c r="BR57" s="644"/>
      <c r="BS57" s="644"/>
      <c r="BT57" s="644"/>
      <c r="BU57" s="644"/>
      <c r="BV57" s="644"/>
      <c r="BW57" s="644"/>
      <c r="BX57" s="644"/>
      <c r="BY57" s="644"/>
      <c r="BZ57" s="644"/>
      <c r="CA57" s="644"/>
      <c r="CB57" s="646">
        <f t="shared" si="32"/>
        <v>0</v>
      </c>
      <c r="CC57" s="646">
        <f t="shared" si="33"/>
        <v>0</v>
      </c>
      <c r="CD57" s="614"/>
    </row>
    <row r="58" spans="1:85" s="561" customFormat="1" ht="61.5" customHeight="1">
      <c r="A58" s="625" t="str">
        <f t="shared" si="4"/>
        <v>1107-158-FONT1107-03-01-0066-Activación del patrimonio</v>
      </c>
      <c r="B58" s="626" t="str">
        <f t="shared" si="5"/>
        <v>1107-158-FONT1107-03-01-0066</v>
      </c>
      <c r="C58" s="626" t="str">
        <f t="shared" si="6"/>
        <v>1107-158-FONT1107-Activación del patrimonio</v>
      </c>
      <c r="D58" s="626" t="str">
        <f t="shared" si="7"/>
        <v>1107-158-12-Otros Distrito-03-01-0066</v>
      </c>
      <c r="E58" s="626" t="str">
        <f t="shared" si="19"/>
        <v>Activación del patrimonio-12-Otros Distrito-0066-Fomento, apoyo y divulgación de eventos y expresiones artísticas, culturales y del patrimonio</v>
      </c>
      <c r="F58" s="627">
        <v>24</v>
      </c>
      <c r="G58" s="628">
        <f t="shared" si="20"/>
        <v>24</v>
      </c>
      <c r="H58" s="629" t="b">
        <f t="shared" si="21"/>
        <v>1</v>
      </c>
      <c r="I58" s="630" t="s">
        <v>594</v>
      </c>
      <c r="J58" s="627" t="s">
        <v>27</v>
      </c>
      <c r="K58" s="631" t="str">
        <f>+IFERROR(VLOOKUP(J58,Listas!$A$108:$B$114,2,FALSE),"Alerta: Seleccione la celda en la comumna B con el nombre del proyecto")</f>
        <v>3-3-1-15-03-25-1107-158</v>
      </c>
      <c r="L58" s="632" t="s">
        <v>618</v>
      </c>
      <c r="M58" s="633" t="s">
        <v>622</v>
      </c>
      <c r="N58" s="634" t="str">
        <f t="shared" si="22"/>
        <v>(Cód. 24) Prestar servicios profesionales al Instituto Distrital de Patrimonio Cultural para acompañar la planeación y desarrollo de los procesos de contratación sin límite de cuantía, así como el impulso de los trámites jurídico/legales que se generen en el marco de las funciones de la Subdirección de Divulgación de los Valores del Patrimonio Cultural.</v>
      </c>
      <c r="O58" s="635">
        <v>43480</v>
      </c>
      <c r="P58" s="636">
        <f>IFERROR(VLOOKUP(W58,'Estimación CRP'!$D$21:$E$30,2,FALSE),0)</f>
        <v>10</v>
      </c>
      <c r="Q58" s="637">
        <f>IF(O58="No aplica","No aplica",WORKDAY.INTL(O58,P58,1,'Estimación CRP'!A244:A260))</f>
        <v>43494</v>
      </c>
      <c r="R58" s="636">
        <f t="shared" si="23"/>
        <v>1</v>
      </c>
      <c r="S58" s="636">
        <f t="shared" si="24"/>
        <v>1</v>
      </c>
      <c r="T58" s="636">
        <f t="shared" si="25"/>
        <v>1</v>
      </c>
      <c r="U58" s="712">
        <v>11</v>
      </c>
      <c r="V58" s="638">
        <v>1</v>
      </c>
      <c r="W58" s="639" t="s">
        <v>274</v>
      </c>
      <c r="X58" s="640" t="str">
        <f>IFERROR(VLOOKUP(W58,Listas!$A$60:$B$73,2,FALSE),"Alerta: Seleccione primero Modalidad de selección")</f>
        <v>CCE-16</v>
      </c>
      <c r="Y58" s="641">
        <v>0</v>
      </c>
      <c r="Z58" s="641" t="s">
        <v>346</v>
      </c>
      <c r="AA58" s="641" t="s">
        <v>1091</v>
      </c>
      <c r="AB58" s="642">
        <f t="shared" si="26"/>
        <v>36303381</v>
      </c>
      <c r="AC58" s="642">
        <f t="shared" si="27"/>
        <v>36303381</v>
      </c>
      <c r="AD58" s="641">
        <v>0</v>
      </c>
      <c r="AE58" s="643">
        <v>0</v>
      </c>
      <c r="AF58" s="639" t="s">
        <v>276</v>
      </c>
      <c r="AG58" s="639" t="s">
        <v>277</v>
      </c>
      <c r="AH58" s="639" t="s">
        <v>284</v>
      </c>
      <c r="AI58" s="626" t="str">
        <f>IFERROR(VLOOKUP(AH58,Listas!$A$77:$C$83,2,FALSE),"Alerta: Seleccione primero el responsable")</f>
        <v>3550800</v>
      </c>
      <c r="AJ58" s="640" t="str">
        <f>IFERROR(VLOOKUP(AH58,Listas!$A$77:$C$83,3,FALSE),"Alerta: Seleccione primero el responsable")</f>
        <v>margarita.castaneda@idpc.gov.co</v>
      </c>
      <c r="AK58" s="640" t="str">
        <f>IF(J58="Funcionamiento Gastos Generales","No aplica",IF(J58="Funcionamiento Servicios Personales indirectos","No aplica",IFERROR(VLOOKUP(J58,Listas!$A$127:$E$139,3,FALSE),"Alerta: Seleccione la celda en la comumna B con el nombre del proyecto")))</f>
        <v>ME20181107</v>
      </c>
      <c r="AL58" s="640" t="str">
        <f>IF(J58="Funcionamiento Gastos Generales","No aplica",IF(J58="Funcionamiento Servicios Personales","No aplica",IFERROR(VLOOKUP(J58,Listas!$A$220:$D$224,2,FALSE),"Alerta: Seleccione la celda en la comumna B con el nombre del proyecto")))</f>
        <v>COMP1107</v>
      </c>
      <c r="AM58" s="640" t="str">
        <f>IF(J58="Funcionamiento Gastos Generales","No aplica",IF(J58="Funcionamiento Servicios Personales","No aplica",IFERROR(VLOOKUP(J58,Listas!$A$220:$D$224,3,FALSE),"Alerta: Seleccione la celda en la comumna B con el nombre del proyecto")))</f>
        <v>CONC1107</v>
      </c>
      <c r="AN58" s="633" t="s">
        <v>1046</v>
      </c>
      <c r="AO58" s="633" t="s">
        <v>54</v>
      </c>
      <c r="AP58" s="634" t="str">
        <f>IFERROR(VLOOKUP(J58,Listas!$A$182:$E$215,5,FALSE),"Alerta: Seleccione la celda en la comumna B con el nombre del proyecto")</f>
        <v>13. Oferta cultural para la valoración y divulgación del patrimonio material e  inmaterial de la ciud</v>
      </c>
      <c r="AQ58" s="634" t="str">
        <f>IF(J58="Funcionamiento Gastos Generales","No aplica",IF(J58="Funcionamiento Servicios Personales","No aplica",IFERROR(VLOOKUP(J58,Listas!$A$220:$D$224,4,FALSE),"Alerta: Seleccione la celda en la comumna B con el nombre del proyecto")))</f>
        <v>FONT1107</v>
      </c>
      <c r="AR58" s="633" t="s">
        <v>198</v>
      </c>
      <c r="AS58" s="634" t="str">
        <f>IFERROR(VLOOKUP(AU58,Listas!$E$85:$L$105,7,FALSE),"Alerta: Seleccione la celda en la comumna AI con el concepto de gasto")</f>
        <v>03-RECURSO HUMANO</v>
      </c>
      <c r="AT58" s="634" t="str">
        <f>IFERROR(VLOOKUP(AU58,Listas!$E$85:$L$105,8,FALSE),"Alerta: Seleccione la celda en la comumna AI con el concepto de gasto")</f>
        <v>01-DIVULGACION, ASISTENCIA TECNICA Y CAPACITACION DE LA POBLACION</v>
      </c>
      <c r="AU58" s="633" t="s">
        <v>232</v>
      </c>
      <c r="AV58" s="634">
        <f>IFERROR(VLOOKUP(AU58,Listas!$E$85:$F$105,2,FALSE),"Alerta: Seleccione el Concepto de Gasto primero")</f>
        <v>0</v>
      </c>
      <c r="AW58" s="644">
        <v>36303381</v>
      </c>
      <c r="AX58" s="645"/>
      <c r="AY58" s="645"/>
      <c r="AZ58" s="645"/>
      <c r="BA58" s="646">
        <f t="shared" si="28"/>
        <v>36303381</v>
      </c>
      <c r="BB58" s="647"/>
      <c r="BC58" s="648"/>
      <c r="BD58" s="649"/>
      <c r="BE58" s="647"/>
      <c r="BF58" s="644"/>
      <c r="BG58" s="646">
        <f t="shared" si="29"/>
        <v>36303381</v>
      </c>
      <c r="BH58" s="650"/>
      <c r="BI58" s="647"/>
      <c r="BJ58" s="644"/>
      <c r="BK58" s="646">
        <f t="shared" si="30"/>
        <v>0</v>
      </c>
      <c r="BL58" s="651"/>
      <c r="BM58" s="652">
        <f t="shared" si="31"/>
        <v>1</v>
      </c>
      <c r="BN58" s="628"/>
      <c r="BO58" s="670"/>
      <c r="BP58" s="644"/>
      <c r="BQ58" s="644"/>
      <c r="BR58" s="644"/>
      <c r="BS58" s="644"/>
      <c r="BT58" s="644"/>
      <c r="BU58" s="644"/>
      <c r="BV58" s="644"/>
      <c r="BW58" s="644"/>
      <c r="BX58" s="644"/>
      <c r="BY58" s="644"/>
      <c r="BZ58" s="644"/>
      <c r="CA58" s="644"/>
      <c r="CB58" s="646">
        <f t="shared" si="32"/>
        <v>0</v>
      </c>
      <c r="CC58" s="646">
        <f t="shared" si="33"/>
        <v>0</v>
      </c>
      <c r="CD58" s="614"/>
    </row>
    <row r="59" spans="1:85" s="561" customFormat="1" ht="61.5" customHeight="1">
      <c r="A59" s="625" t="str">
        <f t="shared" si="4"/>
        <v>1107-158-FONT1107-03-01-0066-Museo de Bogotá en operación</v>
      </c>
      <c r="B59" s="626" t="str">
        <f t="shared" si="5"/>
        <v>1107-158-FONT1107-03-01-0066</v>
      </c>
      <c r="C59" s="626" t="str">
        <f t="shared" si="6"/>
        <v>1107-158-FONT1107-Museo de Bogotá en operación</v>
      </c>
      <c r="D59" s="626" t="str">
        <f t="shared" si="7"/>
        <v>1107-158-12-Otros Distrito-03-01-0066</v>
      </c>
      <c r="E59" s="626" t="str">
        <f t="shared" si="19"/>
        <v>Museo de Bogotá en operación-12-Otros Distrito-0066-Fomento, apoyo y divulgación de eventos y expresiones artísticas, culturales y del patrimonio</v>
      </c>
      <c r="F59" s="627">
        <v>25</v>
      </c>
      <c r="G59" s="628">
        <f t="shared" si="20"/>
        <v>25</v>
      </c>
      <c r="H59" s="629" t="b">
        <f t="shared" si="21"/>
        <v>0</v>
      </c>
      <c r="I59" s="630" t="s">
        <v>594</v>
      </c>
      <c r="J59" s="627" t="s">
        <v>27</v>
      </c>
      <c r="K59" s="631" t="str">
        <f>+IFERROR(VLOOKUP(J59,Listas!$A$108:$B$114,2,FALSE),"Alerta: Seleccione la celda en la comumna B con el nombre del proyecto")</f>
        <v>3-3-1-15-03-25-1107-158</v>
      </c>
      <c r="L59" s="632" t="s">
        <v>618</v>
      </c>
      <c r="M59" s="633" t="s">
        <v>623</v>
      </c>
      <c r="N59" s="634" t="str">
        <f t="shared" si="22"/>
        <v>(Cód. 25) Prestar servicios profesionales al Instituto Distrital de Patrimonio Cultural para orientar la planificación de las líneas de acción del Museo de Bogotá.</v>
      </c>
      <c r="O59" s="635">
        <v>43480</v>
      </c>
      <c r="P59" s="636">
        <f>IFERROR(VLOOKUP(W59,'Estimación CRP'!$D$21:$E$30,2,FALSE),0)</f>
        <v>10</v>
      </c>
      <c r="Q59" s="637">
        <f>IF(O59="No aplica","No aplica",WORKDAY.INTL(O59,P59,1,'Estimación CRP'!A245:A261))</f>
        <v>43494</v>
      </c>
      <c r="R59" s="636">
        <f t="shared" si="23"/>
        <v>1</v>
      </c>
      <c r="S59" s="636">
        <f t="shared" si="24"/>
        <v>1</v>
      </c>
      <c r="T59" s="636">
        <f t="shared" si="25"/>
        <v>1</v>
      </c>
      <c r="U59" s="712">
        <v>2</v>
      </c>
      <c r="V59" s="638">
        <v>1</v>
      </c>
      <c r="W59" s="639" t="s">
        <v>274</v>
      </c>
      <c r="X59" s="640" t="str">
        <f>IFERROR(VLOOKUP(W59,Listas!$A$60:$B$73,2,FALSE),"Alerta: Seleccione primero Modalidad de selección")</f>
        <v>CCE-16</v>
      </c>
      <c r="Y59" s="641">
        <v>0</v>
      </c>
      <c r="Z59" s="641" t="s">
        <v>346</v>
      </c>
      <c r="AA59" s="641" t="s">
        <v>1092</v>
      </c>
      <c r="AB59" s="642">
        <f t="shared" si="26"/>
        <v>17000000</v>
      </c>
      <c r="AC59" s="642">
        <f t="shared" si="27"/>
        <v>17000000</v>
      </c>
      <c r="AD59" s="641">
        <v>0</v>
      </c>
      <c r="AE59" s="643">
        <v>0</v>
      </c>
      <c r="AF59" s="639" t="s">
        <v>276</v>
      </c>
      <c r="AG59" s="639" t="s">
        <v>277</v>
      </c>
      <c r="AH59" s="639" t="s">
        <v>284</v>
      </c>
      <c r="AI59" s="626" t="str">
        <f>IFERROR(VLOOKUP(AH59,Listas!$A$77:$C$83,2,FALSE),"Alerta: Seleccione primero el responsable")</f>
        <v>3550800</v>
      </c>
      <c r="AJ59" s="640" t="str">
        <f>IFERROR(VLOOKUP(AH59,Listas!$A$77:$C$83,3,FALSE),"Alerta: Seleccione primero el responsable")</f>
        <v>margarita.castaneda@idpc.gov.co</v>
      </c>
      <c r="AK59" s="640" t="str">
        <f>IF(J59="Funcionamiento Gastos Generales","No aplica",IF(J59="Funcionamiento Servicios Personales indirectos","No aplica",IFERROR(VLOOKUP(J59,Listas!$A$127:$E$139,3,FALSE),"Alerta: Seleccione la celda en la comumna B con el nombre del proyecto")))</f>
        <v>ME20181107</v>
      </c>
      <c r="AL59" s="640" t="str">
        <f>IF(J59="Funcionamiento Gastos Generales","No aplica",IF(J59="Funcionamiento Servicios Personales","No aplica",IFERROR(VLOOKUP(J59,Listas!$A$220:$D$224,2,FALSE),"Alerta: Seleccione la celda en la comumna B con el nombre del proyecto")))</f>
        <v>COMP1107</v>
      </c>
      <c r="AM59" s="640" t="str">
        <f>IF(J59="Funcionamiento Gastos Generales","No aplica",IF(J59="Funcionamiento Servicios Personales","No aplica",IFERROR(VLOOKUP(J59,Listas!$A$220:$D$224,3,FALSE),"Alerta: Seleccione la celda en la comumna B con el nombre del proyecto")))</f>
        <v>CONC1107</v>
      </c>
      <c r="AN59" s="633" t="s">
        <v>1047</v>
      </c>
      <c r="AO59" s="633" t="s">
        <v>53</v>
      </c>
      <c r="AP59" s="634" t="str">
        <f>IFERROR(VLOOKUP(J59,Listas!$A$182:$E$215,5,FALSE),"Alerta: Seleccione la celda en la comumna B con el nombre del proyecto")</f>
        <v>13. Oferta cultural para la valoración y divulgación del patrimonio material e  inmaterial de la ciud</v>
      </c>
      <c r="AQ59" s="634" t="str">
        <f>IF(J59="Funcionamiento Gastos Generales","No aplica",IF(J59="Funcionamiento Servicios Personales","No aplica",IFERROR(VLOOKUP(J59,Listas!$A$220:$D$224,4,FALSE),"Alerta: Seleccione la celda en la comumna B con el nombre del proyecto")))</f>
        <v>FONT1107</v>
      </c>
      <c r="AR59" s="633" t="s">
        <v>198</v>
      </c>
      <c r="AS59" s="634" t="str">
        <f>IFERROR(VLOOKUP(AU59,Listas!$E$85:$L$105,7,FALSE),"Alerta: Seleccione la celda en la comumna AI con el concepto de gasto")</f>
        <v>03-RECURSO HUMANO</v>
      </c>
      <c r="AT59" s="634" t="str">
        <f>IFERROR(VLOOKUP(AU59,Listas!$E$85:$L$105,8,FALSE),"Alerta: Seleccione la celda en la comumna AI con el concepto de gasto")</f>
        <v>01-DIVULGACION, ASISTENCIA TECNICA Y CAPACITACION DE LA POBLACION</v>
      </c>
      <c r="AU59" s="633" t="s">
        <v>232</v>
      </c>
      <c r="AV59" s="634">
        <f>IFERROR(VLOOKUP(AU59,Listas!$E$85:$F$105,2,FALSE),"Alerta: Seleccione el Concepto de Gasto primero")</f>
        <v>0</v>
      </c>
      <c r="AW59" s="644">
        <v>17000000</v>
      </c>
      <c r="AX59" s="645"/>
      <c r="AY59" s="645"/>
      <c r="AZ59" s="645"/>
      <c r="BA59" s="646">
        <f t="shared" si="28"/>
        <v>17000000</v>
      </c>
      <c r="BB59" s="647"/>
      <c r="BC59" s="648"/>
      <c r="BD59" s="649"/>
      <c r="BE59" s="647"/>
      <c r="BF59" s="644"/>
      <c r="BG59" s="646">
        <f t="shared" si="29"/>
        <v>17000000</v>
      </c>
      <c r="BH59" s="650"/>
      <c r="BI59" s="647"/>
      <c r="BJ59" s="644"/>
      <c r="BK59" s="646">
        <f t="shared" si="30"/>
        <v>0</v>
      </c>
      <c r="BL59" s="651"/>
      <c r="BM59" s="652">
        <f t="shared" si="31"/>
        <v>1</v>
      </c>
      <c r="BN59" s="628"/>
      <c r="BO59" s="670"/>
      <c r="BP59" s="644"/>
      <c r="BQ59" s="644"/>
      <c r="BR59" s="644"/>
      <c r="BS59" s="644"/>
      <c r="BT59" s="644"/>
      <c r="BU59" s="644"/>
      <c r="BV59" s="644"/>
      <c r="BW59" s="644"/>
      <c r="BX59" s="644"/>
      <c r="BY59" s="644"/>
      <c r="BZ59" s="644"/>
      <c r="CA59" s="644"/>
      <c r="CB59" s="646">
        <f t="shared" si="32"/>
        <v>0</v>
      </c>
      <c r="CC59" s="646">
        <f t="shared" si="33"/>
        <v>0</v>
      </c>
      <c r="CD59" s="614"/>
    </row>
    <row r="60" spans="1:85" s="561" customFormat="1" ht="61.5" customHeight="1">
      <c r="A60" s="625" t="str">
        <f t="shared" si="4"/>
        <v>1107-158-FONT1107-03-01-0066-Activación del patrimonio</v>
      </c>
      <c r="B60" s="626" t="str">
        <f t="shared" si="5"/>
        <v>1107-158-FONT1107-03-01-0066</v>
      </c>
      <c r="C60" s="626" t="str">
        <f t="shared" si="6"/>
        <v>1107-158-FONT1107-Activación del patrimonio</v>
      </c>
      <c r="D60" s="626" t="str">
        <f t="shared" si="7"/>
        <v>1107-158-12-Otros Distrito-03-01-0066</v>
      </c>
      <c r="E60" s="626" t="str">
        <f t="shared" si="19"/>
        <v>Activación del patrimonio-12-Otros Distrito-0066-Fomento, apoyo y divulgación de eventos y expresiones artísticas, culturales y del patrimonio</v>
      </c>
      <c r="F60" s="627">
        <v>26</v>
      </c>
      <c r="G60" s="628">
        <f t="shared" si="20"/>
        <v>26</v>
      </c>
      <c r="H60" s="629" t="b">
        <f t="shared" si="21"/>
        <v>0</v>
      </c>
      <c r="I60" s="630" t="s">
        <v>594</v>
      </c>
      <c r="J60" s="627" t="s">
        <v>27</v>
      </c>
      <c r="K60" s="631" t="str">
        <f>+IFERROR(VLOOKUP(J60,Listas!$A$108:$B$114,2,FALSE),"Alerta: Seleccione la celda en la comumna B con el nombre del proyecto")</f>
        <v>3-3-1-15-03-25-1107-158</v>
      </c>
      <c r="L60" s="632" t="s">
        <v>618</v>
      </c>
      <c r="M60" s="633" t="s">
        <v>624</v>
      </c>
      <c r="N60" s="634" t="str">
        <f t="shared" si="22"/>
        <v>(Cód. 26) Prestar servicios profesionales  al Instituto Distrital de Patrimonio Cultural para llevar a cabo los procesos de corrección de estilo de los textos y publicaciones adelantadas por la Subdirección de Divulgación de los Valores del Patrimonio Cultural.</v>
      </c>
      <c r="O60" s="635">
        <v>43511</v>
      </c>
      <c r="P60" s="636">
        <f>IFERROR(VLOOKUP(W60,'Estimación CRP'!$D$21:$E$30,2,FALSE),0)</f>
        <v>10</v>
      </c>
      <c r="Q60" s="637">
        <f>IF(O60="No aplica","No aplica",WORKDAY.INTL(O60,P60,1,'Estimación CRP'!A246:A262))</f>
        <v>43525</v>
      </c>
      <c r="R60" s="636">
        <f t="shared" si="23"/>
        <v>3</v>
      </c>
      <c r="S60" s="636">
        <f t="shared" si="24"/>
        <v>2</v>
      </c>
      <c r="T60" s="636">
        <f t="shared" si="25"/>
        <v>2</v>
      </c>
      <c r="U60" s="712">
        <v>10</v>
      </c>
      <c r="V60" s="638">
        <v>1</v>
      </c>
      <c r="W60" s="639" t="s">
        <v>274</v>
      </c>
      <c r="X60" s="640" t="str">
        <f>IFERROR(VLOOKUP(W60,Listas!$A$60:$B$73,2,FALSE),"Alerta: Seleccione primero Modalidad de selección")</f>
        <v>CCE-16</v>
      </c>
      <c r="Y60" s="641">
        <v>0</v>
      </c>
      <c r="Z60" s="641" t="s">
        <v>346</v>
      </c>
      <c r="AA60" s="641" t="s">
        <v>1093</v>
      </c>
      <c r="AB60" s="642">
        <f t="shared" si="26"/>
        <v>20000000</v>
      </c>
      <c r="AC60" s="642">
        <f t="shared" si="27"/>
        <v>20000000</v>
      </c>
      <c r="AD60" s="641">
        <v>0</v>
      </c>
      <c r="AE60" s="643">
        <v>0</v>
      </c>
      <c r="AF60" s="639" t="s">
        <v>276</v>
      </c>
      <c r="AG60" s="639" t="s">
        <v>277</v>
      </c>
      <c r="AH60" s="639" t="s">
        <v>284</v>
      </c>
      <c r="AI60" s="626" t="str">
        <f>IFERROR(VLOOKUP(AH60,Listas!$A$77:$C$83,2,FALSE),"Alerta: Seleccione primero el responsable")</f>
        <v>3550800</v>
      </c>
      <c r="AJ60" s="640" t="str">
        <f>IFERROR(VLOOKUP(AH60,Listas!$A$77:$C$83,3,FALSE),"Alerta: Seleccione primero el responsable")</f>
        <v>margarita.castaneda@idpc.gov.co</v>
      </c>
      <c r="AK60" s="640" t="str">
        <f>IF(J60="Funcionamiento Gastos Generales","No aplica",IF(J60="Funcionamiento Servicios Personales indirectos","No aplica",IFERROR(VLOOKUP(J60,Listas!$A$127:$E$139,3,FALSE),"Alerta: Seleccione la celda en la comumna B con el nombre del proyecto")))</f>
        <v>ME20181107</v>
      </c>
      <c r="AL60" s="640" t="str">
        <f>IF(J60="Funcionamiento Gastos Generales","No aplica",IF(J60="Funcionamiento Servicios Personales","No aplica",IFERROR(VLOOKUP(J60,Listas!$A$220:$D$224,2,FALSE),"Alerta: Seleccione la celda en la comumna B con el nombre del proyecto")))</f>
        <v>COMP1107</v>
      </c>
      <c r="AM60" s="640" t="str">
        <f>IF(J60="Funcionamiento Gastos Generales","No aplica",IF(J60="Funcionamiento Servicios Personales","No aplica",IFERROR(VLOOKUP(J60,Listas!$A$220:$D$224,3,FALSE),"Alerta: Seleccione la celda en la comumna B con el nombre del proyecto")))</f>
        <v>CONC1107</v>
      </c>
      <c r="AN60" s="633" t="s">
        <v>1046</v>
      </c>
      <c r="AO60" s="633" t="s">
        <v>54</v>
      </c>
      <c r="AP60" s="634" t="str">
        <f>IFERROR(VLOOKUP(J60,Listas!$A$182:$E$215,5,FALSE),"Alerta: Seleccione la celda en la comumna B con el nombre del proyecto")</f>
        <v>13. Oferta cultural para la valoración y divulgación del patrimonio material e  inmaterial de la ciud</v>
      </c>
      <c r="AQ60" s="634" t="str">
        <f>IF(J60="Funcionamiento Gastos Generales","No aplica",IF(J60="Funcionamiento Servicios Personales","No aplica",IFERROR(VLOOKUP(J60,Listas!$A$220:$D$224,4,FALSE),"Alerta: Seleccione la celda en la comumna B con el nombre del proyecto")))</f>
        <v>FONT1107</v>
      </c>
      <c r="AR60" s="633" t="s">
        <v>198</v>
      </c>
      <c r="AS60" s="634" t="str">
        <f>IFERROR(VLOOKUP(AU60,Listas!$E$85:$L$105,7,FALSE),"Alerta: Seleccione la celda en la comumna AI con el concepto de gasto")</f>
        <v>03-RECURSO HUMANO</v>
      </c>
      <c r="AT60" s="634" t="str">
        <f>IFERROR(VLOOKUP(AU60,Listas!$E$85:$L$105,8,FALSE),"Alerta: Seleccione la celda en la comumna AI con el concepto de gasto")</f>
        <v>01-DIVULGACION, ASISTENCIA TECNICA Y CAPACITACION DE LA POBLACION</v>
      </c>
      <c r="AU60" s="633" t="s">
        <v>232</v>
      </c>
      <c r="AV60" s="634">
        <f>IFERROR(VLOOKUP(AU60,Listas!$E$85:$F$105,2,FALSE),"Alerta: Seleccione el Concepto de Gasto primero")</f>
        <v>0</v>
      </c>
      <c r="AW60" s="644">
        <v>20000000</v>
      </c>
      <c r="AX60" s="645"/>
      <c r="AY60" s="645"/>
      <c r="AZ60" s="645"/>
      <c r="BA60" s="646">
        <f t="shared" si="28"/>
        <v>20000000</v>
      </c>
      <c r="BB60" s="647"/>
      <c r="BC60" s="648"/>
      <c r="BD60" s="649"/>
      <c r="BE60" s="647"/>
      <c r="BF60" s="644"/>
      <c r="BG60" s="646">
        <f t="shared" si="29"/>
        <v>20000000</v>
      </c>
      <c r="BH60" s="650"/>
      <c r="BI60" s="647"/>
      <c r="BJ60" s="644"/>
      <c r="BK60" s="646">
        <f t="shared" si="30"/>
        <v>0</v>
      </c>
      <c r="BL60" s="651"/>
      <c r="BM60" s="652">
        <f t="shared" si="31"/>
        <v>1</v>
      </c>
      <c r="BN60" s="628"/>
      <c r="BO60" s="670"/>
      <c r="BP60" s="644"/>
      <c r="BQ60" s="644"/>
      <c r="BR60" s="644"/>
      <c r="BS60" s="644"/>
      <c r="BT60" s="644"/>
      <c r="BU60" s="644"/>
      <c r="BV60" s="644"/>
      <c r="BW60" s="644"/>
      <c r="BX60" s="644"/>
      <c r="BY60" s="644"/>
      <c r="BZ60" s="644"/>
      <c r="CA60" s="644"/>
      <c r="CB60" s="646">
        <f t="shared" si="32"/>
        <v>0</v>
      </c>
      <c r="CC60" s="646">
        <f t="shared" si="33"/>
        <v>0</v>
      </c>
      <c r="CD60" s="614"/>
    </row>
    <row r="61" spans="1:85" s="561" customFormat="1" ht="61.5" customHeight="1">
      <c r="A61" s="625" t="str">
        <f t="shared" si="4"/>
        <v>1107-158-FONT1107-03-01-0066-Museo de Bogotá en operación</v>
      </c>
      <c r="B61" s="626" t="str">
        <f t="shared" si="5"/>
        <v>1107-158-FONT1107-03-01-0066</v>
      </c>
      <c r="C61" s="626" t="str">
        <f t="shared" si="6"/>
        <v>1107-158-FONT1107-Museo de Bogotá en operación</v>
      </c>
      <c r="D61" s="626" t="str">
        <f t="shared" si="7"/>
        <v>1107-158-12-Otros Distrito-03-01-0066</v>
      </c>
      <c r="E61" s="626" t="str">
        <f t="shared" si="19"/>
        <v>Museo de Bogotá en operación-12-Otros Distrito-0066-Fomento, apoyo y divulgación de eventos y expresiones artísticas, culturales y del patrimonio</v>
      </c>
      <c r="F61" s="627">
        <v>27</v>
      </c>
      <c r="G61" s="628">
        <f t="shared" si="20"/>
        <v>27</v>
      </c>
      <c r="H61" s="629" t="b">
        <f t="shared" si="21"/>
        <v>0</v>
      </c>
      <c r="I61" s="630" t="s">
        <v>594</v>
      </c>
      <c r="J61" s="627" t="s">
        <v>27</v>
      </c>
      <c r="K61" s="631" t="str">
        <f>+IFERROR(VLOOKUP(J61,Listas!$A$108:$B$114,2,FALSE),"Alerta: Seleccione la celda en la comumna B con el nombre del proyecto")</f>
        <v>3-3-1-15-03-25-1107-158</v>
      </c>
      <c r="L61" s="632" t="s">
        <v>625</v>
      </c>
      <c r="M61" s="633" t="s">
        <v>626</v>
      </c>
      <c r="N61" s="634" t="str">
        <f t="shared" si="22"/>
        <v>(Cód. 27) Gastos de TI MdB</v>
      </c>
      <c r="O61" s="635">
        <v>43636</v>
      </c>
      <c r="P61" s="636">
        <f>IFERROR(VLOOKUP(W61,'Estimación CRP'!$D$21:$E$30,2,FALSE),0)</f>
        <v>25</v>
      </c>
      <c r="Q61" s="637">
        <f>IF(O61="No aplica","No aplica",WORKDAY.INTL(O61,P61,1,'Estimación CRP'!A247:A263))</f>
        <v>43671</v>
      </c>
      <c r="R61" s="636">
        <f t="shared" si="23"/>
        <v>7</v>
      </c>
      <c r="S61" s="636">
        <f t="shared" si="24"/>
        <v>6</v>
      </c>
      <c r="T61" s="636">
        <f t="shared" si="25"/>
        <v>6</v>
      </c>
      <c r="U61" s="712">
        <v>4</v>
      </c>
      <c r="V61" s="638">
        <v>1</v>
      </c>
      <c r="W61" s="639" t="s">
        <v>267</v>
      </c>
      <c r="X61" s="640" t="str">
        <f>IFERROR(VLOOKUP(W61,Listas!$A$60:$B$73,2,FALSE),"Alerta: Seleccione primero Modalidad de selección")</f>
        <v>CCE-10</v>
      </c>
      <c r="Y61" s="641">
        <v>0</v>
      </c>
      <c r="Z61" s="641" t="s">
        <v>1094</v>
      </c>
      <c r="AA61" s="641" t="s">
        <v>1095</v>
      </c>
      <c r="AB61" s="642">
        <f t="shared" si="26"/>
        <v>8000000</v>
      </c>
      <c r="AC61" s="642">
        <f t="shared" si="27"/>
        <v>8000000</v>
      </c>
      <c r="AD61" s="641">
        <v>0</v>
      </c>
      <c r="AE61" s="643">
        <v>0</v>
      </c>
      <c r="AF61" s="639" t="s">
        <v>276</v>
      </c>
      <c r="AG61" s="639" t="s">
        <v>277</v>
      </c>
      <c r="AH61" s="639" t="s">
        <v>284</v>
      </c>
      <c r="AI61" s="626" t="str">
        <f>IFERROR(VLOOKUP(AH61,Listas!$A$77:$C$83,2,FALSE),"Alerta: Seleccione primero el responsable")</f>
        <v>3550800</v>
      </c>
      <c r="AJ61" s="640" t="str">
        <f>IFERROR(VLOOKUP(AH61,Listas!$A$77:$C$83,3,FALSE),"Alerta: Seleccione primero el responsable")</f>
        <v>margarita.castaneda@idpc.gov.co</v>
      </c>
      <c r="AK61" s="640" t="str">
        <f>IF(J61="Funcionamiento Gastos Generales","No aplica",IF(J61="Funcionamiento Servicios Personales indirectos","No aplica",IFERROR(VLOOKUP(J61,Listas!$A$127:$E$139,3,FALSE),"Alerta: Seleccione la celda en la comumna B con el nombre del proyecto")))</f>
        <v>ME20181107</v>
      </c>
      <c r="AL61" s="640" t="str">
        <f>IF(J61="Funcionamiento Gastos Generales","No aplica",IF(J61="Funcionamiento Servicios Personales","No aplica",IFERROR(VLOOKUP(J61,Listas!$A$220:$D$224,2,FALSE),"Alerta: Seleccione la celda en la comumna B con el nombre del proyecto")))</f>
        <v>COMP1107</v>
      </c>
      <c r="AM61" s="640" t="str">
        <f>IF(J61="Funcionamiento Gastos Generales","No aplica",IF(J61="Funcionamiento Servicios Personales","No aplica",IFERROR(VLOOKUP(J61,Listas!$A$220:$D$224,3,FALSE),"Alerta: Seleccione la celda en la comumna B con el nombre del proyecto")))</f>
        <v>CONC1107</v>
      </c>
      <c r="AN61" s="633" t="s">
        <v>1047</v>
      </c>
      <c r="AO61" s="633" t="s">
        <v>53</v>
      </c>
      <c r="AP61" s="634" t="str">
        <f>IFERROR(VLOOKUP(J61,Listas!$A$182:$E$215,5,FALSE),"Alerta: Seleccione la celda en la comumna B con el nombre del proyecto")</f>
        <v>13. Oferta cultural para la valoración y divulgación del patrimonio material e  inmaterial de la ciud</v>
      </c>
      <c r="AQ61" s="634" t="str">
        <f>IF(J61="Funcionamiento Gastos Generales","No aplica",IF(J61="Funcionamiento Servicios Personales","No aplica",IFERROR(VLOOKUP(J61,Listas!$A$220:$D$224,4,FALSE),"Alerta: Seleccione la celda en la comumna B con el nombre del proyecto")))</f>
        <v>FONT1107</v>
      </c>
      <c r="AR61" s="633" t="s">
        <v>198</v>
      </c>
      <c r="AS61" s="634" t="str">
        <f>IFERROR(VLOOKUP(AU61,Listas!$E$85:$L$105,7,FALSE),"Alerta: Seleccione la celda en la comumna AI con el concepto de gasto")</f>
        <v>03-RECURSO HUMANO</v>
      </c>
      <c r="AT61" s="634" t="str">
        <f>IFERROR(VLOOKUP(AU61,Listas!$E$85:$L$105,8,FALSE),"Alerta: Seleccione la celda en la comumna AI con el concepto de gasto")</f>
        <v>01-DIVULGACION, ASISTENCIA TECNICA Y CAPACITACION DE LA POBLACION</v>
      </c>
      <c r="AU61" s="633" t="s">
        <v>232</v>
      </c>
      <c r="AV61" s="634">
        <f>IFERROR(VLOOKUP(AU61,Listas!$E$85:$F$105,2,FALSE),"Alerta: Seleccione el Concepto de Gasto primero")</f>
        <v>0</v>
      </c>
      <c r="AW61" s="644">
        <v>8000000</v>
      </c>
      <c r="AX61" s="645"/>
      <c r="AY61" s="645"/>
      <c r="AZ61" s="645"/>
      <c r="BA61" s="646">
        <f t="shared" si="28"/>
        <v>8000000</v>
      </c>
      <c r="BB61" s="647"/>
      <c r="BC61" s="648"/>
      <c r="BD61" s="649"/>
      <c r="BE61" s="647"/>
      <c r="BF61" s="644"/>
      <c r="BG61" s="646">
        <f t="shared" si="29"/>
        <v>8000000</v>
      </c>
      <c r="BH61" s="650"/>
      <c r="BI61" s="647"/>
      <c r="BJ61" s="644"/>
      <c r="BK61" s="646">
        <f t="shared" si="30"/>
        <v>0</v>
      </c>
      <c r="BL61" s="651"/>
      <c r="BM61" s="652">
        <f t="shared" si="31"/>
        <v>1</v>
      </c>
      <c r="BN61" s="628"/>
      <c r="BO61" s="670"/>
      <c r="BP61" s="644"/>
      <c r="BQ61" s="644"/>
      <c r="BR61" s="644"/>
      <c r="BS61" s="644"/>
      <c r="BT61" s="644"/>
      <c r="BU61" s="644"/>
      <c r="BV61" s="644"/>
      <c r="BW61" s="644"/>
      <c r="BX61" s="644"/>
      <c r="BY61" s="644"/>
      <c r="BZ61" s="644"/>
      <c r="CA61" s="644"/>
      <c r="CB61" s="646">
        <f t="shared" si="32"/>
        <v>0</v>
      </c>
      <c r="CC61" s="646">
        <f t="shared" si="33"/>
        <v>0</v>
      </c>
      <c r="CD61" s="614"/>
    </row>
    <row r="62" spans="1:85" s="561" customFormat="1" ht="61.5" customHeight="1">
      <c r="A62" s="625" t="str">
        <f t="shared" si="4"/>
        <v>1107-158-FONT1107-03-01-0066-Museo de Bogotá en operación</v>
      </c>
      <c r="B62" s="626" t="str">
        <f t="shared" si="5"/>
        <v>1107-158-FONT1107-03-01-0066</v>
      </c>
      <c r="C62" s="626" t="str">
        <f t="shared" si="6"/>
        <v>1107-158-FONT1107-Museo de Bogotá en operación</v>
      </c>
      <c r="D62" s="626" t="str">
        <f t="shared" si="7"/>
        <v>1107-158-12-Otros Distrito-03-01-0066</v>
      </c>
      <c r="E62" s="626" t="str">
        <f t="shared" si="19"/>
        <v>Museo de Bogotá en operación-12-Otros Distrito-0066-Fomento, apoyo y divulgación de eventos y expresiones artísticas, culturales y del patrimonio</v>
      </c>
      <c r="F62" s="627">
        <v>28</v>
      </c>
      <c r="G62" s="628">
        <f t="shared" si="20"/>
        <v>28</v>
      </c>
      <c r="H62" s="629" t="b">
        <f t="shared" si="21"/>
        <v>0</v>
      </c>
      <c r="I62" s="630" t="s">
        <v>594</v>
      </c>
      <c r="J62" s="627" t="s">
        <v>27</v>
      </c>
      <c r="K62" s="631" t="str">
        <f>+IFERROR(VLOOKUP(J62,Listas!$A$108:$B$114,2,FALSE),"Alerta: Seleccione la celda en la comumna B con el nombre del proyecto")</f>
        <v>3-3-1-15-03-25-1107-158</v>
      </c>
      <c r="L62" s="632" t="s">
        <v>627</v>
      </c>
      <c r="M62" s="633" t="s">
        <v>628</v>
      </c>
      <c r="N62" s="634" t="str">
        <f t="shared" si="22"/>
        <v>(Cód. 28) Adquisición de equipos de comunicación, audio, video y conexos requeridos para el desarrollo de las actividades misionales adelantadas por la Subdirección de Divulgación de los Valores del Patrimonio Cultural.</v>
      </c>
      <c r="O62" s="635">
        <v>43539</v>
      </c>
      <c r="P62" s="636">
        <f>IFERROR(VLOOKUP(W62,'Estimación CRP'!$D$21:$E$30,2,FALSE),0)</f>
        <v>45</v>
      </c>
      <c r="Q62" s="637">
        <f>IF(O62="No aplica","No aplica",WORKDAY.INTL(O62,P62,1,'Estimación CRP'!A248:A264))</f>
        <v>43602</v>
      </c>
      <c r="R62" s="636">
        <f t="shared" si="23"/>
        <v>5</v>
      </c>
      <c r="S62" s="636">
        <f t="shared" si="24"/>
        <v>3</v>
      </c>
      <c r="T62" s="636">
        <f t="shared" si="25"/>
        <v>3</v>
      </c>
      <c r="U62" s="712">
        <v>3</v>
      </c>
      <c r="V62" s="638">
        <v>1</v>
      </c>
      <c r="W62" s="639" t="s">
        <v>347</v>
      </c>
      <c r="X62" s="640" t="str">
        <f>IFERROR(VLOOKUP(W62,Listas!$A$60:$B$73,2,FALSE),"Alerta: Seleccione primero Modalidad de selección")</f>
        <v>CCE-07</v>
      </c>
      <c r="Y62" s="641">
        <v>0</v>
      </c>
      <c r="Z62" s="641" t="s">
        <v>1096</v>
      </c>
      <c r="AA62" s="641" t="s">
        <v>1097</v>
      </c>
      <c r="AB62" s="642">
        <f t="shared" si="26"/>
        <v>20000000</v>
      </c>
      <c r="AC62" s="642">
        <f t="shared" si="27"/>
        <v>20000000</v>
      </c>
      <c r="AD62" s="641">
        <v>0</v>
      </c>
      <c r="AE62" s="643">
        <v>0</v>
      </c>
      <c r="AF62" s="639" t="s">
        <v>276</v>
      </c>
      <c r="AG62" s="639" t="s">
        <v>277</v>
      </c>
      <c r="AH62" s="639" t="s">
        <v>284</v>
      </c>
      <c r="AI62" s="626" t="str">
        <f>IFERROR(VLOOKUP(AH62,Listas!$A$77:$C$83,2,FALSE),"Alerta: Seleccione primero el responsable")</f>
        <v>3550800</v>
      </c>
      <c r="AJ62" s="640" t="str">
        <f>IFERROR(VLOOKUP(AH62,Listas!$A$77:$C$83,3,FALSE),"Alerta: Seleccione primero el responsable")</f>
        <v>margarita.castaneda@idpc.gov.co</v>
      </c>
      <c r="AK62" s="640" t="str">
        <f>IF(J62="Funcionamiento Gastos Generales","No aplica",IF(J62="Funcionamiento Servicios Personales indirectos","No aplica",IFERROR(VLOOKUP(J62,Listas!$A$127:$E$139,3,FALSE),"Alerta: Seleccione la celda en la comumna B con el nombre del proyecto")))</f>
        <v>ME20181107</v>
      </c>
      <c r="AL62" s="640" t="str">
        <f>IF(J62="Funcionamiento Gastos Generales","No aplica",IF(J62="Funcionamiento Servicios Personales","No aplica",IFERROR(VLOOKUP(J62,Listas!$A$220:$D$224,2,FALSE),"Alerta: Seleccione la celda en la comumna B con el nombre del proyecto")))</f>
        <v>COMP1107</v>
      </c>
      <c r="AM62" s="640" t="str">
        <f>IF(J62="Funcionamiento Gastos Generales","No aplica",IF(J62="Funcionamiento Servicios Personales","No aplica",IFERROR(VLOOKUP(J62,Listas!$A$220:$D$224,3,FALSE),"Alerta: Seleccione la celda en la comumna B con el nombre del proyecto")))</f>
        <v>CONC1107</v>
      </c>
      <c r="AN62" s="633" t="s">
        <v>1047</v>
      </c>
      <c r="AO62" s="633" t="s">
        <v>53</v>
      </c>
      <c r="AP62" s="634" t="str">
        <f>IFERROR(VLOOKUP(J62,Listas!$A$182:$E$215,5,FALSE),"Alerta: Seleccione la celda en la comumna B con el nombre del proyecto")</f>
        <v>13. Oferta cultural para la valoración y divulgación del patrimonio material e  inmaterial de la ciud</v>
      </c>
      <c r="AQ62" s="634" t="str">
        <f>IF(J62="Funcionamiento Gastos Generales","No aplica",IF(J62="Funcionamiento Servicios Personales","No aplica",IFERROR(VLOOKUP(J62,Listas!$A$220:$D$224,4,FALSE),"Alerta: Seleccione la celda en la comumna B con el nombre del proyecto")))</f>
        <v>FONT1107</v>
      </c>
      <c r="AR62" s="633" t="s">
        <v>198</v>
      </c>
      <c r="AS62" s="634" t="str">
        <f>IFERROR(VLOOKUP(AU62,Listas!$E$85:$L$105,7,FALSE),"Alerta: Seleccione la celda en la comumna AI con el concepto de gasto")</f>
        <v>03-RECURSO HUMANO</v>
      </c>
      <c r="AT62" s="634" t="str">
        <f>IFERROR(VLOOKUP(AU62,Listas!$E$85:$L$105,8,FALSE),"Alerta: Seleccione la celda en la comumna AI con el concepto de gasto")</f>
        <v>01-DIVULGACION, ASISTENCIA TECNICA Y CAPACITACION DE LA POBLACION</v>
      </c>
      <c r="AU62" s="633" t="s">
        <v>232</v>
      </c>
      <c r="AV62" s="634">
        <f>IFERROR(VLOOKUP(AU62,Listas!$E$85:$F$105,2,FALSE),"Alerta: Seleccione el Concepto de Gasto primero")</f>
        <v>0</v>
      </c>
      <c r="AW62" s="644">
        <v>20000000</v>
      </c>
      <c r="AX62" s="645"/>
      <c r="AY62" s="645"/>
      <c r="AZ62" s="645"/>
      <c r="BA62" s="646">
        <f t="shared" si="28"/>
        <v>20000000</v>
      </c>
      <c r="BB62" s="647"/>
      <c r="BC62" s="648"/>
      <c r="BD62" s="649"/>
      <c r="BE62" s="647"/>
      <c r="BF62" s="644"/>
      <c r="BG62" s="646">
        <f t="shared" si="29"/>
        <v>20000000</v>
      </c>
      <c r="BH62" s="650"/>
      <c r="BI62" s="647"/>
      <c r="BJ62" s="644"/>
      <c r="BK62" s="646">
        <f t="shared" si="30"/>
        <v>0</v>
      </c>
      <c r="BL62" s="651"/>
      <c r="BM62" s="652">
        <f t="shared" si="31"/>
        <v>1</v>
      </c>
      <c r="BN62" s="628"/>
      <c r="BO62" s="670"/>
      <c r="BP62" s="644"/>
      <c r="BQ62" s="644"/>
      <c r="BR62" s="644"/>
      <c r="BS62" s="644"/>
      <c r="BT62" s="644"/>
      <c r="BU62" s="644"/>
      <c r="BV62" s="644"/>
      <c r="BW62" s="644"/>
      <c r="BX62" s="644"/>
      <c r="BY62" s="644"/>
      <c r="BZ62" s="644"/>
      <c r="CA62" s="644"/>
      <c r="CB62" s="646">
        <f t="shared" si="32"/>
        <v>0</v>
      </c>
      <c r="CC62" s="646">
        <f t="shared" si="33"/>
        <v>0</v>
      </c>
      <c r="CD62" s="614"/>
    </row>
    <row r="63" spans="1:85" s="561" customFormat="1" ht="61.5" customHeight="1">
      <c r="A63" s="625" t="str">
        <f t="shared" si="4"/>
        <v>1107-158-FONT1107-03-01-0066-Museo de Bogotá en operación</v>
      </c>
      <c r="B63" s="626" t="str">
        <f t="shared" si="5"/>
        <v>1107-158-FONT1107-03-01-0066</v>
      </c>
      <c r="C63" s="626" t="str">
        <f t="shared" si="6"/>
        <v>1107-158-FONT1107-Museo de Bogotá en operación</v>
      </c>
      <c r="D63" s="626" t="str">
        <f t="shared" si="7"/>
        <v>1107-158-12-Otros Distrito-03-01-0066</v>
      </c>
      <c r="E63" s="626" t="str">
        <f t="shared" si="19"/>
        <v>Museo de Bogotá en operación-12-Otros Distrito-0066-Fomento, apoyo y divulgación de eventos y expresiones artísticas, culturales y del patrimonio</v>
      </c>
      <c r="F63" s="627">
        <v>29</v>
      </c>
      <c r="G63" s="628">
        <f t="shared" si="20"/>
        <v>29</v>
      </c>
      <c r="H63" s="629" t="b">
        <f t="shared" si="21"/>
        <v>0</v>
      </c>
      <c r="I63" s="630" t="s">
        <v>594</v>
      </c>
      <c r="J63" s="627" t="s">
        <v>27</v>
      </c>
      <c r="K63" s="631" t="str">
        <f>+IFERROR(VLOOKUP(J63,Listas!$A$108:$B$114,2,FALSE),"Alerta: Seleccione la celda en la comumna B con el nombre del proyecto")</f>
        <v>3-3-1-15-03-25-1107-158</v>
      </c>
      <c r="L63" s="632" t="s">
        <v>618</v>
      </c>
      <c r="M63" s="633" t="s">
        <v>629</v>
      </c>
      <c r="N63" s="634" t="str">
        <f t="shared" si="22"/>
        <v>(Cód. 29) Prestar servicios profesionales al Instituto Distrital de Patrimonio Cultural para apoyar el diseño museográfico de los proyectos adelantados por el Museo de Bogotá.</v>
      </c>
      <c r="O63" s="635">
        <v>43480</v>
      </c>
      <c r="P63" s="636">
        <f>IFERROR(VLOOKUP(W63,'Estimación CRP'!$D$21:$E$30,2,FALSE),0)</f>
        <v>10</v>
      </c>
      <c r="Q63" s="637">
        <f>IF(O63="No aplica","No aplica",WORKDAY.INTL(O63,P63,1,'Estimación CRP'!A249:A265))</f>
        <v>43494</v>
      </c>
      <c r="R63" s="636">
        <f t="shared" si="23"/>
        <v>1</v>
      </c>
      <c r="S63" s="636">
        <f t="shared" si="24"/>
        <v>1</v>
      </c>
      <c r="T63" s="636">
        <f t="shared" si="25"/>
        <v>1</v>
      </c>
      <c r="U63" s="712">
        <v>3</v>
      </c>
      <c r="V63" s="638">
        <v>1</v>
      </c>
      <c r="W63" s="639" t="s">
        <v>274</v>
      </c>
      <c r="X63" s="640" t="str">
        <f>IFERROR(VLOOKUP(W63,Listas!$A$60:$B$73,2,FALSE),"Alerta: Seleccione primero Modalidad de selección")</f>
        <v>CCE-16</v>
      </c>
      <c r="Y63" s="641">
        <v>0</v>
      </c>
      <c r="Z63" s="641" t="s">
        <v>346</v>
      </c>
      <c r="AA63" s="641" t="s">
        <v>1098</v>
      </c>
      <c r="AB63" s="642">
        <f t="shared" si="26"/>
        <v>18240000</v>
      </c>
      <c r="AC63" s="642">
        <f t="shared" si="27"/>
        <v>18240000</v>
      </c>
      <c r="AD63" s="641">
        <v>0</v>
      </c>
      <c r="AE63" s="643">
        <v>0</v>
      </c>
      <c r="AF63" s="639" t="s">
        <v>276</v>
      </c>
      <c r="AG63" s="639" t="s">
        <v>277</v>
      </c>
      <c r="AH63" s="639" t="s">
        <v>284</v>
      </c>
      <c r="AI63" s="626" t="str">
        <f>IFERROR(VLOOKUP(AH63,Listas!$A$77:$C$83,2,FALSE),"Alerta: Seleccione primero el responsable")</f>
        <v>3550800</v>
      </c>
      <c r="AJ63" s="640" t="str">
        <f>IFERROR(VLOOKUP(AH63,Listas!$A$77:$C$83,3,FALSE),"Alerta: Seleccione primero el responsable")</f>
        <v>margarita.castaneda@idpc.gov.co</v>
      </c>
      <c r="AK63" s="640" t="str">
        <f>IF(J63="Funcionamiento Gastos Generales","No aplica",IF(J63="Funcionamiento Servicios Personales indirectos","No aplica",IFERROR(VLOOKUP(J63,Listas!$A$127:$E$139,3,FALSE),"Alerta: Seleccione la celda en la comumna B con el nombre del proyecto")))</f>
        <v>ME20181107</v>
      </c>
      <c r="AL63" s="640" t="str">
        <f>IF(J63="Funcionamiento Gastos Generales","No aplica",IF(J63="Funcionamiento Servicios Personales","No aplica",IFERROR(VLOOKUP(J63,Listas!$A$220:$D$224,2,FALSE),"Alerta: Seleccione la celda en la comumna B con el nombre del proyecto")))</f>
        <v>COMP1107</v>
      </c>
      <c r="AM63" s="640" t="str">
        <f>IF(J63="Funcionamiento Gastos Generales","No aplica",IF(J63="Funcionamiento Servicios Personales","No aplica",IFERROR(VLOOKUP(J63,Listas!$A$220:$D$224,3,FALSE),"Alerta: Seleccione la celda en la comumna B con el nombre del proyecto")))</f>
        <v>CONC1107</v>
      </c>
      <c r="AN63" s="633" t="s">
        <v>1047</v>
      </c>
      <c r="AO63" s="633" t="s">
        <v>53</v>
      </c>
      <c r="AP63" s="634" t="str">
        <f>IFERROR(VLOOKUP(J63,Listas!$A$182:$E$215,5,FALSE),"Alerta: Seleccione la celda en la comumna B con el nombre del proyecto")</f>
        <v>13. Oferta cultural para la valoración y divulgación del patrimonio material e  inmaterial de la ciud</v>
      </c>
      <c r="AQ63" s="634" t="str">
        <f>IF(J63="Funcionamiento Gastos Generales","No aplica",IF(J63="Funcionamiento Servicios Personales","No aplica",IFERROR(VLOOKUP(J63,Listas!$A$220:$D$224,4,FALSE),"Alerta: Seleccione la celda en la comumna B con el nombre del proyecto")))</f>
        <v>FONT1107</v>
      </c>
      <c r="AR63" s="633" t="s">
        <v>198</v>
      </c>
      <c r="AS63" s="634" t="str">
        <f>IFERROR(VLOOKUP(AU63,Listas!$E$85:$L$105,7,FALSE),"Alerta: Seleccione la celda en la comumna AI con el concepto de gasto")</f>
        <v>03-RECURSO HUMANO</v>
      </c>
      <c r="AT63" s="634" t="str">
        <f>IFERROR(VLOOKUP(AU63,Listas!$E$85:$L$105,8,FALSE),"Alerta: Seleccione la celda en la comumna AI con el concepto de gasto")</f>
        <v>01-DIVULGACION, ASISTENCIA TECNICA Y CAPACITACION DE LA POBLACION</v>
      </c>
      <c r="AU63" s="633" t="s">
        <v>232</v>
      </c>
      <c r="AV63" s="634">
        <f>IFERROR(VLOOKUP(AU63,Listas!$E$85:$F$105,2,FALSE),"Alerta: Seleccione el Concepto de Gasto primero")</f>
        <v>0</v>
      </c>
      <c r="AW63" s="644">
        <v>18240000</v>
      </c>
      <c r="AX63" s="645"/>
      <c r="AY63" s="645"/>
      <c r="AZ63" s="645"/>
      <c r="BA63" s="646">
        <f t="shared" si="28"/>
        <v>18240000</v>
      </c>
      <c r="BB63" s="647"/>
      <c r="BC63" s="648"/>
      <c r="BD63" s="649"/>
      <c r="BE63" s="647"/>
      <c r="BF63" s="644"/>
      <c r="BG63" s="646">
        <f t="shared" si="29"/>
        <v>18240000</v>
      </c>
      <c r="BH63" s="650"/>
      <c r="BI63" s="647"/>
      <c r="BJ63" s="644"/>
      <c r="BK63" s="646">
        <f t="shared" si="30"/>
        <v>0</v>
      </c>
      <c r="BL63" s="651"/>
      <c r="BM63" s="652">
        <f t="shared" si="31"/>
        <v>1</v>
      </c>
      <c r="BN63" s="628"/>
      <c r="BO63" s="670"/>
      <c r="BP63" s="644"/>
      <c r="BQ63" s="644"/>
      <c r="BR63" s="644"/>
      <c r="BS63" s="644"/>
      <c r="BT63" s="644"/>
      <c r="BU63" s="644"/>
      <c r="BV63" s="644"/>
      <c r="BW63" s="644"/>
      <c r="BX63" s="644"/>
      <c r="BY63" s="644"/>
      <c r="BZ63" s="644"/>
      <c r="CA63" s="644"/>
      <c r="CB63" s="646">
        <f t="shared" si="32"/>
        <v>0</v>
      </c>
      <c r="CC63" s="646">
        <f t="shared" si="33"/>
        <v>0</v>
      </c>
      <c r="CD63" s="614"/>
    </row>
    <row r="64" spans="1:85" s="561" customFormat="1" ht="61.5" customHeight="1">
      <c r="A64" s="625" t="str">
        <f t="shared" si="4"/>
        <v>1107-158-FONT1107-03-01-0066-Activación del patrimonio</v>
      </c>
      <c r="B64" s="626" t="str">
        <f t="shared" si="5"/>
        <v>1107-158-FONT1107-03-01-0066</v>
      </c>
      <c r="C64" s="626" t="str">
        <f t="shared" si="6"/>
        <v>1107-158-FONT1107-Activación del patrimonio</v>
      </c>
      <c r="D64" s="626" t="str">
        <f t="shared" si="7"/>
        <v>1107-158-12-Otros Distrito-03-01-0066</v>
      </c>
      <c r="E64" s="626" t="str">
        <f t="shared" si="19"/>
        <v>Activación del patrimonio-12-Otros Distrito-0066-Fomento, apoyo y divulgación de eventos y expresiones artísticas, culturales y del patrimonio</v>
      </c>
      <c r="F64" s="627">
        <v>30</v>
      </c>
      <c r="G64" s="628">
        <f t="shared" si="20"/>
        <v>30</v>
      </c>
      <c r="H64" s="629" t="b">
        <f t="shared" si="21"/>
        <v>0</v>
      </c>
      <c r="I64" s="630" t="s">
        <v>594</v>
      </c>
      <c r="J64" s="627" t="s">
        <v>27</v>
      </c>
      <c r="K64" s="631" t="str">
        <f>+IFERROR(VLOOKUP(J64,Listas!$A$108:$B$114,2,FALSE),"Alerta: Seleccione la celda en la comumna B con el nombre del proyecto")</f>
        <v>3-3-1-15-03-25-1107-158</v>
      </c>
      <c r="L64" s="632" t="s">
        <v>618</v>
      </c>
      <c r="M64" s="633" t="s">
        <v>630</v>
      </c>
      <c r="N64" s="634" t="str">
        <f t="shared" si="22"/>
        <v>(Cód. 30) Prestar servicios profesionales al Instituto Distrital de Patrimonio Cultural para realizar el registro fotográfico y audiovisual requerido para la ejecución de la estrategia de apropiación social del patrimonio cultural.</v>
      </c>
      <c r="O64" s="635">
        <v>43480</v>
      </c>
      <c r="P64" s="636">
        <f>IFERROR(VLOOKUP(W64,'Estimación CRP'!$D$21:$E$30,2,FALSE),0)</f>
        <v>10</v>
      </c>
      <c r="Q64" s="637">
        <f>IF(O64="No aplica","No aplica",WORKDAY.INTL(O64,P64,1,'Estimación CRP'!A250:A266))</f>
        <v>43494</v>
      </c>
      <c r="R64" s="636">
        <f t="shared" si="23"/>
        <v>1</v>
      </c>
      <c r="S64" s="636">
        <f t="shared" si="24"/>
        <v>1</v>
      </c>
      <c r="T64" s="636">
        <f t="shared" si="25"/>
        <v>1</v>
      </c>
      <c r="U64" s="712">
        <v>11</v>
      </c>
      <c r="V64" s="638">
        <v>1</v>
      </c>
      <c r="W64" s="639" t="s">
        <v>274</v>
      </c>
      <c r="X64" s="640" t="str">
        <f>IFERROR(VLOOKUP(W64,Listas!$A$60:$B$73,2,FALSE),"Alerta: Seleccione primero Modalidad de selección")</f>
        <v>CCE-16</v>
      </c>
      <c r="Y64" s="641">
        <v>0</v>
      </c>
      <c r="Z64" s="641" t="s">
        <v>346</v>
      </c>
      <c r="AA64" s="641" t="s">
        <v>1099</v>
      </c>
      <c r="AB64" s="642">
        <f t="shared" si="26"/>
        <v>66880000</v>
      </c>
      <c r="AC64" s="642">
        <f t="shared" si="27"/>
        <v>66880000</v>
      </c>
      <c r="AD64" s="641">
        <v>0</v>
      </c>
      <c r="AE64" s="643">
        <v>0</v>
      </c>
      <c r="AF64" s="639" t="s">
        <v>276</v>
      </c>
      <c r="AG64" s="639" t="s">
        <v>277</v>
      </c>
      <c r="AH64" s="639" t="s">
        <v>284</v>
      </c>
      <c r="AI64" s="626" t="str">
        <f>IFERROR(VLOOKUP(AH64,Listas!$A$77:$C$83,2,FALSE),"Alerta: Seleccione primero el responsable")</f>
        <v>3550800</v>
      </c>
      <c r="AJ64" s="640" t="str">
        <f>IFERROR(VLOOKUP(AH64,Listas!$A$77:$C$83,3,FALSE),"Alerta: Seleccione primero el responsable")</f>
        <v>margarita.castaneda@idpc.gov.co</v>
      </c>
      <c r="AK64" s="640" t="str">
        <f>IF(J64="Funcionamiento Gastos Generales","No aplica",IF(J64="Funcionamiento Servicios Personales indirectos","No aplica",IFERROR(VLOOKUP(J64,Listas!$A$127:$E$139,3,FALSE),"Alerta: Seleccione la celda en la comumna B con el nombre del proyecto")))</f>
        <v>ME20181107</v>
      </c>
      <c r="AL64" s="640" t="str">
        <f>IF(J64="Funcionamiento Gastos Generales","No aplica",IF(J64="Funcionamiento Servicios Personales","No aplica",IFERROR(VLOOKUP(J64,Listas!$A$220:$D$224,2,FALSE),"Alerta: Seleccione la celda en la comumna B con el nombre del proyecto")))</f>
        <v>COMP1107</v>
      </c>
      <c r="AM64" s="640" t="str">
        <f>IF(J64="Funcionamiento Gastos Generales","No aplica",IF(J64="Funcionamiento Servicios Personales","No aplica",IFERROR(VLOOKUP(J64,Listas!$A$220:$D$224,3,FALSE),"Alerta: Seleccione la celda en la comumna B con el nombre del proyecto")))</f>
        <v>CONC1107</v>
      </c>
      <c r="AN64" s="633" t="s">
        <v>1046</v>
      </c>
      <c r="AO64" s="633" t="s">
        <v>54</v>
      </c>
      <c r="AP64" s="634" t="str">
        <f>IFERROR(VLOOKUP(J64,Listas!$A$182:$E$215,5,FALSE),"Alerta: Seleccione la celda en la comumna B con el nombre del proyecto")</f>
        <v>13. Oferta cultural para la valoración y divulgación del patrimonio material e  inmaterial de la ciud</v>
      </c>
      <c r="AQ64" s="634" t="str">
        <f>IF(J64="Funcionamiento Gastos Generales","No aplica",IF(J64="Funcionamiento Servicios Personales","No aplica",IFERROR(VLOOKUP(J64,Listas!$A$220:$D$224,4,FALSE),"Alerta: Seleccione la celda en la comumna B con el nombre del proyecto")))</f>
        <v>FONT1107</v>
      </c>
      <c r="AR64" s="633" t="s">
        <v>198</v>
      </c>
      <c r="AS64" s="634" t="str">
        <f>IFERROR(VLOOKUP(AU64,Listas!$E$85:$L$105,7,FALSE),"Alerta: Seleccione la celda en la comumna AI con el concepto de gasto")</f>
        <v>03-RECURSO HUMANO</v>
      </c>
      <c r="AT64" s="634" t="str">
        <f>IFERROR(VLOOKUP(AU64,Listas!$E$85:$L$105,8,FALSE),"Alerta: Seleccione la celda en la comumna AI con el concepto de gasto")</f>
        <v>01-DIVULGACION, ASISTENCIA TECNICA Y CAPACITACION DE LA POBLACION</v>
      </c>
      <c r="AU64" s="633" t="s">
        <v>232</v>
      </c>
      <c r="AV64" s="634">
        <f>IFERROR(VLOOKUP(AU64,Listas!$E$85:$F$105,2,FALSE),"Alerta: Seleccione el Concepto de Gasto primero")</f>
        <v>0</v>
      </c>
      <c r="AW64" s="644">
        <v>66880000</v>
      </c>
      <c r="AX64" s="645"/>
      <c r="AY64" s="645"/>
      <c r="AZ64" s="645"/>
      <c r="BA64" s="646">
        <f t="shared" si="28"/>
        <v>66880000</v>
      </c>
      <c r="BB64" s="647"/>
      <c r="BC64" s="648"/>
      <c r="BD64" s="649"/>
      <c r="BE64" s="647"/>
      <c r="BF64" s="644"/>
      <c r="BG64" s="646">
        <f t="shared" si="29"/>
        <v>66880000</v>
      </c>
      <c r="BH64" s="650"/>
      <c r="BI64" s="647"/>
      <c r="BJ64" s="644"/>
      <c r="BK64" s="646">
        <f t="shared" si="30"/>
        <v>0</v>
      </c>
      <c r="BL64" s="651"/>
      <c r="BM64" s="652">
        <f t="shared" si="31"/>
        <v>1</v>
      </c>
      <c r="BN64" s="628"/>
      <c r="BO64" s="670"/>
      <c r="BP64" s="644"/>
      <c r="BQ64" s="644"/>
      <c r="BR64" s="644"/>
      <c r="BS64" s="644"/>
      <c r="BT64" s="644"/>
      <c r="BU64" s="644"/>
      <c r="BV64" s="644"/>
      <c r="BW64" s="644"/>
      <c r="BX64" s="644"/>
      <c r="BY64" s="644"/>
      <c r="BZ64" s="644"/>
      <c r="CA64" s="644"/>
      <c r="CB64" s="646">
        <f t="shared" si="32"/>
        <v>0</v>
      </c>
      <c r="CC64" s="646">
        <f t="shared" si="33"/>
        <v>0</v>
      </c>
      <c r="CD64" s="614"/>
    </row>
    <row r="65" spans="1:85" s="561" customFormat="1" ht="61.5" customHeight="1">
      <c r="A65" s="625" t="str">
        <f t="shared" si="4"/>
        <v>1107-158-FONT1107-03-01-0066-Activación del patrimonio</v>
      </c>
      <c r="B65" s="626" t="str">
        <f t="shared" si="5"/>
        <v>1107-158-FONT1107-03-01-0066</v>
      </c>
      <c r="C65" s="626" t="str">
        <f t="shared" si="6"/>
        <v>1107-158-FONT1107-Activación del patrimonio</v>
      </c>
      <c r="D65" s="626" t="str">
        <f t="shared" si="7"/>
        <v>1107-158-12-Otros Distrito-03-01-0066</v>
      </c>
      <c r="E65" s="626" t="str">
        <f t="shared" si="19"/>
        <v>Activación del patrimonio-12-Otros Distrito-0066-Fomento, apoyo y divulgación de eventos y expresiones artísticas, culturales y del patrimonio</v>
      </c>
      <c r="F65" s="627">
        <v>31</v>
      </c>
      <c r="G65" s="628">
        <f t="shared" si="20"/>
        <v>31</v>
      </c>
      <c r="H65" s="629" t="b">
        <f t="shared" si="21"/>
        <v>0</v>
      </c>
      <c r="I65" s="630" t="s">
        <v>594</v>
      </c>
      <c r="J65" s="627" t="s">
        <v>27</v>
      </c>
      <c r="K65" s="631" t="str">
        <f>+IFERROR(VLOOKUP(J65,Listas!$A$108:$B$114,2,FALSE),"Alerta: Seleccione la celda en la comumna B con el nombre del proyecto")</f>
        <v>3-3-1-15-03-25-1107-158</v>
      </c>
      <c r="L65" s="632" t="s">
        <v>618</v>
      </c>
      <c r="M65" s="633" t="s">
        <v>631</v>
      </c>
      <c r="N65" s="634" t="str">
        <f t="shared" si="22"/>
        <v>(Cód. 31) Prestar servicios profesionales al Instituto Distrital de Patrimonio Cultural para orientar las actividades periodísticas y de prensa requeridas en la estrategia de apropiación social del patrimonio cultural.</v>
      </c>
      <c r="O65" s="635">
        <v>43480</v>
      </c>
      <c r="P65" s="636">
        <f>IFERROR(VLOOKUP(W65,'Estimación CRP'!$D$21:$E$30,2,FALSE),0)</f>
        <v>10</v>
      </c>
      <c r="Q65" s="637">
        <f>IF(O65="No aplica","No aplica",WORKDAY.INTL(O65,P65,1,'Estimación CRP'!A251:A267))</f>
        <v>43494</v>
      </c>
      <c r="R65" s="636">
        <f t="shared" si="23"/>
        <v>1</v>
      </c>
      <c r="S65" s="636">
        <f t="shared" si="24"/>
        <v>1</v>
      </c>
      <c r="T65" s="636">
        <f t="shared" si="25"/>
        <v>1</v>
      </c>
      <c r="U65" s="712">
        <v>11</v>
      </c>
      <c r="V65" s="638">
        <v>1</v>
      </c>
      <c r="W65" s="639" t="s">
        <v>274</v>
      </c>
      <c r="X65" s="640" t="str">
        <f>IFERROR(VLOOKUP(W65,Listas!$A$60:$B$73,2,FALSE),"Alerta: Seleccione primero Modalidad de selección")</f>
        <v>CCE-16</v>
      </c>
      <c r="Y65" s="641">
        <v>0</v>
      </c>
      <c r="Z65" s="641" t="s">
        <v>346</v>
      </c>
      <c r="AA65" s="641" t="s">
        <v>1100</v>
      </c>
      <c r="AB65" s="642">
        <f t="shared" si="26"/>
        <v>95260000</v>
      </c>
      <c r="AC65" s="642">
        <f t="shared" si="27"/>
        <v>95260000</v>
      </c>
      <c r="AD65" s="641">
        <v>0</v>
      </c>
      <c r="AE65" s="643">
        <v>0</v>
      </c>
      <c r="AF65" s="639" t="s">
        <v>276</v>
      </c>
      <c r="AG65" s="639" t="s">
        <v>277</v>
      </c>
      <c r="AH65" s="639" t="s">
        <v>284</v>
      </c>
      <c r="AI65" s="626" t="str">
        <f>IFERROR(VLOOKUP(AH65,Listas!$A$77:$C$83,2,FALSE),"Alerta: Seleccione primero el responsable")</f>
        <v>3550800</v>
      </c>
      <c r="AJ65" s="640" t="str">
        <f>IFERROR(VLOOKUP(AH65,Listas!$A$77:$C$83,3,FALSE),"Alerta: Seleccione primero el responsable")</f>
        <v>margarita.castaneda@idpc.gov.co</v>
      </c>
      <c r="AK65" s="640" t="str">
        <f>IF(J65="Funcionamiento Gastos Generales","No aplica",IF(J65="Funcionamiento Servicios Personales indirectos","No aplica",IFERROR(VLOOKUP(J65,Listas!$A$127:$E$139,3,FALSE),"Alerta: Seleccione la celda en la comumna B con el nombre del proyecto")))</f>
        <v>ME20181107</v>
      </c>
      <c r="AL65" s="640" t="str">
        <f>IF(J65="Funcionamiento Gastos Generales","No aplica",IF(J65="Funcionamiento Servicios Personales","No aplica",IFERROR(VLOOKUP(J65,Listas!$A$220:$D$224,2,FALSE),"Alerta: Seleccione la celda en la comumna B con el nombre del proyecto")))</f>
        <v>COMP1107</v>
      </c>
      <c r="AM65" s="640" t="str">
        <f>IF(J65="Funcionamiento Gastos Generales","No aplica",IF(J65="Funcionamiento Servicios Personales","No aplica",IFERROR(VLOOKUP(J65,Listas!$A$220:$D$224,3,FALSE),"Alerta: Seleccione la celda en la comumna B con el nombre del proyecto")))</f>
        <v>CONC1107</v>
      </c>
      <c r="AN65" s="633" t="s">
        <v>1046</v>
      </c>
      <c r="AO65" s="633" t="s">
        <v>54</v>
      </c>
      <c r="AP65" s="634" t="str">
        <f>IFERROR(VLOOKUP(J65,Listas!$A$182:$E$215,5,FALSE),"Alerta: Seleccione la celda en la comumna B con el nombre del proyecto")</f>
        <v>13. Oferta cultural para la valoración y divulgación del patrimonio material e  inmaterial de la ciud</v>
      </c>
      <c r="AQ65" s="634" t="str">
        <f>IF(J65="Funcionamiento Gastos Generales","No aplica",IF(J65="Funcionamiento Servicios Personales","No aplica",IFERROR(VLOOKUP(J65,Listas!$A$220:$D$224,4,FALSE),"Alerta: Seleccione la celda en la comumna B con el nombre del proyecto")))</f>
        <v>FONT1107</v>
      </c>
      <c r="AR65" s="633" t="s">
        <v>198</v>
      </c>
      <c r="AS65" s="634" t="str">
        <f>IFERROR(VLOOKUP(AU65,Listas!$E$85:$L$105,7,FALSE),"Alerta: Seleccione la celda en la comumna AI con el concepto de gasto")</f>
        <v>03-RECURSO HUMANO</v>
      </c>
      <c r="AT65" s="634" t="str">
        <f>IFERROR(VLOOKUP(AU65,Listas!$E$85:$L$105,8,FALSE),"Alerta: Seleccione la celda en la comumna AI con el concepto de gasto")</f>
        <v>01-DIVULGACION, ASISTENCIA TECNICA Y CAPACITACION DE LA POBLACION</v>
      </c>
      <c r="AU65" s="633" t="s">
        <v>232</v>
      </c>
      <c r="AV65" s="634">
        <f>IFERROR(VLOOKUP(AU65,Listas!$E$85:$F$105,2,FALSE),"Alerta: Seleccione el Concepto de Gasto primero")</f>
        <v>0</v>
      </c>
      <c r="AW65" s="644">
        <v>95260000</v>
      </c>
      <c r="AX65" s="645"/>
      <c r="AY65" s="645"/>
      <c r="AZ65" s="645"/>
      <c r="BA65" s="646">
        <f t="shared" si="28"/>
        <v>95260000</v>
      </c>
      <c r="BB65" s="647"/>
      <c r="BC65" s="648"/>
      <c r="BD65" s="649"/>
      <c r="BE65" s="647"/>
      <c r="BF65" s="644"/>
      <c r="BG65" s="646">
        <f t="shared" si="29"/>
        <v>95260000</v>
      </c>
      <c r="BH65" s="650"/>
      <c r="BI65" s="647"/>
      <c r="BJ65" s="644"/>
      <c r="BK65" s="646">
        <f t="shared" si="30"/>
        <v>0</v>
      </c>
      <c r="BL65" s="651"/>
      <c r="BM65" s="652">
        <f t="shared" si="31"/>
        <v>1</v>
      </c>
      <c r="BN65" s="628"/>
      <c r="BO65" s="670"/>
      <c r="BP65" s="644"/>
      <c r="BQ65" s="644"/>
      <c r="BR65" s="644"/>
      <c r="BS65" s="644"/>
      <c r="BT65" s="644"/>
      <c r="BU65" s="644"/>
      <c r="BV65" s="644"/>
      <c r="BW65" s="644"/>
      <c r="BX65" s="644"/>
      <c r="BY65" s="644"/>
      <c r="BZ65" s="644"/>
      <c r="CA65" s="644"/>
      <c r="CB65" s="646">
        <f t="shared" si="32"/>
        <v>0</v>
      </c>
      <c r="CC65" s="646">
        <f t="shared" si="33"/>
        <v>0</v>
      </c>
      <c r="CD65" s="614"/>
    </row>
    <row r="66" spans="1:85" s="561" customFormat="1" ht="61.5" customHeight="1">
      <c r="A66" s="625" t="str">
        <f t="shared" si="4"/>
        <v>1107-158-FONT1107-03-01-0066-Activación del patrimonio</v>
      </c>
      <c r="B66" s="626" t="str">
        <f t="shared" si="5"/>
        <v>1107-158-FONT1107-03-01-0066</v>
      </c>
      <c r="C66" s="626" t="str">
        <f t="shared" si="6"/>
        <v>1107-158-FONT1107-Activación del patrimonio</v>
      </c>
      <c r="D66" s="626" t="str">
        <f t="shared" si="7"/>
        <v>1107-158-12-Otros Distrito-03-01-0066</v>
      </c>
      <c r="E66" s="626" t="str">
        <f t="shared" si="19"/>
        <v>Activación del patrimonio-12-Otros Distrito-0066-Fomento, apoyo y divulgación de eventos y expresiones artísticas, culturales y del patrimonio</v>
      </c>
      <c r="F66" s="627">
        <v>32</v>
      </c>
      <c r="G66" s="628">
        <f t="shared" si="20"/>
        <v>32</v>
      </c>
      <c r="H66" s="629" t="b">
        <f t="shared" si="21"/>
        <v>0</v>
      </c>
      <c r="I66" s="630" t="s">
        <v>594</v>
      </c>
      <c r="J66" s="627" t="s">
        <v>27</v>
      </c>
      <c r="K66" s="631" t="str">
        <f>+IFERROR(VLOOKUP(J66,Listas!$A$108:$B$114,2,FALSE),"Alerta: Seleccione la celda en la comumna B con el nombre del proyecto")</f>
        <v>3-3-1-15-03-25-1107-158</v>
      </c>
      <c r="L66" s="632" t="s">
        <v>618</v>
      </c>
      <c r="M66" s="633" t="s">
        <v>632</v>
      </c>
      <c r="N66" s="634" t="str">
        <f t="shared" si="22"/>
        <v>(Cód. 32) Prestar servicios profesionales al Instituto Distrital de Patrimonio Cultural para orientar las estrategias encaminados a la salvaguardia y apropiación social del patrimonio cultural inmaterial.</v>
      </c>
      <c r="O66" s="635">
        <v>43480</v>
      </c>
      <c r="P66" s="636">
        <f>IFERROR(VLOOKUP(W66,'Estimación CRP'!$D$21:$E$30,2,FALSE),0)</f>
        <v>10</v>
      </c>
      <c r="Q66" s="637">
        <f>IF(O66="No aplica","No aplica",WORKDAY.INTL(O66,P66,1,'Estimación CRP'!A252:A268))</f>
        <v>43494</v>
      </c>
      <c r="R66" s="636">
        <f t="shared" si="23"/>
        <v>1</v>
      </c>
      <c r="S66" s="636">
        <f t="shared" si="24"/>
        <v>1</v>
      </c>
      <c r="T66" s="636">
        <f t="shared" si="25"/>
        <v>1</v>
      </c>
      <c r="U66" s="712">
        <v>11</v>
      </c>
      <c r="V66" s="638">
        <v>1</v>
      </c>
      <c r="W66" s="639" t="s">
        <v>274</v>
      </c>
      <c r="X66" s="640" t="str">
        <f>IFERROR(VLOOKUP(W66,Listas!$A$60:$B$73,2,FALSE),"Alerta: Seleccione primero Modalidad de selección")</f>
        <v>CCE-16</v>
      </c>
      <c r="Y66" s="641">
        <v>0</v>
      </c>
      <c r="Z66" s="641" t="s">
        <v>346</v>
      </c>
      <c r="AA66" s="641" t="s">
        <v>1101</v>
      </c>
      <c r="AB66" s="642">
        <f t="shared" si="26"/>
        <v>72820000</v>
      </c>
      <c r="AC66" s="642">
        <f t="shared" si="27"/>
        <v>72820000</v>
      </c>
      <c r="AD66" s="641">
        <v>0</v>
      </c>
      <c r="AE66" s="643">
        <v>0</v>
      </c>
      <c r="AF66" s="639" t="s">
        <v>276</v>
      </c>
      <c r="AG66" s="639" t="s">
        <v>277</v>
      </c>
      <c r="AH66" s="639" t="s">
        <v>284</v>
      </c>
      <c r="AI66" s="626" t="str">
        <f>IFERROR(VLOOKUP(AH66,Listas!$A$77:$C$83,2,FALSE),"Alerta: Seleccione primero el responsable")</f>
        <v>3550800</v>
      </c>
      <c r="AJ66" s="640" t="str">
        <f>IFERROR(VLOOKUP(AH66,Listas!$A$77:$C$83,3,FALSE),"Alerta: Seleccione primero el responsable")</f>
        <v>margarita.castaneda@idpc.gov.co</v>
      </c>
      <c r="AK66" s="640" t="str">
        <f>IF(J66="Funcionamiento Gastos Generales","No aplica",IF(J66="Funcionamiento Servicios Personales indirectos","No aplica",IFERROR(VLOOKUP(J66,Listas!$A$127:$E$139,3,FALSE),"Alerta: Seleccione la celda en la comumna B con el nombre del proyecto")))</f>
        <v>ME20181107</v>
      </c>
      <c r="AL66" s="640" t="str">
        <f>IF(J66="Funcionamiento Gastos Generales","No aplica",IF(J66="Funcionamiento Servicios Personales","No aplica",IFERROR(VLOOKUP(J66,Listas!$A$220:$D$224,2,FALSE),"Alerta: Seleccione la celda en la comumna B con el nombre del proyecto")))</f>
        <v>COMP1107</v>
      </c>
      <c r="AM66" s="640" t="str">
        <f>IF(J66="Funcionamiento Gastos Generales","No aplica",IF(J66="Funcionamiento Servicios Personales","No aplica",IFERROR(VLOOKUP(J66,Listas!$A$220:$D$224,3,FALSE),"Alerta: Seleccione la celda en la comumna B con el nombre del proyecto")))</f>
        <v>CONC1107</v>
      </c>
      <c r="AN66" s="633" t="s">
        <v>1046</v>
      </c>
      <c r="AO66" s="633" t="s">
        <v>54</v>
      </c>
      <c r="AP66" s="634" t="str">
        <f>IFERROR(VLOOKUP(J66,Listas!$A$182:$E$215,5,FALSE),"Alerta: Seleccione la celda en la comumna B con el nombre del proyecto")</f>
        <v>13. Oferta cultural para la valoración y divulgación del patrimonio material e  inmaterial de la ciud</v>
      </c>
      <c r="AQ66" s="634" t="str">
        <f>IF(J66="Funcionamiento Gastos Generales","No aplica",IF(J66="Funcionamiento Servicios Personales","No aplica",IFERROR(VLOOKUP(J66,Listas!$A$220:$D$224,4,FALSE),"Alerta: Seleccione la celda en la comumna B con el nombre del proyecto")))</f>
        <v>FONT1107</v>
      </c>
      <c r="AR66" s="633" t="s">
        <v>198</v>
      </c>
      <c r="AS66" s="634" t="str">
        <f>IFERROR(VLOOKUP(AU66,Listas!$E$85:$L$105,7,FALSE),"Alerta: Seleccione la celda en la comumna AI con el concepto de gasto")</f>
        <v>03-RECURSO HUMANO</v>
      </c>
      <c r="AT66" s="634" t="str">
        <f>IFERROR(VLOOKUP(AU66,Listas!$E$85:$L$105,8,FALSE),"Alerta: Seleccione la celda en la comumna AI con el concepto de gasto")</f>
        <v>01-DIVULGACION, ASISTENCIA TECNICA Y CAPACITACION DE LA POBLACION</v>
      </c>
      <c r="AU66" s="633" t="s">
        <v>232</v>
      </c>
      <c r="AV66" s="634">
        <f>IFERROR(VLOOKUP(AU66,Listas!$E$85:$F$105,2,FALSE),"Alerta: Seleccione el Concepto de Gasto primero")</f>
        <v>0</v>
      </c>
      <c r="AW66" s="644">
        <v>72820000</v>
      </c>
      <c r="AX66" s="645"/>
      <c r="AY66" s="645"/>
      <c r="AZ66" s="645"/>
      <c r="BA66" s="646">
        <f t="shared" si="28"/>
        <v>72820000</v>
      </c>
      <c r="BB66" s="647"/>
      <c r="BC66" s="648"/>
      <c r="BD66" s="649"/>
      <c r="BE66" s="647"/>
      <c r="BF66" s="644"/>
      <c r="BG66" s="646">
        <f t="shared" si="29"/>
        <v>72820000</v>
      </c>
      <c r="BH66" s="650"/>
      <c r="BI66" s="647"/>
      <c r="BJ66" s="644"/>
      <c r="BK66" s="646">
        <f t="shared" si="30"/>
        <v>0</v>
      </c>
      <c r="BL66" s="651"/>
      <c r="BM66" s="652">
        <f t="shared" si="31"/>
        <v>1</v>
      </c>
      <c r="BN66" s="628"/>
      <c r="BO66" s="670"/>
      <c r="BP66" s="644"/>
      <c r="BQ66" s="644"/>
      <c r="BR66" s="644"/>
      <c r="BS66" s="644"/>
      <c r="BT66" s="644"/>
      <c r="BU66" s="644"/>
      <c r="BV66" s="644"/>
      <c r="BW66" s="644"/>
      <c r="BX66" s="644"/>
      <c r="BY66" s="644"/>
      <c r="BZ66" s="644"/>
      <c r="CA66" s="644"/>
      <c r="CB66" s="646">
        <f t="shared" si="32"/>
        <v>0</v>
      </c>
      <c r="CC66" s="646">
        <f t="shared" si="33"/>
        <v>0</v>
      </c>
      <c r="CD66" s="614"/>
    </row>
    <row r="67" spans="1:85" s="561" customFormat="1" ht="61.5" customHeight="1">
      <c r="A67" s="625" t="str">
        <f t="shared" si="4"/>
        <v>1107-158-FONT1107-03-01-0066-Activación del patrimonio</v>
      </c>
      <c r="B67" s="626" t="str">
        <f t="shared" si="5"/>
        <v>1107-158-FONT1107-03-01-0066</v>
      </c>
      <c r="C67" s="626" t="str">
        <f t="shared" si="6"/>
        <v>1107-158-FONT1107-Activación del patrimonio</v>
      </c>
      <c r="D67" s="626" t="str">
        <f t="shared" si="7"/>
        <v>1107-158-12-Otros Distrito-03-01-0066</v>
      </c>
      <c r="E67" s="626" t="str">
        <f t="shared" si="19"/>
        <v>Activación del patrimonio-12-Otros Distrito-0066-Fomento, apoyo y divulgación de eventos y expresiones artísticas, culturales y del patrimonio</v>
      </c>
      <c r="F67" s="627">
        <v>33</v>
      </c>
      <c r="G67" s="628">
        <f t="shared" si="20"/>
        <v>33</v>
      </c>
      <c r="H67" s="629" t="b">
        <f t="shared" si="21"/>
        <v>0</v>
      </c>
      <c r="I67" s="630" t="s">
        <v>594</v>
      </c>
      <c r="J67" s="627" t="s">
        <v>27</v>
      </c>
      <c r="K67" s="631" t="str">
        <f>+IFERROR(VLOOKUP(J67,Listas!$A$108:$B$114,2,FALSE),"Alerta: Seleccione la celda en la comumna B con el nombre del proyecto")</f>
        <v>3-3-1-15-03-25-1107-158</v>
      </c>
      <c r="L67" s="632" t="s">
        <v>618</v>
      </c>
      <c r="M67" s="633" t="s">
        <v>633</v>
      </c>
      <c r="N67" s="634" t="str">
        <f t="shared" si="22"/>
        <v>(Cód. 33) Prestar servicios profesionales al Instituto Distrital de Patrimonio Cultural para apoyar las actividades de comunicación y generación de contenidos requeridos para el desarrollo de la estrategia de apropiación social del patrimonio cultural.</v>
      </c>
      <c r="O67" s="635">
        <v>43483</v>
      </c>
      <c r="P67" s="636">
        <f>IFERROR(VLOOKUP(W67,'Estimación CRP'!$D$21:$E$30,2,FALSE),0)</f>
        <v>10</v>
      </c>
      <c r="Q67" s="637">
        <f>IF(O67="No aplica","No aplica",WORKDAY.INTL(O67,P67,1,'Estimación CRP'!A253:A269))</f>
        <v>43497</v>
      </c>
      <c r="R67" s="636">
        <f t="shared" si="23"/>
        <v>2</v>
      </c>
      <c r="S67" s="636">
        <f t="shared" si="24"/>
        <v>1</v>
      </c>
      <c r="T67" s="636">
        <f t="shared" si="25"/>
        <v>1</v>
      </c>
      <c r="U67" s="712">
        <v>11</v>
      </c>
      <c r="V67" s="638">
        <v>1</v>
      </c>
      <c r="W67" s="639" t="s">
        <v>274</v>
      </c>
      <c r="X67" s="640" t="str">
        <f>IFERROR(VLOOKUP(W67,Listas!$A$60:$B$73,2,FALSE),"Alerta: Seleccione primero Modalidad de selección")</f>
        <v>CCE-16</v>
      </c>
      <c r="Y67" s="641">
        <v>0</v>
      </c>
      <c r="Z67" s="641" t="s">
        <v>346</v>
      </c>
      <c r="AA67" s="641" t="s">
        <v>1102</v>
      </c>
      <c r="AB67" s="642">
        <f t="shared" si="26"/>
        <v>61380000</v>
      </c>
      <c r="AC67" s="642">
        <f t="shared" si="27"/>
        <v>61380000</v>
      </c>
      <c r="AD67" s="641">
        <v>0</v>
      </c>
      <c r="AE67" s="643">
        <v>0</v>
      </c>
      <c r="AF67" s="639" t="s">
        <v>276</v>
      </c>
      <c r="AG67" s="639" t="s">
        <v>277</v>
      </c>
      <c r="AH67" s="639" t="s">
        <v>284</v>
      </c>
      <c r="AI67" s="626" t="str">
        <f>IFERROR(VLOOKUP(AH67,Listas!$A$77:$C$83,2,FALSE),"Alerta: Seleccione primero el responsable")</f>
        <v>3550800</v>
      </c>
      <c r="AJ67" s="640" t="str">
        <f>IFERROR(VLOOKUP(AH67,Listas!$A$77:$C$83,3,FALSE),"Alerta: Seleccione primero el responsable")</f>
        <v>margarita.castaneda@idpc.gov.co</v>
      </c>
      <c r="AK67" s="640" t="str">
        <f>IF(J67="Funcionamiento Gastos Generales","No aplica",IF(J67="Funcionamiento Servicios Personales indirectos","No aplica",IFERROR(VLOOKUP(J67,Listas!$A$127:$E$139,3,FALSE),"Alerta: Seleccione la celda en la comumna B con el nombre del proyecto")))</f>
        <v>ME20181107</v>
      </c>
      <c r="AL67" s="640" t="str">
        <f>IF(J67="Funcionamiento Gastos Generales","No aplica",IF(J67="Funcionamiento Servicios Personales","No aplica",IFERROR(VLOOKUP(J67,Listas!$A$220:$D$224,2,FALSE),"Alerta: Seleccione la celda en la comumna B con el nombre del proyecto")))</f>
        <v>COMP1107</v>
      </c>
      <c r="AM67" s="640" t="str">
        <f>IF(J67="Funcionamiento Gastos Generales","No aplica",IF(J67="Funcionamiento Servicios Personales","No aplica",IFERROR(VLOOKUP(J67,Listas!$A$220:$D$224,3,FALSE),"Alerta: Seleccione la celda en la comumna B con el nombre del proyecto")))</f>
        <v>CONC1107</v>
      </c>
      <c r="AN67" s="633" t="s">
        <v>1046</v>
      </c>
      <c r="AO67" s="633" t="s">
        <v>54</v>
      </c>
      <c r="AP67" s="634" t="str">
        <f>IFERROR(VLOOKUP(J67,Listas!$A$182:$E$215,5,FALSE),"Alerta: Seleccione la celda en la comumna B con el nombre del proyecto")</f>
        <v>13. Oferta cultural para la valoración y divulgación del patrimonio material e  inmaterial de la ciud</v>
      </c>
      <c r="AQ67" s="634" t="str">
        <f>IF(J67="Funcionamiento Gastos Generales","No aplica",IF(J67="Funcionamiento Servicios Personales","No aplica",IFERROR(VLOOKUP(J67,Listas!$A$220:$D$224,4,FALSE),"Alerta: Seleccione la celda en la comumna B con el nombre del proyecto")))</f>
        <v>FONT1107</v>
      </c>
      <c r="AR67" s="633" t="s">
        <v>198</v>
      </c>
      <c r="AS67" s="634" t="str">
        <f>IFERROR(VLOOKUP(AU67,Listas!$E$85:$L$105,7,FALSE),"Alerta: Seleccione la celda en la comumna AI con el concepto de gasto")</f>
        <v>03-RECURSO HUMANO</v>
      </c>
      <c r="AT67" s="634" t="str">
        <f>IFERROR(VLOOKUP(AU67,Listas!$E$85:$L$105,8,FALSE),"Alerta: Seleccione la celda en la comumna AI con el concepto de gasto")</f>
        <v>01-DIVULGACION, ASISTENCIA TECNICA Y CAPACITACION DE LA POBLACION</v>
      </c>
      <c r="AU67" s="633" t="s">
        <v>232</v>
      </c>
      <c r="AV67" s="634">
        <f>IFERROR(VLOOKUP(AU67,Listas!$E$85:$F$105,2,FALSE),"Alerta: Seleccione el Concepto de Gasto primero")</f>
        <v>0</v>
      </c>
      <c r="AW67" s="644">
        <v>61380000</v>
      </c>
      <c r="AX67" s="645"/>
      <c r="AY67" s="645"/>
      <c r="AZ67" s="645"/>
      <c r="BA67" s="646">
        <f t="shared" si="28"/>
        <v>61380000</v>
      </c>
      <c r="BB67" s="647"/>
      <c r="BC67" s="648"/>
      <c r="BD67" s="649"/>
      <c r="BE67" s="647"/>
      <c r="BF67" s="644"/>
      <c r="BG67" s="646">
        <f t="shared" si="29"/>
        <v>61380000</v>
      </c>
      <c r="BH67" s="650"/>
      <c r="BI67" s="647"/>
      <c r="BJ67" s="644"/>
      <c r="BK67" s="646">
        <f t="shared" si="30"/>
        <v>0</v>
      </c>
      <c r="BL67" s="651"/>
      <c r="BM67" s="652">
        <f t="shared" si="31"/>
        <v>1</v>
      </c>
      <c r="BN67" s="628"/>
      <c r="BO67" s="670"/>
      <c r="BP67" s="644"/>
      <c r="BQ67" s="644"/>
      <c r="BR67" s="644"/>
      <c r="BS67" s="644"/>
      <c r="BT67" s="644"/>
      <c r="BU67" s="644"/>
      <c r="BV67" s="644"/>
      <c r="BW67" s="644"/>
      <c r="BX67" s="644"/>
      <c r="BY67" s="644"/>
      <c r="BZ67" s="644"/>
      <c r="CA67" s="644"/>
      <c r="CB67" s="646">
        <f t="shared" si="32"/>
        <v>0</v>
      </c>
      <c r="CC67" s="646">
        <f t="shared" si="33"/>
        <v>0</v>
      </c>
      <c r="CD67" s="614"/>
    </row>
    <row r="68" spans="1:85" s="561" customFormat="1" ht="61.5" customHeight="1">
      <c r="A68" s="625" t="str">
        <f t="shared" si="4"/>
        <v>1107-158-FONT1107-03-01-0066-Activación del patrimonio</v>
      </c>
      <c r="B68" s="626" t="str">
        <f t="shared" si="5"/>
        <v>1107-158-FONT1107-03-01-0066</v>
      </c>
      <c r="C68" s="626" t="str">
        <f t="shared" si="6"/>
        <v>1107-158-FONT1107-Activación del patrimonio</v>
      </c>
      <c r="D68" s="626" t="str">
        <f t="shared" si="7"/>
        <v>1107-158-12-Otros Distrito-03-01-0066</v>
      </c>
      <c r="E68" s="626" t="str">
        <f t="shared" si="19"/>
        <v>Activación del patrimonio-12-Otros Distrito-0066-Fomento, apoyo y divulgación de eventos y expresiones artísticas, culturales y del patrimonio</v>
      </c>
      <c r="F68" s="627">
        <v>34</v>
      </c>
      <c r="G68" s="628">
        <f t="shared" si="20"/>
        <v>34</v>
      </c>
      <c r="H68" s="629" t="b">
        <f t="shared" si="21"/>
        <v>0</v>
      </c>
      <c r="I68" s="630" t="s">
        <v>594</v>
      </c>
      <c r="J68" s="627" t="s">
        <v>27</v>
      </c>
      <c r="K68" s="631" t="str">
        <f>+IFERROR(VLOOKUP(J68,Listas!$A$108:$B$114,2,FALSE),"Alerta: Seleccione la celda en la comumna B con el nombre del proyecto")</f>
        <v>3-3-1-15-03-25-1107-158</v>
      </c>
      <c r="L68" s="632" t="s">
        <v>602</v>
      </c>
      <c r="M68" s="633" t="s">
        <v>634</v>
      </c>
      <c r="N68" s="634" t="str">
        <f t="shared" si="22"/>
        <v>(Cód. 34) Adquisición de equipos de cómputo y periféricos requeridos para el desarrollo administrativo y misional del Instituto Distrital de Patrimonio Cultural</v>
      </c>
      <c r="O68" s="635">
        <v>43539</v>
      </c>
      <c r="P68" s="636">
        <f>IFERROR(VLOOKUP(W68,'Estimación CRP'!$D$21:$E$30,2,FALSE),0)</f>
        <v>45</v>
      </c>
      <c r="Q68" s="637">
        <f>IF(O68="No aplica","No aplica",WORKDAY.INTL(O68,P68,1,'Estimación CRP'!A254:A270))</f>
        <v>43602</v>
      </c>
      <c r="R68" s="636">
        <f t="shared" si="23"/>
        <v>5</v>
      </c>
      <c r="S68" s="636">
        <f t="shared" si="24"/>
        <v>3</v>
      </c>
      <c r="T68" s="636">
        <f t="shared" si="25"/>
        <v>3</v>
      </c>
      <c r="U68" s="712">
        <v>1</v>
      </c>
      <c r="V68" s="638">
        <v>1</v>
      </c>
      <c r="W68" s="639" t="s">
        <v>347</v>
      </c>
      <c r="X68" s="640" t="str">
        <f>IFERROR(VLOOKUP(W68,Listas!$A$60:$B$73,2,FALSE),"Alerta: Seleccione primero Modalidad de selección")</f>
        <v>CCE-07</v>
      </c>
      <c r="Y68" s="641">
        <v>0</v>
      </c>
      <c r="Z68" s="641" t="s">
        <v>1069</v>
      </c>
      <c r="AA68" s="641" t="s">
        <v>1103</v>
      </c>
      <c r="AB68" s="642">
        <f t="shared" si="26"/>
        <v>12000000</v>
      </c>
      <c r="AC68" s="642">
        <f t="shared" si="27"/>
        <v>12000000</v>
      </c>
      <c r="AD68" s="641">
        <v>0</v>
      </c>
      <c r="AE68" s="643">
        <v>0</v>
      </c>
      <c r="AF68" s="639" t="s">
        <v>276</v>
      </c>
      <c r="AG68" s="639" t="s">
        <v>277</v>
      </c>
      <c r="AH68" s="639" t="s">
        <v>284</v>
      </c>
      <c r="AI68" s="626" t="str">
        <f>IFERROR(VLOOKUP(AH68,Listas!$A$77:$C$83,2,FALSE),"Alerta: Seleccione primero el responsable")</f>
        <v>3550800</v>
      </c>
      <c r="AJ68" s="640" t="str">
        <f>IFERROR(VLOOKUP(AH68,Listas!$A$77:$C$83,3,FALSE),"Alerta: Seleccione primero el responsable")</f>
        <v>margarita.castaneda@idpc.gov.co</v>
      </c>
      <c r="AK68" s="640" t="str">
        <f>IF(J68="Funcionamiento Gastos Generales","No aplica",IF(J68="Funcionamiento Servicios Personales indirectos","No aplica",IFERROR(VLOOKUP(J68,Listas!$A$127:$E$139,3,FALSE),"Alerta: Seleccione la celda en la comumna B con el nombre del proyecto")))</f>
        <v>ME20181107</v>
      </c>
      <c r="AL68" s="640" t="str">
        <f>IF(J68="Funcionamiento Gastos Generales","No aplica",IF(J68="Funcionamiento Servicios Personales","No aplica",IFERROR(VLOOKUP(J68,Listas!$A$220:$D$224,2,FALSE),"Alerta: Seleccione la celda en la comumna B con el nombre del proyecto")))</f>
        <v>COMP1107</v>
      </c>
      <c r="AM68" s="640" t="str">
        <f>IF(J68="Funcionamiento Gastos Generales","No aplica",IF(J68="Funcionamiento Servicios Personales","No aplica",IFERROR(VLOOKUP(J68,Listas!$A$220:$D$224,3,FALSE),"Alerta: Seleccione la celda en la comumna B con el nombre del proyecto")))</f>
        <v>CONC1107</v>
      </c>
      <c r="AN68" s="633" t="s">
        <v>1046</v>
      </c>
      <c r="AO68" s="633" t="s">
        <v>54</v>
      </c>
      <c r="AP68" s="634" t="str">
        <f>IFERROR(VLOOKUP(J68,Listas!$A$182:$E$215,5,FALSE),"Alerta: Seleccione la celda en la comumna B con el nombre del proyecto")</f>
        <v>13. Oferta cultural para la valoración y divulgación del patrimonio material e  inmaterial de la ciud</v>
      </c>
      <c r="AQ68" s="634" t="str">
        <f>IF(J68="Funcionamiento Gastos Generales","No aplica",IF(J68="Funcionamiento Servicios Personales","No aplica",IFERROR(VLOOKUP(J68,Listas!$A$220:$D$224,4,FALSE),"Alerta: Seleccione la celda en la comumna B con el nombre del proyecto")))</f>
        <v>FONT1107</v>
      </c>
      <c r="AR68" s="633" t="s">
        <v>198</v>
      </c>
      <c r="AS68" s="634" t="str">
        <f>IFERROR(VLOOKUP(AU68,Listas!$E$85:$L$105,7,FALSE),"Alerta: Seleccione la celda en la comumna AI con el concepto de gasto")</f>
        <v>03-RECURSO HUMANO</v>
      </c>
      <c r="AT68" s="634" t="str">
        <f>IFERROR(VLOOKUP(AU68,Listas!$E$85:$L$105,8,FALSE),"Alerta: Seleccione la celda en la comumna AI con el concepto de gasto")</f>
        <v>01-DIVULGACION, ASISTENCIA TECNICA Y CAPACITACION DE LA POBLACION</v>
      </c>
      <c r="AU68" s="633" t="s">
        <v>232</v>
      </c>
      <c r="AV68" s="634">
        <f>IFERROR(VLOOKUP(AU68,Listas!$E$85:$F$105,2,FALSE),"Alerta: Seleccione el Concepto de Gasto primero")</f>
        <v>0</v>
      </c>
      <c r="AW68" s="644">
        <v>12000000</v>
      </c>
      <c r="AX68" s="645"/>
      <c r="AY68" s="645"/>
      <c r="AZ68" s="645"/>
      <c r="BA68" s="646">
        <f t="shared" si="28"/>
        <v>12000000</v>
      </c>
      <c r="BB68" s="647"/>
      <c r="BC68" s="648"/>
      <c r="BD68" s="649"/>
      <c r="BE68" s="647"/>
      <c r="BF68" s="644"/>
      <c r="BG68" s="646">
        <f t="shared" si="29"/>
        <v>12000000</v>
      </c>
      <c r="BH68" s="650"/>
      <c r="BI68" s="647"/>
      <c r="BJ68" s="644"/>
      <c r="BK68" s="646">
        <f t="shared" si="30"/>
        <v>0</v>
      </c>
      <c r="BL68" s="651"/>
      <c r="BM68" s="652">
        <f t="shared" si="31"/>
        <v>1</v>
      </c>
      <c r="BN68" s="628"/>
      <c r="BO68" s="670"/>
      <c r="BP68" s="644"/>
      <c r="BQ68" s="644"/>
      <c r="BR68" s="644"/>
      <c r="BS68" s="644"/>
      <c r="BT68" s="644"/>
      <c r="BU68" s="644"/>
      <c r="BV68" s="644"/>
      <c r="BW68" s="644"/>
      <c r="BX68" s="644"/>
      <c r="BY68" s="644"/>
      <c r="BZ68" s="644"/>
      <c r="CA68" s="644"/>
      <c r="CB68" s="646">
        <f t="shared" si="32"/>
        <v>0</v>
      </c>
      <c r="CC68" s="646">
        <f t="shared" si="33"/>
        <v>0</v>
      </c>
      <c r="CD68" s="614"/>
    </row>
    <row r="69" spans="1:85" s="561" customFormat="1" ht="61.5" customHeight="1">
      <c r="A69" s="625" t="str">
        <f t="shared" si="4"/>
        <v>1107-158-FONT1107-03-01-0066-Activación del patrimonio</v>
      </c>
      <c r="B69" s="626" t="str">
        <f t="shared" si="5"/>
        <v>1107-158-FONT1107-03-01-0066</v>
      </c>
      <c r="C69" s="626" t="str">
        <f t="shared" si="6"/>
        <v>1107-158-FONT1107-Activación del patrimonio</v>
      </c>
      <c r="D69" s="626" t="str">
        <f t="shared" si="7"/>
        <v>1107-158-12-Otros Distrito-03-01-0066</v>
      </c>
      <c r="E69" s="626" t="str">
        <f t="shared" si="19"/>
        <v>Activación del patrimonio-12-Otros Distrito-0066-Fomento, apoyo y divulgación de eventos y expresiones artísticas, culturales y del patrimonio</v>
      </c>
      <c r="F69" s="627">
        <v>35</v>
      </c>
      <c r="G69" s="628">
        <f t="shared" si="20"/>
        <v>35</v>
      </c>
      <c r="H69" s="629" t="b">
        <f t="shared" si="21"/>
        <v>0</v>
      </c>
      <c r="I69" s="630" t="s">
        <v>594</v>
      </c>
      <c r="J69" s="627" t="s">
        <v>27</v>
      </c>
      <c r="K69" s="631" t="str">
        <f>+IFERROR(VLOOKUP(J69,Listas!$A$108:$B$114,2,FALSE),"Alerta: Seleccione la celda en la comumna B con el nombre del proyecto")</f>
        <v>3-3-1-15-03-25-1107-158</v>
      </c>
      <c r="L69" s="632" t="s">
        <v>618</v>
      </c>
      <c r="M69" s="633" t="s">
        <v>635</v>
      </c>
      <c r="N69" s="634" t="str">
        <f t="shared" si="22"/>
        <v>(Cód. 35) Prestar servicios profesionales al Instituto Distrital del Patrimonio Cultural para apoyar la ejecucón de los trámites y procesos requeridos para la producción de los eventos generados en el marco de la estrategia de apropiación social del patrimonio cultural.</v>
      </c>
      <c r="O69" s="635">
        <v>43485</v>
      </c>
      <c r="P69" s="636">
        <f>IFERROR(VLOOKUP(W69,'Estimación CRP'!$D$21:$E$30,2,FALSE),0)</f>
        <v>10</v>
      </c>
      <c r="Q69" s="637">
        <f>IF(O69="No aplica","No aplica",WORKDAY.INTL(O69,P69,1,'Estimación CRP'!A255:A271))</f>
        <v>43497</v>
      </c>
      <c r="R69" s="636">
        <f t="shared" si="23"/>
        <v>2</v>
      </c>
      <c r="S69" s="636">
        <f t="shared" si="24"/>
        <v>1</v>
      </c>
      <c r="T69" s="636">
        <f t="shared" si="25"/>
        <v>1</v>
      </c>
      <c r="U69" s="712">
        <v>11</v>
      </c>
      <c r="V69" s="638">
        <v>1</v>
      </c>
      <c r="W69" s="639" t="s">
        <v>274</v>
      </c>
      <c r="X69" s="640" t="str">
        <f>IFERROR(VLOOKUP(W69,Listas!$A$60:$B$73,2,FALSE),"Alerta: Seleccione primero Modalidad de selección")</f>
        <v>CCE-16</v>
      </c>
      <c r="Y69" s="641">
        <v>0</v>
      </c>
      <c r="Z69" s="641" t="s">
        <v>346</v>
      </c>
      <c r="AA69" s="641" t="s">
        <v>1104</v>
      </c>
      <c r="AB69" s="642">
        <f t="shared" si="26"/>
        <v>55000000</v>
      </c>
      <c r="AC69" s="642">
        <f t="shared" si="27"/>
        <v>55000000</v>
      </c>
      <c r="AD69" s="641">
        <v>0</v>
      </c>
      <c r="AE69" s="643">
        <v>0</v>
      </c>
      <c r="AF69" s="639" t="s">
        <v>276</v>
      </c>
      <c r="AG69" s="639" t="s">
        <v>277</v>
      </c>
      <c r="AH69" s="639" t="s">
        <v>284</v>
      </c>
      <c r="AI69" s="626" t="str">
        <f>IFERROR(VLOOKUP(AH69,Listas!$A$77:$C$83,2,FALSE),"Alerta: Seleccione primero el responsable")</f>
        <v>3550800</v>
      </c>
      <c r="AJ69" s="640" t="str">
        <f>IFERROR(VLOOKUP(AH69,Listas!$A$77:$C$83,3,FALSE),"Alerta: Seleccione primero el responsable")</f>
        <v>margarita.castaneda@idpc.gov.co</v>
      </c>
      <c r="AK69" s="640" t="str">
        <f>IF(J69="Funcionamiento Gastos Generales","No aplica",IF(J69="Funcionamiento Servicios Personales indirectos","No aplica",IFERROR(VLOOKUP(J69,Listas!$A$127:$E$139,3,FALSE),"Alerta: Seleccione la celda en la comumna B con el nombre del proyecto")))</f>
        <v>ME20181107</v>
      </c>
      <c r="AL69" s="640" t="str">
        <f>IF(J69="Funcionamiento Gastos Generales","No aplica",IF(J69="Funcionamiento Servicios Personales","No aplica",IFERROR(VLOOKUP(J69,Listas!$A$220:$D$224,2,FALSE),"Alerta: Seleccione la celda en la comumna B con el nombre del proyecto")))</f>
        <v>COMP1107</v>
      </c>
      <c r="AM69" s="640" t="str">
        <f>IF(J69="Funcionamiento Gastos Generales","No aplica",IF(J69="Funcionamiento Servicios Personales","No aplica",IFERROR(VLOOKUP(J69,Listas!$A$220:$D$224,3,FALSE),"Alerta: Seleccione la celda en la comumna B con el nombre del proyecto")))</f>
        <v>CONC1107</v>
      </c>
      <c r="AN69" s="633" t="s">
        <v>1046</v>
      </c>
      <c r="AO69" s="633" t="s">
        <v>54</v>
      </c>
      <c r="AP69" s="634" t="str">
        <f>IFERROR(VLOOKUP(J69,Listas!$A$182:$E$215,5,FALSE),"Alerta: Seleccione la celda en la comumna B con el nombre del proyecto")</f>
        <v>13. Oferta cultural para la valoración y divulgación del patrimonio material e  inmaterial de la ciud</v>
      </c>
      <c r="AQ69" s="634" t="str">
        <f>IF(J69="Funcionamiento Gastos Generales","No aplica",IF(J69="Funcionamiento Servicios Personales","No aplica",IFERROR(VLOOKUP(J69,Listas!$A$220:$D$224,4,FALSE),"Alerta: Seleccione la celda en la comumna B con el nombre del proyecto")))</f>
        <v>FONT1107</v>
      </c>
      <c r="AR69" s="633" t="s">
        <v>198</v>
      </c>
      <c r="AS69" s="634" t="str">
        <f>IFERROR(VLOOKUP(AU69,Listas!$E$85:$L$105,7,FALSE),"Alerta: Seleccione la celda en la comumna AI con el concepto de gasto")</f>
        <v>03-RECURSO HUMANO</v>
      </c>
      <c r="AT69" s="634" t="str">
        <f>IFERROR(VLOOKUP(AU69,Listas!$E$85:$L$105,8,FALSE),"Alerta: Seleccione la celda en la comumna AI con el concepto de gasto")</f>
        <v>01-DIVULGACION, ASISTENCIA TECNICA Y CAPACITACION DE LA POBLACION</v>
      </c>
      <c r="AU69" s="633" t="s">
        <v>232</v>
      </c>
      <c r="AV69" s="634">
        <f>IFERROR(VLOOKUP(AU69,Listas!$E$85:$F$105,2,FALSE),"Alerta: Seleccione el Concepto de Gasto primero")</f>
        <v>0</v>
      </c>
      <c r="AW69" s="644">
        <v>55000000</v>
      </c>
      <c r="AX69" s="645"/>
      <c r="AY69" s="645"/>
      <c r="AZ69" s="645"/>
      <c r="BA69" s="646">
        <f t="shared" si="28"/>
        <v>55000000</v>
      </c>
      <c r="BB69" s="647"/>
      <c r="BC69" s="648"/>
      <c r="BD69" s="649"/>
      <c r="BE69" s="647"/>
      <c r="BF69" s="644"/>
      <c r="BG69" s="646">
        <f t="shared" si="29"/>
        <v>55000000</v>
      </c>
      <c r="BH69" s="650"/>
      <c r="BI69" s="647"/>
      <c r="BJ69" s="644"/>
      <c r="BK69" s="646">
        <f t="shared" si="30"/>
        <v>0</v>
      </c>
      <c r="BL69" s="651"/>
      <c r="BM69" s="652">
        <f t="shared" si="31"/>
        <v>1</v>
      </c>
      <c r="BN69" s="628"/>
      <c r="BO69" s="670"/>
      <c r="BP69" s="644"/>
      <c r="BQ69" s="644"/>
      <c r="BR69" s="644"/>
      <c r="BS69" s="644"/>
      <c r="BT69" s="644"/>
      <c r="BU69" s="644"/>
      <c r="BV69" s="644"/>
      <c r="BW69" s="644"/>
      <c r="BX69" s="644"/>
      <c r="BY69" s="644"/>
      <c r="BZ69" s="644"/>
      <c r="CA69" s="644"/>
      <c r="CB69" s="646">
        <f t="shared" si="32"/>
        <v>0</v>
      </c>
      <c r="CC69" s="646">
        <f t="shared" si="33"/>
        <v>0</v>
      </c>
      <c r="CD69" s="614"/>
      <c r="CG69" s="561" t="s">
        <v>589</v>
      </c>
    </row>
    <row r="70" spans="1:85" s="561" customFormat="1" ht="61.5" customHeight="1">
      <c r="A70" s="625" t="str">
        <f t="shared" si="4"/>
        <v>1107-158-FONT1107-03-01-0066-Museo de Bogotá en operación</v>
      </c>
      <c r="B70" s="626" t="str">
        <f t="shared" si="5"/>
        <v>1107-158-FONT1107-03-01-0066</v>
      </c>
      <c r="C70" s="626" t="str">
        <f t="shared" si="6"/>
        <v>1107-158-FONT1107-Museo de Bogotá en operación</v>
      </c>
      <c r="D70" s="626" t="str">
        <f t="shared" si="7"/>
        <v>1107-158-12-Otros Distrito-03-01-0066</v>
      </c>
      <c r="E70" s="626" t="str">
        <f t="shared" si="19"/>
        <v>Museo de Bogotá en operación-12-Otros Distrito-0066-Fomento, apoyo y divulgación de eventos y expresiones artísticas, culturales y del patrimonio</v>
      </c>
      <c r="F70" s="627">
        <v>36</v>
      </c>
      <c r="G70" s="628">
        <f t="shared" si="20"/>
        <v>36</v>
      </c>
      <c r="H70" s="629" t="b">
        <f t="shared" si="21"/>
        <v>0</v>
      </c>
      <c r="I70" s="630" t="s">
        <v>594</v>
      </c>
      <c r="J70" s="627" t="s">
        <v>27</v>
      </c>
      <c r="K70" s="631" t="str">
        <f>+IFERROR(VLOOKUP(J70,Listas!$A$108:$B$114,2,FALSE),"Alerta: Seleccione la celda en la comumna B con el nombre del proyecto")</f>
        <v>3-3-1-15-03-25-1107-158</v>
      </c>
      <c r="L70" s="632" t="s">
        <v>604</v>
      </c>
      <c r="M70" s="633" t="s">
        <v>605</v>
      </c>
      <c r="N70" s="634" t="str">
        <f t="shared" si="22"/>
        <v>(Cód. 36) Prestar los servicios requeridos por el Instituto Distrital de Patrimonio Cultural para atender las actividades y proyectos relacionados con la formación y divulgación del patrimonio cultural del Distrito Capital.</v>
      </c>
      <c r="O70" s="635">
        <v>43485</v>
      </c>
      <c r="P70" s="636">
        <f>IFERROR(VLOOKUP(W70,'Estimación CRP'!$D$21:$E$30,2,FALSE),0)</f>
        <v>10</v>
      </c>
      <c r="Q70" s="637">
        <f>IF(O70="No aplica","No aplica",WORKDAY.INTL(O70,P70,1,'Estimación CRP'!A256:A272))</f>
        <v>43497</v>
      </c>
      <c r="R70" s="636">
        <f t="shared" si="23"/>
        <v>2</v>
      </c>
      <c r="S70" s="636">
        <f t="shared" si="24"/>
        <v>1</v>
      </c>
      <c r="T70" s="636">
        <f t="shared" si="25"/>
        <v>1</v>
      </c>
      <c r="U70" s="712">
        <v>10</v>
      </c>
      <c r="V70" s="638">
        <v>1</v>
      </c>
      <c r="W70" s="639" t="s">
        <v>269</v>
      </c>
      <c r="X70" s="640" t="str">
        <f>IFERROR(VLOOKUP(W70,Listas!$A$60:$B$73,2,FALSE),"Alerta: Seleccione primero Modalidad de selección")</f>
        <v>CCE-16</v>
      </c>
      <c r="Y70" s="641">
        <v>0</v>
      </c>
      <c r="Z70" s="641" t="s">
        <v>1071</v>
      </c>
      <c r="AA70" s="641" t="s">
        <v>1105</v>
      </c>
      <c r="AB70" s="642">
        <f t="shared" si="26"/>
        <v>268964824</v>
      </c>
      <c r="AC70" s="642">
        <f t="shared" si="27"/>
        <v>268964824</v>
      </c>
      <c r="AD70" s="641">
        <v>0</v>
      </c>
      <c r="AE70" s="643">
        <v>0</v>
      </c>
      <c r="AF70" s="639" t="s">
        <v>276</v>
      </c>
      <c r="AG70" s="639" t="s">
        <v>277</v>
      </c>
      <c r="AH70" s="639" t="s">
        <v>284</v>
      </c>
      <c r="AI70" s="626" t="str">
        <f>IFERROR(VLOOKUP(AH70,Listas!$A$77:$C$83,2,FALSE),"Alerta: Seleccione primero el responsable")</f>
        <v>3550800</v>
      </c>
      <c r="AJ70" s="640" t="str">
        <f>IFERROR(VLOOKUP(AH70,Listas!$A$77:$C$83,3,FALSE),"Alerta: Seleccione primero el responsable")</f>
        <v>margarita.castaneda@idpc.gov.co</v>
      </c>
      <c r="AK70" s="640" t="str">
        <f>IF(J70="Funcionamiento Gastos Generales","No aplica",IF(J70="Funcionamiento Servicios Personales indirectos","No aplica",IFERROR(VLOOKUP(J70,Listas!$A$127:$E$139,3,FALSE),"Alerta: Seleccione la celda en la comumna B con el nombre del proyecto")))</f>
        <v>ME20181107</v>
      </c>
      <c r="AL70" s="640" t="str">
        <f>IF(J70="Funcionamiento Gastos Generales","No aplica",IF(J70="Funcionamiento Servicios Personales","No aplica",IFERROR(VLOOKUP(J70,Listas!$A$220:$D$224,2,FALSE),"Alerta: Seleccione la celda en la comumna B con el nombre del proyecto")))</f>
        <v>COMP1107</v>
      </c>
      <c r="AM70" s="640" t="str">
        <f>IF(J70="Funcionamiento Gastos Generales","No aplica",IF(J70="Funcionamiento Servicios Personales","No aplica",IFERROR(VLOOKUP(J70,Listas!$A$220:$D$224,3,FALSE),"Alerta: Seleccione la celda en la comumna B con el nombre del proyecto")))</f>
        <v>CONC1107</v>
      </c>
      <c r="AN70" s="633" t="s">
        <v>1047</v>
      </c>
      <c r="AO70" s="633" t="s">
        <v>53</v>
      </c>
      <c r="AP70" s="634" t="str">
        <f>IFERROR(VLOOKUP(J70,Listas!$A$182:$E$215,5,FALSE),"Alerta: Seleccione la celda en la comumna B con el nombre del proyecto")</f>
        <v>13. Oferta cultural para la valoración y divulgación del patrimonio material e  inmaterial de la ciud</v>
      </c>
      <c r="AQ70" s="634" t="str">
        <f>IF(J70="Funcionamiento Gastos Generales","No aplica",IF(J70="Funcionamiento Servicios Personales","No aplica",IFERROR(VLOOKUP(J70,Listas!$A$220:$D$224,4,FALSE),"Alerta: Seleccione la celda en la comumna B con el nombre del proyecto")))</f>
        <v>FONT1107</v>
      </c>
      <c r="AR70" s="633" t="s">
        <v>198</v>
      </c>
      <c r="AS70" s="634" t="str">
        <f>IFERROR(VLOOKUP(AU70,Listas!$E$85:$L$105,7,FALSE),"Alerta: Seleccione la celda en la comumna AI con el concepto de gasto")</f>
        <v>03-RECURSO HUMANO</v>
      </c>
      <c r="AT70" s="634" t="str">
        <f>IFERROR(VLOOKUP(AU70,Listas!$E$85:$L$105,8,FALSE),"Alerta: Seleccione la celda en la comumna AI con el concepto de gasto")</f>
        <v>01-DIVULGACION, ASISTENCIA TECNICA Y CAPACITACION DE LA POBLACION</v>
      </c>
      <c r="AU70" s="633" t="s">
        <v>232</v>
      </c>
      <c r="AV70" s="634">
        <f>IFERROR(VLOOKUP(AU70,Listas!$E$85:$F$105,2,FALSE),"Alerta: Seleccione el Concepto de Gasto primero")</f>
        <v>0</v>
      </c>
      <c r="AW70" s="644">
        <v>268964824</v>
      </c>
      <c r="AX70" s="645"/>
      <c r="AY70" s="645"/>
      <c r="AZ70" s="645"/>
      <c r="BA70" s="646">
        <f t="shared" si="28"/>
        <v>268964824</v>
      </c>
      <c r="BB70" s="647"/>
      <c r="BC70" s="648"/>
      <c r="BD70" s="649"/>
      <c r="BE70" s="647"/>
      <c r="BF70" s="644"/>
      <c r="BG70" s="646">
        <f t="shared" si="29"/>
        <v>268964824</v>
      </c>
      <c r="BH70" s="650"/>
      <c r="BI70" s="647"/>
      <c r="BJ70" s="644"/>
      <c r="BK70" s="646">
        <f t="shared" si="30"/>
        <v>0</v>
      </c>
      <c r="BL70" s="651"/>
      <c r="BM70" s="652">
        <f t="shared" si="31"/>
        <v>1</v>
      </c>
      <c r="BN70" s="628"/>
      <c r="BO70" s="670"/>
      <c r="BP70" s="644"/>
      <c r="BQ70" s="644"/>
      <c r="BR70" s="644"/>
      <c r="BS70" s="644"/>
      <c r="BT70" s="644"/>
      <c r="BU70" s="644"/>
      <c r="BV70" s="644"/>
      <c r="BW70" s="644"/>
      <c r="BX70" s="644"/>
      <c r="BY70" s="644"/>
      <c r="BZ70" s="644"/>
      <c r="CA70" s="644"/>
      <c r="CB70" s="646">
        <f t="shared" si="32"/>
        <v>0</v>
      </c>
      <c r="CC70" s="646">
        <f t="shared" si="33"/>
        <v>0</v>
      </c>
      <c r="CD70" s="614"/>
    </row>
    <row r="71" spans="1:85" s="561" customFormat="1" ht="61.5" customHeight="1">
      <c r="A71" s="625" t="str">
        <f t="shared" si="4"/>
        <v>1107-158-FONT1107-03-01-0066-Museo de Bogotá en operación</v>
      </c>
      <c r="B71" s="626" t="str">
        <f t="shared" si="5"/>
        <v>1107-158-FONT1107-03-01-0066</v>
      </c>
      <c r="C71" s="626" t="str">
        <f t="shared" si="6"/>
        <v>1107-158-FONT1107-Museo de Bogotá en operación</v>
      </c>
      <c r="D71" s="626" t="str">
        <f t="shared" si="7"/>
        <v>1107-158-20-Administrados de Destinación Específica-03-01-0066</v>
      </c>
      <c r="E71" s="626" t="str">
        <f t="shared" si="19"/>
        <v>Museo de Bogotá en operación-20-Administrados de Destinación Específica-0066-Fomento, apoyo y divulgación de eventos y expresiones artísticas, culturales y del patrimonio</v>
      </c>
      <c r="F71" s="627">
        <v>36</v>
      </c>
      <c r="G71" s="628">
        <f t="shared" si="20"/>
        <v>36</v>
      </c>
      <c r="H71" s="629" t="b">
        <f t="shared" si="21"/>
        <v>1</v>
      </c>
      <c r="I71" s="630" t="s">
        <v>594</v>
      </c>
      <c r="J71" s="627" t="s">
        <v>27</v>
      </c>
      <c r="K71" s="631" t="str">
        <f>+IFERROR(VLOOKUP(J71,Listas!$A$108:$B$114,2,FALSE),"Alerta: Seleccione la celda en la comumna B con el nombre del proyecto")</f>
        <v>3-3-1-15-03-25-1107-158</v>
      </c>
      <c r="L71" s="632" t="s">
        <v>604</v>
      </c>
      <c r="M71" s="633" t="s">
        <v>605</v>
      </c>
      <c r="N71" s="634" t="str">
        <f t="shared" si="22"/>
        <v>(Cód. 36) Prestar los servicios requeridos por el Instituto Distrital de Patrimonio Cultural para atender las actividades y proyectos relacionados con la formación y divulgación del patrimonio cultural del Distrito Capital.</v>
      </c>
      <c r="O71" s="635">
        <v>43485</v>
      </c>
      <c r="P71" s="636">
        <f>IFERROR(VLOOKUP(W71,'Estimación CRP'!$D$21:$E$30,2,FALSE),0)</f>
        <v>10</v>
      </c>
      <c r="Q71" s="637">
        <f>IF(O71="No aplica","No aplica",WORKDAY.INTL(O71,P71,1,'Estimación CRP'!A257:A273))</f>
        <v>43497</v>
      </c>
      <c r="R71" s="636">
        <f t="shared" si="23"/>
        <v>2</v>
      </c>
      <c r="S71" s="636">
        <f t="shared" si="24"/>
        <v>1</v>
      </c>
      <c r="T71" s="636">
        <f t="shared" si="25"/>
        <v>1</v>
      </c>
      <c r="U71" s="712">
        <v>10</v>
      </c>
      <c r="V71" s="638">
        <v>1</v>
      </c>
      <c r="W71" s="639" t="s">
        <v>269</v>
      </c>
      <c r="X71" s="640" t="str">
        <f>IFERROR(VLOOKUP(W71,Listas!$A$60:$B$73,2,FALSE),"Alerta: Seleccione primero Modalidad de selección")</f>
        <v>CCE-16</v>
      </c>
      <c r="Y71" s="641">
        <v>0</v>
      </c>
      <c r="Z71" s="641" t="s">
        <v>1071</v>
      </c>
      <c r="AA71" s="641" t="s">
        <v>1105</v>
      </c>
      <c r="AB71" s="642">
        <f t="shared" si="26"/>
        <v>340000000</v>
      </c>
      <c r="AC71" s="642">
        <f t="shared" si="27"/>
        <v>340000000</v>
      </c>
      <c r="AD71" s="641">
        <v>0</v>
      </c>
      <c r="AE71" s="643">
        <v>0</v>
      </c>
      <c r="AF71" s="639" t="s">
        <v>276</v>
      </c>
      <c r="AG71" s="639" t="s">
        <v>277</v>
      </c>
      <c r="AH71" s="639" t="s">
        <v>284</v>
      </c>
      <c r="AI71" s="626" t="str">
        <f>IFERROR(VLOOKUP(AH71,Listas!$A$77:$C$83,2,FALSE),"Alerta: Seleccione primero el responsable")</f>
        <v>3550800</v>
      </c>
      <c r="AJ71" s="640" t="str">
        <f>IFERROR(VLOOKUP(AH71,Listas!$A$77:$C$83,3,FALSE),"Alerta: Seleccione primero el responsable")</f>
        <v>margarita.castaneda@idpc.gov.co</v>
      </c>
      <c r="AK71" s="640" t="str">
        <f>IF(J71="Funcionamiento Gastos Generales","No aplica",IF(J71="Funcionamiento Servicios Personales indirectos","No aplica",IFERROR(VLOOKUP(J71,Listas!$A$127:$E$139,3,FALSE),"Alerta: Seleccione la celda en la comumna B con el nombre del proyecto")))</f>
        <v>ME20181107</v>
      </c>
      <c r="AL71" s="640" t="str">
        <f>IF(J71="Funcionamiento Gastos Generales","No aplica",IF(J71="Funcionamiento Servicios Personales","No aplica",IFERROR(VLOOKUP(J71,Listas!$A$220:$D$224,2,FALSE),"Alerta: Seleccione la celda en la comumna B con el nombre del proyecto")))</f>
        <v>COMP1107</v>
      </c>
      <c r="AM71" s="640" t="str">
        <f>IF(J71="Funcionamiento Gastos Generales","No aplica",IF(J71="Funcionamiento Servicios Personales","No aplica",IFERROR(VLOOKUP(J71,Listas!$A$220:$D$224,3,FALSE),"Alerta: Seleccione la celda en la comumna B con el nombre del proyecto")))</f>
        <v>CONC1107</v>
      </c>
      <c r="AN71" s="633" t="s">
        <v>1047</v>
      </c>
      <c r="AO71" s="633" t="s">
        <v>53</v>
      </c>
      <c r="AP71" s="634" t="str">
        <f>IFERROR(VLOOKUP(J71,Listas!$A$182:$E$215,5,FALSE),"Alerta: Seleccione la celda en la comumna B con el nombre del proyecto")</f>
        <v>13. Oferta cultural para la valoración y divulgación del patrimonio material e  inmaterial de la ciud</v>
      </c>
      <c r="AQ71" s="634" t="str">
        <f>IF(J71="Funcionamiento Gastos Generales","No aplica",IF(J71="Funcionamiento Servicios Personales","No aplica",IFERROR(VLOOKUP(J71,Listas!$A$220:$D$224,4,FALSE),"Alerta: Seleccione la celda en la comumna B con el nombre del proyecto")))</f>
        <v>FONT1107</v>
      </c>
      <c r="AR71" s="633" t="s">
        <v>221</v>
      </c>
      <c r="AS71" s="634" t="str">
        <f>IFERROR(VLOOKUP(AU71,Listas!$E$85:$L$105,7,FALSE),"Alerta: Seleccione la celda en la comumna AI con el concepto de gasto")</f>
        <v>03-RECURSO HUMANO</v>
      </c>
      <c r="AT71" s="634" t="str">
        <f>IFERROR(VLOOKUP(AU71,Listas!$E$85:$L$105,8,FALSE),"Alerta: Seleccione la celda en la comumna AI con el concepto de gasto")</f>
        <v>01-DIVULGACION, ASISTENCIA TECNICA Y CAPACITACION DE LA POBLACION</v>
      </c>
      <c r="AU71" s="633" t="s">
        <v>232</v>
      </c>
      <c r="AV71" s="634">
        <f>IFERROR(VLOOKUP(AU71,Listas!$E$85:$F$105,2,FALSE),"Alerta: Seleccione el Concepto de Gasto primero")</f>
        <v>0</v>
      </c>
      <c r="AW71" s="644">
        <v>340000000</v>
      </c>
      <c r="AX71" s="645"/>
      <c r="AY71" s="645"/>
      <c r="AZ71" s="645"/>
      <c r="BA71" s="646">
        <f t="shared" si="28"/>
        <v>340000000</v>
      </c>
      <c r="BB71" s="647"/>
      <c r="BC71" s="648"/>
      <c r="BD71" s="649"/>
      <c r="BE71" s="647"/>
      <c r="BF71" s="644"/>
      <c r="BG71" s="646">
        <f t="shared" si="29"/>
        <v>340000000</v>
      </c>
      <c r="BH71" s="650"/>
      <c r="BI71" s="647"/>
      <c r="BJ71" s="644"/>
      <c r="BK71" s="646">
        <f t="shared" si="30"/>
        <v>0</v>
      </c>
      <c r="BL71" s="651"/>
      <c r="BM71" s="652">
        <f t="shared" si="31"/>
        <v>1</v>
      </c>
      <c r="BN71" s="628"/>
      <c r="BO71" s="670"/>
      <c r="BP71" s="644"/>
      <c r="BQ71" s="644"/>
      <c r="BR71" s="644"/>
      <c r="BS71" s="644"/>
      <c r="BT71" s="644"/>
      <c r="BU71" s="644"/>
      <c r="BV71" s="644"/>
      <c r="BW71" s="644"/>
      <c r="BX71" s="644"/>
      <c r="BY71" s="644"/>
      <c r="BZ71" s="644"/>
      <c r="CA71" s="644"/>
      <c r="CB71" s="646">
        <f t="shared" si="32"/>
        <v>0</v>
      </c>
      <c r="CC71" s="646">
        <f t="shared" si="33"/>
        <v>0</v>
      </c>
      <c r="CD71" s="614"/>
    </row>
    <row r="72" spans="1:85" s="561" customFormat="1" ht="61.5" customHeight="1">
      <c r="A72" s="625" t="str">
        <f t="shared" si="4"/>
        <v>1107-158-FONT1107-03-01-0066-Museo de Bogotá en operación</v>
      </c>
      <c r="B72" s="626" t="str">
        <f t="shared" si="5"/>
        <v>1107-158-FONT1107-03-01-0066</v>
      </c>
      <c r="C72" s="626" t="str">
        <f t="shared" si="6"/>
        <v>1107-158-FONT1107-Museo de Bogotá en operación</v>
      </c>
      <c r="D72" s="626" t="str">
        <f t="shared" si="7"/>
        <v>1107-158-12-Otros Distrito-03-01-0066</v>
      </c>
      <c r="E72" s="626" t="str">
        <f t="shared" si="19"/>
        <v>Museo de Bogotá en operación-12-Otros Distrito-0066-Fomento, apoyo y divulgación de eventos y expresiones artísticas, culturales y del patrimonio</v>
      </c>
      <c r="F72" s="627">
        <v>37</v>
      </c>
      <c r="G72" s="628">
        <f t="shared" si="20"/>
        <v>37</v>
      </c>
      <c r="H72" s="629" t="b">
        <f t="shared" si="21"/>
        <v>0</v>
      </c>
      <c r="I72" s="630" t="s">
        <v>594</v>
      </c>
      <c r="J72" s="627" t="s">
        <v>27</v>
      </c>
      <c r="K72" s="631" t="str">
        <f>+IFERROR(VLOOKUP(J72,Listas!$A$108:$B$114,2,FALSE),"Alerta: Seleccione la celda en la comumna B con el nombre del proyecto")</f>
        <v>3-3-1-15-03-25-1107-158</v>
      </c>
      <c r="L72" s="632" t="s">
        <v>618</v>
      </c>
      <c r="M72" s="633" t="s">
        <v>636</v>
      </c>
      <c r="N72" s="634" t="str">
        <f t="shared" si="22"/>
        <v>(Cód. 37) Prestar servicios profesionales al Instituto Distrital de Patrimonio Cultural en las actividades relacionadas con el desarrollo del guion curatorial para la exposición temporal del Museo de Bogotá sobre el Bicentenario de la ciudad.</v>
      </c>
      <c r="O72" s="635">
        <v>43480</v>
      </c>
      <c r="P72" s="636">
        <f>IFERROR(VLOOKUP(W72,'Estimación CRP'!$D$21:$E$30,2,FALSE),0)</f>
        <v>10</v>
      </c>
      <c r="Q72" s="637">
        <f>IF(O72="No aplica","No aplica",WORKDAY.INTL(O72,P72,1,'Estimación CRP'!A258:A274))</f>
        <v>43494</v>
      </c>
      <c r="R72" s="636">
        <f t="shared" si="23"/>
        <v>1</v>
      </c>
      <c r="S72" s="636">
        <f t="shared" si="24"/>
        <v>1</v>
      </c>
      <c r="T72" s="636">
        <f t="shared" si="25"/>
        <v>1</v>
      </c>
      <c r="U72" s="712">
        <v>8</v>
      </c>
      <c r="V72" s="638">
        <v>1</v>
      </c>
      <c r="W72" s="639" t="s">
        <v>274</v>
      </c>
      <c r="X72" s="640" t="str">
        <f>IFERROR(VLOOKUP(W72,Listas!$A$60:$B$73,2,FALSE),"Alerta: Seleccione primero Modalidad de selección")</f>
        <v>CCE-16</v>
      </c>
      <c r="Y72" s="641">
        <v>0</v>
      </c>
      <c r="Z72" s="641" t="s">
        <v>346</v>
      </c>
      <c r="AA72" s="641" t="s">
        <v>1106</v>
      </c>
      <c r="AB72" s="642">
        <f t="shared" si="26"/>
        <v>52000000</v>
      </c>
      <c r="AC72" s="642">
        <f t="shared" si="27"/>
        <v>52000000</v>
      </c>
      <c r="AD72" s="641">
        <v>0</v>
      </c>
      <c r="AE72" s="643">
        <v>0</v>
      </c>
      <c r="AF72" s="639" t="s">
        <v>276</v>
      </c>
      <c r="AG72" s="639" t="s">
        <v>277</v>
      </c>
      <c r="AH72" s="639" t="s">
        <v>284</v>
      </c>
      <c r="AI72" s="626" t="str">
        <f>IFERROR(VLOOKUP(AH72,Listas!$A$77:$C$83,2,FALSE),"Alerta: Seleccione primero el responsable")</f>
        <v>3550800</v>
      </c>
      <c r="AJ72" s="640" t="str">
        <f>IFERROR(VLOOKUP(AH72,Listas!$A$77:$C$83,3,FALSE),"Alerta: Seleccione primero el responsable")</f>
        <v>margarita.castaneda@idpc.gov.co</v>
      </c>
      <c r="AK72" s="640" t="str">
        <f>IF(J72="Funcionamiento Gastos Generales","No aplica",IF(J72="Funcionamiento Servicios Personales indirectos","No aplica",IFERROR(VLOOKUP(J72,Listas!$A$127:$E$139,3,FALSE),"Alerta: Seleccione la celda en la comumna B con el nombre del proyecto")))</f>
        <v>ME20181107</v>
      </c>
      <c r="AL72" s="640" t="str">
        <f>IF(J72="Funcionamiento Gastos Generales","No aplica",IF(J72="Funcionamiento Servicios Personales","No aplica",IFERROR(VLOOKUP(J72,Listas!$A$220:$D$224,2,FALSE),"Alerta: Seleccione la celda en la comumna B con el nombre del proyecto")))</f>
        <v>COMP1107</v>
      </c>
      <c r="AM72" s="640" t="str">
        <f>IF(J72="Funcionamiento Gastos Generales","No aplica",IF(J72="Funcionamiento Servicios Personales","No aplica",IFERROR(VLOOKUP(J72,Listas!$A$220:$D$224,3,FALSE),"Alerta: Seleccione la celda en la comumna B con el nombre del proyecto")))</f>
        <v>CONC1107</v>
      </c>
      <c r="AN72" s="633" t="s">
        <v>1047</v>
      </c>
      <c r="AO72" s="633" t="s">
        <v>53</v>
      </c>
      <c r="AP72" s="634" t="str">
        <f>IFERROR(VLOOKUP(J72,Listas!$A$182:$E$215,5,FALSE),"Alerta: Seleccione la celda en la comumna B con el nombre del proyecto")</f>
        <v>13. Oferta cultural para la valoración y divulgación del patrimonio material e  inmaterial de la ciud</v>
      </c>
      <c r="AQ72" s="634" t="str">
        <f>IF(J72="Funcionamiento Gastos Generales","No aplica",IF(J72="Funcionamiento Servicios Personales","No aplica",IFERROR(VLOOKUP(J72,Listas!$A$220:$D$224,4,FALSE),"Alerta: Seleccione la celda en la comumna B con el nombre del proyecto")))</f>
        <v>FONT1107</v>
      </c>
      <c r="AR72" s="633" t="s">
        <v>198</v>
      </c>
      <c r="AS72" s="634" t="str">
        <f>IFERROR(VLOOKUP(AU72,Listas!$E$85:$L$105,7,FALSE),"Alerta: Seleccione la celda en la comumna AI con el concepto de gasto")</f>
        <v>03-RECURSO HUMANO</v>
      </c>
      <c r="AT72" s="634" t="str">
        <f>IFERROR(VLOOKUP(AU72,Listas!$E$85:$L$105,8,FALSE),"Alerta: Seleccione la celda en la comumna AI con el concepto de gasto")</f>
        <v>01-DIVULGACION, ASISTENCIA TECNICA Y CAPACITACION DE LA POBLACION</v>
      </c>
      <c r="AU72" s="633" t="s">
        <v>232</v>
      </c>
      <c r="AV72" s="634">
        <f>IFERROR(VLOOKUP(AU72,Listas!$E$85:$F$105,2,FALSE),"Alerta: Seleccione el Concepto de Gasto primero")</f>
        <v>0</v>
      </c>
      <c r="AW72" s="644">
        <v>52000000</v>
      </c>
      <c r="AX72" s="645"/>
      <c r="AY72" s="645"/>
      <c r="AZ72" s="645"/>
      <c r="BA72" s="646">
        <f t="shared" si="28"/>
        <v>52000000</v>
      </c>
      <c r="BB72" s="647"/>
      <c r="BC72" s="648"/>
      <c r="BD72" s="649"/>
      <c r="BE72" s="647"/>
      <c r="BF72" s="644"/>
      <c r="BG72" s="646">
        <f t="shared" si="29"/>
        <v>52000000</v>
      </c>
      <c r="BH72" s="650"/>
      <c r="BI72" s="647"/>
      <c r="BJ72" s="644"/>
      <c r="BK72" s="646">
        <f t="shared" si="30"/>
        <v>0</v>
      </c>
      <c r="BL72" s="651"/>
      <c r="BM72" s="652">
        <f t="shared" si="31"/>
        <v>1</v>
      </c>
      <c r="BN72" s="628"/>
      <c r="BO72" s="670"/>
      <c r="BP72" s="644"/>
      <c r="BQ72" s="644"/>
      <c r="BR72" s="644"/>
      <c r="BS72" s="644"/>
      <c r="BT72" s="644"/>
      <c r="BU72" s="644"/>
      <c r="BV72" s="644"/>
      <c r="BW72" s="644"/>
      <c r="BX72" s="644"/>
      <c r="BY72" s="644"/>
      <c r="BZ72" s="644"/>
      <c r="CA72" s="644"/>
      <c r="CB72" s="646">
        <f t="shared" si="32"/>
        <v>0</v>
      </c>
      <c r="CC72" s="646">
        <f t="shared" si="33"/>
        <v>0</v>
      </c>
      <c r="CD72" s="614"/>
    </row>
    <row r="73" spans="1:85" s="561" customFormat="1" ht="61.5" customHeight="1">
      <c r="A73" s="625" t="str">
        <f t="shared" si="4"/>
        <v>1107-158-FONT1107-03-01-0066-Museo de Bogotá en operación</v>
      </c>
      <c r="B73" s="626" t="str">
        <f t="shared" si="5"/>
        <v>1107-158-FONT1107-03-01-0066</v>
      </c>
      <c r="C73" s="626" t="str">
        <f t="shared" si="6"/>
        <v>1107-158-FONT1107-Museo de Bogotá en operación</v>
      </c>
      <c r="D73" s="626" t="str">
        <f t="shared" si="7"/>
        <v>1107-158-12-Otros Distrito-03-01-0066</v>
      </c>
      <c r="E73" s="626" t="str">
        <f t="shared" si="19"/>
        <v>Museo de Bogotá en operación-12-Otros Distrito-0066-Fomento, apoyo y divulgación de eventos y expresiones artísticas, culturales y del patrimonio</v>
      </c>
      <c r="F73" s="627">
        <v>38</v>
      </c>
      <c r="G73" s="628">
        <f t="shared" si="20"/>
        <v>38</v>
      </c>
      <c r="H73" s="629" t="b">
        <f t="shared" si="21"/>
        <v>0</v>
      </c>
      <c r="I73" s="630" t="s">
        <v>594</v>
      </c>
      <c r="J73" s="627" t="s">
        <v>27</v>
      </c>
      <c r="K73" s="631" t="str">
        <f>+IFERROR(VLOOKUP(J73,Listas!$A$108:$B$114,2,FALSE),"Alerta: Seleccione la celda en la comumna B con el nombre del proyecto")</f>
        <v>3-3-1-15-03-25-1107-158</v>
      </c>
      <c r="L73" s="632" t="s">
        <v>618</v>
      </c>
      <c r="M73" s="633" t="s">
        <v>637</v>
      </c>
      <c r="N73" s="634" t="str">
        <f t="shared" si="22"/>
        <v>(Cód. 38) Prestar servicios profesionales al Instituto Distrital de Patrimonio Cultural en el desarrollo del guion curatorial para la exposición temporal del Museo de Bogotá sobre Bogotá, en medios impresos.</v>
      </c>
      <c r="O73" s="635">
        <v>43615</v>
      </c>
      <c r="P73" s="636">
        <f>IFERROR(VLOOKUP(W73,'Estimación CRP'!$D$21:$E$30,2,FALSE),0)</f>
        <v>10</v>
      </c>
      <c r="Q73" s="637">
        <f>IF(O73="No aplica","No aplica",WORKDAY.INTL(O73,P73,1,'Estimación CRP'!A259:A275))</f>
        <v>43629</v>
      </c>
      <c r="R73" s="636">
        <f t="shared" si="23"/>
        <v>6</v>
      </c>
      <c r="S73" s="636">
        <f t="shared" si="24"/>
        <v>5</v>
      </c>
      <c r="T73" s="636">
        <f t="shared" si="25"/>
        <v>5</v>
      </c>
      <c r="U73" s="712">
        <v>6</v>
      </c>
      <c r="V73" s="638">
        <v>2</v>
      </c>
      <c r="W73" s="639" t="s">
        <v>274</v>
      </c>
      <c r="X73" s="640" t="str">
        <f>IFERROR(VLOOKUP(W73,Listas!$A$60:$B$73,2,FALSE),"Alerta: Seleccione primero Modalidad de selección")</f>
        <v>CCE-16</v>
      </c>
      <c r="Y73" s="641">
        <v>0</v>
      </c>
      <c r="Z73" s="641" t="s">
        <v>346</v>
      </c>
      <c r="AA73" s="641" t="s">
        <v>1107</v>
      </c>
      <c r="AB73" s="642">
        <f t="shared" si="26"/>
        <v>30000000</v>
      </c>
      <c r="AC73" s="642">
        <f t="shared" si="27"/>
        <v>30000000</v>
      </c>
      <c r="AD73" s="641">
        <v>0</v>
      </c>
      <c r="AE73" s="643">
        <v>0</v>
      </c>
      <c r="AF73" s="639" t="s">
        <v>276</v>
      </c>
      <c r="AG73" s="639" t="s">
        <v>277</v>
      </c>
      <c r="AH73" s="639" t="s">
        <v>284</v>
      </c>
      <c r="AI73" s="626" t="str">
        <f>IFERROR(VLOOKUP(AH73,Listas!$A$77:$C$83,2,FALSE),"Alerta: Seleccione primero el responsable")</f>
        <v>3550800</v>
      </c>
      <c r="AJ73" s="640" t="str">
        <f>IFERROR(VLOOKUP(AH73,Listas!$A$77:$C$83,3,FALSE),"Alerta: Seleccione primero el responsable")</f>
        <v>margarita.castaneda@idpc.gov.co</v>
      </c>
      <c r="AK73" s="640" t="str">
        <f>IF(J73="Funcionamiento Gastos Generales","No aplica",IF(J73="Funcionamiento Servicios Personales indirectos","No aplica",IFERROR(VLOOKUP(J73,Listas!$A$127:$E$139,3,FALSE),"Alerta: Seleccione la celda en la comumna B con el nombre del proyecto")))</f>
        <v>ME20181107</v>
      </c>
      <c r="AL73" s="640" t="str">
        <f>IF(J73="Funcionamiento Gastos Generales","No aplica",IF(J73="Funcionamiento Servicios Personales","No aplica",IFERROR(VLOOKUP(J73,Listas!$A$220:$D$224,2,FALSE),"Alerta: Seleccione la celda en la comumna B con el nombre del proyecto")))</f>
        <v>COMP1107</v>
      </c>
      <c r="AM73" s="640" t="str">
        <f>IF(J73="Funcionamiento Gastos Generales","No aplica",IF(J73="Funcionamiento Servicios Personales","No aplica",IFERROR(VLOOKUP(J73,Listas!$A$220:$D$224,3,FALSE),"Alerta: Seleccione la celda en la comumna B con el nombre del proyecto")))</f>
        <v>CONC1107</v>
      </c>
      <c r="AN73" s="633" t="s">
        <v>1047</v>
      </c>
      <c r="AO73" s="633" t="s">
        <v>53</v>
      </c>
      <c r="AP73" s="634" t="str">
        <f>IFERROR(VLOOKUP(J73,Listas!$A$182:$E$215,5,FALSE),"Alerta: Seleccione la celda en la comumna B con el nombre del proyecto")</f>
        <v>13. Oferta cultural para la valoración y divulgación del patrimonio material e  inmaterial de la ciud</v>
      </c>
      <c r="AQ73" s="634" t="str">
        <f>IF(J73="Funcionamiento Gastos Generales","No aplica",IF(J73="Funcionamiento Servicios Personales","No aplica",IFERROR(VLOOKUP(J73,Listas!$A$220:$D$224,4,FALSE),"Alerta: Seleccione la celda en la comumna B con el nombre del proyecto")))</f>
        <v>FONT1107</v>
      </c>
      <c r="AR73" s="633" t="s">
        <v>198</v>
      </c>
      <c r="AS73" s="634" t="str">
        <f>IFERROR(VLOOKUP(AU73,Listas!$E$85:$L$105,7,FALSE),"Alerta: Seleccione la celda en la comumna AI con el concepto de gasto")</f>
        <v>03-RECURSO HUMANO</v>
      </c>
      <c r="AT73" s="634" t="str">
        <f>IFERROR(VLOOKUP(AU73,Listas!$E$85:$L$105,8,FALSE),"Alerta: Seleccione la celda en la comumna AI con el concepto de gasto")</f>
        <v>01-DIVULGACION, ASISTENCIA TECNICA Y CAPACITACION DE LA POBLACION</v>
      </c>
      <c r="AU73" s="633" t="s">
        <v>232</v>
      </c>
      <c r="AV73" s="634">
        <f>IFERROR(VLOOKUP(AU73,Listas!$E$85:$F$105,2,FALSE),"Alerta: Seleccione el Concepto de Gasto primero")</f>
        <v>0</v>
      </c>
      <c r="AW73" s="644">
        <v>30000000</v>
      </c>
      <c r="AX73" s="645"/>
      <c r="AY73" s="645"/>
      <c r="AZ73" s="645"/>
      <c r="BA73" s="646">
        <f t="shared" si="28"/>
        <v>30000000</v>
      </c>
      <c r="BB73" s="647"/>
      <c r="BC73" s="648"/>
      <c r="BD73" s="649"/>
      <c r="BE73" s="647"/>
      <c r="BF73" s="644"/>
      <c r="BG73" s="646">
        <f t="shared" si="29"/>
        <v>30000000</v>
      </c>
      <c r="BH73" s="650"/>
      <c r="BI73" s="647"/>
      <c r="BJ73" s="644"/>
      <c r="BK73" s="646">
        <f t="shared" si="30"/>
        <v>0</v>
      </c>
      <c r="BL73" s="651"/>
      <c r="BM73" s="652">
        <f t="shared" si="31"/>
        <v>1</v>
      </c>
      <c r="BN73" s="628"/>
      <c r="BO73" s="670"/>
      <c r="BP73" s="644"/>
      <c r="BQ73" s="644"/>
      <c r="BR73" s="644"/>
      <c r="BS73" s="644"/>
      <c r="BT73" s="644"/>
      <c r="BU73" s="644"/>
      <c r="BV73" s="644"/>
      <c r="BW73" s="644"/>
      <c r="BX73" s="644"/>
      <c r="BY73" s="644"/>
      <c r="BZ73" s="644"/>
      <c r="CA73" s="644"/>
      <c r="CB73" s="646">
        <f t="shared" si="32"/>
        <v>0</v>
      </c>
      <c r="CC73" s="646">
        <f t="shared" si="33"/>
        <v>0</v>
      </c>
      <c r="CD73" s="614"/>
    </row>
    <row r="74" spans="1:85" s="561" customFormat="1" ht="61.5" customHeight="1">
      <c r="A74" s="625" t="str">
        <f t="shared" si="4"/>
        <v>1107-158-FONT1107-03-01-0066-Museo de Bogotá en operación</v>
      </c>
      <c r="B74" s="626" t="str">
        <f t="shared" si="5"/>
        <v>1107-158-FONT1107-03-01-0066</v>
      </c>
      <c r="C74" s="626" t="str">
        <f t="shared" si="6"/>
        <v>1107-158-FONT1107-Museo de Bogotá en operación</v>
      </c>
      <c r="D74" s="626" t="str">
        <f t="shared" si="7"/>
        <v>1107-158-12-Otros Distrito-03-01-0066</v>
      </c>
      <c r="E74" s="626" t="str">
        <f t="shared" si="19"/>
        <v>Museo de Bogotá en operación-12-Otros Distrito-0066-Fomento, apoyo y divulgación de eventos y expresiones artísticas, culturales y del patrimonio</v>
      </c>
      <c r="F74" s="627">
        <v>39</v>
      </c>
      <c r="G74" s="628">
        <f t="shared" si="20"/>
        <v>39</v>
      </c>
      <c r="H74" s="629" t="b">
        <f t="shared" si="21"/>
        <v>0</v>
      </c>
      <c r="I74" s="630" t="s">
        <v>594</v>
      </c>
      <c r="J74" s="627" t="s">
        <v>27</v>
      </c>
      <c r="K74" s="631" t="str">
        <f>+IFERROR(VLOOKUP(J74,Listas!$A$108:$B$114,2,FALSE),"Alerta: Seleccione la celda en la comumna B con el nombre del proyecto")</f>
        <v>3-3-1-15-03-25-1107-158</v>
      </c>
      <c r="L74" s="632" t="s">
        <v>618</v>
      </c>
      <c r="M74" s="633" t="s">
        <v>638</v>
      </c>
      <c r="N74" s="634" t="str">
        <f t="shared" si="22"/>
        <v>(Cód. 39) Prestar servicios profesionales al Instituto Distrital de Patrimonio Cultural en el desarrollo del guion curatorial para la exposición temporal del Museo de Bogotá sobre la obra fotográfica "Germán Téllez".</v>
      </c>
      <c r="O74" s="635">
        <v>43504</v>
      </c>
      <c r="P74" s="636">
        <f>IFERROR(VLOOKUP(W74,'Estimación CRP'!$D$21:$E$30,2,FALSE),0)</f>
        <v>10</v>
      </c>
      <c r="Q74" s="637">
        <f>IF(O74="No aplica","No aplica",WORKDAY.INTL(O74,P74,1,'Estimación CRP'!A260:A276))</f>
        <v>43518</v>
      </c>
      <c r="R74" s="636">
        <f t="shared" si="23"/>
        <v>2</v>
      </c>
      <c r="S74" s="636">
        <f t="shared" si="24"/>
        <v>2</v>
      </c>
      <c r="T74" s="636">
        <f t="shared" si="25"/>
        <v>2</v>
      </c>
      <c r="U74" s="712">
        <v>5</v>
      </c>
      <c r="V74" s="638">
        <v>1</v>
      </c>
      <c r="W74" s="639" t="s">
        <v>274</v>
      </c>
      <c r="X74" s="640" t="str">
        <f>IFERROR(VLOOKUP(W74,Listas!$A$60:$B$73,2,FALSE),"Alerta: Seleccione primero Modalidad de selección")</f>
        <v>CCE-16</v>
      </c>
      <c r="Y74" s="641">
        <v>0</v>
      </c>
      <c r="Z74" s="641" t="s">
        <v>346</v>
      </c>
      <c r="AA74" s="641" t="s">
        <v>1108</v>
      </c>
      <c r="AB74" s="642">
        <f t="shared" si="26"/>
        <v>20000000</v>
      </c>
      <c r="AC74" s="642">
        <f t="shared" si="27"/>
        <v>20000000</v>
      </c>
      <c r="AD74" s="641">
        <v>0</v>
      </c>
      <c r="AE74" s="643">
        <v>0</v>
      </c>
      <c r="AF74" s="639" t="s">
        <v>276</v>
      </c>
      <c r="AG74" s="639" t="s">
        <v>277</v>
      </c>
      <c r="AH74" s="639" t="s">
        <v>284</v>
      </c>
      <c r="AI74" s="626" t="str">
        <f>IFERROR(VLOOKUP(AH74,Listas!$A$77:$C$83,2,FALSE),"Alerta: Seleccione primero el responsable")</f>
        <v>3550800</v>
      </c>
      <c r="AJ74" s="640" t="str">
        <f>IFERROR(VLOOKUP(AH74,Listas!$A$77:$C$83,3,FALSE),"Alerta: Seleccione primero el responsable")</f>
        <v>margarita.castaneda@idpc.gov.co</v>
      </c>
      <c r="AK74" s="640" t="str">
        <f>IF(J74="Funcionamiento Gastos Generales","No aplica",IF(J74="Funcionamiento Servicios Personales indirectos","No aplica",IFERROR(VLOOKUP(J74,Listas!$A$127:$E$139,3,FALSE),"Alerta: Seleccione la celda en la comumna B con el nombre del proyecto")))</f>
        <v>ME20181107</v>
      </c>
      <c r="AL74" s="640" t="str">
        <f>IF(J74="Funcionamiento Gastos Generales","No aplica",IF(J74="Funcionamiento Servicios Personales","No aplica",IFERROR(VLOOKUP(J74,Listas!$A$220:$D$224,2,FALSE),"Alerta: Seleccione la celda en la comumna B con el nombre del proyecto")))</f>
        <v>COMP1107</v>
      </c>
      <c r="AM74" s="640" t="str">
        <f>IF(J74="Funcionamiento Gastos Generales","No aplica",IF(J74="Funcionamiento Servicios Personales","No aplica",IFERROR(VLOOKUP(J74,Listas!$A$220:$D$224,3,FALSE),"Alerta: Seleccione la celda en la comumna B con el nombre del proyecto")))</f>
        <v>CONC1107</v>
      </c>
      <c r="AN74" s="633" t="s">
        <v>1047</v>
      </c>
      <c r="AO74" s="633" t="s">
        <v>53</v>
      </c>
      <c r="AP74" s="634" t="str">
        <f>IFERROR(VLOOKUP(J74,Listas!$A$182:$E$215,5,FALSE),"Alerta: Seleccione la celda en la comumna B con el nombre del proyecto")</f>
        <v>13. Oferta cultural para la valoración y divulgación del patrimonio material e  inmaterial de la ciud</v>
      </c>
      <c r="AQ74" s="634" t="str">
        <f>IF(J74="Funcionamiento Gastos Generales","No aplica",IF(J74="Funcionamiento Servicios Personales","No aplica",IFERROR(VLOOKUP(J74,Listas!$A$220:$D$224,4,FALSE),"Alerta: Seleccione la celda en la comumna B con el nombre del proyecto")))</f>
        <v>FONT1107</v>
      </c>
      <c r="AR74" s="633" t="s">
        <v>198</v>
      </c>
      <c r="AS74" s="634" t="str">
        <f>IFERROR(VLOOKUP(AU74,Listas!$E$85:$L$105,7,FALSE),"Alerta: Seleccione la celda en la comumna AI con el concepto de gasto")</f>
        <v>03-RECURSO HUMANO</v>
      </c>
      <c r="AT74" s="634" t="str">
        <f>IFERROR(VLOOKUP(AU74,Listas!$E$85:$L$105,8,FALSE),"Alerta: Seleccione la celda en la comumna AI con el concepto de gasto")</f>
        <v>01-DIVULGACION, ASISTENCIA TECNICA Y CAPACITACION DE LA POBLACION</v>
      </c>
      <c r="AU74" s="633" t="s">
        <v>232</v>
      </c>
      <c r="AV74" s="634">
        <f>IFERROR(VLOOKUP(AU74,Listas!$E$85:$F$105,2,FALSE),"Alerta: Seleccione el Concepto de Gasto primero")</f>
        <v>0</v>
      </c>
      <c r="AW74" s="644">
        <v>20000000</v>
      </c>
      <c r="AX74" s="645"/>
      <c r="AY74" s="645"/>
      <c r="AZ74" s="645"/>
      <c r="BA74" s="646">
        <f t="shared" si="28"/>
        <v>20000000</v>
      </c>
      <c r="BB74" s="647"/>
      <c r="BC74" s="648"/>
      <c r="BD74" s="649"/>
      <c r="BE74" s="647"/>
      <c r="BF74" s="644"/>
      <c r="BG74" s="646">
        <f t="shared" si="29"/>
        <v>20000000</v>
      </c>
      <c r="BH74" s="650"/>
      <c r="BI74" s="647"/>
      <c r="BJ74" s="644"/>
      <c r="BK74" s="646">
        <f t="shared" si="30"/>
        <v>0</v>
      </c>
      <c r="BL74" s="651"/>
      <c r="BM74" s="652">
        <f t="shared" si="31"/>
        <v>1</v>
      </c>
      <c r="BN74" s="628"/>
      <c r="BO74" s="670"/>
      <c r="BP74" s="644"/>
      <c r="BQ74" s="644"/>
      <c r="BR74" s="644"/>
      <c r="BS74" s="644"/>
      <c r="BT74" s="644"/>
      <c r="BU74" s="644"/>
      <c r="BV74" s="644"/>
      <c r="BW74" s="644"/>
      <c r="BX74" s="644"/>
      <c r="BY74" s="644"/>
      <c r="BZ74" s="644"/>
      <c r="CA74" s="644"/>
      <c r="CB74" s="646">
        <f t="shared" si="32"/>
        <v>0</v>
      </c>
      <c r="CC74" s="646">
        <f t="shared" si="33"/>
        <v>0</v>
      </c>
      <c r="CD74" s="614"/>
    </row>
    <row r="75" spans="1:85" s="653" customFormat="1" ht="61.5" customHeight="1">
      <c r="A75" s="625" t="str">
        <f t="shared" si="4"/>
        <v>1107-158-FONT1107-03-01-0066-Museo de Bogotá en operación</v>
      </c>
      <c r="B75" s="626" t="str">
        <f t="shared" si="5"/>
        <v>1107-158-FONT1107-03-01-0066</v>
      </c>
      <c r="C75" s="626" t="str">
        <f t="shared" si="6"/>
        <v>1107-158-FONT1107-Museo de Bogotá en operación</v>
      </c>
      <c r="D75" s="626" t="str">
        <f t="shared" si="7"/>
        <v>1107-158-12-Otros Distrito-03-01-0066</v>
      </c>
      <c r="E75" s="626" t="str">
        <f t="shared" si="19"/>
        <v>Museo de Bogotá en operación-12-Otros Distrito-0066-Fomento, apoyo y divulgación de eventos y expresiones artísticas, culturales y del patrimonio</v>
      </c>
      <c r="F75" s="627">
        <v>40</v>
      </c>
      <c r="G75" s="628">
        <f t="shared" si="20"/>
        <v>40</v>
      </c>
      <c r="H75" s="629" t="b">
        <f t="shared" si="21"/>
        <v>0</v>
      </c>
      <c r="I75" s="630" t="s">
        <v>594</v>
      </c>
      <c r="J75" s="627" t="s">
        <v>27</v>
      </c>
      <c r="K75" s="631" t="str">
        <f>+IFERROR(VLOOKUP(J75,Listas!$A$108:$B$114,2,FALSE),"Alerta: Seleccione la celda en la comumna B con el nombre del proyecto")</f>
        <v>3-3-1-15-03-25-1107-158</v>
      </c>
      <c r="L75" s="632">
        <v>81141504</v>
      </c>
      <c r="M75" s="633" t="s">
        <v>639</v>
      </c>
      <c r="N75" s="634" t="str">
        <f t="shared" si="22"/>
        <v>(Cód. 40) Adquisición de equipos de control ambiental para las salas de exposición del Museo de Bogotá y para el archivo de gestión del Instituto Distrital de Patrimonio Cultural.</v>
      </c>
      <c r="O75" s="635">
        <v>43496</v>
      </c>
      <c r="P75" s="636">
        <f>IFERROR(VLOOKUP(W75,'Estimación CRP'!$D$21:$E$30,2,FALSE),0)</f>
        <v>25</v>
      </c>
      <c r="Q75" s="637">
        <f>IF(O75="No aplica","No aplica",WORKDAY.INTL(O75,P75,1,'Estimación CRP'!A261:A277))</f>
        <v>43531</v>
      </c>
      <c r="R75" s="636">
        <f t="shared" si="23"/>
        <v>3</v>
      </c>
      <c r="S75" s="636">
        <f t="shared" si="24"/>
        <v>1</v>
      </c>
      <c r="T75" s="636">
        <f t="shared" si="25"/>
        <v>1</v>
      </c>
      <c r="U75" s="712">
        <v>3</v>
      </c>
      <c r="V75" s="638">
        <v>1</v>
      </c>
      <c r="W75" s="639" t="s">
        <v>267</v>
      </c>
      <c r="X75" s="640" t="str">
        <f>IFERROR(VLOOKUP(W75,Listas!$A$60:$B$73,2,FALSE),"Alerta: Seleccione primero Modalidad de selección")</f>
        <v>CCE-10</v>
      </c>
      <c r="Y75" s="641">
        <v>0</v>
      </c>
      <c r="Z75" s="641" t="s">
        <v>1109</v>
      </c>
      <c r="AA75" s="641" t="s">
        <v>1110</v>
      </c>
      <c r="AB75" s="642">
        <f t="shared" si="26"/>
        <v>7000000</v>
      </c>
      <c r="AC75" s="642">
        <f t="shared" si="27"/>
        <v>7000000</v>
      </c>
      <c r="AD75" s="641">
        <v>0</v>
      </c>
      <c r="AE75" s="643">
        <v>0</v>
      </c>
      <c r="AF75" s="639" t="s">
        <v>276</v>
      </c>
      <c r="AG75" s="639" t="s">
        <v>277</v>
      </c>
      <c r="AH75" s="639" t="s">
        <v>284</v>
      </c>
      <c r="AI75" s="626" t="str">
        <f>IFERROR(VLOOKUP(AH75,Listas!$A$77:$C$83,2,FALSE),"Alerta: Seleccione primero el responsable")</f>
        <v>3550800</v>
      </c>
      <c r="AJ75" s="640" t="str">
        <f>IFERROR(VLOOKUP(AH75,Listas!$A$77:$C$83,3,FALSE),"Alerta: Seleccione primero el responsable")</f>
        <v>margarita.castaneda@idpc.gov.co</v>
      </c>
      <c r="AK75" s="640" t="str">
        <f>IF(J75="Funcionamiento Gastos Generales","No aplica",IF(J75="Funcionamiento Servicios Personales indirectos","No aplica",IFERROR(VLOOKUP(J75,Listas!$A$127:$E$139,3,FALSE),"Alerta: Seleccione la celda en la comumna B con el nombre del proyecto")))</f>
        <v>ME20181107</v>
      </c>
      <c r="AL75" s="640" t="str">
        <f>IF(J75="Funcionamiento Gastos Generales","No aplica",IF(J75="Funcionamiento Servicios Personales","No aplica",IFERROR(VLOOKUP(J75,Listas!$A$220:$D$224,2,FALSE),"Alerta: Seleccione la celda en la comumna B con el nombre del proyecto")))</f>
        <v>COMP1107</v>
      </c>
      <c r="AM75" s="640" t="str">
        <f>IF(J75="Funcionamiento Gastos Generales","No aplica",IF(J75="Funcionamiento Servicios Personales","No aplica",IFERROR(VLOOKUP(J75,Listas!$A$220:$D$224,3,FALSE),"Alerta: Seleccione la celda en la comumna B con el nombre del proyecto")))</f>
        <v>CONC1107</v>
      </c>
      <c r="AN75" s="633" t="s">
        <v>1047</v>
      </c>
      <c r="AO75" s="633" t="s">
        <v>53</v>
      </c>
      <c r="AP75" s="634" t="str">
        <f>IFERROR(VLOOKUP(J75,Listas!$A$182:$E$215,5,FALSE),"Alerta: Seleccione la celda en la comumna B con el nombre del proyecto")</f>
        <v>13. Oferta cultural para la valoración y divulgación del patrimonio material e  inmaterial de la ciud</v>
      </c>
      <c r="AQ75" s="634" t="str">
        <f>IF(J75="Funcionamiento Gastos Generales","No aplica",IF(J75="Funcionamiento Servicios Personales","No aplica",IFERROR(VLOOKUP(J75,Listas!$A$220:$D$224,4,FALSE),"Alerta: Seleccione la celda en la comumna B con el nombre del proyecto")))</f>
        <v>FONT1107</v>
      </c>
      <c r="AR75" s="633" t="s">
        <v>198</v>
      </c>
      <c r="AS75" s="634" t="str">
        <f>IFERROR(VLOOKUP(AU75,Listas!$E$85:$L$105,7,FALSE),"Alerta: Seleccione la celda en la comumna AI con el concepto de gasto")</f>
        <v>03-RECURSO HUMANO</v>
      </c>
      <c r="AT75" s="634" t="str">
        <f>IFERROR(VLOOKUP(AU75,Listas!$E$85:$L$105,8,FALSE),"Alerta: Seleccione la celda en la comumna AI con el concepto de gasto")</f>
        <v>01-DIVULGACION, ASISTENCIA TECNICA Y CAPACITACION DE LA POBLACION</v>
      </c>
      <c r="AU75" s="633" t="s">
        <v>232</v>
      </c>
      <c r="AV75" s="634">
        <f>IFERROR(VLOOKUP(AU75,Listas!$E$85:$F$105,2,FALSE),"Alerta: Seleccione el Concepto de Gasto primero")</f>
        <v>0</v>
      </c>
      <c r="AW75" s="644">
        <v>7000000</v>
      </c>
      <c r="AX75" s="645"/>
      <c r="AY75" s="645"/>
      <c r="AZ75" s="645"/>
      <c r="BA75" s="646">
        <f t="shared" si="28"/>
        <v>7000000</v>
      </c>
      <c r="BB75" s="647"/>
      <c r="BC75" s="648"/>
      <c r="BD75" s="649"/>
      <c r="BE75" s="647"/>
      <c r="BF75" s="644"/>
      <c r="BG75" s="646">
        <f t="shared" si="29"/>
        <v>7000000</v>
      </c>
      <c r="BH75" s="650"/>
      <c r="BI75" s="647"/>
      <c r="BJ75" s="644"/>
      <c r="BK75" s="646">
        <f t="shared" si="30"/>
        <v>0</v>
      </c>
      <c r="BL75" s="651"/>
      <c r="BM75" s="652">
        <f t="shared" si="31"/>
        <v>1</v>
      </c>
      <c r="BN75" s="628"/>
      <c r="BO75" s="670"/>
      <c r="BP75" s="644"/>
      <c r="BQ75" s="644"/>
      <c r="BR75" s="644"/>
      <c r="BS75" s="644"/>
      <c r="BT75" s="644"/>
      <c r="BU75" s="644"/>
      <c r="BV75" s="644"/>
      <c r="BW75" s="644"/>
      <c r="BX75" s="644"/>
      <c r="BY75" s="644"/>
      <c r="BZ75" s="644"/>
      <c r="CA75" s="644"/>
      <c r="CB75" s="646">
        <f t="shared" si="32"/>
        <v>0</v>
      </c>
      <c r="CC75" s="646">
        <f t="shared" si="33"/>
        <v>0</v>
      </c>
      <c r="CD75" s="614"/>
    </row>
    <row r="76" spans="1:85" s="653" customFormat="1" ht="61.5" customHeight="1">
      <c r="A76" s="625" t="str">
        <f t="shared" si="4"/>
        <v>1107-158-FONT1107-03-01-0066-Museo de Bogotá en operación</v>
      </c>
      <c r="B76" s="626" t="str">
        <f t="shared" si="5"/>
        <v>1107-158-FONT1107-03-01-0066</v>
      </c>
      <c r="C76" s="626" t="str">
        <f t="shared" si="6"/>
        <v>1107-158-FONT1107-Museo de Bogotá en operación</v>
      </c>
      <c r="D76" s="626" t="str">
        <f t="shared" si="7"/>
        <v>1107-158-12-Otros Distrito-03-01-0066</v>
      </c>
      <c r="E76" s="626" t="str">
        <f t="shared" si="19"/>
        <v>Museo de Bogotá en operación-12-Otros Distrito-0066-Fomento, apoyo y divulgación de eventos y expresiones artísticas, culturales y del patrimonio</v>
      </c>
      <c r="F76" s="627">
        <v>41</v>
      </c>
      <c r="G76" s="628">
        <f t="shared" si="20"/>
        <v>41</v>
      </c>
      <c r="H76" s="629" t="b">
        <f t="shared" si="21"/>
        <v>0</v>
      </c>
      <c r="I76" s="630" t="s">
        <v>594</v>
      </c>
      <c r="J76" s="627" t="s">
        <v>27</v>
      </c>
      <c r="K76" s="631" t="str">
        <f>+IFERROR(VLOOKUP(J76,Listas!$A$108:$B$114,2,FALSE),"Alerta: Seleccione la celda en la comumna B con el nombre del proyecto")</f>
        <v>3-3-1-15-03-25-1107-158</v>
      </c>
      <c r="L76" s="632" t="s">
        <v>618</v>
      </c>
      <c r="M76" s="633" t="s">
        <v>640</v>
      </c>
      <c r="N76" s="634" t="str">
        <f t="shared" si="22"/>
        <v>(Cód. 41) Prestar servicios al Instituto Distrital de Patrimonio Cultural como apoyo a la gestión en la planificación y ejecución del portafolio de servicios educativos y culturales del Museo de Bogotá.</v>
      </c>
      <c r="O76" s="635">
        <v>43480</v>
      </c>
      <c r="P76" s="636">
        <f>IFERROR(VLOOKUP(W76,'Estimación CRP'!$D$21:$E$30,2,FALSE),0)</f>
        <v>10</v>
      </c>
      <c r="Q76" s="637">
        <f>IF(O76="No aplica","No aplica",WORKDAY.INTL(O76,P76,1,'Estimación CRP'!A262:A278))</f>
        <v>43494</v>
      </c>
      <c r="R76" s="636">
        <f t="shared" si="23"/>
        <v>1</v>
      </c>
      <c r="S76" s="636">
        <f t="shared" si="24"/>
        <v>1</v>
      </c>
      <c r="T76" s="636">
        <f t="shared" si="25"/>
        <v>1</v>
      </c>
      <c r="U76" s="712">
        <v>3</v>
      </c>
      <c r="V76" s="638">
        <v>1</v>
      </c>
      <c r="W76" s="639" t="s">
        <v>274</v>
      </c>
      <c r="X76" s="640" t="str">
        <f>IFERROR(VLOOKUP(W76,Listas!$A$60:$B$73,2,FALSE),"Alerta: Seleccione primero Modalidad de selección")</f>
        <v>CCE-16</v>
      </c>
      <c r="Y76" s="641">
        <v>0</v>
      </c>
      <c r="Z76" s="641" t="s">
        <v>346</v>
      </c>
      <c r="AA76" s="641" t="s">
        <v>1111</v>
      </c>
      <c r="AB76" s="642">
        <f t="shared" si="26"/>
        <v>7740000</v>
      </c>
      <c r="AC76" s="642">
        <f t="shared" si="27"/>
        <v>7740000</v>
      </c>
      <c r="AD76" s="641">
        <v>0</v>
      </c>
      <c r="AE76" s="643">
        <v>0</v>
      </c>
      <c r="AF76" s="639" t="s">
        <v>276</v>
      </c>
      <c r="AG76" s="639" t="s">
        <v>277</v>
      </c>
      <c r="AH76" s="639" t="s">
        <v>284</v>
      </c>
      <c r="AI76" s="626" t="str">
        <f>IFERROR(VLOOKUP(AH76,Listas!$A$77:$C$83,2,FALSE),"Alerta: Seleccione primero el responsable")</f>
        <v>3550800</v>
      </c>
      <c r="AJ76" s="640" t="str">
        <f>IFERROR(VLOOKUP(AH76,Listas!$A$77:$C$83,3,FALSE),"Alerta: Seleccione primero el responsable")</f>
        <v>margarita.castaneda@idpc.gov.co</v>
      </c>
      <c r="AK76" s="640" t="str">
        <f>IF(J76="Funcionamiento Gastos Generales","No aplica",IF(J76="Funcionamiento Servicios Personales indirectos","No aplica",IFERROR(VLOOKUP(J76,Listas!$A$127:$E$139,3,FALSE),"Alerta: Seleccione la celda en la comumna B con el nombre del proyecto")))</f>
        <v>ME20181107</v>
      </c>
      <c r="AL76" s="640" t="str">
        <f>IF(J76="Funcionamiento Gastos Generales","No aplica",IF(J76="Funcionamiento Servicios Personales","No aplica",IFERROR(VLOOKUP(J76,Listas!$A$220:$D$224,2,FALSE),"Alerta: Seleccione la celda en la comumna B con el nombre del proyecto")))</f>
        <v>COMP1107</v>
      </c>
      <c r="AM76" s="640" t="str">
        <f>IF(J76="Funcionamiento Gastos Generales","No aplica",IF(J76="Funcionamiento Servicios Personales","No aplica",IFERROR(VLOOKUP(J76,Listas!$A$220:$D$224,3,FALSE),"Alerta: Seleccione la celda en la comumna B con el nombre del proyecto")))</f>
        <v>CONC1107</v>
      </c>
      <c r="AN76" s="633" t="s">
        <v>1047</v>
      </c>
      <c r="AO76" s="633" t="s">
        <v>53</v>
      </c>
      <c r="AP76" s="634" t="str">
        <f>IFERROR(VLOOKUP(J76,Listas!$A$182:$E$215,5,FALSE),"Alerta: Seleccione la celda en la comumna B con el nombre del proyecto")</f>
        <v>13. Oferta cultural para la valoración y divulgación del patrimonio material e  inmaterial de la ciud</v>
      </c>
      <c r="AQ76" s="634" t="str">
        <f>IF(J76="Funcionamiento Gastos Generales","No aplica",IF(J76="Funcionamiento Servicios Personales","No aplica",IFERROR(VLOOKUP(J76,Listas!$A$220:$D$224,4,FALSE),"Alerta: Seleccione la celda en la comumna B con el nombre del proyecto")))</f>
        <v>FONT1107</v>
      </c>
      <c r="AR76" s="633" t="s">
        <v>198</v>
      </c>
      <c r="AS76" s="634" t="str">
        <f>IFERROR(VLOOKUP(AU76,Listas!$E$85:$L$105,7,FALSE),"Alerta: Seleccione la celda en la comumna AI con el concepto de gasto")</f>
        <v>03-RECURSO HUMANO</v>
      </c>
      <c r="AT76" s="634" t="str">
        <f>IFERROR(VLOOKUP(AU76,Listas!$E$85:$L$105,8,FALSE),"Alerta: Seleccione la celda en la comumna AI con el concepto de gasto")</f>
        <v>01-DIVULGACION, ASISTENCIA TECNICA Y CAPACITACION DE LA POBLACION</v>
      </c>
      <c r="AU76" s="633" t="s">
        <v>232</v>
      </c>
      <c r="AV76" s="634">
        <f>IFERROR(VLOOKUP(AU76,Listas!$E$85:$F$105,2,FALSE),"Alerta: Seleccione el Concepto de Gasto primero")</f>
        <v>0</v>
      </c>
      <c r="AW76" s="644">
        <v>7740000</v>
      </c>
      <c r="AX76" s="645"/>
      <c r="AY76" s="645"/>
      <c r="AZ76" s="645"/>
      <c r="BA76" s="646">
        <f t="shared" si="28"/>
        <v>7740000</v>
      </c>
      <c r="BB76" s="647"/>
      <c r="BC76" s="648"/>
      <c r="BD76" s="649"/>
      <c r="BE76" s="647"/>
      <c r="BF76" s="644"/>
      <c r="BG76" s="646">
        <f t="shared" si="29"/>
        <v>7740000</v>
      </c>
      <c r="BH76" s="650"/>
      <c r="BI76" s="647"/>
      <c r="BJ76" s="644"/>
      <c r="BK76" s="646">
        <f t="shared" si="30"/>
        <v>0</v>
      </c>
      <c r="BL76" s="651"/>
      <c r="BM76" s="652">
        <f t="shared" si="31"/>
        <v>1</v>
      </c>
      <c r="BN76" s="628"/>
      <c r="BO76" s="670"/>
      <c r="BP76" s="644"/>
      <c r="BQ76" s="644"/>
      <c r="BR76" s="644"/>
      <c r="BS76" s="644"/>
      <c r="BT76" s="644"/>
      <c r="BU76" s="644"/>
      <c r="BV76" s="644"/>
      <c r="BW76" s="644"/>
      <c r="BX76" s="644"/>
      <c r="BY76" s="644"/>
      <c r="BZ76" s="644"/>
      <c r="CA76" s="644"/>
      <c r="CB76" s="646">
        <f t="shared" si="32"/>
        <v>0</v>
      </c>
      <c r="CC76" s="646">
        <f t="shared" si="33"/>
        <v>0</v>
      </c>
      <c r="CD76" s="614"/>
    </row>
    <row r="77" spans="1:85" s="561" customFormat="1" ht="61.5" customHeight="1">
      <c r="A77" s="625" t="str">
        <f t="shared" si="4"/>
        <v>1107-158-FONT1107-03-01-0066-Museo de Bogotá en operación</v>
      </c>
      <c r="B77" s="626" t="str">
        <f t="shared" si="5"/>
        <v>1107-158-FONT1107-03-01-0066</v>
      </c>
      <c r="C77" s="626" t="str">
        <f t="shared" si="6"/>
        <v>1107-158-FONT1107-Museo de Bogotá en operación</v>
      </c>
      <c r="D77" s="626" t="str">
        <f t="shared" si="7"/>
        <v>1107-158-12-Otros Distrito-03-01-0066</v>
      </c>
      <c r="E77" s="626" t="str">
        <f t="shared" si="19"/>
        <v>Museo de Bogotá en operación-12-Otros Distrito-0066-Fomento, apoyo y divulgación de eventos y expresiones artísticas, culturales y del patrimonio</v>
      </c>
      <c r="F77" s="627">
        <v>42</v>
      </c>
      <c r="G77" s="628">
        <f t="shared" si="20"/>
        <v>42</v>
      </c>
      <c r="H77" s="629" t="b">
        <f t="shared" si="21"/>
        <v>0</v>
      </c>
      <c r="I77" s="630" t="s">
        <v>594</v>
      </c>
      <c r="J77" s="627" t="s">
        <v>27</v>
      </c>
      <c r="K77" s="631" t="str">
        <f>+IFERROR(VLOOKUP(J77,Listas!$A$108:$B$114,2,FALSE),"Alerta: Seleccione la celda en la comumna B con el nombre del proyecto")</f>
        <v>3-3-1-15-03-25-1107-158</v>
      </c>
      <c r="L77" s="632" t="s">
        <v>618</v>
      </c>
      <c r="M77" s="633" t="s">
        <v>641</v>
      </c>
      <c r="N77" s="634" t="str">
        <f t="shared" si="22"/>
        <v>(Cód. 42) Prestar servicios profesionales al Instituto Distrital de Patrimonio Cultural para orientar las actividades de curaduría y museología del Museo de Bogotá.</v>
      </c>
      <c r="O77" s="635">
        <v>43480</v>
      </c>
      <c r="P77" s="636">
        <f>IFERROR(VLOOKUP(W77,'Estimación CRP'!$D$21:$E$30,2,FALSE),0)</f>
        <v>10</v>
      </c>
      <c r="Q77" s="637">
        <f>IF(O77="No aplica","No aplica",WORKDAY.INTL(O77,P77,1,'Estimación CRP'!A263:A279))</f>
        <v>43494</v>
      </c>
      <c r="R77" s="636">
        <f t="shared" si="23"/>
        <v>1</v>
      </c>
      <c r="S77" s="636">
        <f t="shared" si="24"/>
        <v>1</v>
      </c>
      <c r="T77" s="636">
        <f t="shared" si="25"/>
        <v>1</v>
      </c>
      <c r="U77" s="712">
        <v>11</v>
      </c>
      <c r="V77" s="638">
        <v>1</v>
      </c>
      <c r="W77" s="639" t="s">
        <v>274</v>
      </c>
      <c r="X77" s="640" t="str">
        <f>IFERROR(VLOOKUP(W77,Listas!$A$60:$B$73,2,FALSE),"Alerta: Seleccione primero Modalidad de selección")</f>
        <v>CCE-16</v>
      </c>
      <c r="Y77" s="641">
        <v>0</v>
      </c>
      <c r="Z77" s="641" t="s">
        <v>346</v>
      </c>
      <c r="AA77" s="641" t="s">
        <v>1112</v>
      </c>
      <c r="AB77" s="642">
        <f t="shared" si="26"/>
        <v>72820000</v>
      </c>
      <c r="AC77" s="642">
        <f t="shared" si="27"/>
        <v>72820000</v>
      </c>
      <c r="AD77" s="641">
        <v>0</v>
      </c>
      <c r="AE77" s="643">
        <v>0</v>
      </c>
      <c r="AF77" s="639" t="s">
        <v>276</v>
      </c>
      <c r="AG77" s="639" t="s">
        <v>277</v>
      </c>
      <c r="AH77" s="639" t="s">
        <v>284</v>
      </c>
      <c r="AI77" s="626" t="str">
        <f>IFERROR(VLOOKUP(AH77,Listas!$A$77:$C$83,2,FALSE),"Alerta: Seleccione primero el responsable")</f>
        <v>3550800</v>
      </c>
      <c r="AJ77" s="640" t="str">
        <f>IFERROR(VLOOKUP(AH77,Listas!$A$77:$C$83,3,FALSE),"Alerta: Seleccione primero el responsable")</f>
        <v>margarita.castaneda@idpc.gov.co</v>
      </c>
      <c r="AK77" s="640" t="str">
        <f>IF(J77="Funcionamiento Gastos Generales","No aplica",IF(J77="Funcionamiento Servicios Personales indirectos","No aplica",IFERROR(VLOOKUP(J77,Listas!$A$127:$E$139,3,FALSE),"Alerta: Seleccione la celda en la comumna B con el nombre del proyecto")))</f>
        <v>ME20181107</v>
      </c>
      <c r="AL77" s="640" t="str">
        <f>IF(J77="Funcionamiento Gastos Generales","No aplica",IF(J77="Funcionamiento Servicios Personales","No aplica",IFERROR(VLOOKUP(J77,Listas!$A$220:$D$224,2,FALSE),"Alerta: Seleccione la celda en la comumna B con el nombre del proyecto")))</f>
        <v>COMP1107</v>
      </c>
      <c r="AM77" s="640" t="str">
        <f>IF(J77="Funcionamiento Gastos Generales","No aplica",IF(J77="Funcionamiento Servicios Personales","No aplica",IFERROR(VLOOKUP(J77,Listas!$A$220:$D$224,3,FALSE),"Alerta: Seleccione la celda en la comumna B con el nombre del proyecto")))</f>
        <v>CONC1107</v>
      </c>
      <c r="AN77" s="633" t="s">
        <v>1047</v>
      </c>
      <c r="AO77" s="633" t="s">
        <v>53</v>
      </c>
      <c r="AP77" s="634" t="str">
        <f>IFERROR(VLOOKUP(J77,Listas!$A$182:$E$215,5,FALSE),"Alerta: Seleccione la celda en la comumna B con el nombre del proyecto")</f>
        <v>13. Oferta cultural para la valoración y divulgación del patrimonio material e  inmaterial de la ciud</v>
      </c>
      <c r="AQ77" s="634" t="str">
        <f>IF(J77="Funcionamiento Gastos Generales","No aplica",IF(J77="Funcionamiento Servicios Personales","No aplica",IFERROR(VLOOKUP(J77,Listas!$A$220:$D$224,4,FALSE),"Alerta: Seleccione la celda en la comumna B con el nombre del proyecto")))</f>
        <v>FONT1107</v>
      </c>
      <c r="AR77" s="633" t="s">
        <v>198</v>
      </c>
      <c r="AS77" s="634" t="str">
        <f>IFERROR(VLOOKUP(AU77,Listas!$E$85:$L$105,7,FALSE),"Alerta: Seleccione la celda en la comumna AI con el concepto de gasto")</f>
        <v>03-RECURSO HUMANO</v>
      </c>
      <c r="AT77" s="634" t="str">
        <f>IFERROR(VLOOKUP(AU77,Listas!$E$85:$L$105,8,FALSE),"Alerta: Seleccione la celda en la comumna AI con el concepto de gasto")</f>
        <v>01-DIVULGACION, ASISTENCIA TECNICA Y CAPACITACION DE LA POBLACION</v>
      </c>
      <c r="AU77" s="633" t="s">
        <v>232</v>
      </c>
      <c r="AV77" s="634">
        <f>IFERROR(VLOOKUP(AU77,Listas!$E$85:$F$105,2,FALSE),"Alerta: Seleccione el Concepto de Gasto primero")</f>
        <v>0</v>
      </c>
      <c r="AW77" s="644">
        <v>72820000</v>
      </c>
      <c r="AX77" s="645"/>
      <c r="AY77" s="645"/>
      <c r="AZ77" s="645"/>
      <c r="BA77" s="646">
        <f t="shared" si="28"/>
        <v>72820000</v>
      </c>
      <c r="BB77" s="647"/>
      <c r="BC77" s="648"/>
      <c r="BD77" s="649"/>
      <c r="BE77" s="647"/>
      <c r="BF77" s="644"/>
      <c r="BG77" s="646">
        <f t="shared" si="29"/>
        <v>72820000</v>
      </c>
      <c r="BH77" s="650"/>
      <c r="BI77" s="647"/>
      <c r="BJ77" s="644"/>
      <c r="BK77" s="646">
        <f t="shared" si="30"/>
        <v>0</v>
      </c>
      <c r="BL77" s="651"/>
      <c r="BM77" s="652">
        <f t="shared" si="31"/>
        <v>1</v>
      </c>
      <c r="BN77" s="628"/>
      <c r="BO77" s="670"/>
      <c r="BP77" s="644"/>
      <c r="BQ77" s="644"/>
      <c r="BR77" s="644"/>
      <c r="BS77" s="644"/>
      <c r="BT77" s="644"/>
      <c r="BU77" s="644"/>
      <c r="BV77" s="644"/>
      <c r="BW77" s="644"/>
      <c r="BX77" s="644"/>
      <c r="BY77" s="644"/>
      <c r="BZ77" s="644"/>
      <c r="CA77" s="644"/>
      <c r="CB77" s="646">
        <f t="shared" si="32"/>
        <v>0</v>
      </c>
      <c r="CC77" s="646">
        <f t="shared" si="33"/>
        <v>0</v>
      </c>
      <c r="CD77" s="614"/>
    </row>
    <row r="78" spans="1:85" s="561" customFormat="1" ht="61.5" customHeight="1">
      <c r="A78" s="625" t="str">
        <f t="shared" si="4"/>
        <v>1107-158-FONT1107-03-01-0066-Activación del patrimonio</v>
      </c>
      <c r="B78" s="626" t="str">
        <f t="shared" si="5"/>
        <v>1107-158-FONT1107-03-01-0066</v>
      </c>
      <c r="C78" s="626" t="str">
        <f t="shared" si="6"/>
        <v>1107-158-FONT1107-Activación del patrimonio</v>
      </c>
      <c r="D78" s="626" t="str">
        <f t="shared" si="7"/>
        <v>1107-158-12-Otros Distrito-03-01-0066</v>
      </c>
      <c r="E78" s="626" t="str">
        <f t="shared" si="19"/>
        <v>Activación del patrimonio-12-Otros Distrito-0066-Fomento, apoyo y divulgación de eventos y expresiones artísticas, culturales y del patrimonio</v>
      </c>
      <c r="F78" s="627">
        <v>43</v>
      </c>
      <c r="G78" s="628">
        <f t="shared" si="20"/>
        <v>43</v>
      </c>
      <c r="H78" s="629" t="b">
        <f t="shared" si="21"/>
        <v>0</v>
      </c>
      <c r="I78" s="630" t="s">
        <v>594</v>
      </c>
      <c r="J78" s="627" t="s">
        <v>27</v>
      </c>
      <c r="K78" s="631" t="str">
        <f>+IFERROR(VLOOKUP(J78,Listas!$A$108:$B$114,2,FALSE),"Alerta: Seleccione la celda en la comumna B con el nombre del proyecto")</f>
        <v>3-3-1-15-03-25-1107-158</v>
      </c>
      <c r="L78" s="632" t="s">
        <v>618</v>
      </c>
      <c r="M78" s="633" t="s">
        <v>642</v>
      </c>
      <c r="N78" s="634" t="str">
        <f t="shared" si="22"/>
        <v>(Cód. 43) Prestar servicios profesionales al Instituto Distrital de Patrimonio Cultural para apoyar el desarrollo de estrategias orientadas a la apropiación social y salvaguardia del Patrimonio Cultural Inmaterial.</v>
      </c>
      <c r="O78" s="635">
        <v>43480</v>
      </c>
      <c r="P78" s="636">
        <f>IFERROR(VLOOKUP(W78,'Estimación CRP'!$D$21:$E$30,2,FALSE),0)</f>
        <v>10</v>
      </c>
      <c r="Q78" s="637">
        <f>IF(O78="No aplica","No aplica",WORKDAY.INTL(O78,P78,1,'Estimación CRP'!A264:A280))</f>
        <v>43494</v>
      </c>
      <c r="R78" s="636">
        <f t="shared" si="23"/>
        <v>1</v>
      </c>
      <c r="S78" s="636">
        <f t="shared" si="24"/>
        <v>1</v>
      </c>
      <c r="T78" s="636">
        <f t="shared" si="25"/>
        <v>1</v>
      </c>
      <c r="U78" s="712">
        <v>11</v>
      </c>
      <c r="V78" s="638">
        <v>1</v>
      </c>
      <c r="W78" s="639" t="s">
        <v>274</v>
      </c>
      <c r="X78" s="640" t="str">
        <f>IFERROR(VLOOKUP(W78,Listas!$A$60:$B$73,2,FALSE),"Alerta: Seleccione primero Modalidad de selección")</f>
        <v>CCE-16</v>
      </c>
      <c r="Y78" s="641">
        <v>0</v>
      </c>
      <c r="Z78" s="641" t="s">
        <v>346</v>
      </c>
      <c r="AA78" s="641" t="s">
        <v>1113</v>
      </c>
      <c r="AB78" s="642">
        <f t="shared" si="26"/>
        <v>65560000</v>
      </c>
      <c r="AC78" s="642">
        <f t="shared" si="27"/>
        <v>65560000</v>
      </c>
      <c r="AD78" s="641">
        <v>0</v>
      </c>
      <c r="AE78" s="643">
        <v>0</v>
      </c>
      <c r="AF78" s="639" t="s">
        <v>276</v>
      </c>
      <c r="AG78" s="639" t="s">
        <v>277</v>
      </c>
      <c r="AH78" s="639" t="s">
        <v>284</v>
      </c>
      <c r="AI78" s="626" t="str">
        <f>IFERROR(VLOOKUP(AH78,Listas!$A$77:$C$83,2,FALSE),"Alerta: Seleccione primero el responsable")</f>
        <v>3550800</v>
      </c>
      <c r="AJ78" s="640" t="str">
        <f>IFERROR(VLOOKUP(AH78,Listas!$A$77:$C$83,3,FALSE),"Alerta: Seleccione primero el responsable")</f>
        <v>margarita.castaneda@idpc.gov.co</v>
      </c>
      <c r="AK78" s="640" t="str">
        <f>IF(J78="Funcionamiento Gastos Generales","No aplica",IF(J78="Funcionamiento Servicios Personales indirectos","No aplica",IFERROR(VLOOKUP(J78,Listas!$A$127:$E$139,3,FALSE),"Alerta: Seleccione la celda en la comumna B con el nombre del proyecto")))</f>
        <v>ME20181107</v>
      </c>
      <c r="AL78" s="640" t="str">
        <f>IF(J78="Funcionamiento Gastos Generales","No aplica",IF(J78="Funcionamiento Servicios Personales","No aplica",IFERROR(VLOOKUP(J78,Listas!$A$220:$D$224,2,FALSE),"Alerta: Seleccione la celda en la comumna B con el nombre del proyecto")))</f>
        <v>COMP1107</v>
      </c>
      <c r="AM78" s="640" t="str">
        <f>IF(J78="Funcionamiento Gastos Generales","No aplica",IF(J78="Funcionamiento Servicios Personales","No aplica",IFERROR(VLOOKUP(J78,Listas!$A$220:$D$224,3,FALSE),"Alerta: Seleccione la celda en la comumna B con el nombre del proyecto")))</f>
        <v>CONC1107</v>
      </c>
      <c r="AN78" s="633" t="s">
        <v>1046</v>
      </c>
      <c r="AO78" s="633" t="s">
        <v>54</v>
      </c>
      <c r="AP78" s="634" t="str">
        <f>IFERROR(VLOOKUP(J78,Listas!$A$182:$E$215,5,FALSE),"Alerta: Seleccione la celda en la comumna B con el nombre del proyecto")</f>
        <v>13. Oferta cultural para la valoración y divulgación del patrimonio material e  inmaterial de la ciud</v>
      </c>
      <c r="AQ78" s="634" t="str">
        <f>IF(J78="Funcionamiento Gastos Generales","No aplica",IF(J78="Funcionamiento Servicios Personales","No aplica",IFERROR(VLOOKUP(J78,Listas!$A$220:$D$224,4,FALSE),"Alerta: Seleccione la celda en la comumna B con el nombre del proyecto")))</f>
        <v>FONT1107</v>
      </c>
      <c r="AR78" s="633" t="s">
        <v>198</v>
      </c>
      <c r="AS78" s="634" t="str">
        <f>IFERROR(VLOOKUP(AU78,Listas!$E$85:$L$105,7,FALSE),"Alerta: Seleccione la celda en la comumna AI con el concepto de gasto")</f>
        <v>03-RECURSO HUMANO</v>
      </c>
      <c r="AT78" s="634" t="str">
        <f>IFERROR(VLOOKUP(AU78,Listas!$E$85:$L$105,8,FALSE),"Alerta: Seleccione la celda en la comumna AI con el concepto de gasto")</f>
        <v>01-DIVULGACION, ASISTENCIA TECNICA Y CAPACITACION DE LA POBLACION</v>
      </c>
      <c r="AU78" s="633" t="s">
        <v>232</v>
      </c>
      <c r="AV78" s="634">
        <f>IFERROR(VLOOKUP(AU78,Listas!$E$85:$F$105,2,FALSE),"Alerta: Seleccione el Concepto de Gasto primero")</f>
        <v>0</v>
      </c>
      <c r="AW78" s="644">
        <v>65560000</v>
      </c>
      <c r="AX78" s="645"/>
      <c r="AY78" s="645"/>
      <c r="AZ78" s="645"/>
      <c r="BA78" s="646">
        <f t="shared" si="28"/>
        <v>65560000</v>
      </c>
      <c r="BB78" s="647"/>
      <c r="BC78" s="648"/>
      <c r="BD78" s="649"/>
      <c r="BE78" s="647"/>
      <c r="BF78" s="644"/>
      <c r="BG78" s="646">
        <f t="shared" si="29"/>
        <v>65560000</v>
      </c>
      <c r="BH78" s="650"/>
      <c r="BI78" s="647"/>
      <c r="BJ78" s="644"/>
      <c r="BK78" s="646">
        <f t="shared" si="30"/>
        <v>0</v>
      </c>
      <c r="BL78" s="651"/>
      <c r="BM78" s="652">
        <f t="shared" si="31"/>
        <v>1</v>
      </c>
      <c r="BN78" s="628"/>
      <c r="BO78" s="670"/>
      <c r="BP78" s="644"/>
      <c r="BQ78" s="644"/>
      <c r="BR78" s="644"/>
      <c r="BS78" s="644"/>
      <c r="BT78" s="644"/>
      <c r="BU78" s="644"/>
      <c r="BV78" s="644"/>
      <c r="BW78" s="644"/>
      <c r="BX78" s="644"/>
      <c r="BY78" s="644"/>
      <c r="BZ78" s="644"/>
      <c r="CA78" s="644"/>
      <c r="CB78" s="646">
        <f t="shared" si="32"/>
        <v>0</v>
      </c>
      <c r="CC78" s="646">
        <f t="shared" si="33"/>
        <v>0</v>
      </c>
      <c r="CD78" s="614"/>
    </row>
    <row r="79" spans="1:85" s="561" customFormat="1" ht="61.5" customHeight="1">
      <c r="A79" s="625" t="str">
        <f t="shared" si="4"/>
        <v>1107-158-FONT1107-03-01-0066-Activación del patrimonio</v>
      </c>
      <c r="B79" s="626" t="str">
        <f t="shared" si="5"/>
        <v>1107-158-FONT1107-03-01-0066</v>
      </c>
      <c r="C79" s="626" t="str">
        <f t="shared" si="6"/>
        <v>1107-158-FONT1107-Activación del patrimonio</v>
      </c>
      <c r="D79" s="626" t="str">
        <f t="shared" si="7"/>
        <v>1107-158-12-Otros Distrito-03-01-0066</v>
      </c>
      <c r="E79" s="626" t="str">
        <f t="shared" si="19"/>
        <v>Activación del patrimonio-12-Otros Distrito-0066-Fomento, apoyo y divulgación de eventos y expresiones artísticas, culturales y del patrimonio</v>
      </c>
      <c r="F79" s="627">
        <v>44</v>
      </c>
      <c r="G79" s="628">
        <f t="shared" si="20"/>
        <v>44</v>
      </c>
      <c r="H79" s="629" t="b">
        <f t="shared" si="21"/>
        <v>0</v>
      </c>
      <c r="I79" s="630" t="s">
        <v>594</v>
      </c>
      <c r="J79" s="627" t="s">
        <v>27</v>
      </c>
      <c r="K79" s="631" t="str">
        <f>+IFERROR(VLOOKUP(J79,Listas!$A$108:$B$114,2,FALSE),"Alerta: Seleccione la celda en la comumna B con el nombre del proyecto")</f>
        <v>3-3-1-15-03-25-1107-158</v>
      </c>
      <c r="L79" s="632" t="s">
        <v>618</v>
      </c>
      <c r="M79" s="633" t="s">
        <v>643</v>
      </c>
      <c r="N79" s="634" t="str">
        <f t="shared" si="22"/>
        <v>(Cód. 44) Prestar servicios profesionales al Instituto Distrital de Patrimonio Cultural para acompañar la producción audiovisual y multimedial requerida para el desarrollo de la estrategia de apropiación social del patrimonio cultural.</v>
      </c>
      <c r="O79" s="635">
        <v>43480</v>
      </c>
      <c r="P79" s="636">
        <f>IFERROR(VLOOKUP(W79,'Estimación CRP'!$D$21:$E$30,2,FALSE),0)</f>
        <v>10</v>
      </c>
      <c r="Q79" s="637">
        <f>IF(O79="No aplica","No aplica",WORKDAY.INTL(O79,P79,1,'Estimación CRP'!A265:A281))</f>
        <v>43494</v>
      </c>
      <c r="R79" s="636">
        <f t="shared" si="23"/>
        <v>1</v>
      </c>
      <c r="S79" s="636">
        <f t="shared" si="24"/>
        <v>1</v>
      </c>
      <c r="T79" s="636">
        <f t="shared" si="25"/>
        <v>1</v>
      </c>
      <c r="U79" s="712">
        <v>11</v>
      </c>
      <c r="V79" s="638">
        <v>1</v>
      </c>
      <c r="W79" s="639" t="s">
        <v>274</v>
      </c>
      <c r="X79" s="640" t="str">
        <f>IFERROR(VLOOKUP(W79,Listas!$A$60:$B$73,2,FALSE),"Alerta: Seleccione primero Modalidad de selección")</f>
        <v>CCE-16</v>
      </c>
      <c r="Y79" s="641">
        <v>0</v>
      </c>
      <c r="Z79" s="641" t="s">
        <v>346</v>
      </c>
      <c r="AA79" s="641" t="s">
        <v>1114</v>
      </c>
      <c r="AB79" s="642">
        <f t="shared" si="26"/>
        <v>88000000</v>
      </c>
      <c r="AC79" s="642">
        <f t="shared" si="27"/>
        <v>88000000</v>
      </c>
      <c r="AD79" s="641">
        <v>0</v>
      </c>
      <c r="AE79" s="643">
        <v>0</v>
      </c>
      <c r="AF79" s="639" t="s">
        <v>276</v>
      </c>
      <c r="AG79" s="639" t="s">
        <v>277</v>
      </c>
      <c r="AH79" s="639" t="s">
        <v>284</v>
      </c>
      <c r="AI79" s="626" t="str">
        <f>IFERROR(VLOOKUP(AH79,Listas!$A$77:$C$83,2,FALSE),"Alerta: Seleccione primero el responsable")</f>
        <v>3550800</v>
      </c>
      <c r="AJ79" s="640" t="str">
        <f>IFERROR(VLOOKUP(AH79,Listas!$A$77:$C$83,3,FALSE),"Alerta: Seleccione primero el responsable")</f>
        <v>margarita.castaneda@idpc.gov.co</v>
      </c>
      <c r="AK79" s="640" t="str">
        <f>IF(J79="Funcionamiento Gastos Generales","No aplica",IF(J79="Funcionamiento Servicios Personales indirectos","No aplica",IFERROR(VLOOKUP(J79,Listas!$A$127:$E$139,3,FALSE),"Alerta: Seleccione la celda en la comumna B con el nombre del proyecto")))</f>
        <v>ME20181107</v>
      </c>
      <c r="AL79" s="640" t="str">
        <f>IF(J79="Funcionamiento Gastos Generales","No aplica",IF(J79="Funcionamiento Servicios Personales","No aplica",IFERROR(VLOOKUP(J79,Listas!$A$220:$D$224,2,FALSE),"Alerta: Seleccione la celda en la comumna B con el nombre del proyecto")))</f>
        <v>COMP1107</v>
      </c>
      <c r="AM79" s="640" t="str">
        <f>IF(J79="Funcionamiento Gastos Generales","No aplica",IF(J79="Funcionamiento Servicios Personales","No aplica",IFERROR(VLOOKUP(J79,Listas!$A$220:$D$224,3,FALSE),"Alerta: Seleccione la celda en la comumna B con el nombre del proyecto")))</f>
        <v>CONC1107</v>
      </c>
      <c r="AN79" s="633" t="s">
        <v>1046</v>
      </c>
      <c r="AO79" s="633" t="s">
        <v>54</v>
      </c>
      <c r="AP79" s="634" t="str">
        <f>IFERROR(VLOOKUP(J79,Listas!$A$182:$E$215,5,FALSE),"Alerta: Seleccione la celda en la comumna B con el nombre del proyecto")</f>
        <v>13. Oferta cultural para la valoración y divulgación del patrimonio material e  inmaterial de la ciud</v>
      </c>
      <c r="AQ79" s="634" t="str">
        <f>IF(J79="Funcionamiento Gastos Generales","No aplica",IF(J79="Funcionamiento Servicios Personales","No aplica",IFERROR(VLOOKUP(J79,Listas!$A$220:$D$224,4,FALSE),"Alerta: Seleccione la celda en la comumna B con el nombre del proyecto")))</f>
        <v>FONT1107</v>
      </c>
      <c r="AR79" s="633" t="s">
        <v>198</v>
      </c>
      <c r="AS79" s="634" t="str">
        <f>IFERROR(VLOOKUP(AU79,Listas!$E$85:$L$105,7,FALSE),"Alerta: Seleccione la celda en la comumna AI con el concepto de gasto")</f>
        <v>03-RECURSO HUMANO</v>
      </c>
      <c r="AT79" s="634" t="str">
        <f>IFERROR(VLOOKUP(AU79,Listas!$E$85:$L$105,8,FALSE),"Alerta: Seleccione la celda en la comumna AI con el concepto de gasto")</f>
        <v>01-DIVULGACION, ASISTENCIA TECNICA Y CAPACITACION DE LA POBLACION</v>
      </c>
      <c r="AU79" s="633" t="s">
        <v>232</v>
      </c>
      <c r="AV79" s="634">
        <f>IFERROR(VLOOKUP(AU79,Listas!$E$85:$F$105,2,FALSE),"Alerta: Seleccione el Concepto de Gasto primero")</f>
        <v>0</v>
      </c>
      <c r="AW79" s="644">
        <v>88000000</v>
      </c>
      <c r="AX79" s="645"/>
      <c r="AY79" s="645"/>
      <c r="AZ79" s="645"/>
      <c r="BA79" s="646">
        <f t="shared" si="28"/>
        <v>88000000</v>
      </c>
      <c r="BB79" s="647"/>
      <c r="BC79" s="648"/>
      <c r="BD79" s="649"/>
      <c r="BE79" s="647"/>
      <c r="BF79" s="644"/>
      <c r="BG79" s="646">
        <f t="shared" si="29"/>
        <v>88000000</v>
      </c>
      <c r="BH79" s="650"/>
      <c r="BI79" s="647"/>
      <c r="BJ79" s="644"/>
      <c r="BK79" s="646">
        <f t="shared" si="30"/>
        <v>0</v>
      </c>
      <c r="BL79" s="651"/>
      <c r="BM79" s="652">
        <f t="shared" si="31"/>
        <v>1</v>
      </c>
      <c r="BN79" s="628"/>
      <c r="BO79" s="670"/>
      <c r="BP79" s="644"/>
      <c r="BQ79" s="644"/>
      <c r="BR79" s="644"/>
      <c r="BS79" s="644"/>
      <c r="BT79" s="644"/>
      <c r="BU79" s="644"/>
      <c r="BV79" s="644"/>
      <c r="BW79" s="644"/>
      <c r="BX79" s="644"/>
      <c r="BY79" s="644"/>
      <c r="BZ79" s="644"/>
      <c r="CA79" s="644"/>
      <c r="CB79" s="646">
        <f t="shared" si="32"/>
        <v>0</v>
      </c>
      <c r="CC79" s="646">
        <f t="shared" si="33"/>
        <v>0</v>
      </c>
      <c r="CD79" s="614"/>
    </row>
    <row r="80" spans="1:85" s="561" customFormat="1" ht="61.5" customHeight="1">
      <c r="A80" s="625" t="str">
        <f t="shared" si="4"/>
        <v>1107-158-FONT1107-03-01-0066-Activación del patrimonio</v>
      </c>
      <c r="B80" s="626" t="str">
        <f t="shared" si="5"/>
        <v>1107-158-FONT1107-03-01-0066</v>
      </c>
      <c r="C80" s="626" t="str">
        <f t="shared" si="6"/>
        <v>1107-158-FONT1107-Activación del patrimonio</v>
      </c>
      <c r="D80" s="626" t="str">
        <f t="shared" si="7"/>
        <v>1107-158-12-Otros Distrito-03-01-0066</v>
      </c>
      <c r="E80" s="626" t="str">
        <f t="shared" si="19"/>
        <v>Activación del patrimonio-12-Otros Distrito-0066-Fomento, apoyo y divulgación de eventos y expresiones artísticas, culturales y del patrimonio</v>
      </c>
      <c r="F80" s="627">
        <v>45</v>
      </c>
      <c r="G80" s="628">
        <f t="shared" si="20"/>
        <v>45</v>
      </c>
      <c r="H80" s="629" t="b">
        <f t="shared" si="21"/>
        <v>0</v>
      </c>
      <c r="I80" s="630" t="s">
        <v>594</v>
      </c>
      <c r="J80" s="627" t="s">
        <v>27</v>
      </c>
      <c r="K80" s="631" t="str">
        <f>+IFERROR(VLOOKUP(J80,Listas!$A$108:$B$114,2,FALSE),"Alerta: Seleccione la celda en la comumna B con el nombre del proyecto")</f>
        <v>3-3-1-15-03-25-1107-158</v>
      </c>
      <c r="L80" s="632" t="s">
        <v>618</v>
      </c>
      <c r="M80" s="633" t="s">
        <v>644</v>
      </c>
      <c r="N80" s="634" t="str">
        <f t="shared" si="22"/>
        <v>(Cód. 45) Prestar servicios profesionales al Instituto Distrital de Patrimonio Cultural para orientar el diseño gráfico y diagramación de los productos de divulgación en el marco del proyecto de apropiación social del Patrimonio Cultural Inmaterial "Patrimonios Locales".</v>
      </c>
      <c r="O80" s="635">
        <v>43615</v>
      </c>
      <c r="P80" s="636">
        <f>IFERROR(VLOOKUP(W80,'Estimación CRP'!$D$21:$E$30,2,FALSE),0)</f>
        <v>10</v>
      </c>
      <c r="Q80" s="637">
        <f>IF(O80="No aplica","No aplica",WORKDAY.INTL(O80,P80,1,'Estimación CRP'!A266:A282))</f>
        <v>43629</v>
      </c>
      <c r="R80" s="636">
        <f t="shared" si="23"/>
        <v>6</v>
      </c>
      <c r="S80" s="636">
        <f t="shared" si="24"/>
        <v>5</v>
      </c>
      <c r="T80" s="636">
        <f t="shared" si="25"/>
        <v>5</v>
      </c>
      <c r="U80" s="712">
        <v>4</v>
      </c>
      <c r="V80" s="638">
        <v>1</v>
      </c>
      <c r="W80" s="639" t="s">
        <v>274</v>
      </c>
      <c r="X80" s="640" t="str">
        <f>IFERROR(VLOOKUP(W80,Listas!$A$60:$B$73,2,FALSE),"Alerta: Seleccione primero Modalidad de selección")</f>
        <v>CCE-16</v>
      </c>
      <c r="Y80" s="641">
        <v>0</v>
      </c>
      <c r="Z80" s="641" t="s">
        <v>346</v>
      </c>
      <c r="AA80" s="641" t="s">
        <v>1115</v>
      </c>
      <c r="AB80" s="642">
        <f t="shared" si="26"/>
        <v>16000000</v>
      </c>
      <c r="AC80" s="642">
        <f t="shared" si="27"/>
        <v>16000000</v>
      </c>
      <c r="AD80" s="641">
        <v>0</v>
      </c>
      <c r="AE80" s="643">
        <v>0</v>
      </c>
      <c r="AF80" s="639" t="s">
        <v>276</v>
      </c>
      <c r="AG80" s="639" t="s">
        <v>277</v>
      </c>
      <c r="AH80" s="639" t="s">
        <v>284</v>
      </c>
      <c r="AI80" s="626" t="str">
        <f>IFERROR(VLOOKUP(AH80,Listas!$A$77:$C$83,2,FALSE),"Alerta: Seleccione primero el responsable")</f>
        <v>3550800</v>
      </c>
      <c r="AJ80" s="640" t="str">
        <f>IFERROR(VLOOKUP(AH80,Listas!$A$77:$C$83,3,FALSE),"Alerta: Seleccione primero el responsable")</f>
        <v>margarita.castaneda@idpc.gov.co</v>
      </c>
      <c r="AK80" s="640" t="str">
        <f>IF(J80="Funcionamiento Gastos Generales","No aplica",IF(J80="Funcionamiento Servicios Personales indirectos","No aplica",IFERROR(VLOOKUP(J80,Listas!$A$127:$E$139,3,FALSE),"Alerta: Seleccione la celda en la comumna B con el nombre del proyecto")))</f>
        <v>ME20181107</v>
      </c>
      <c r="AL80" s="640" t="str">
        <f>IF(J80="Funcionamiento Gastos Generales","No aplica",IF(J80="Funcionamiento Servicios Personales","No aplica",IFERROR(VLOOKUP(J80,Listas!$A$220:$D$224,2,FALSE),"Alerta: Seleccione la celda en la comumna B con el nombre del proyecto")))</f>
        <v>COMP1107</v>
      </c>
      <c r="AM80" s="640" t="str">
        <f>IF(J80="Funcionamiento Gastos Generales","No aplica",IF(J80="Funcionamiento Servicios Personales","No aplica",IFERROR(VLOOKUP(J80,Listas!$A$220:$D$224,3,FALSE),"Alerta: Seleccione la celda en la comumna B con el nombre del proyecto")))</f>
        <v>CONC1107</v>
      </c>
      <c r="AN80" s="633" t="s">
        <v>1046</v>
      </c>
      <c r="AO80" s="633" t="s">
        <v>54</v>
      </c>
      <c r="AP80" s="634" t="str">
        <f>IFERROR(VLOOKUP(J80,Listas!$A$182:$E$215,5,FALSE),"Alerta: Seleccione la celda en la comumna B con el nombre del proyecto")</f>
        <v>13. Oferta cultural para la valoración y divulgación del patrimonio material e  inmaterial de la ciud</v>
      </c>
      <c r="AQ80" s="634" t="str">
        <f>IF(J80="Funcionamiento Gastos Generales","No aplica",IF(J80="Funcionamiento Servicios Personales","No aplica",IFERROR(VLOOKUP(J80,Listas!$A$220:$D$224,4,FALSE),"Alerta: Seleccione la celda en la comumna B con el nombre del proyecto")))</f>
        <v>FONT1107</v>
      </c>
      <c r="AR80" s="633" t="s">
        <v>198</v>
      </c>
      <c r="AS80" s="634" t="str">
        <f>IFERROR(VLOOKUP(AU80,Listas!$E$85:$L$105,7,FALSE),"Alerta: Seleccione la celda en la comumna AI con el concepto de gasto")</f>
        <v>03-RECURSO HUMANO</v>
      </c>
      <c r="AT80" s="634" t="str">
        <f>IFERROR(VLOOKUP(AU80,Listas!$E$85:$L$105,8,FALSE),"Alerta: Seleccione la celda en la comumna AI con el concepto de gasto")</f>
        <v>01-DIVULGACION, ASISTENCIA TECNICA Y CAPACITACION DE LA POBLACION</v>
      </c>
      <c r="AU80" s="633" t="s">
        <v>232</v>
      </c>
      <c r="AV80" s="634">
        <f>IFERROR(VLOOKUP(AU80,Listas!$E$85:$F$105,2,FALSE),"Alerta: Seleccione el Concepto de Gasto primero")</f>
        <v>0</v>
      </c>
      <c r="AW80" s="644">
        <v>16000000</v>
      </c>
      <c r="AX80" s="645"/>
      <c r="AY80" s="645"/>
      <c r="AZ80" s="645"/>
      <c r="BA80" s="646">
        <f t="shared" si="28"/>
        <v>16000000</v>
      </c>
      <c r="BB80" s="647"/>
      <c r="BC80" s="648"/>
      <c r="BD80" s="649"/>
      <c r="BE80" s="647"/>
      <c r="BF80" s="644"/>
      <c r="BG80" s="646">
        <f t="shared" si="29"/>
        <v>16000000</v>
      </c>
      <c r="BH80" s="650"/>
      <c r="BI80" s="647"/>
      <c r="BJ80" s="644"/>
      <c r="BK80" s="646">
        <f t="shared" si="30"/>
        <v>0</v>
      </c>
      <c r="BL80" s="651"/>
      <c r="BM80" s="652">
        <f t="shared" si="31"/>
        <v>1</v>
      </c>
      <c r="BN80" s="628"/>
      <c r="BO80" s="670"/>
      <c r="BP80" s="644"/>
      <c r="BQ80" s="644"/>
      <c r="BR80" s="644"/>
      <c r="BS80" s="644"/>
      <c r="BT80" s="644"/>
      <c r="BU80" s="644"/>
      <c r="BV80" s="644"/>
      <c r="BW80" s="644"/>
      <c r="BX80" s="644"/>
      <c r="BY80" s="644"/>
      <c r="BZ80" s="644"/>
      <c r="CA80" s="644"/>
      <c r="CB80" s="646">
        <f t="shared" si="32"/>
        <v>0</v>
      </c>
      <c r="CC80" s="646">
        <f t="shared" si="33"/>
        <v>0</v>
      </c>
      <c r="CD80" s="614"/>
    </row>
    <row r="81" spans="1:85" s="561" customFormat="1" ht="61.5" customHeight="1">
      <c r="A81" s="625" t="str">
        <f t="shared" si="4"/>
        <v>1107-158-FONT1107-03-01-0066-Museo de Bogotá en operación</v>
      </c>
      <c r="B81" s="626" t="str">
        <f t="shared" si="5"/>
        <v>1107-158-FONT1107-03-01-0066</v>
      </c>
      <c r="C81" s="626" t="str">
        <f t="shared" si="6"/>
        <v>1107-158-FONT1107-Museo de Bogotá en operación</v>
      </c>
      <c r="D81" s="626" t="str">
        <f t="shared" si="7"/>
        <v>1107-158-12-Otros Distrito-03-01-0066</v>
      </c>
      <c r="E81" s="626" t="str">
        <f t="shared" si="19"/>
        <v>Museo de Bogotá en operación-12-Otros Distrito-0066-Fomento, apoyo y divulgación de eventos y expresiones artísticas, culturales y del patrimonio</v>
      </c>
      <c r="F81" s="627">
        <v>46</v>
      </c>
      <c r="G81" s="628">
        <f t="shared" si="20"/>
        <v>46</v>
      </c>
      <c r="H81" s="629" t="b">
        <f t="shared" si="21"/>
        <v>0</v>
      </c>
      <c r="I81" s="630" t="s">
        <v>594</v>
      </c>
      <c r="J81" s="627" t="s">
        <v>27</v>
      </c>
      <c r="K81" s="631" t="str">
        <f>+IFERROR(VLOOKUP(J81,Listas!$A$108:$B$114,2,FALSE),"Alerta: Seleccione la celda en la comumna B con el nombre del proyecto")</f>
        <v>3-3-1-15-03-25-1107-158</v>
      </c>
      <c r="L81" s="632" t="s">
        <v>618</v>
      </c>
      <c r="M81" s="633" t="s">
        <v>629</v>
      </c>
      <c r="N81" s="634" t="str">
        <f t="shared" si="22"/>
        <v>(Cód. 46) Prestar servicios profesionales al Instituto Distrital de Patrimonio Cultural para apoyar el diseño museográfico de los proyectos adelantados por el Museo de Bogotá.</v>
      </c>
      <c r="O81" s="635">
        <v>43490</v>
      </c>
      <c r="P81" s="636">
        <f>IFERROR(VLOOKUP(W81,'Estimación CRP'!$D$21:$E$30,2,FALSE),0)</f>
        <v>10</v>
      </c>
      <c r="Q81" s="637">
        <f>IF(O81="No aplica","No aplica",WORKDAY.INTL(O81,P81,1,'Estimación CRP'!A267:A283))</f>
        <v>43504</v>
      </c>
      <c r="R81" s="636">
        <f t="shared" si="23"/>
        <v>2</v>
      </c>
      <c r="S81" s="636">
        <f t="shared" si="24"/>
        <v>1</v>
      </c>
      <c r="T81" s="636">
        <f t="shared" si="25"/>
        <v>1</v>
      </c>
      <c r="U81" s="712">
        <v>10</v>
      </c>
      <c r="V81" s="638">
        <v>1</v>
      </c>
      <c r="W81" s="639" t="s">
        <v>274</v>
      </c>
      <c r="X81" s="640" t="str">
        <f>IFERROR(VLOOKUP(W81,Listas!$A$60:$B$73,2,FALSE),"Alerta: Seleccione primero Modalidad de selección")</f>
        <v>CCE-16</v>
      </c>
      <c r="Y81" s="641">
        <v>0</v>
      </c>
      <c r="Z81" s="641" t="s">
        <v>346</v>
      </c>
      <c r="AA81" s="641" t="s">
        <v>1116</v>
      </c>
      <c r="AB81" s="642">
        <f t="shared" si="26"/>
        <v>40000000</v>
      </c>
      <c r="AC81" s="642">
        <f t="shared" si="27"/>
        <v>40000000</v>
      </c>
      <c r="AD81" s="641">
        <v>0</v>
      </c>
      <c r="AE81" s="643">
        <v>0</v>
      </c>
      <c r="AF81" s="639" t="s">
        <v>276</v>
      </c>
      <c r="AG81" s="639" t="s">
        <v>277</v>
      </c>
      <c r="AH81" s="639" t="s">
        <v>284</v>
      </c>
      <c r="AI81" s="626" t="str">
        <f>IFERROR(VLOOKUP(AH81,Listas!$A$77:$C$83,2,FALSE),"Alerta: Seleccione primero el responsable")</f>
        <v>3550800</v>
      </c>
      <c r="AJ81" s="640" t="str">
        <f>IFERROR(VLOOKUP(AH81,Listas!$A$77:$C$83,3,FALSE),"Alerta: Seleccione primero el responsable")</f>
        <v>margarita.castaneda@idpc.gov.co</v>
      </c>
      <c r="AK81" s="640" t="str">
        <f>IF(J81="Funcionamiento Gastos Generales","No aplica",IF(J81="Funcionamiento Servicios Personales indirectos","No aplica",IFERROR(VLOOKUP(J81,Listas!$A$127:$E$139,3,FALSE),"Alerta: Seleccione la celda en la comumna B con el nombre del proyecto")))</f>
        <v>ME20181107</v>
      </c>
      <c r="AL81" s="640" t="str">
        <f>IF(J81="Funcionamiento Gastos Generales","No aplica",IF(J81="Funcionamiento Servicios Personales","No aplica",IFERROR(VLOOKUP(J81,Listas!$A$220:$D$224,2,FALSE),"Alerta: Seleccione la celda en la comumna B con el nombre del proyecto")))</f>
        <v>COMP1107</v>
      </c>
      <c r="AM81" s="640" t="str">
        <f>IF(J81="Funcionamiento Gastos Generales","No aplica",IF(J81="Funcionamiento Servicios Personales","No aplica",IFERROR(VLOOKUP(J81,Listas!$A$220:$D$224,3,FALSE),"Alerta: Seleccione la celda en la comumna B con el nombre del proyecto")))</f>
        <v>CONC1107</v>
      </c>
      <c r="AN81" s="633" t="s">
        <v>1047</v>
      </c>
      <c r="AO81" s="633" t="s">
        <v>53</v>
      </c>
      <c r="AP81" s="634" t="str">
        <f>IFERROR(VLOOKUP(J81,Listas!$A$182:$E$215,5,FALSE),"Alerta: Seleccione la celda en la comumna B con el nombre del proyecto")</f>
        <v>13. Oferta cultural para la valoración y divulgación del patrimonio material e  inmaterial de la ciud</v>
      </c>
      <c r="AQ81" s="634" t="str">
        <f>IF(J81="Funcionamiento Gastos Generales","No aplica",IF(J81="Funcionamiento Servicios Personales","No aplica",IFERROR(VLOOKUP(J81,Listas!$A$220:$D$224,4,FALSE),"Alerta: Seleccione la celda en la comumna B con el nombre del proyecto")))</f>
        <v>FONT1107</v>
      </c>
      <c r="AR81" s="633" t="s">
        <v>198</v>
      </c>
      <c r="AS81" s="634" t="str">
        <f>IFERROR(VLOOKUP(AU81,Listas!$E$85:$L$105,7,FALSE),"Alerta: Seleccione la celda en la comumna AI con el concepto de gasto")</f>
        <v>03-RECURSO HUMANO</v>
      </c>
      <c r="AT81" s="634" t="str">
        <f>IFERROR(VLOOKUP(AU81,Listas!$E$85:$L$105,8,FALSE),"Alerta: Seleccione la celda en la comumna AI con el concepto de gasto")</f>
        <v>01-DIVULGACION, ASISTENCIA TECNICA Y CAPACITACION DE LA POBLACION</v>
      </c>
      <c r="AU81" s="633" t="s">
        <v>232</v>
      </c>
      <c r="AV81" s="634">
        <f>IFERROR(VLOOKUP(AU81,Listas!$E$85:$F$105,2,FALSE),"Alerta: Seleccione el Concepto de Gasto primero")</f>
        <v>0</v>
      </c>
      <c r="AW81" s="644">
        <v>40000000</v>
      </c>
      <c r="AX81" s="645"/>
      <c r="AY81" s="645"/>
      <c r="AZ81" s="645"/>
      <c r="BA81" s="646">
        <f t="shared" si="28"/>
        <v>40000000</v>
      </c>
      <c r="BB81" s="647"/>
      <c r="BC81" s="648"/>
      <c r="BD81" s="649"/>
      <c r="BE81" s="647"/>
      <c r="BF81" s="644"/>
      <c r="BG81" s="646">
        <f t="shared" si="29"/>
        <v>40000000</v>
      </c>
      <c r="BH81" s="650"/>
      <c r="BI81" s="647"/>
      <c r="BJ81" s="644"/>
      <c r="BK81" s="646">
        <f t="shared" si="30"/>
        <v>0</v>
      </c>
      <c r="BL81" s="651"/>
      <c r="BM81" s="652">
        <f t="shared" si="31"/>
        <v>1</v>
      </c>
      <c r="BN81" s="628"/>
      <c r="BO81" s="670"/>
      <c r="BP81" s="644"/>
      <c r="BQ81" s="644"/>
      <c r="BR81" s="644"/>
      <c r="BS81" s="644"/>
      <c r="BT81" s="644"/>
      <c r="BU81" s="644"/>
      <c r="BV81" s="644"/>
      <c r="BW81" s="644"/>
      <c r="BX81" s="644"/>
      <c r="BY81" s="644"/>
      <c r="BZ81" s="644"/>
      <c r="CA81" s="644"/>
      <c r="CB81" s="646">
        <f t="shared" si="32"/>
        <v>0</v>
      </c>
      <c r="CC81" s="646">
        <f t="shared" si="33"/>
        <v>0</v>
      </c>
      <c r="CD81" s="614"/>
    </row>
    <row r="82" spans="1:85" s="561" customFormat="1" ht="61.5" customHeight="1">
      <c r="A82" s="625" t="str">
        <f t="shared" si="4"/>
        <v>1107-158-FONT1107-03-01-0066-Activación del patrimonio</v>
      </c>
      <c r="B82" s="626" t="str">
        <f t="shared" si="5"/>
        <v>1107-158-FONT1107-03-01-0066</v>
      </c>
      <c r="C82" s="626" t="str">
        <f t="shared" si="6"/>
        <v>1107-158-FONT1107-Activación del patrimonio</v>
      </c>
      <c r="D82" s="626" t="str">
        <f t="shared" si="7"/>
        <v>1107-158-12-Otros Distrito-03-01-0066</v>
      </c>
      <c r="E82" s="626" t="str">
        <f t="shared" si="19"/>
        <v>Activación del patrimonio-12-Otros Distrito-0066-Fomento, apoyo y divulgación de eventos y expresiones artísticas, culturales y del patrimonio</v>
      </c>
      <c r="F82" s="627">
        <v>47</v>
      </c>
      <c r="G82" s="628">
        <f t="shared" si="20"/>
        <v>47</v>
      </c>
      <c r="H82" s="629" t="b">
        <f t="shared" si="21"/>
        <v>0</v>
      </c>
      <c r="I82" s="630" t="s">
        <v>594</v>
      </c>
      <c r="J82" s="627" t="s">
        <v>27</v>
      </c>
      <c r="K82" s="631" t="str">
        <f>+IFERROR(VLOOKUP(J82,Listas!$A$108:$B$114,2,FALSE),"Alerta: Seleccione la celda en la comumna B con el nombre del proyecto")</f>
        <v>3-3-1-15-03-25-1107-158</v>
      </c>
      <c r="L82" s="632" t="s">
        <v>618</v>
      </c>
      <c r="M82" s="633" t="s">
        <v>645</v>
      </c>
      <c r="N82" s="634" t="str">
        <f t="shared" si="22"/>
        <v>(Cód. 47) Prestar servicios profesionales al Instituto Distrital de Patrimonio Cultural para apoyar los procesos documentales del Centro de Documentación.</v>
      </c>
      <c r="O82" s="635">
        <v>43480</v>
      </c>
      <c r="P82" s="636">
        <f>IFERROR(VLOOKUP(W82,'Estimación CRP'!$D$21:$E$30,2,FALSE),0)</f>
        <v>10</v>
      </c>
      <c r="Q82" s="637">
        <f>IF(O82="No aplica","No aplica",WORKDAY.INTL(O82,P82,1,'Estimación CRP'!A268:A284))</f>
        <v>43494</v>
      </c>
      <c r="R82" s="636">
        <f t="shared" si="23"/>
        <v>1</v>
      </c>
      <c r="S82" s="636">
        <f t="shared" si="24"/>
        <v>1</v>
      </c>
      <c r="T82" s="636">
        <f t="shared" si="25"/>
        <v>1</v>
      </c>
      <c r="U82" s="712">
        <v>11</v>
      </c>
      <c r="V82" s="638">
        <v>1</v>
      </c>
      <c r="W82" s="639" t="s">
        <v>274</v>
      </c>
      <c r="X82" s="640" t="str">
        <f>IFERROR(VLOOKUP(W82,Listas!$A$60:$B$73,2,FALSE),"Alerta: Seleccione primero Modalidad de selección")</f>
        <v>CCE-16</v>
      </c>
      <c r="Y82" s="641">
        <v>0</v>
      </c>
      <c r="Z82" s="641" t="s">
        <v>346</v>
      </c>
      <c r="AA82" s="641" t="s">
        <v>1117</v>
      </c>
      <c r="AB82" s="642">
        <f t="shared" si="26"/>
        <v>49500000</v>
      </c>
      <c r="AC82" s="642">
        <f t="shared" si="27"/>
        <v>49500000</v>
      </c>
      <c r="AD82" s="641">
        <v>0</v>
      </c>
      <c r="AE82" s="643">
        <v>0</v>
      </c>
      <c r="AF82" s="639" t="s">
        <v>276</v>
      </c>
      <c r="AG82" s="639" t="s">
        <v>277</v>
      </c>
      <c r="AH82" s="639" t="s">
        <v>284</v>
      </c>
      <c r="AI82" s="626" t="str">
        <f>IFERROR(VLOOKUP(AH82,Listas!$A$77:$C$83,2,FALSE),"Alerta: Seleccione primero el responsable")</f>
        <v>3550800</v>
      </c>
      <c r="AJ82" s="640" t="str">
        <f>IFERROR(VLOOKUP(AH82,Listas!$A$77:$C$83,3,FALSE),"Alerta: Seleccione primero el responsable")</f>
        <v>margarita.castaneda@idpc.gov.co</v>
      </c>
      <c r="AK82" s="640" t="str">
        <f>IF(J82="Funcionamiento Gastos Generales","No aplica",IF(J82="Funcionamiento Servicios Personales indirectos","No aplica",IFERROR(VLOOKUP(J82,Listas!$A$127:$E$139,3,FALSE),"Alerta: Seleccione la celda en la comumna B con el nombre del proyecto")))</f>
        <v>ME20181107</v>
      </c>
      <c r="AL82" s="640" t="str">
        <f>IF(J82="Funcionamiento Gastos Generales","No aplica",IF(J82="Funcionamiento Servicios Personales","No aplica",IFERROR(VLOOKUP(J82,Listas!$A$220:$D$224,2,FALSE),"Alerta: Seleccione la celda en la comumna B con el nombre del proyecto")))</f>
        <v>COMP1107</v>
      </c>
      <c r="AM82" s="640" t="str">
        <f>IF(J82="Funcionamiento Gastos Generales","No aplica",IF(J82="Funcionamiento Servicios Personales","No aplica",IFERROR(VLOOKUP(J82,Listas!$A$220:$D$224,3,FALSE),"Alerta: Seleccione la celda en la comumna B con el nombre del proyecto")))</f>
        <v>CONC1107</v>
      </c>
      <c r="AN82" s="633" t="s">
        <v>1046</v>
      </c>
      <c r="AO82" s="633" t="s">
        <v>54</v>
      </c>
      <c r="AP82" s="634" t="str">
        <f>IFERROR(VLOOKUP(J82,Listas!$A$182:$E$215,5,FALSE),"Alerta: Seleccione la celda en la comumna B con el nombre del proyecto")</f>
        <v>13. Oferta cultural para la valoración y divulgación del patrimonio material e  inmaterial de la ciud</v>
      </c>
      <c r="AQ82" s="634" t="str">
        <f>IF(J82="Funcionamiento Gastos Generales","No aplica",IF(J82="Funcionamiento Servicios Personales","No aplica",IFERROR(VLOOKUP(J82,Listas!$A$220:$D$224,4,FALSE),"Alerta: Seleccione la celda en la comumna B con el nombre del proyecto")))</f>
        <v>FONT1107</v>
      </c>
      <c r="AR82" s="633" t="s">
        <v>198</v>
      </c>
      <c r="AS82" s="634" t="str">
        <f>IFERROR(VLOOKUP(AU82,Listas!$E$85:$L$105,7,FALSE),"Alerta: Seleccione la celda en la comumna AI con el concepto de gasto")</f>
        <v>03-RECURSO HUMANO</v>
      </c>
      <c r="AT82" s="634" t="str">
        <f>IFERROR(VLOOKUP(AU82,Listas!$E$85:$L$105,8,FALSE),"Alerta: Seleccione la celda en la comumna AI con el concepto de gasto")</f>
        <v>01-DIVULGACION, ASISTENCIA TECNICA Y CAPACITACION DE LA POBLACION</v>
      </c>
      <c r="AU82" s="633" t="s">
        <v>232</v>
      </c>
      <c r="AV82" s="634">
        <f>IFERROR(VLOOKUP(AU82,Listas!$E$85:$F$105,2,FALSE),"Alerta: Seleccione el Concepto de Gasto primero")</f>
        <v>0</v>
      </c>
      <c r="AW82" s="644">
        <v>49500000</v>
      </c>
      <c r="AX82" s="645"/>
      <c r="AY82" s="645"/>
      <c r="AZ82" s="645"/>
      <c r="BA82" s="646">
        <f t="shared" si="28"/>
        <v>49500000</v>
      </c>
      <c r="BB82" s="647"/>
      <c r="BC82" s="648"/>
      <c r="BD82" s="649"/>
      <c r="BE82" s="647"/>
      <c r="BF82" s="644"/>
      <c r="BG82" s="646">
        <f t="shared" si="29"/>
        <v>49500000</v>
      </c>
      <c r="BH82" s="650"/>
      <c r="BI82" s="647"/>
      <c r="BJ82" s="644"/>
      <c r="BK82" s="646">
        <f t="shared" si="30"/>
        <v>0</v>
      </c>
      <c r="BL82" s="651"/>
      <c r="BM82" s="652">
        <f t="shared" si="31"/>
        <v>1</v>
      </c>
      <c r="BN82" s="628"/>
      <c r="BO82" s="670"/>
      <c r="BP82" s="644"/>
      <c r="BQ82" s="644"/>
      <c r="BR82" s="644"/>
      <c r="BS82" s="644"/>
      <c r="BT82" s="644"/>
      <c r="BU82" s="644"/>
      <c r="BV82" s="644"/>
      <c r="BW82" s="644"/>
      <c r="BX82" s="644"/>
      <c r="BY82" s="644"/>
      <c r="BZ82" s="644"/>
      <c r="CA82" s="644"/>
      <c r="CB82" s="646">
        <f t="shared" si="32"/>
        <v>0</v>
      </c>
      <c r="CC82" s="646">
        <f t="shared" si="33"/>
        <v>0</v>
      </c>
      <c r="CD82" s="614"/>
    </row>
    <row r="83" spans="1:85" s="561" customFormat="1" ht="61.5" customHeight="1">
      <c r="A83" s="625" t="str">
        <f t="shared" si="4"/>
        <v>1107-158-FONT1107-03-01-0066-Activación del patrimonio</v>
      </c>
      <c r="B83" s="626" t="str">
        <f t="shared" si="5"/>
        <v>1107-158-FONT1107-03-01-0066</v>
      </c>
      <c r="C83" s="626" t="str">
        <f t="shared" si="6"/>
        <v>1107-158-FONT1107-Activación del patrimonio</v>
      </c>
      <c r="D83" s="626" t="str">
        <f t="shared" si="7"/>
        <v>1107-158-12-Otros Distrito-03-01-0066</v>
      </c>
      <c r="E83" s="626" t="str">
        <f t="shared" si="19"/>
        <v>Activación del patrimonio-12-Otros Distrito-0066-Fomento, apoyo y divulgación de eventos y expresiones artísticas, culturales y del patrimonio</v>
      </c>
      <c r="F83" s="627">
        <v>48</v>
      </c>
      <c r="G83" s="628">
        <f t="shared" si="20"/>
        <v>48</v>
      </c>
      <c r="H83" s="629" t="b">
        <f t="shared" si="21"/>
        <v>0</v>
      </c>
      <c r="I83" s="630" t="s">
        <v>594</v>
      </c>
      <c r="J83" s="627" t="s">
        <v>27</v>
      </c>
      <c r="K83" s="631" t="str">
        <f>+IFERROR(VLOOKUP(J83,Listas!$A$108:$B$114,2,FALSE),"Alerta: Seleccione la celda en la comumna B con el nombre del proyecto")</f>
        <v>3-3-1-15-03-25-1107-158</v>
      </c>
      <c r="L83" s="632" t="s">
        <v>618</v>
      </c>
      <c r="M83" s="633" t="s">
        <v>646</v>
      </c>
      <c r="N83" s="634" t="str">
        <f t="shared" si="22"/>
        <v>(Cód. 48) Prestar servicios profesionales al Instituto Distrital de Patrimonio Cultural en las actividades de producción de contenidos audiovisuales requeridos para el desarrollo de la estrategia de apropiación social del patrimonio cultural.</v>
      </c>
      <c r="O83" s="635">
        <v>43480</v>
      </c>
      <c r="P83" s="636">
        <f>IFERROR(VLOOKUP(W83,'Estimación CRP'!$D$21:$E$30,2,FALSE),0)</f>
        <v>10</v>
      </c>
      <c r="Q83" s="637">
        <f>IF(O83="No aplica","No aplica",WORKDAY.INTL(O83,P83,1,'Estimación CRP'!A269:A285))</f>
        <v>43494</v>
      </c>
      <c r="R83" s="636">
        <f t="shared" si="23"/>
        <v>1</v>
      </c>
      <c r="S83" s="636">
        <f t="shared" si="24"/>
        <v>1</v>
      </c>
      <c r="T83" s="636">
        <f t="shared" si="25"/>
        <v>1</v>
      </c>
      <c r="U83" s="712">
        <v>11</v>
      </c>
      <c r="V83" s="638">
        <v>1</v>
      </c>
      <c r="W83" s="639" t="s">
        <v>274</v>
      </c>
      <c r="X83" s="640" t="str">
        <f>IFERROR(VLOOKUP(W83,Listas!$A$60:$B$73,2,FALSE),"Alerta: Seleccione primero Modalidad de selección")</f>
        <v>CCE-16</v>
      </c>
      <c r="Y83" s="641">
        <v>0</v>
      </c>
      <c r="Z83" s="641" t="s">
        <v>346</v>
      </c>
      <c r="AA83" s="641" t="s">
        <v>1118</v>
      </c>
      <c r="AB83" s="642">
        <f t="shared" si="26"/>
        <v>41580000</v>
      </c>
      <c r="AC83" s="642">
        <f t="shared" si="27"/>
        <v>41580000</v>
      </c>
      <c r="AD83" s="641">
        <v>0</v>
      </c>
      <c r="AE83" s="643">
        <v>0</v>
      </c>
      <c r="AF83" s="639" t="s">
        <v>276</v>
      </c>
      <c r="AG83" s="639" t="s">
        <v>277</v>
      </c>
      <c r="AH83" s="639" t="s">
        <v>284</v>
      </c>
      <c r="AI83" s="626" t="str">
        <f>IFERROR(VLOOKUP(AH83,Listas!$A$77:$C$83,2,FALSE),"Alerta: Seleccione primero el responsable")</f>
        <v>3550800</v>
      </c>
      <c r="AJ83" s="640" t="str">
        <f>IFERROR(VLOOKUP(AH83,Listas!$A$77:$C$83,3,FALSE),"Alerta: Seleccione primero el responsable")</f>
        <v>margarita.castaneda@idpc.gov.co</v>
      </c>
      <c r="AK83" s="640" t="str">
        <f>IF(J83="Funcionamiento Gastos Generales","No aplica",IF(J83="Funcionamiento Servicios Personales indirectos","No aplica",IFERROR(VLOOKUP(J83,Listas!$A$127:$E$139,3,FALSE),"Alerta: Seleccione la celda en la comumna B con el nombre del proyecto")))</f>
        <v>ME20181107</v>
      </c>
      <c r="AL83" s="640" t="str">
        <f>IF(J83="Funcionamiento Gastos Generales","No aplica",IF(J83="Funcionamiento Servicios Personales","No aplica",IFERROR(VLOOKUP(J83,Listas!$A$220:$D$224,2,FALSE),"Alerta: Seleccione la celda en la comumna B con el nombre del proyecto")))</f>
        <v>COMP1107</v>
      </c>
      <c r="AM83" s="640" t="str">
        <f>IF(J83="Funcionamiento Gastos Generales","No aplica",IF(J83="Funcionamiento Servicios Personales","No aplica",IFERROR(VLOOKUP(J83,Listas!$A$220:$D$224,3,FALSE),"Alerta: Seleccione la celda en la comumna B con el nombre del proyecto")))</f>
        <v>CONC1107</v>
      </c>
      <c r="AN83" s="633" t="s">
        <v>1046</v>
      </c>
      <c r="AO83" s="633" t="s">
        <v>54</v>
      </c>
      <c r="AP83" s="634" t="str">
        <f>IFERROR(VLOOKUP(J83,Listas!$A$182:$E$215,5,FALSE),"Alerta: Seleccione la celda en la comumna B con el nombre del proyecto")</f>
        <v>13. Oferta cultural para la valoración y divulgación del patrimonio material e  inmaterial de la ciud</v>
      </c>
      <c r="AQ83" s="634" t="str">
        <f>IF(J83="Funcionamiento Gastos Generales","No aplica",IF(J83="Funcionamiento Servicios Personales","No aplica",IFERROR(VLOOKUP(J83,Listas!$A$220:$D$224,4,FALSE),"Alerta: Seleccione la celda en la comumna B con el nombre del proyecto")))</f>
        <v>FONT1107</v>
      </c>
      <c r="AR83" s="633" t="s">
        <v>198</v>
      </c>
      <c r="AS83" s="634" t="str">
        <f>IFERROR(VLOOKUP(AU83,Listas!$E$85:$L$105,7,FALSE),"Alerta: Seleccione la celda en la comumna AI con el concepto de gasto")</f>
        <v>03-RECURSO HUMANO</v>
      </c>
      <c r="AT83" s="634" t="str">
        <f>IFERROR(VLOOKUP(AU83,Listas!$E$85:$L$105,8,FALSE),"Alerta: Seleccione la celda en la comumna AI con el concepto de gasto")</f>
        <v>01-DIVULGACION, ASISTENCIA TECNICA Y CAPACITACION DE LA POBLACION</v>
      </c>
      <c r="AU83" s="633" t="s">
        <v>232</v>
      </c>
      <c r="AV83" s="634">
        <f>IFERROR(VLOOKUP(AU83,Listas!$E$85:$F$105,2,FALSE),"Alerta: Seleccione el Concepto de Gasto primero")</f>
        <v>0</v>
      </c>
      <c r="AW83" s="644">
        <v>41580000</v>
      </c>
      <c r="AX83" s="645"/>
      <c r="AY83" s="645"/>
      <c r="AZ83" s="645"/>
      <c r="BA83" s="646">
        <f t="shared" si="28"/>
        <v>41580000</v>
      </c>
      <c r="BB83" s="647"/>
      <c r="BC83" s="648"/>
      <c r="BD83" s="649"/>
      <c r="BE83" s="647"/>
      <c r="BF83" s="644"/>
      <c r="BG83" s="646">
        <f t="shared" si="29"/>
        <v>41580000</v>
      </c>
      <c r="BH83" s="650"/>
      <c r="BI83" s="647"/>
      <c r="BJ83" s="644"/>
      <c r="BK83" s="646">
        <f t="shared" si="30"/>
        <v>0</v>
      </c>
      <c r="BL83" s="651"/>
      <c r="BM83" s="652">
        <f t="shared" si="31"/>
        <v>1</v>
      </c>
      <c r="BN83" s="628"/>
      <c r="BO83" s="670"/>
      <c r="BP83" s="644"/>
      <c r="BQ83" s="644"/>
      <c r="BR83" s="644"/>
      <c r="BS83" s="644"/>
      <c r="BT83" s="644"/>
      <c r="BU83" s="644"/>
      <c r="BV83" s="644"/>
      <c r="BW83" s="644"/>
      <c r="BX83" s="644"/>
      <c r="BY83" s="644"/>
      <c r="BZ83" s="644"/>
      <c r="CA83" s="644"/>
      <c r="CB83" s="646">
        <f t="shared" si="32"/>
        <v>0</v>
      </c>
      <c r="CC83" s="646">
        <f t="shared" si="33"/>
        <v>0</v>
      </c>
      <c r="CD83" s="614"/>
    </row>
    <row r="84" spans="1:85" s="561" customFormat="1" ht="61.5" customHeight="1">
      <c r="A84" s="625" t="str">
        <f t="shared" si="4"/>
        <v>1107-158-FONT1107-03-01-0066-Museo de Bogotá en operación</v>
      </c>
      <c r="B84" s="626" t="str">
        <f t="shared" si="5"/>
        <v>1107-158-FONT1107-03-01-0066</v>
      </c>
      <c r="C84" s="626" t="str">
        <f t="shared" si="6"/>
        <v>1107-158-FONT1107-Museo de Bogotá en operación</v>
      </c>
      <c r="D84" s="626" t="str">
        <f t="shared" si="7"/>
        <v>1107-158-12-Otros Distrito-03-01-0066</v>
      </c>
      <c r="E84" s="626" t="str">
        <f t="shared" si="19"/>
        <v>Museo de Bogotá en operación-12-Otros Distrito-0066-Fomento, apoyo y divulgación de eventos y expresiones artísticas, culturales y del patrimonio</v>
      </c>
      <c r="F84" s="627">
        <v>49</v>
      </c>
      <c r="G84" s="628">
        <f t="shared" si="20"/>
        <v>49</v>
      </c>
      <c r="H84" s="629" t="b">
        <f t="shared" si="21"/>
        <v>0</v>
      </c>
      <c r="I84" s="630" t="s">
        <v>594</v>
      </c>
      <c r="J84" s="627" t="s">
        <v>27</v>
      </c>
      <c r="K84" s="631" t="str">
        <f>+IFERROR(VLOOKUP(J84,Listas!$A$108:$B$114,2,FALSE),"Alerta: Seleccione la celda en la comumna B con el nombre del proyecto")</f>
        <v>3-3-1-15-03-25-1107-158</v>
      </c>
      <c r="L84" s="632" t="s">
        <v>618</v>
      </c>
      <c r="M84" s="633" t="s">
        <v>647</v>
      </c>
      <c r="N84" s="634" t="str">
        <f t="shared" si="22"/>
        <v>(Cód. 49) Prestar servicios profesionales al Instituto Distrital de Patrimonio Cultural para apoyar los procesos de control presupuestal, seguimiento a indicadores y sistema integrado de gestión, requerido en el marco de las funciones de la Subdirección de Divulgación de los Valores del Patrimonio Cultural.</v>
      </c>
      <c r="O84" s="635">
        <v>43480</v>
      </c>
      <c r="P84" s="636">
        <f>IFERROR(VLOOKUP(W84,'Estimación CRP'!$D$21:$E$30,2,FALSE),0)</f>
        <v>10</v>
      </c>
      <c r="Q84" s="637">
        <f>IF(O84="No aplica","No aplica",WORKDAY.INTL(O84,P84,1,'Estimación CRP'!A270:A286))</f>
        <v>43494</v>
      </c>
      <c r="R84" s="636">
        <f t="shared" si="23"/>
        <v>1</v>
      </c>
      <c r="S84" s="636">
        <f t="shared" si="24"/>
        <v>1</v>
      </c>
      <c r="T84" s="636">
        <f t="shared" si="25"/>
        <v>1</v>
      </c>
      <c r="U84" s="712">
        <v>11</v>
      </c>
      <c r="V84" s="638">
        <v>1</v>
      </c>
      <c r="W84" s="639" t="s">
        <v>274</v>
      </c>
      <c r="X84" s="640" t="str">
        <f>IFERROR(VLOOKUP(W84,Listas!$A$60:$B$73,2,FALSE),"Alerta: Seleccione primero Modalidad de selección")</f>
        <v>CCE-16</v>
      </c>
      <c r="Y84" s="641">
        <v>0</v>
      </c>
      <c r="Z84" s="641" t="s">
        <v>346</v>
      </c>
      <c r="AA84" s="641" t="s">
        <v>1119</v>
      </c>
      <c r="AB84" s="642">
        <f t="shared" si="26"/>
        <v>20945000</v>
      </c>
      <c r="AC84" s="642">
        <f t="shared" si="27"/>
        <v>20945000</v>
      </c>
      <c r="AD84" s="641">
        <v>0</v>
      </c>
      <c r="AE84" s="643">
        <v>0</v>
      </c>
      <c r="AF84" s="639" t="s">
        <v>276</v>
      </c>
      <c r="AG84" s="639" t="s">
        <v>277</v>
      </c>
      <c r="AH84" s="639" t="s">
        <v>284</v>
      </c>
      <c r="AI84" s="626" t="str">
        <f>IFERROR(VLOOKUP(AH84,Listas!$A$77:$C$83,2,FALSE),"Alerta: Seleccione primero el responsable")</f>
        <v>3550800</v>
      </c>
      <c r="AJ84" s="640" t="str">
        <f>IFERROR(VLOOKUP(AH84,Listas!$A$77:$C$83,3,FALSE),"Alerta: Seleccione primero el responsable")</f>
        <v>margarita.castaneda@idpc.gov.co</v>
      </c>
      <c r="AK84" s="640" t="str">
        <f>IF(J84="Funcionamiento Gastos Generales","No aplica",IF(J84="Funcionamiento Servicios Personales indirectos","No aplica",IFERROR(VLOOKUP(J84,Listas!$A$127:$E$139,3,FALSE),"Alerta: Seleccione la celda en la comumna B con el nombre del proyecto")))</f>
        <v>ME20181107</v>
      </c>
      <c r="AL84" s="640" t="str">
        <f>IF(J84="Funcionamiento Gastos Generales","No aplica",IF(J84="Funcionamiento Servicios Personales","No aplica",IFERROR(VLOOKUP(J84,Listas!$A$220:$D$224,2,FALSE),"Alerta: Seleccione la celda en la comumna B con el nombre del proyecto")))</f>
        <v>COMP1107</v>
      </c>
      <c r="AM84" s="640" t="str">
        <f>IF(J84="Funcionamiento Gastos Generales","No aplica",IF(J84="Funcionamiento Servicios Personales","No aplica",IFERROR(VLOOKUP(J84,Listas!$A$220:$D$224,3,FALSE),"Alerta: Seleccione la celda en la comumna B con el nombre del proyecto")))</f>
        <v>CONC1107</v>
      </c>
      <c r="AN84" s="633" t="s">
        <v>1047</v>
      </c>
      <c r="AO84" s="633" t="s">
        <v>53</v>
      </c>
      <c r="AP84" s="634" t="str">
        <f>IFERROR(VLOOKUP(J84,Listas!$A$182:$E$215,5,FALSE),"Alerta: Seleccione la celda en la comumna B con el nombre del proyecto")</f>
        <v>13. Oferta cultural para la valoración y divulgación del patrimonio material e  inmaterial de la ciud</v>
      </c>
      <c r="AQ84" s="634" t="str">
        <f>IF(J84="Funcionamiento Gastos Generales","No aplica",IF(J84="Funcionamiento Servicios Personales","No aplica",IFERROR(VLOOKUP(J84,Listas!$A$220:$D$224,4,FALSE),"Alerta: Seleccione la celda en la comumna B con el nombre del proyecto")))</f>
        <v>FONT1107</v>
      </c>
      <c r="AR84" s="633" t="s">
        <v>198</v>
      </c>
      <c r="AS84" s="634" t="str">
        <f>IFERROR(VLOOKUP(AU84,Listas!$E$85:$L$105,7,FALSE),"Alerta: Seleccione la celda en la comumna AI con el concepto de gasto")</f>
        <v>03-RECURSO HUMANO</v>
      </c>
      <c r="AT84" s="634" t="str">
        <f>IFERROR(VLOOKUP(AU84,Listas!$E$85:$L$105,8,FALSE),"Alerta: Seleccione la celda en la comumna AI con el concepto de gasto")</f>
        <v>01-DIVULGACION, ASISTENCIA TECNICA Y CAPACITACION DE LA POBLACION</v>
      </c>
      <c r="AU84" s="633" t="s">
        <v>232</v>
      </c>
      <c r="AV84" s="634">
        <f>IFERROR(VLOOKUP(AU84,Listas!$E$85:$F$105,2,FALSE),"Alerta: Seleccione el Concepto de Gasto primero")</f>
        <v>0</v>
      </c>
      <c r="AW84" s="644">
        <v>20945000</v>
      </c>
      <c r="AX84" s="645"/>
      <c r="AY84" s="645"/>
      <c r="AZ84" s="645"/>
      <c r="BA84" s="646">
        <f t="shared" si="28"/>
        <v>20945000</v>
      </c>
      <c r="BB84" s="647"/>
      <c r="BC84" s="648"/>
      <c r="BD84" s="649"/>
      <c r="BE84" s="647"/>
      <c r="BF84" s="644"/>
      <c r="BG84" s="646">
        <f t="shared" si="29"/>
        <v>20945000</v>
      </c>
      <c r="BH84" s="650"/>
      <c r="BI84" s="647"/>
      <c r="BJ84" s="644"/>
      <c r="BK84" s="646">
        <f t="shared" si="30"/>
        <v>0</v>
      </c>
      <c r="BL84" s="651"/>
      <c r="BM84" s="652">
        <f t="shared" si="31"/>
        <v>1</v>
      </c>
      <c r="BN84" s="628"/>
      <c r="BO84" s="670"/>
      <c r="BP84" s="644"/>
      <c r="BQ84" s="644"/>
      <c r="BR84" s="644"/>
      <c r="BS84" s="644"/>
      <c r="BT84" s="644"/>
      <c r="BU84" s="644"/>
      <c r="BV84" s="644"/>
      <c r="BW84" s="644"/>
      <c r="BX84" s="644"/>
      <c r="BY84" s="644"/>
      <c r="BZ84" s="644"/>
      <c r="CA84" s="644"/>
      <c r="CB84" s="646">
        <f t="shared" si="32"/>
        <v>0</v>
      </c>
      <c r="CC84" s="646">
        <f t="shared" si="33"/>
        <v>0</v>
      </c>
      <c r="CD84" s="614"/>
    </row>
    <row r="85" spans="1:85" s="561" customFormat="1" ht="61.5" customHeight="1">
      <c r="A85" s="625" t="str">
        <f t="shared" si="4"/>
        <v>1107-158-FONT1107-03-01-0066-Activación del patrimonio</v>
      </c>
      <c r="B85" s="626" t="str">
        <f t="shared" si="5"/>
        <v>1107-158-FONT1107-03-01-0066</v>
      </c>
      <c r="C85" s="626" t="str">
        <f t="shared" si="6"/>
        <v>1107-158-FONT1107-Activación del patrimonio</v>
      </c>
      <c r="D85" s="626" t="str">
        <f t="shared" si="7"/>
        <v>1107-158-12-Otros Distrito-03-01-0066</v>
      </c>
      <c r="E85" s="626" t="str">
        <f t="shared" si="19"/>
        <v>Activación del patrimonio-12-Otros Distrito-0066-Fomento, apoyo y divulgación de eventos y expresiones artísticas, culturales y del patrimonio</v>
      </c>
      <c r="F85" s="627">
        <v>49</v>
      </c>
      <c r="G85" s="628">
        <f t="shared" si="20"/>
        <v>49</v>
      </c>
      <c r="H85" s="629" t="b">
        <f t="shared" si="21"/>
        <v>1</v>
      </c>
      <c r="I85" s="630" t="s">
        <v>594</v>
      </c>
      <c r="J85" s="627" t="s">
        <v>27</v>
      </c>
      <c r="K85" s="631" t="str">
        <f>+IFERROR(VLOOKUP(J85,Listas!$A$108:$B$114,2,FALSE),"Alerta: Seleccione la celda en la comumna B con el nombre del proyecto")</f>
        <v>3-3-1-15-03-25-1107-158</v>
      </c>
      <c r="L85" s="632" t="s">
        <v>618</v>
      </c>
      <c r="M85" s="633" t="s">
        <v>647</v>
      </c>
      <c r="N85" s="634" t="str">
        <f t="shared" si="22"/>
        <v>(Cód. 49) Prestar servicios profesionales al Instituto Distrital de Patrimonio Cultural para apoyar los procesos de control presupuestal, seguimiento a indicadores y sistema integrado de gestión, requerido en el marco de las funciones de la Subdirección de Divulgación de los Valores del Patrimonio Cultural.</v>
      </c>
      <c r="O85" s="635">
        <v>43480</v>
      </c>
      <c r="P85" s="636">
        <f>IFERROR(VLOOKUP(W85,'Estimación CRP'!$D$21:$E$30,2,FALSE),0)</f>
        <v>10</v>
      </c>
      <c r="Q85" s="637">
        <f>IF(O85="No aplica","No aplica",WORKDAY.INTL(O85,P85,1,'Estimación CRP'!A271:A287))</f>
        <v>43494</v>
      </c>
      <c r="R85" s="636">
        <f t="shared" si="23"/>
        <v>1</v>
      </c>
      <c r="S85" s="636">
        <f t="shared" si="24"/>
        <v>1</v>
      </c>
      <c r="T85" s="636">
        <f t="shared" si="25"/>
        <v>1</v>
      </c>
      <c r="U85" s="712">
        <v>11</v>
      </c>
      <c r="V85" s="638">
        <v>1</v>
      </c>
      <c r="W85" s="639" t="s">
        <v>274</v>
      </c>
      <c r="X85" s="640" t="str">
        <f>IFERROR(VLOOKUP(W85,Listas!$A$60:$B$73,2,FALSE),"Alerta: Seleccione primero Modalidad de selección")</f>
        <v>CCE-16</v>
      </c>
      <c r="Y85" s="641">
        <v>0</v>
      </c>
      <c r="Z85" s="641" t="s">
        <v>346</v>
      </c>
      <c r="AA85" s="641" t="s">
        <v>1119</v>
      </c>
      <c r="AB85" s="642">
        <f t="shared" si="26"/>
        <v>45935000</v>
      </c>
      <c r="AC85" s="642">
        <f t="shared" si="27"/>
        <v>45935000</v>
      </c>
      <c r="AD85" s="641">
        <v>0</v>
      </c>
      <c r="AE85" s="643">
        <v>0</v>
      </c>
      <c r="AF85" s="639" t="s">
        <v>276</v>
      </c>
      <c r="AG85" s="639" t="s">
        <v>277</v>
      </c>
      <c r="AH85" s="639" t="s">
        <v>284</v>
      </c>
      <c r="AI85" s="626" t="str">
        <f>IFERROR(VLOOKUP(AH85,Listas!$A$77:$C$83,2,FALSE),"Alerta: Seleccione primero el responsable")</f>
        <v>3550800</v>
      </c>
      <c r="AJ85" s="640" t="str">
        <f>IFERROR(VLOOKUP(AH85,Listas!$A$77:$C$83,3,FALSE),"Alerta: Seleccione primero el responsable")</f>
        <v>margarita.castaneda@idpc.gov.co</v>
      </c>
      <c r="AK85" s="640" t="str">
        <f>IF(J85="Funcionamiento Gastos Generales","No aplica",IF(J85="Funcionamiento Servicios Personales indirectos","No aplica",IFERROR(VLOOKUP(J85,Listas!$A$127:$E$139,3,FALSE),"Alerta: Seleccione la celda en la comumna B con el nombre del proyecto")))</f>
        <v>ME20181107</v>
      </c>
      <c r="AL85" s="640" t="str">
        <f>IF(J85="Funcionamiento Gastos Generales","No aplica",IF(J85="Funcionamiento Servicios Personales","No aplica",IFERROR(VLOOKUP(J85,Listas!$A$220:$D$224,2,FALSE),"Alerta: Seleccione la celda en la comumna B con el nombre del proyecto")))</f>
        <v>COMP1107</v>
      </c>
      <c r="AM85" s="640" t="str">
        <f>IF(J85="Funcionamiento Gastos Generales","No aplica",IF(J85="Funcionamiento Servicios Personales","No aplica",IFERROR(VLOOKUP(J85,Listas!$A$220:$D$224,3,FALSE),"Alerta: Seleccione la celda en la comumna B con el nombre del proyecto")))</f>
        <v>CONC1107</v>
      </c>
      <c r="AN85" s="633" t="s">
        <v>1046</v>
      </c>
      <c r="AO85" s="633" t="s">
        <v>54</v>
      </c>
      <c r="AP85" s="634" t="str">
        <f>IFERROR(VLOOKUP(J85,Listas!$A$182:$E$215,5,FALSE),"Alerta: Seleccione la celda en la comumna B con el nombre del proyecto")</f>
        <v>13. Oferta cultural para la valoración y divulgación del patrimonio material e  inmaterial de la ciud</v>
      </c>
      <c r="AQ85" s="634" t="str">
        <f>IF(J85="Funcionamiento Gastos Generales","No aplica",IF(J85="Funcionamiento Servicios Personales","No aplica",IFERROR(VLOOKUP(J85,Listas!$A$220:$D$224,4,FALSE),"Alerta: Seleccione la celda en la comumna B con el nombre del proyecto")))</f>
        <v>FONT1107</v>
      </c>
      <c r="AR85" s="633" t="s">
        <v>198</v>
      </c>
      <c r="AS85" s="634" t="str">
        <f>IFERROR(VLOOKUP(AU85,Listas!$E$85:$L$105,7,FALSE),"Alerta: Seleccione la celda en la comumna AI con el concepto de gasto")</f>
        <v>03-RECURSO HUMANO</v>
      </c>
      <c r="AT85" s="634" t="str">
        <f>IFERROR(VLOOKUP(AU85,Listas!$E$85:$L$105,8,FALSE),"Alerta: Seleccione la celda en la comumna AI con el concepto de gasto")</f>
        <v>01-DIVULGACION, ASISTENCIA TECNICA Y CAPACITACION DE LA POBLACION</v>
      </c>
      <c r="AU85" s="633" t="s">
        <v>232</v>
      </c>
      <c r="AV85" s="634">
        <f>IFERROR(VLOOKUP(AU85,Listas!$E$85:$F$105,2,FALSE),"Alerta: Seleccione el Concepto de Gasto primero")</f>
        <v>0</v>
      </c>
      <c r="AW85" s="644">
        <v>45935000</v>
      </c>
      <c r="AX85" s="645"/>
      <c r="AY85" s="645"/>
      <c r="AZ85" s="645"/>
      <c r="BA85" s="646">
        <f t="shared" si="28"/>
        <v>45935000</v>
      </c>
      <c r="BB85" s="647"/>
      <c r="BC85" s="648"/>
      <c r="BD85" s="649"/>
      <c r="BE85" s="647"/>
      <c r="BF85" s="644"/>
      <c r="BG85" s="646">
        <f t="shared" si="29"/>
        <v>45935000</v>
      </c>
      <c r="BH85" s="650"/>
      <c r="BI85" s="647"/>
      <c r="BJ85" s="644"/>
      <c r="BK85" s="646">
        <f t="shared" si="30"/>
        <v>0</v>
      </c>
      <c r="BL85" s="651"/>
      <c r="BM85" s="652">
        <f t="shared" si="31"/>
        <v>1</v>
      </c>
      <c r="BN85" s="628"/>
      <c r="BO85" s="670"/>
      <c r="BP85" s="644"/>
      <c r="BQ85" s="644"/>
      <c r="BR85" s="644"/>
      <c r="BS85" s="644"/>
      <c r="BT85" s="644"/>
      <c r="BU85" s="644"/>
      <c r="BV85" s="644"/>
      <c r="BW85" s="644"/>
      <c r="BX85" s="644"/>
      <c r="BY85" s="644"/>
      <c r="BZ85" s="644"/>
      <c r="CA85" s="644"/>
      <c r="CB85" s="646">
        <f t="shared" si="32"/>
        <v>0</v>
      </c>
      <c r="CC85" s="646">
        <f t="shared" si="33"/>
        <v>0</v>
      </c>
      <c r="CD85" s="614"/>
    </row>
    <row r="86" spans="1:85" s="561" customFormat="1" ht="61.5" customHeight="1">
      <c r="A86" s="625" t="str">
        <f t="shared" si="4"/>
        <v>1107-158-FONT1107-03-01-0066-Activación del patrimonio</v>
      </c>
      <c r="B86" s="626" t="str">
        <f t="shared" si="5"/>
        <v>1107-158-FONT1107-03-01-0066</v>
      </c>
      <c r="C86" s="626" t="str">
        <f t="shared" si="6"/>
        <v>1107-158-FONT1107-Activación del patrimonio</v>
      </c>
      <c r="D86" s="626" t="str">
        <f t="shared" si="7"/>
        <v>1107-158-12-Otros Distrito-03-01-0066</v>
      </c>
      <c r="E86" s="626" t="str">
        <f t="shared" si="19"/>
        <v>Activación del patrimonio-12-Otros Distrito-0066-Fomento, apoyo y divulgación de eventos y expresiones artísticas, culturales y del patrimonio</v>
      </c>
      <c r="F86" s="627">
        <v>50</v>
      </c>
      <c r="G86" s="628">
        <f t="shared" si="20"/>
        <v>50</v>
      </c>
      <c r="H86" s="629" t="b">
        <f t="shared" si="21"/>
        <v>0</v>
      </c>
      <c r="I86" s="630" t="s">
        <v>594</v>
      </c>
      <c r="J86" s="627" t="s">
        <v>27</v>
      </c>
      <c r="K86" s="631" t="str">
        <f>+IFERROR(VLOOKUP(J86,Listas!$A$108:$B$114,2,FALSE),"Alerta: Seleccione la celda en la comumna B con el nombre del proyecto")</f>
        <v>3-3-1-15-03-25-1107-158</v>
      </c>
      <c r="L86" s="632" t="s">
        <v>618</v>
      </c>
      <c r="M86" s="633" t="s">
        <v>648</v>
      </c>
      <c r="N86" s="634" t="str">
        <f t="shared" si="22"/>
        <v>(Cód. 50) Prestar servicios profesionales al Instituto Distrital de Patrimonio Cultural para apoyar el desarrollo de los contenidos requeridos para la publicación sobre la Iglesia San Ignacio de Bogotá.</v>
      </c>
      <c r="O86" s="635">
        <v>43511</v>
      </c>
      <c r="P86" s="636">
        <f>IFERROR(VLOOKUP(W86,'Estimación CRP'!$D$21:$E$30,2,FALSE),0)</f>
        <v>10</v>
      </c>
      <c r="Q86" s="637">
        <f>IF(O86="No aplica","No aplica",WORKDAY.INTL(O86,P86,1,'Estimación CRP'!A272:A288))</f>
        <v>43525</v>
      </c>
      <c r="R86" s="636">
        <f t="shared" si="23"/>
        <v>3</v>
      </c>
      <c r="S86" s="636">
        <f t="shared" si="24"/>
        <v>2</v>
      </c>
      <c r="T86" s="636">
        <f t="shared" si="25"/>
        <v>2</v>
      </c>
      <c r="U86" s="712">
        <v>3</v>
      </c>
      <c r="V86" s="638">
        <v>1</v>
      </c>
      <c r="W86" s="639" t="s">
        <v>274</v>
      </c>
      <c r="X86" s="640" t="str">
        <f>IFERROR(VLOOKUP(W86,Listas!$A$60:$B$73,2,FALSE),"Alerta: Seleccione primero Modalidad de selección")</f>
        <v>CCE-16</v>
      </c>
      <c r="Y86" s="641">
        <v>0</v>
      </c>
      <c r="Z86" s="641" t="s">
        <v>346</v>
      </c>
      <c r="AA86" s="641" t="s">
        <v>1120</v>
      </c>
      <c r="AB86" s="642">
        <f t="shared" si="26"/>
        <v>19980000</v>
      </c>
      <c r="AC86" s="642">
        <f t="shared" si="27"/>
        <v>19980000</v>
      </c>
      <c r="AD86" s="641">
        <v>0</v>
      </c>
      <c r="AE86" s="643">
        <v>0</v>
      </c>
      <c r="AF86" s="639" t="s">
        <v>276</v>
      </c>
      <c r="AG86" s="639" t="s">
        <v>277</v>
      </c>
      <c r="AH86" s="639" t="s">
        <v>284</v>
      </c>
      <c r="AI86" s="626" t="str">
        <f>IFERROR(VLOOKUP(AH86,Listas!$A$77:$C$83,2,FALSE),"Alerta: Seleccione primero el responsable")</f>
        <v>3550800</v>
      </c>
      <c r="AJ86" s="640" t="str">
        <f>IFERROR(VLOOKUP(AH86,Listas!$A$77:$C$83,3,FALSE),"Alerta: Seleccione primero el responsable")</f>
        <v>margarita.castaneda@idpc.gov.co</v>
      </c>
      <c r="AK86" s="640" t="str">
        <f>IF(J86="Funcionamiento Gastos Generales","No aplica",IF(J86="Funcionamiento Servicios Personales indirectos","No aplica",IFERROR(VLOOKUP(J86,Listas!$A$127:$E$139,3,FALSE),"Alerta: Seleccione la celda en la comumna B con el nombre del proyecto")))</f>
        <v>ME20181107</v>
      </c>
      <c r="AL86" s="640" t="str">
        <f>IF(J86="Funcionamiento Gastos Generales","No aplica",IF(J86="Funcionamiento Servicios Personales","No aplica",IFERROR(VLOOKUP(J86,Listas!$A$220:$D$224,2,FALSE),"Alerta: Seleccione la celda en la comumna B con el nombre del proyecto")))</f>
        <v>COMP1107</v>
      </c>
      <c r="AM86" s="640" t="str">
        <f>IF(J86="Funcionamiento Gastos Generales","No aplica",IF(J86="Funcionamiento Servicios Personales","No aplica",IFERROR(VLOOKUP(J86,Listas!$A$220:$D$224,3,FALSE),"Alerta: Seleccione la celda en la comumna B con el nombre del proyecto")))</f>
        <v>CONC1107</v>
      </c>
      <c r="AN86" s="633" t="s">
        <v>1046</v>
      </c>
      <c r="AO86" s="633" t="s">
        <v>54</v>
      </c>
      <c r="AP86" s="634" t="str">
        <f>IFERROR(VLOOKUP(J86,Listas!$A$182:$E$215,5,FALSE),"Alerta: Seleccione la celda en la comumna B con el nombre del proyecto")</f>
        <v>13. Oferta cultural para la valoración y divulgación del patrimonio material e  inmaterial de la ciud</v>
      </c>
      <c r="AQ86" s="634" t="str">
        <f>IF(J86="Funcionamiento Gastos Generales","No aplica",IF(J86="Funcionamiento Servicios Personales","No aplica",IFERROR(VLOOKUP(J86,Listas!$A$220:$D$224,4,FALSE),"Alerta: Seleccione la celda en la comumna B con el nombre del proyecto")))</f>
        <v>FONT1107</v>
      </c>
      <c r="AR86" s="633" t="s">
        <v>198</v>
      </c>
      <c r="AS86" s="634" t="str">
        <f>IFERROR(VLOOKUP(AU86,Listas!$E$85:$L$105,7,FALSE),"Alerta: Seleccione la celda en la comumna AI con el concepto de gasto")</f>
        <v>03-RECURSO HUMANO</v>
      </c>
      <c r="AT86" s="634" t="str">
        <f>IFERROR(VLOOKUP(AU86,Listas!$E$85:$L$105,8,FALSE),"Alerta: Seleccione la celda en la comumna AI con el concepto de gasto")</f>
        <v>01-DIVULGACION, ASISTENCIA TECNICA Y CAPACITACION DE LA POBLACION</v>
      </c>
      <c r="AU86" s="633" t="s">
        <v>232</v>
      </c>
      <c r="AV86" s="634">
        <f>IFERROR(VLOOKUP(AU86,Listas!$E$85:$F$105,2,FALSE),"Alerta: Seleccione el Concepto de Gasto primero")</f>
        <v>0</v>
      </c>
      <c r="AW86" s="644">
        <v>19980000</v>
      </c>
      <c r="AX86" s="645"/>
      <c r="AY86" s="645"/>
      <c r="AZ86" s="645"/>
      <c r="BA86" s="646">
        <f t="shared" si="28"/>
        <v>19980000</v>
      </c>
      <c r="BB86" s="647"/>
      <c r="BC86" s="648"/>
      <c r="BD86" s="649"/>
      <c r="BE86" s="647"/>
      <c r="BF86" s="644"/>
      <c r="BG86" s="646">
        <f t="shared" si="29"/>
        <v>19980000</v>
      </c>
      <c r="BH86" s="650"/>
      <c r="BI86" s="647"/>
      <c r="BJ86" s="644"/>
      <c r="BK86" s="646">
        <f t="shared" si="30"/>
        <v>0</v>
      </c>
      <c r="BL86" s="651"/>
      <c r="BM86" s="652">
        <f t="shared" si="31"/>
        <v>1</v>
      </c>
      <c r="BN86" s="628"/>
      <c r="BO86" s="670"/>
      <c r="BP86" s="644"/>
      <c r="BQ86" s="644"/>
      <c r="BR86" s="644"/>
      <c r="BS86" s="644"/>
      <c r="BT86" s="644"/>
      <c r="BU86" s="644"/>
      <c r="BV86" s="644"/>
      <c r="BW86" s="644"/>
      <c r="BX86" s="644"/>
      <c r="BY86" s="644"/>
      <c r="BZ86" s="644"/>
      <c r="CA86" s="644"/>
      <c r="CB86" s="646">
        <f t="shared" si="32"/>
        <v>0</v>
      </c>
      <c r="CC86" s="646">
        <f t="shared" si="33"/>
        <v>0</v>
      </c>
      <c r="CD86" s="614"/>
    </row>
    <row r="87" spans="1:85" s="561" customFormat="1" ht="61.5" customHeight="1">
      <c r="A87" s="625" t="str">
        <f t="shared" si="4"/>
        <v>1107-158-FONT1107-03-01-0066-Museo de Bogotá en operación</v>
      </c>
      <c r="B87" s="626" t="str">
        <f t="shared" si="5"/>
        <v>1107-158-FONT1107-03-01-0066</v>
      </c>
      <c r="C87" s="626" t="str">
        <f t="shared" si="6"/>
        <v>1107-158-FONT1107-Museo de Bogotá en operación</v>
      </c>
      <c r="D87" s="626" t="str">
        <f t="shared" si="7"/>
        <v>1107-158-20-Administrados de Destinación Específica-03-01-0066</v>
      </c>
      <c r="E87" s="626" t="str">
        <f t="shared" si="19"/>
        <v>Museo de Bogotá en operación-20-Administrados de Destinación Específica-0066-Fomento, apoyo y divulgación de eventos y expresiones artísticas, culturales y del patrimonio</v>
      </c>
      <c r="F87" s="627" t="s">
        <v>346</v>
      </c>
      <c r="G87" s="628" t="str">
        <f t="shared" si="20"/>
        <v>N.A.</v>
      </c>
      <c r="H87" s="629" t="b">
        <f t="shared" si="21"/>
        <v>0</v>
      </c>
      <c r="I87" s="630" t="s">
        <v>595</v>
      </c>
      <c r="J87" s="627" t="s">
        <v>27</v>
      </c>
      <c r="K87" s="631" t="str">
        <f>+IFERROR(VLOOKUP(J87,Listas!$A$108:$B$114,2,FALSE),"Alerta: Seleccione la celda en la comumna B con el nombre del proyecto")</f>
        <v>3-3-1-15-03-25-1107-158</v>
      </c>
      <c r="L87" s="632" t="s">
        <v>649</v>
      </c>
      <c r="M87" s="633" t="s">
        <v>650</v>
      </c>
      <c r="N87" s="634" t="str">
        <f t="shared" si="22"/>
        <v>(Cód. N.A.) Diseño, fabricación e instalación de una estructura protectora removible para el Tranvía de Mulas, pieza museográfica central de la sala – Sobre rieles: el Tranvía en Bogotá-, del Museo de Bogotá.
Observación: Este recurso debe tramitarse con SDH y SDP</v>
      </c>
      <c r="O87" s="635">
        <v>43485</v>
      </c>
      <c r="P87" s="636">
        <f>IFERROR(VLOOKUP(W87,'Estimación CRP'!$D$21:$E$30,2,FALSE),0)</f>
        <v>45</v>
      </c>
      <c r="Q87" s="637">
        <f>IF(O87="No aplica","No aplica",WORKDAY.INTL(O87,P87,1,'Estimación CRP'!A273:A289))</f>
        <v>43546</v>
      </c>
      <c r="R87" s="636">
        <f t="shared" si="23"/>
        <v>3</v>
      </c>
      <c r="S87" s="636">
        <f t="shared" si="24"/>
        <v>1</v>
      </c>
      <c r="T87" s="636">
        <f t="shared" si="25"/>
        <v>1</v>
      </c>
      <c r="U87" s="638">
        <v>4</v>
      </c>
      <c r="V87" s="638">
        <v>1</v>
      </c>
      <c r="W87" s="639" t="s">
        <v>348</v>
      </c>
      <c r="X87" s="640" t="str">
        <f>IFERROR(VLOOKUP(W87,Listas!$A$60:$B$73,2,FALSE),"Alerta: Seleccione primero Modalidad de selección")</f>
        <v>CCE-06</v>
      </c>
      <c r="Y87" s="641">
        <v>0</v>
      </c>
      <c r="Z87" s="641" t="s">
        <v>346</v>
      </c>
      <c r="AA87" s="641" t="s">
        <v>1121</v>
      </c>
      <c r="AB87" s="642">
        <f t="shared" si="26"/>
        <v>0</v>
      </c>
      <c r="AC87" s="642">
        <f t="shared" si="27"/>
        <v>0</v>
      </c>
      <c r="AD87" s="641">
        <v>0</v>
      </c>
      <c r="AE87" s="643">
        <v>0</v>
      </c>
      <c r="AF87" s="639" t="s">
        <v>276</v>
      </c>
      <c r="AG87" s="639" t="s">
        <v>277</v>
      </c>
      <c r="AH87" s="639" t="s">
        <v>284</v>
      </c>
      <c r="AI87" s="626" t="str">
        <f>IFERROR(VLOOKUP(AH87,Listas!$A$77:$C$83,2,FALSE),"Alerta: Seleccione primero el responsable")</f>
        <v>3550800</v>
      </c>
      <c r="AJ87" s="640" t="str">
        <f>IFERROR(VLOOKUP(AH87,Listas!$A$77:$C$83,3,FALSE),"Alerta: Seleccione primero el responsable")</f>
        <v>margarita.castaneda@idpc.gov.co</v>
      </c>
      <c r="AK87" s="640" t="str">
        <f>IF(J87="Funcionamiento Gastos Generales","No aplica",IF(J87="Funcionamiento Servicios Personales indirectos","No aplica",IFERROR(VLOOKUP(J87,Listas!$A$127:$E$139,3,FALSE),"Alerta: Seleccione la celda en la comumna B con el nombre del proyecto")))</f>
        <v>ME20181107</v>
      </c>
      <c r="AL87" s="640" t="str">
        <f>IF(J87="Funcionamiento Gastos Generales","No aplica",IF(J87="Funcionamiento Servicios Personales","No aplica",IFERROR(VLOOKUP(J87,Listas!$A$220:$D$224,2,FALSE),"Alerta: Seleccione la celda en la comumna B con el nombre del proyecto")))</f>
        <v>COMP1107</v>
      </c>
      <c r="AM87" s="640" t="str">
        <f>IF(J87="Funcionamiento Gastos Generales","No aplica",IF(J87="Funcionamiento Servicios Personales","No aplica",IFERROR(VLOOKUP(J87,Listas!$A$220:$D$224,3,FALSE),"Alerta: Seleccione la celda en la comumna B con el nombre del proyecto")))</f>
        <v>CONC1107</v>
      </c>
      <c r="AN87" s="633" t="s">
        <v>1047</v>
      </c>
      <c r="AO87" s="633" t="s">
        <v>53</v>
      </c>
      <c r="AP87" s="634" t="str">
        <f>IFERROR(VLOOKUP(J87,Listas!$A$182:$E$215,5,FALSE),"Alerta: Seleccione la celda en la comumna B con el nombre del proyecto")</f>
        <v>13. Oferta cultural para la valoración y divulgación del patrimonio material e  inmaterial de la ciud</v>
      </c>
      <c r="AQ87" s="634" t="str">
        <f>IF(J87="Funcionamiento Gastos Generales","No aplica",IF(J87="Funcionamiento Servicios Personales","No aplica",IFERROR(VLOOKUP(J87,Listas!$A$220:$D$224,4,FALSE),"Alerta: Seleccione la celda en la comumna B con el nombre del proyecto")))</f>
        <v>FONT1107</v>
      </c>
      <c r="AR87" s="633" t="s">
        <v>221</v>
      </c>
      <c r="AS87" s="634" t="str">
        <f>IFERROR(VLOOKUP(AU87,Listas!$E$85:$L$105,7,FALSE),"Alerta: Seleccione la celda en la comumna AI con el concepto de gasto")</f>
        <v>03-RECURSO HUMANO</v>
      </c>
      <c r="AT87" s="634" t="str">
        <f>IFERROR(VLOOKUP(AU87,Listas!$E$85:$L$105,8,FALSE),"Alerta: Seleccione la celda en la comumna AI con el concepto de gasto")</f>
        <v>01-DIVULGACION, ASISTENCIA TECNICA Y CAPACITACION DE LA POBLACION</v>
      </c>
      <c r="AU87" s="633" t="s">
        <v>232</v>
      </c>
      <c r="AV87" s="634">
        <f>IFERROR(VLOOKUP(AU87,Listas!$E$85:$F$105,2,FALSE),"Alerta: Seleccione el Concepto de Gasto primero")</f>
        <v>0</v>
      </c>
      <c r="AW87" s="644">
        <v>0</v>
      </c>
      <c r="AX87" s="645"/>
      <c r="AY87" s="645"/>
      <c r="AZ87" s="645"/>
      <c r="BA87" s="646">
        <f t="shared" si="28"/>
        <v>0</v>
      </c>
      <c r="BB87" s="647"/>
      <c r="BC87" s="648"/>
      <c r="BD87" s="649"/>
      <c r="BE87" s="647"/>
      <c r="BF87" s="644"/>
      <c r="BG87" s="646">
        <f t="shared" si="29"/>
        <v>0</v>
      </c>
      <c r="BH87" s="650"/>
      <c r="BI87" s="647"/>
      <c r="BJ87" s="644"/>
      <c r="BK87" s="646">
        <f t="shared" si="30"/>
        <v>0</v>
      </c>
      <c r="BL87" s="651"/>
      <c r="BM87" s="652">
        <f t="shared" si="31"/>
        <v>1</v>
      </c>
      <c r="BN87" s="628"/>
      <c r="BO87" s="670"/>
      <c r="BP87" s="644"/>
      <c r="BQ87" s="644"/>
      <c r="BR87" s="644"/>
      <c r="BS87" s="644"/>
      <c r="BT87" s="644"/>
      <c r="BU87" s="644"/>
      <c r="BV87" s="644"/>
      <c r="BW87" s="644"/>
      <c r="BX87" s="644"/>
      <c r="BY87" s="644"/>
      <c r="BZ87" s="644"/>
      <c r="CA87" s="644"/>
      <c r="CB87" s="646">
        <f t="shared" si="32"/>
        <v>0</v>
      </c>
      <c r="CC87" s="646">
        <f t="shared" si="33"/>
        <v>0</v>
      </c>
      <c r="CD87" s="614"/>
    </row>
    <row r="88" spans="1:85" s="561" customFormat="1" ht="61.5" customHeight="1">
      <c r="A88" s="625" t="str">
        <f t="shared" si="4"/>
        <v>1107-158-FONT1107-03-01-0066-Museo de Bogotá en operación</v>
      </c>
      <c r="B88" s="626" t="str">
        <f t="shared" si="5"/>
        <v>1107-158-FONT1107-03-01-0066</v>
      </c>
      <c r="C88" s="626" t="str">
        <f t="shared" si="6"/>
        <v>1107-158-FONT1107-Museo de Bogotá en operación</v>
      </c>
      <c r="D88" s="626" t="str">
        <f t="shared" si="7"/>
        <v>1107-158-12-Otros Distrito-03-01-0066</v>
      </c>
      <c r="E88" s="626" t="str">
        <f t="shared" si="19"/>
        <v>Museo de Bogotá en operación-12-Otros Distrito-0066-Fomento, apoyo y divulgación de eventos y expresiones artísticas, culturales y del patrimonio</v>
      </c>
      <c r="F88" s="627">
        <v>51</v>
      </c>
      <c r="G88" s="628">
        <f t="shared" si="20"/>
        <v>51</v>
      </c>
      <c r="H88" s="629" t="b">
        <f t="shared" si="21"/>
        <v>0</v>
      </c>
      <c r="I88" s="630" t="s">
        <v>594</v>
      </c>
      <c r="J88" s="627" t="s">
        <v>27</v>
      </c>
      <c r="K88" s="631" t="str">
        <f>+IFERROR(VLOOKUP(J88,Listas!$A$108:$B$114,2,FALSE),"Alerta: Seleccione la celda en la comumna B con el nombre del proyecto")</f>
        <v>3-3-1-15-03-25-1107-158</v>
      </c>
      <c r="L88" s="632" t="s">
        <v>651</v>
      </c>
      <c r="M88" s="633" t="s">
        <v>652</v>
      </c>
      <c r="N88" s="634" t="str">
        <f t="shared" si="22"/>
        <v>(Cód. 51) Contratar insumos de ferretería, materiales y herramientas requeridas para la ejecución de intervenciones técnicas necesarias para el enlucimiento de fachadas, limpieza y mantenimiento de los Bienes de Interés Cultural muebles en espacio público e instalaciones que se utilizan para la prestación del servicio del Instituto Distrital de Patrimonio Cultural, en la ciudad de Bogotá D.C.</v>
      </c>
      <c r="O88" s="635">
        <v>43511</v>
      </c>
      <c r="P88" s="636">
        <f>IFERROR(VLOOKUP(W88,'Estimación CRP'!$D$21:$E$30,2,FALSE),0)</f>
        <v>45</v>
      </c>
      <c r="Q88" s="637">
        <f>IF(O88="No aplica","No aplica",WORKDAY.INTL(O88,P88,1,'Estimación CRP'!A274:A290))</f>
        <v>43574</v>
      </c>
      <c r="R88" s="636">
        <f t="shared" si="23"/>
        <v>4</v>
      </c>
      <c r="S88" s="636">
        <f t="shared" si="24"/>
        <v>2</v>
      </c>
      <c r="T88" s="636">
        <f t="shared" si="25"/>
        <v>2</v>
      </c>
      <c r="U88" s="712">
        <v>9</v>
      </c>
      <c r="V88" s="638">
        <v>1</v>
      </c>
      <c r="W88" s="639" t="s">
        <v>347</v>
      </c>
      <c r="X88" s="640" t="str">
        <f>IFERROR(VLOOKUP(W88,Listas!$A$60:$B$73,2,FALSE),"Alerta: Seleccione primero Modalidad de selección")</f>
        <v>CCE-07</v>
      </c>
      <c r="Y88" s="641">
        <v>0</v>
      </c>
      <c r="Z88" s="641" t="s">
        <v>1122</v>
      </c>
      <c r="AA88" s="641" t="s">
        <v>1123</v>
      </c>
      <c r="AB88" s="642">
        <f t="shared" si="26"/>
        <v>10000000</v>
      </c>
      <c r="AC88" s="642">
        <f t="shared" si="27"/>
        <v>10000000</v>
      </c>
      <c r="AD88" s="641">
        <v>0</v>
      </c>
      <c r="AE88" s="643">
        <v>0</v>
      </c>
      <c r="AF88" s="639" t="s">
        <v>276</v>
      </c>
      <c r="AG88" s="639" t="s">
        <v>277</v>
      </c>
      <c r="AH88" s="639" t="s">
        <v>284</v>
      </c>
      <c r="AI88" s="626" t="str">
        <f>IFERROR(VLOOKUP(AH88,Listas!$A$77:$C$83,2,FALSE),"Alerta: Seleccione primero el responsable")</f>
        <v>3550800</v>
      </c>
      <c r="AJ88" s="640" t="str">
        <f>IFERROR(VLOOKUP(AH88,Listas!$A$77:$C$83,3,FALSE),"Alerta: Seleccione primero el responsable")</f>
        <v>margarita.castaneda@idpc.gov.co</v>
      </c>
      <c r="AK88" s="640" t="str">
        <f>IF(J88="Funcionamiento Gastos Generales","No aplica",IF(J88="Funcionamiento Servicios Personales indirectos","No aplica",IFERROR(VLOOKUP(J88,Listas!$A$127:$E$139,3,FALSE),"Alerta: Seleccione la celda en la comumna B con el nombre del proyecto")))</f>
        <v>ME20181107</v>
      </c>
      <c r="AL88" s="640" t="str">
        <f>IF(J88="Funcionamiento Gastos Generales","No aplica",IF(J88="Funcionamiento Servicios Personales","No aplica",IFERROR(VLOOKUP(J88,Listas!$A$220:$D$224,2,FALSE),"Alerta: Seleccione la celda en la comumna B con el nombre del proyecto")))</f>
        <v>COMP1107</v>
      </c>
      <c r="AM88" s="640" t="str">
        <f>IF(J88="Funcionamiento Gastos Generales","No aplica",IF(J88="Funcionamiento Servicios Personales","No aplica",IFERROR(VLOOKUP(J88,Listas!$A$220:$D$224,3,FALSE),"Alerta: Seleccione la celda en la comumna B con el nombre del proyecto")))</f>
        <v>CONC1107</v>
      </c>
      <c r="AN88" s="633" t="s">
        <v>1047</v>
      </c>
      <c r="AO88" s="633" t="s">
        <v>53</v>
      </c>
      <c r="AP88" s="634" t="str">
        <f>IFERROR(VLOOKUP(J88,Listas!$A$182:$E$215,5,FALSE),"Alerta: Seleccione la celda en la comumna B con el nombre del proyecto")</f>
        <v>13. Oferta cultural para la valoración y divulgación del patrimonio material e  inmaterial de la ciud</v>
      </c>
      <c r="AQ88" s="634" t="str">
        <f>IF(J88="Funcionamiento Gastos Generales","No aplica",IF(J88="Funcionamiento Servicios Personales","No aplica",IFERROR(VLOOKUP(J88,Listas!$A$220:$D$224,4,FALSE),"Alerta: Seleccione la celda en la comumna B con el nombre del proyecto")))</f>
        <v>FONT1107</v>
      </c>
      <c r="AR88" s="633" t="s">
        <v>198</v>
      </c>
      <c r="AS88" s="634" t="str">
        <f>IFERROR(VLOOKUP(AU88,Listas!$E$85:$L$105,7,FALSE),"Alerta: Seleccione la celda en la comumna AI con el concepto de gasto")</f>
        <v>03-RECURSO HUMANO</v>
      </c>
      <c r="AT88" s="634" t="str">
        <f>IFERROR(VLOOKUP(AU88,Listas!$E$85:$L$105,8,FALSE),"Alerta: Seleccione la celda en la comumna AI con el concepto de gasto")</f>
        <v>01-DIVULGACION, ASISTENCIA TECNICA Y CAPACITACION DE LA POBLACION</v>
      </c>
      <c r="AU88" s="633" t="s">
        <v>232</v>
      </c>
      <c r="AV88" s="634">
        <f>IFERROR(VLOOKUP(AU88,Listas!$E$85:$F$105,2,FALSE),"Alerta: Seleccione el Concepto de Gasto primero")</f>
        <v>0</v>
      </c>
      <c r="AW88" s="644">
        <v>10000000</v>
      </c>
      <c r="AX88" s="645"/>
      <c r="AY88" s="645"/>
      <c r="AZ88" s="645"/>
      <c r="BA88" s="646">
        <f t="shared" si="28"/>
        <v>10000000</v>
      </c>
      <c r="BB88" s="647"/>
      <c r="BC88" s="648"/>
      <c r="BD88" s="649"/>
      <c r="BE88" s="647"/>
      <c r="BF88" s="644"/>
      <c r="BG88" s="646">
        <f t="shared" si="29"/>
        <v>10000000</v>
      </c>
      <c r="BH88" s="650"/>
      <c r="BI88" s="647"/>
      <c r="BJ88" s="644"/>
      <c r="BK88" s="646">
        <f t="shared" si="30"/>
        <v>0</v>
      </c>
      <c r="BL88" s="651"/>
      <c r="BM88" s="652">
        <f t="shared" si="31"/>
        <v>1</v>
      </c>
      <c r="BN88" s="628"/>
      <c r="BO88" s="670"/>
      <c r="BP88" s="644"/>
      <c r="BQ88" s="644"/>
      <c r="BR88" s="644"/>
      <c r="BS88" s="644"/>
      <c r="BT88" s="644"/>
      <c r="BU88" s="644"/>
      <c r="BV88" s="644"/>
      <c r="BW88" s="644"/>
      <c r="BX88" s="644"/>
      <c r="BY88" s="644"/>
      <c r="BZ88" s="644"/>
      <c r="CA88" s="644"/>
      <c r="CB88" s="646">
        <f t="shared" si="32"/>
        <v>0</v>
      </c>
      <c r="CC88" s="646">
        <f t="shared" si="33"/>
        <v>0</v>
      </c>
      <c r="CD88" s="614"/>
    </row>
    <row r="89" spans="1:85" s="561" customFormat="1" ht="61.5" customHeight="1">
      <c r="A89" s="625" t="str">
        <f t="shared" si="4"/>
        <v>1107-158-FONT1107-03-01-0066-Activación del patrimonio</v>
      </c>
      <c r="B89" s="626" t="str">
        <f t="shared" si="5"/>
        <v>1107-158-FONT1107-03-01-0066</v>
      </c>
      <c r="C89" s="626" t="str">
        <f t="shared" si="6"/>
        <v>1107-158-FONT1107-Activación del patrimonio</v>
      </c>
      <c r="D89" s="626" t="str">
        <f t="shared" si="7"/>
        <v>1107-158-12-Otros Distrito-03-01-0066</v>
      </c>
      <c r="E89" s="626" t="str">
        <f t="shared" si="19"/>
        <v>Activación del patrimonio-12-Otros Distrito-0066-Fomento, apoyo y divulgación de eventos y expresiones artísticas, culturales y del patrimonio</v>
      </c>
      <c r="F89" s="627">
        <v>52</v>
      </c>
      <c r="G89" s="628">
        <f t="shared" si="20"/>
        <v>52</v>
      </c>
      <c r="H89" s="629" t="b">
        <f t="shared" si="21"/>
        <v>0</v>
      </c>
      <c r="I89" s="630" t="s">
        <v>594</v>
      </c>
      <c r="J89" s="627" t="s">
        <v>27</v>
      </c>
      <c r="K89" s="631" t="str">
        <f>+IFERROR(VLOOKUP(J89,Listas!$A$108:$B$114,2,FALSE),"Alerta: Seleccione la celda en la comumna B con el nombre del proyecto")</f>
        <v>3-3-1-15-03-25-1107-158</v>
      </c>
      <c r="L89" s="632" t="s">
        <v>618</v>
      </c>
      <c r="M89" s="633" t="s">
        <v>653</v>
      </c>
      <c r="N89" s="634" t="str">
        <f t="shared" si="22"/>
        <v>(Cód. 52) Prestar servicios profesionales al Instituto Distrital de Patrimonio Cultural para apoyar la planificación y ejecución del programa de recorridos urbanos en el marco de la estrategia de apropiación social del patrimonio cultural.</v>
      </c>
      <c r="O89" s="635">
        <v>43480</v>
      </c>
      <c r="P89" s="636">
        <f>IFERROR(VLOOKUP(W89,'Estimación CRP'!$D$21:$E$30,2,FALSE),0)</f>
        <v>10</v>
      </c>
      <c r="Q89" s="637">
        <f>IF(O89="No aplica","No aplica",WORKDAY.INTL(O89,P89,1,'Estimación CRP'!A275:A291))</f>
        <v>43494</v>
      </c>
      <c r="R89" s="636">
        <f t="shared" si="23"/>
        <v>1</v>
      </c>
      <c r="S89" s="636">
        <f t="shared" si="24"/>
        <v>1</v>
      </c>
      <c r="T89" s="636">
        <f t="shared" si="25"/>
        <v>1</v>
      </c>
      <c r="U89" s="712">
        <v>10</v>
      </c>
      <c r="V89" s="638">
        <v>1</v>
      </c>
      <c r="W89" s="639" t="s">
        <v>274</v>
      </c>
      <c r="X89" s="640" t="str">
        <f>IFERROR(VLOOKUP(W89,Listas!$A$60:$B$73,2,FALSE),"Alerta: Seleccione primero Modalidad de selección")</f>
        <v>CCE-16</v>
      </c>
      <c r="Y89" s="641">
        <v>0</v>
      </c>
      <c r="Z89" s="641" t="s">
        <v>346</v>
      </c>
      <c r="AA89" s="641" t="s">
        <v>1124</v>
      </c>
      <c r="AB89" s="642">
        <f t="shared" si="26"/>
        <v>46000000</v>
      </c>
      <c r="AC89" s="642">
        <f t="shared" si="27"/>
        <v>46000000</v>
      </c>
      <c r="AD89" s="641">
        <v>0</v>
      </c>
      <c r="AE89" s="643">
        <v>0</v>
      </c>
      <c r="AF89" s="639" t="s">
        <v>276</v>
      </c>
      <c r="AG89" s="639" t="s">
        <v>277</v>
      </c>
      <c r="AH89" s="639" t="s">
        <v>284</v>
      </c>
      <c r="AI89" s="626" t="str">
        <f>IFERROR(VLOOKUP(AH89,Listas!$A$77:$C$83,2,FALSE),"Alerta: Seleccione primero el responsable")</f>
        <v>3550800</v>
      </c>
      <c r="AJ89" s="640" t="str">
        <f>IFERROR(VLOOKUP(AH89,Listas!$A$77:$C$83,3,FALSE),"Alerta: Seleccione primero el responsable")</f>
        <v>margarita.castaneda@idpc.gov.co</v>
      </c>
      <c r="AK89" s="640" t="str">
        <f>IF(J89="Funcionamiento Gastos Generales","No aplica",IF(J89="Funcionamiento Servicios Personales indirectos","No aplica",IFERROR(VLOOKUP(J89,Listas!$A$127:$E$139,3,FALSE),"Alerta: Seleccione la celda en la comumna B con el nombre del proyecto")))</f>
        <v>ME20181107</v>
      </c>
      <c r="AL89" s="640" t="str">
        <f>IF(J89="Funcionamiento Gastos Generales","No aplica",IF(J89="Funcionamiento Servicios Personales","No aplica",IFERROR(VLOOKUP(J89,Listas!$A$220:$D$224,2,FALSE),"Alerta: Seleccione la celda en la comumna B con el nombre del proyecto")))</f>
        <v>COMP1107</v>
      </c>
      <c r="AM89" s="640" t="str">
        <f>IF(J89="Funcionamiento Gastos Generales","No aplica",IF(J89="Funcionamiento Servicios Personales","No aplica",IFERROR(VLOOKUP(J89,Listas!$A$220:$D$224,3,FALSE),"Alerta: Seleccione la celda en la comumna B con el nombre del proyecto")))</f>
        <v>CONC1107</v>
      </c>
      <c r="AN89" s="633" t="s">
        <v>1046</v>
      </c>
      <c r="AO89" s="633" t="s">
        <v>54</v>
      </c>
      <c r="AP89" s="634" t="str">
        <f>IFERROR(VLOOKUP(J89,Listas!$A$182:$E$215,5,FALSE),"Alerta: Seleccione la celda en la comumna B con el nombre del proyecto")</f>
        <v>13. Oferta cultural para la valoración y divulgación del patrimonio material e  inmaterial de la ciud</v>
      </c>
      <c r="AQ89" s="634" t="str">
        <f>IF(J89="Funcionamiento Gastos Generales","No aplica",IF(J89="Funcionamiento Servicios Personales","No aplica",IFERROR(VLOOKUP(J89,Listas!$A$220:$D$224,4,FALSE),"Alerta: Seleccione la celda en la comumna B con el nombre del proyecto")))</f>
        <v>FONT1107</v>
      </c>
      <c r="AR89" s="633" t="s">
        <v>198</v>
      </c>
      <c r="AS89" s="634" t="str">
        <f>IFERROR(VLOOKUP(AU89,Listas!$E$85:$L$105,7,FALSE),"Alerta: Seleccione la celda en la comumna AI con el concepto de gasto")</f>
        <v>03-RECURSO HUMANO</v>
      </c>
      <c r="AT89" s="634" t="str">
        <f>IFERROR(VLOOKUP(AU89,Listas!$E$85:$L$105,8,FALSE),"Alerta: Seleccione la celda en la comumna AI con el concepto de gasto")</f>
        <v>01-DIVULGACION, ASISTENCIA TECNICA Y CAPACITACION DE LA POBLACION</v>
      </c>
      <c r="AU89" s="633" t="s">
        <v>232</v>
      </c>
      <c r="AV89" s="634">
        <f>IFERROR(VLOOKUP(AU89,Listas!$E$85:$F$105,2,FALSE),"Alerta: Seleccione el Concepto de Gasto primero")</f>
        <v>0</v>
      </c>
      <c r="AW89" s="644">
        <v>46000000</v>
      </c>
      <c r="AX89" s="645"/>
      <c r="AY89" s="645"/>
      <c r="AZ89" s="645"/>
      <c r="BA89" s="646">
        <f t="shared" si="28"/>
        <v>46000000</v>
      </c>
      <c r="BB89" s="647"/>
      <c r="BC89" s="648"/>
      <c r="BD89" s="649"/>
      <c r="BE89" s="647"/>
      <c r="BF89" s="644"/>
      <c r="BG89" s="646">
        <f t="shared" si="29"/>
        <v>46000000</v>
      </c>
      <c r="BH89" s="650"/>
      <c r="BI89" s="647"/>
      <c r="BJ89" s="644"/>
      <c r="BK89" s="646">
        <f t="shared" si="30"/>
        <v>0</v>
      </c>
      <c r="BL89" s="651"/>
      <c r="BM89" s="652">
        <f t="shared" si="31"/>
        <v>1</v>
      </c>
      <c r="BN89" s="628"/>
      <c r="BO89" s="670"/>
      <c r="BP89" s="644"/>
      <c r="BQ89" s="644"/>
      <c r="BR89" s="644"/>
      <c r="BS89" s="644"/>
      <c r="BT89" s="644"/>
      <c r="BU89" s="644"/>
      <c r="BV89" s="644"/>
      <c r="BW89" s="644"/>
      <c r="BX89" s="644"/>
      <c r="BY89" s="644"/>
      <c r="BZ89" s="644"/>
      <c r="CA89" s="644"/>
      <c r="CB89" s="646">
        <f t="shared" si="32"/>
        <v>0</v>
      </c>
      <c r="CC89" s="646">
        <f t="shared" si="33"/>
        <v>0</v>
      </c>
      <c r="CD89" s="614"/>
    </row>
    <row r="90" spans="1:85" s="561" customFormat="1" ht="61.5" customHeight="1">
      <c r="A90" s="625" t="str">
        <f t="shared" si="4"/>
        <v>1107-158-FONT1107-03-01-0066-Museo de Bogotá en operación</v>
      </c>
      <c r="B90" s="626" t="str">
        <f t="shared" si="5"/>
        <v>1107-158-FONT1107-03-01-0066</v>
      </c>
      <c r="C90" s="626" t="str">
        <f t="shared" si="6"/>
        <v>1107-158-FONT1107-Museo de Bogotá en operación</v>
      </c>
      <c r="D90" s="626" t="str">
        <f t="shared" si="7"/>
        <v>1107-158-12-Otros Distrito-03-01-0066</v>
      </c>
      <c r="E90" s="626" t="str">
        <f t="shared" si="19"/>
        <v>Museo de Bogotá en operación-12-Otros Distrito-0066-Fomento, apoyo y divulgación de eventos y expresiones artísticas, culturales y del patrimonio</v>
      </c>
      <c r="F90" s="627">
        <v>53</v>
      </c>
      <c r="G90" s="628">
        <f t="shared" si="20"/>
        <v>53</v>
      </c>
      <c r="H90" s="629" t="b">
        <f t="shared" si="21"/>
        <v>0</v>
      </c>
      <c r="I90" s="630" t="s">
        <v>594</v>
      </c>
      <c r="J90" s="627" t="s">
        <v>27</v>
      </c>
      <c r="K90" s="631" t="str">
        <f>+IFERROR(VLOOKUP(J90,Listas!$A$108:$B$114,2,FALSE),"Alerta: Seleccione la celda en la comumna B con el nombre del proyecto")</f>
        <v>3-3-1-15-03-25-1107-158</v>
      </c>
      <c r="L90" s="632" t="s">
        <v>618</v>
      </c>
      <c r="M90" s="633" t="s">
        <v>654</v>
      </c>
      <c r="N90" s="634" t="str">
        <f t="shared" si="22"/>
        <v>(Cód. 53) Prestar servicios profesionales al Instituto Distrital de Patrimonio Cultural para apoyar los procesos de investigación, estructuración y redacción de guiones museológicos requeridos por el Museo de Bogotá.</v>
      </c>
      <c r="O90" s="635">
        <v>43480</v>
      </c>
      <c r="P90" s="636">
        <f>IFERROR(VLOOKUP(W90,'Estimación CRP'!$D$21:$E$30,2,FALSE),0)</f>
        <v>10</v>
      </c>
      <c r="Q90" s="637">
        <f>IF(O90="No aplica","No aplica",WORKDAY.INTL(O90,P90,1,'Estimación CRP'!A276:A292))</f>
        <v>43494</v>
      </c>
      <c r="R90" s="636">
        <f t="shared" si="23"/>
        <v>1</v>
      </c>
      <c r="S90" s="636">
        <f t="shared" si="24"/>
        <v>1</v>
      </c>
      <c r="T90" s="636">
        <f t="shared" si="25"/>
        <v>1</v>
      </c>
      <c r="U90" s="712">
        <v>3</v>
      </c>
      <c r="V90" s="638">
        <v>1</v>
      </c>
      <c r="W90" s="639" t="s">
        <v>274</v>
      </c>
      <c r="X90" s="640" t="str">
        <f>IFERROR(VLOOKUP(W90,Listas!$A$60:$B$73,2,FALSE),"Alerta: Seleccione primero Modalidad de selección")</f>
        <v>CCE-16</v>
      </c>
      <c r="Y90" s="641">
        <v>0</v>
      </c>
      <c r="Z90" s="641" t="s">
        <v>346</v>
      </c>
      <c r="AA90" s="641" t="s">
        <v>1125</v>
      </c>
      <c r="AB90" s="642">
        <f t="shared" si="26"/>
        <v>17880000</v>
      </c>
      <c r="AC90" s="642">
        <f t="shared" si="27"/>
        <v>17880000</v>
      </c>
      <c r="AD90" s="641">
        <v>0</v>
      </c>
      <c r="AE90" s="643">
        <v>0</v>
      </c>
      <c r="AF90" s="639" t="s">
        <v>276</v>
      </c>
      <c r="AG90" s="639" t="s">
        <v>277</v>
      </c>
      <c r="AH90" s="639" t="s">
        <v>284</v>
      </c>
      <c r="AI90" s="626" t="str">
        <f>IFERROR(VLOOKUP(AH90,Listas!$A$77:$C$83,2,FALSE),"Alerta: Seleccione primero el responsable")</f>
        <v>3550800</v>
      </c>
      <c r="AJ90" s="640" t="str">
        <f>IFERROR(VLOOKUP(AH90,Listas!$A$77:$C$83,3,FALSE),"Alerta: Seleccione primero el responsable")</f>
        <v>margarita.castaneda@idpc.gov.co</v>
      </c>
      <c r="AK90" s="640" t="str">
        <f>IF(J90="Funcionamiento Gastos Generales","No aplica",IF(J90="Funcionamiento Servicios Personales indirectos","No aplica",IFERROR(VLOOKUP(J90,Listas!$A$127:$E$139,3,FALSE),"Alerta: Seleccione la celda en la comumna B con el nombre del proyecto")))</f>
        <v>ME20181107</v>
      </c>
      <c r="AL90" s="640" t="str">
        <f>IF(J90="Funcionamiento Gastos Generales","No aplica",IF(J90="Funcionamiento Servicios Personales","No aplica",IFERROR(VLOOKUP(J90,Listas!$A$220:$D$224,2,FALSE),"Alerta: Seleccione la celda en la comumna B con el nombre del proyecto")))</f>
        <v>COMP1107</v>
      </c>
      <c r="AM90" s="640" t="str">
        <f>IF(J90="Funcionamiento Gastos Generales","No aplica",IF(J90="Funcionamiento Servicios Personales","No aplica",IFERROR(VLOOKUP(J90,Listas!$A$220:$D$224,3,FALSE),"Alerta: Seleccione la celda en la comumna B con el nombre del proyecto")))</f>
        <v>CONC1107</v>
      </c>
      <c r="AN90" s="633" t="s">
        <v>1047</v>
      </c>
      <c r="AO90" s="633" t="s">
        <v>53</v>
      </c>
      <c r="AP90" s="634" t="str">
        <f>IFERROR(VLOOKUP(J90,Listas!$A$182:$E$215,5,FALSE),"Alerta: Seleccione la celda en la comumna B con el nombre del proyecto")</f>
        <v>13. Oferta cultural para la valoración y divulgación del patrimonio material e  inmaterial de la ciud</v>
      </c>
      <c r="AQ90" s="634" t="str">
        <f>IF(J90="Funcionamiento Gastos Generales","No aplica",IF(J90="Funcionamiento Servicios Personales","No aplica",IFERROR(VLOOKUP(J90,Listas!$A$220:$D$224,4,FALSE),"Alerta: Seleccione la celda en la comumna B con el nombre del proyecto")))</f>
        <v>FONT1107</v>
      </c>
      <c r="AR90" s="633" t="s">
        <v>198</v>
      </c>
      <c r="AS90" s="634" t="str">
        <f>IFERROR(VLOOKUP(AU90,Listas!$E$85:$L$105,7,FALSE),"Alerta: Seleccione la celda en la comumna AI con el concepto de gasto")</f>
        <v>03-RECURSO HUMANO</v>
      </c>
      <c r="AT90" s="634" t="str">
        <f>IFERROR(VLOOKUP(AU90,Listas!$E$85:$L$105,8,FALSE),"Alerta: Seleccione la celda en la comumna AI con el concepto de gasto")</f>
        <v>01-DIVULGACION, ASISTENCIA TECNICA Y CAPACITACION DE LA POBLACION</v>
      </c>
      <c r="AU90" s="633" t="s">
        <v>232</v>
      </c>
      <c r="AV90" s="634">
        <f>IFERROR(VLOOKUP(AU90,Listas!$E$85:$F$105,2,FALSE),"Alerta: Seleccione el Concepto de Gasto primero")</f>
        <v>0</v>
      </c>
      <c r="AW90" s="644">
        <v>17880000</v>
      </c>
      <c r="AX90" s="645"/>
      <c r="AY90" s="645"/>
      <c r="AZ90" s="645"/>
      <c r="BA90" s="646">
        <f t="shared" si="28"/>
        <v>17880000</v>
      </c>
      <c r="BB90" s="647"/>
      <c r="BC90" s="648"/>
      <c r="BD90" s="649"/>
      <c r="BE90" s="647"/>
      <c r="BF90" s="644"/>
      <c r="BG90" s="646">
        <f t="shared" si="29"/>
        <v>17880000</v>
      </c>
      <c r="BH90" s="650"/>
      <c r="BI90" s="647"/>
      <c r="BJ90" s="644"/>
      <c r="BK90" s="646">
        <f t="shared" si="30"/>
        <v>0</v>
      </c>
      <c r="BL90" s="651"/>
      <c r="BM90" s="652">
        <f t="shared" si="31"/>
        <v>1</v>
      </c>
      <c r="BN90" s="628"/>
      <c r="BO90" s="670"/>
      <c r="BP90" s="644"/>
      <c r="BQ90" s="644"/>
      <c r="BR90" s="644"/>
      <c r="BS90" s="644"/>
      <c r="BT90" s="644"/>
      <c r="BU90" s="644"/>
      <c r="BV90" s="644"/>
      <c r="BW90" s="644"/>
      <c r="BX90" s="644"/>
      <c r="BY90" s="644"/>
      <c r="BZ90" s="644"/>
      <c r="CA90" s="644"/>
      <c r="CB90" s="646">
        <f t="shared" si="32"/>
        <v>0</v>
      </c>
      <c r="CC90" s="646">
        <f t="shared" si="33"/>
        <v>0</v>
      </c>
      <c r="CD90" s="614"/>
      <c r="CG90" s="561" t="s">
        <v>589</v>
      </c>
    </row>
    <row r="91" spans="1:85" s="561" customFormat="1" ht="61.5" customHeight="1">
      <c r="A91" s="625" t="str">
        <f t="shared" si="4"/>
        <v>1107-158-FONT1107-03-01-0066-Activación del patrimonio</v>
      </c>
      <c r="B91" s="626" t="str">
        <f t="shared" si="5"/>
        <v>1107-158-FONT1107-03-01-0066</v>
      </c>
      <c r="C91" s="626" t="str">
        <f t="shared" si="6"/>
        <v>1107-158-FONT1107-Activación del patrimonio</v>
      </c>
      <c r="D91" s="626" t="str">
        <f t="shared" si="7"/>
        <v>1107-158-12-Otros Distrito-03-01-0066</v>
      </c>
      <c r="E91" s="626" t="str">
        <f t="shared" si="19"/>
        <v>Activación del patrimonio-12-Otros Distrito-0066-Fomento, apoyo y divulgación de eventos y expresiones artísticas, culturales y del patrimonio</v>
      </c>
      <c r="F91" s="627">
        <v>54</v>
      </c>
      <c r="G91" s="628">
        <f t="shared" si="20"/>
        <v>54</v>
      </c>
      <c r="H91" s="629" t="b">
        <f t="shared" si="21"/>
        <v>0</v>
      </c>
      <c r="I91" s="630" t="s">
        <v>594</v>
      </c>
      <c r="J91" s="627" t="s">
        <v>27</v>
      </c>
      <c r="K91" s="631" t="str">
        <f>+IFERROR(VLOOKUP(J91,Listas!$A$108:$B$114,2,FALSE),"Alerta: Seleccione la celda en la comumna B con el nombre del proyecto")</f>
        <v>3-3-1-15-03-25-1107-158</v>
      </c>
      <c r="L91" s="632" t="s">
        <v>618</v>
      </c>
      <c r="M91" s="633" t="s">
        <v>655</v>
      </c>
      <c r="N91" s="634" t="str">
        <f t="shared" si="22"/>
        <v>(Cód. 54) Prestar servicios de apoyo a la gestión al Instituto Distrital de Patrimonio Cultural en la ejecución de recorridos naturales realizados en el marco de la estrategia de apropiación social del patrimonio cultural.</v>
      </c>
      <c r="O91" s="635">
        <v>43480</v>
      </c>
      <c r="P91" s="636">
        <f>IFERROR(VLOOKUP(W91,'Estimación CRP'!$D$21:$E$30,2,FALSE),0)</f>
        <v>10</v>
      </c>
      <c r="Q91" s="637">
        <f>IF(O91="No aplica","No aplica",WORKDAY.INTL(O91,P91,1,'Estimación CRP'!A277:A293))</f>
        <v>43494</v>
      </c>
      <c r="R91" s="636">
        <f t="shared" si="23"/>
        <v>1</v>
      </c>
      <c r="S91" s="636">
        <f t="shared" si="24"/>
        <v>1</v>
      </c>
      <c r="T91" s="636">
        <f t="shared" si="25"/>
        <v>1</v>
      </c>
      <c r="U91" s="712">
        <v>10</v>
      </c>
      <c r="V91" s="638">
        <v>1</v>
      </c>
      <c r="W91" s="639" t="s">
        <v>274</v>
      </c>
      <c r="X91" s="640" t="str">
        <f>IFERROR(VLOOKUP(W91,Listas!$A$60:$B$73,2,FALSE),"Alerta: Seleccione primero Modalidad de selección")</f>
        <v>CCE-16</v>
      </c>
      <c r="Y91" s="641">
        <v>0</v>
      </c>
      <c r="Z91" s="641" t="s">
        <v>346</v>
      </c>
      <c r="AA91" s="641" t="s">
        <v>1126</v>
      </c>
      <c r="AB91" s="642">
        <f t="shared" si="26"/>
        <v>10000000</v>
      </c>
      <c r="AC91" s="642">
        <f t="shared" si="27"/>
        <v>10000000</v>
      </c>
      <c r="AD91" s="641">
        <v>0</v>
      </c>
      <c r="AE91" s="643">
        <v>0</v>
      </c>
      <c r="AF91" s="639" t="s">
        <v>276</v>
      </c>
      <c r="AG91" s="639" t="s">
        <v>277</v>
      </c>
      <c r="AH91" s="639" t="s">
        <v>284</v>
      </c>
      <c r="AI91" s="626" t="str">
        <f>IFERROR(VLOOKUP(AH91,Listas!$A$77:$C$83,2,FALSE),"Alerta: Seleccione primero el responsable")</f>
        <v>3550800</v>
      </c>
      <c r="AJ91" s="640" t="str">
        <f>IFERROR(VLOOKUP(AH91,Listas!$A$77:$C$83,3,FALSE),"Alerta: Seleccione primero el responsable")</f>
        <v>margarita.castaneda@idpc.gov.co</v>
      </c>
      <c r="AK91" s="640" t="str">
        <f>IF(J91="Funcionamiento Gastos Generales","No aplica",IF(J91="Funcionamiento Servicios Personales indirectos","No aplica",IFERROR(VLOOKUP(J91,Listas!$A$127:$E$139,3,FALSE),"Alerta: Seleccione la celda en la comumna B con el nombre del proyecto")))</f>
        <v>ME20181107</v>
      </c>
      <c r="AL91" s="640" t="str">
        <f>IF(J91="Funcionamiento Gastos Generales","No aplica",IF(J91="Funcionamiento Servicios Personales","No aplica",IFERROR(VLOOKUP(J91,Listas!$A$220:$D$224,2,FALSE),"Alerta: Seleccione la celda en la comumna B con el nombre del proyecto")))</f>
        <v>COMP1107</v>
      </c>
      <c r="AM91" s="640" t="str">
        <f>IF(J91="Funcionamiento Gastos Generales","No aplica",IF(J91="Funcionamiento Servicios Personales","No aplica",IFERROR(VLOOKUP(J91,Listas!$A$220:$D$224,3,FALSE),"Alerta: Seleccione la celda en la comumna B con el nombre del proyecto")))</f>
        <v>CONC1107</v>
      </c>
      <c r="AN91" s="633" t="s">
        <v>1046</v>
      </c>
      <c r="AO91" s="633" t="s">
        <v>54</v>
      </c>
      <c r="AP91" s="634" t="str">
        <f>IFERROR(VLOOKUP(J91,Listas!$A$182:$E$215,5,FALSE),"Alerta: Seleccione la celda en la comumna B con el nombre del proyecto")</f>
        <v>13. Oferta cultural para la valoración y divulgación del patrimonio material e  inmaterial de la ciud</v>
      </c>
      <c r="AQ91" s="634" t="str">
        <f>IF(J91="Funcionamiento Gastos Generales","No aplica",IF(J91="Funcionamiento Servicios Personales","No aplica",IFERROR(VLOOKUP(J91,Listas!$A$220:$D$224,4,FALSE),"Alerta: Seleccione la celda en la comumna B con el nombre del proyecto")))</f>
        <v>FONT1107</v>
      </c>
      <c r="AR91" s="633" t="s">
        <v>198</v>
      </c>
      <c r="AS91" s="634" t="str">
        <f>IFERROR(VLOOKUP(AU91,Listas!$E$85:$L$105,7,FALSE),"Alerta: Seleccione la celda en la comumna AI con el concepto de gasto")</f>
        <v>03-RECURSO HUMANO</v>
      </c>
      <c r="AT91" s="634" t="str">
        <f>IFERROR(VLOOKUP(AU91,Listas!$E$85:$L$105,8,FALSE),"Alerta: Seleccione la celda en la comumna AI con el concepto de gasto")</f>
        <v>01-DIVULGACION, ASISTENCIA TECNICA Y CAPACITACION DE LA POBLACION</v>
      </c>
      <c r="AU91" s="633" t="s">
        <v>232</v>
      </c>
      <c r="AV91" s="634">
        <f>IFERROR(VLOOKUP(AU91,Listas!$E$85:$F$105,2,FALSE),"Alerta: Seleccione el Concepto de Gasto primero")</f>
        <v>0</v>
      </c>
      <c r="AW91" s="644">
        <v>10000000</v>
      </c>
      <c r="AX91" s="645"/>
      <c r="AY91" s="645"/>
      <c r="AZ91" s="645"/>
      <c r="BA91" s="646">
        <f t="shared" si="28"/>
        <v>10000000</v>
      </c>
      <c r="BB91" s="647"/>
      <c r="BC91" s="648"/>
      <c r="BD91" s="649"/>
      <c r="BE91" s="647"/>
      <c r="BF91" s="644"/>
      <c r="BG91" s="646">
        <f t="shared" si="29"/>
        <v>10000000</v>
      </c>
      <c r="BH91" s="650"/>
      <c r="BI91" s="647"/>
      <c r="BJ91" s="644"/>
      <c r="BK91" s="646">
        <f t="shared" si="30"/>
        <v>0</v>
      </c>
      <c r="BL91" s="651"/>
      <c r="BM91" s="652">
        <f t="shared" si="31"/>
        <v>1</v>
      </c>
      <c r="BN91" s="628"/>
      <c r="BO91" s="670"/>
      <c r="BP91" s="644"/>
      <c r="BQ91" s="644"/>
      <c r="BR91" s="644"/>
      <c r="BS91" s="644"/>
      <c r="BT91" s="644"/>
      <c r="BU91" s="644"/>
      <c r="BV91" s="644"/>
      <c r="BW91" s="644"/>
      <c r="BX91" s="644"/>
      <c r="BY91" s="644"/>
      <c r="BZ91" s="644"/>
      <c r="CA91" s="644"/>
      <c r="CB91" s="646">
        <f t="shared" si="32"/>
        <v>0</v>
      </c>
      <c r="CC91" s="646">
        <f t="shared" si="33"/>
        <v>0</v>
      </c>
      <c r="CD91" s="614"/>
    </row>
    <row r="92" spans="1:85" s="561" customFormat="1" ht="61.5" customHeight="1">
      <c r="A92" s="625" t="str">
        <f t="shared" si="4"/>
        <v>1107-158-FONT1107-03-01-0066-Museo de Bogotá en operación</v>
      </c>
      <c r="B92" s="626" t="str">
        <f t="shared" si="5"/>
        <v>1107-158-FONT1107-03-01-0066</v>
      </c>
      <c r="C92" s="626" t="str">
        <f t="shared" si="6"/>
        <v>1107-158-FONT1107-Museo de Bogotá en operación</v>
      </c>
      <c r="D92" s="626" t="str">
        <f t="shared" si="7"/>
        <v>1107-158-12-Otros Distrito-03-01-0066</v>
      </c>
      <c r="E92" s="626" t="str">
        <f t="shared" si="19"/>
        <v>Museo de Bogotá en operación-12-Otros Distrito-0066-Fomento, apoyo y divulgación de eventos y expresiones artísticas, culturales y del patrimonio</v>
      </c>
      <c r="F92" s="627">
        <v>55</v>
      </c>
      <c r="G92" s="628">
        <f t="shared" si="20"/>
        <v>55</v>
      </c>
      <c r="H92" s="629" t="b">
        <f t="shared" si="21"/>
        <v>0</v>
      </c>
      <c r="I92" s="630" t="s">
        <v>594</v>
      </c>
      <c r="J92" s="627" t="s">
        <v>27</v>
      </c>
      <c r="K92" s="631" t="str">
        <f>+IFERROR(VLOOKUP(J92,Listas!$A$108:$B$114,2,FALSE),"Alerta: Seleccione la celda en la comumna B con el nombre del proyecto")</f>
        <v>3-3-1-15-03-25-1107-158</v>
      </c>
      <c r="L92" s="632" t="s">
        <v>618</v>
      </c>
      <c r="M92" s="633" t="s">
        <v>656</v>
      </c>
      <c r="N92" s="634" t="str">
        <f t="shared" si="22"/>
        <v>(Cód. 55) Prestar servicios de apoyo a la gestión al Instituto Distrital de Patrimonio Cultural en los trámites administrativos y operativos generados en la operación del Museo de Bogotá.</v>
      </c>
      <c r="O92" s="635">
        <v>43480</v>
      </c>
      <c r="P92" s="636">
        <f>IFERROR(VLOOKUP(W92,'Estimación CRP'!$D$21:$E$30,2,FALSE),0)</f>
        <v>10</v>
      </c>
      <c r="Q92" s="637">
        <f>IF(O92="No aplica","No aplica",WORKDAY.INTL(O92,P92,1,'Estimación CRP'!A278:A294))</f>
        <v>43494</v>
      </c>
      <c r="R92" s="636">
        <f t="shared" si="23"/>
        <v>1</v>
      </c>
      <c r="S92" s="636">
        <f t="shared" si="24"/>
        <v>1</v>
      </c>
      <c r="T92" s="636">
        <f t="shared" si="25"/>
        <v>1</v>
      </c>
      <c r="U92" s="712">
        <v>11</v>
      </c>
      <c r="V92" s="638">
        <v>1</v>
      </c>
      <c r="W92" s="639" t="s">
        <v>274</v>
      </c>
      <c r="X92" s="640" t="str">
        <f>IFERROR(VLOOKUP(W92,Listas!$A$60:$B$73,2,FALSE),"Alerta: Seleccione primero Modalidad de selección")</f>
        <v>CCE-16</v>
      </c>
      <c r="Y92" s="641">
        <v>0</v>
      </c>
      <c r="Z92" s="641" t="s">
        <v>346</v>
      </c>
      <c r="AA92" s="641" t="s">
        <v>1127</v>
      </c>
      <c r="AB92" s="642">
        <f t="shared" si="26"/>
        <v>38280000</v>
      </c>
      <c r="AC92" s="642">
        <f t="shared" si="27"/>
        <v>38280000</v>
      </c>
      <c r="AD92" s="641">
        <v>0</v>
      </c>
      <c r="AE92" s="643">
        <v>0</v>
      </c>
      <c r="AF92" s="639" t="s">
        <v>276</v>
      </c>
      <c r="AG92" s="639" t="s">
        <v>277</v>
      </c>
      <c r="AH92" s="639" t="s">
        <v>284</v>
      </c>
      <c r="AI92" s="626" t="str">
        <f>IFERROR(VLOOKUP(AH92,Listas!$A$77:$C$83,2,FALSE),"Alerta: Seleccione primero el responsable")</f>
        <v>3550800</v>
      </c>
      <c r="AJ92" s="640" t="str">
        <f>IFERROR(VLOOKUP(AH92,Listas!$A$77:$C$83,3,FALSE),"Alerta: Seleccione primero el responsable")</f>
        <v>margarita.castaneda@idpc.gov.co</v>
      </c>
      <c r="AK92" s="640" t="str">
        <f>IF(J92="Funcionamiento Gastos Generales","No aplica",IF(J92="Funcionamiento Servicios Personales indirectos","No aplica",IFERROR(VLOOKUP(J92,Listas!$A$127:$E$139,3,FALSE),"Alerta: Seleccione la celda en la comumna B con el nombre del proyecto")))</f>
        <v>ME20181107</v>
      </c>
      <c r="AL92" s="640" t="str">
        <f>IF(J92="Funcionamiento Gastos Generales","No aplica",IF(J92="Funcionamiento Servicios Personales","No aplica",IFERROR(VLOOKUP(J92,Listas!$A$220:$D$224,2,FALSE),"Alerta: Seleccione la celda en la comumna B con el nombre del proyecto")))</f>
        <v>COMP1107</v>
      </c>
      <c r="AM92" s="640" t="str">
        <f>IF(J92="Funcionamiento Gastos Generales","No aplica",IF(J92="Funcionamiento Servicios Personales","No aplica",IFERROR(VLOOKUP(J92,Listas!$A$220:$D$224,3,FALSE),"Alerta: Seleccione la celda en la comumna B con el nombre del proyecto")))</f>
        <v>CONC1107</v>
      </c>
      <c r="AN92" s="633" t="s">
        <v>1047</v>
      </c>
      <c r="AO92" s="633" t="s">
        <v>53</v>
      </c>
      <c r="AP92" s="634" t="str">
        <f>IFERROR(VLOOKUP(J92,Listas!$A$182:$E$215,5,FALSE),"Alerta: Seleccione la celda en la comumna B con el nombre del proyecto")</f>
        <v>13. Oferta cultural para la valoración y divulgación del patrimonio material e  inmaterial de la ciud</v>
      </c>
      <c r="AQ92" s="634" t="str">
        <f>IF(J92="Funcionamiento Gastos Generales","No aplica",IF(J92="Funcionamiento Servicios Personales","No aplica",IFERROR(VLOOKUP(J92,Listas!$A$220:$D$224,4,FALSE),"Alerta: Seleccione la celda en la comumna B con el nombre del proyecto")))</f>
        <v>FONT1107</v>
      </c>
      <c r="AR92" s="633" t="s">
        <v>198</v>
      </c>
      <c r="AS92" s="634" t="str">
        <f>IFERROR(VLOOKUP(AU92,Listas!$E$85:$L$105,7,FALSE),"Alerta: Seleccione la celda en la comumna AI con el concepto de gasto")</f>
        <v>03-RECURSO HUMANO</v>
      </c>
      <c r="AT92" s="634" t="str">
        <f>IFERROR(VLOOKUP(AU92,Listas!$E$85:$L$105,8,FALSE),"Alerta: Seleccione la celda en la comumna AI con el concepto de gasto")</f>
        <v>01-DIVULGACION, ASISTENCIA TECNICA Y CAPACITACION DE LA POBLACION</v>
      </c>
      <c r="AU92" s="633" t="s">
        <v>232</v>
      </c>
      <c r="AV92" s="634">
        <f>IFERROR(VLOOKUP(AU92,Listas!$E$85:$F$105,2,FALSE),"Alerta: Seleccione el Concepto de Gasto primero")</f>
        <v>0</v>
      </c>
      <c r="AW92" s="644">
        <v>38280000</v>
      </c>
      <c r="AX92" s="645"/>
      <c r="AY92" s="645"/>
      <c r="AZ92" s="645"/>
      <c r="BA92" s="646">
        <f t="shared" si="28"/>
        <v>38280000</v>
      </c>
      <c r="BB92" s="647"/>
      <c r="BC92" s="648"/>
      <c r="BD92" s="649"/>
      <c r="BE92" s="647"/>
      <c r="BF92" s="644"/>
      <c r="BG92" s="646">
        <f t="shared" si="29"/>
        <v>38280000</v>
      </c>
      <c r="BH92" s="650"/>
      <c r="BI92" s="647"/>
      <c r="BJ92" s="644"/>
      <c r="BK92" s="646">
        <f t="shared" si="30"/>
        <v>0</v>
      </c>
      <c r="BL92" s="651"/>
      <c r="BM92" s="652">
        <f t="shared" si="31"/>
        <v>1</v>
      </c>
      <c r="BN92" s="628"/>
      <c r="BO92" s="670"/>
      <c r="BP92" s="644"/>
      <c r="BQ92" s="644"/>
      <c r="BR92" s="644"/>
      <c r="BS92" s="644"/>
      <c r="BT92" s="644"/>
      <c r="BU92" s="644"/>
      <c r="BV92" s="644"/>
      <c r="BW92" s="644"/>
      <c r="BX92" s="644"/>
      <c r="BY92" s="644"/>
      <c r="BZ92" s="644"/>
      <c r="CA92" s="644"/>
      <c r="CB92" s="646">
        <f t="shared" si="32"/>
        <v>0</v>
      </c>
      <c r="CC92" s="646">
        <f t="shared" si="33"/>
        <v>0</v>
      </c>
      <c r="CD92" s="614"/>
    </row>
    <row r="93" spans="1:85" s="561" customFormat="1" ht="61.5" customHeight="1">
      <c r="A93" s="625" t="str">
        <f t="shared" si="4"/>
        <v>1107-158-FONT1107-03-01-0066-Activación del patrimonio</v>
      </c>
      <c r="B93" s="626" t="str">
        <f t="shared" si="5"/>
        <v>1107-158-FONT1107-03-01-0066</v>
      </c>
      <c r="C93" s="626" t="str">
        <f t="shared" si="6"/>
        <v>1107-158-FONT1107-Activación del patrimonio</v>
      </c>
      <c r="D93" s="626" t="str">
        <f t="shared" si="7"/>
        <v>1107-158-12-Otros Distrito-03-01-0066</v>
      </c>
      <c r="E93" s="626" t="str">
        <f t="shared" si="19"/>
        <v>Activación del patrimonio-12-Otros Distrito-0066-Fomento, apoyo y divulgación de eventos y expresiones artísticas, culturales y del patrimonio</v>
      </c>
      <c r="F93" s="627">
        <v>56</v>
      </c>
      <c r="G93" s="628">
        <f t="shared" si="20"/>
        <v>56</v>
      </c>
      <c r="H93" s="629" t="b">
        <f t="shared" si="21"/>
        <v>0</v>
      </c>
      <c r="I93" s="630" t="s">
        <v>594</v>
      </c>
      <c r="J93" s="627" t="s">
        <v>27</v>
      </c>
      <c r="K93" s="631" t="str">
        <f>+IFERROR(VLOOKUP(J93,Listas!$A$108:$B$114,2,FALSE),"Alerta: Seleccione la celda en la comumna B con el nombre del proyecto")</f>
        <v>3-3-1-15-03-25-1107-158</v>
      </c>
      <c r="L93" s="632" t="s">
        <v>618</v>
      </c>
      <c r="M93" s="633" t="s">
        <v>657</v>
      </c>
      <c r="N93" s="634" t="str">
        <f t="shared" si="22"/>
        <v>(Cód. 56) Prestar servicios de apoyo a la gestión al Instituto Distrital de Patrimonio Cultural en las actividades administrativas y operativas desarrollados por la Subdirección de Divulgación de los Valores del Patrimonio Cultural.</v>
      </c>
      <c r="O93" s="635">
        <v>43480</v>
      </c>
      <c r="P93" s="636">
        <f>IFERROR(VLOOKUP(W93,'Estimación CRP'!$D$21:$E$30,2,FALSE),0)</f>
        <v>10</v>
      </c>
      <c r="Q93" s="637">
        <f>IF(O93="No aplica","No aplica",WORKDAY.INTL(O93,P93,1,'Estimación CRP'!A279:A295))</f>
        <v>43494</v>
      </c>
      <c r="R93" s="636">
        <f t="shared" si="23"/>
        <v>1</v>
      </c>
      <c r="S93" s="636">
        <f t="shared" si="24"/>
        <v>1</v>
      </c>
      <c r="T93" s="636">
        <f t="shared" si="25"/>
        <v>1</v>
      </c>
      <c r="U93" s="712">
        <v>11</v>
      </c>
      <c r="V93" s="638">
        <v>1</v>
      </c>
      <c r="W93" s="639" t="s">
        <v>274</v>
      </c>
      <c r="X93" s="640" t="str">
        <f>IFERROR(VLOOKUP(W93,Listas!$A$60:$B$73,2,FALSE),"Alerta: Seleccione primero Modalidad de selección")</f>
        <v>CCE-16</v>
      </c>
      <c r="Y93" s="641">
        <v>0</v>
      </c>
      <c r="Z93" s="641" t="s">
        <v>346</v>
      </c>
      <c r="AA93" s="641" t="s">
        <v>1128</v>
      </c>
      <c r="AB93" s="642">
        <f t="shared" si="26"/>
        <v>39600000</v>
      </c>
      <c r="AC93" s="642">
        <f t="shared" si="27"/>
        <v>39600000</v>
      </c>
      <c r="AD93" s="641">
        <v>0</v>
      </c>
      <c r="AE93" s="643">
        <v>0</v>
      </c>
      <c r="AF93" s="639" t="s">
        <v>276</v>
      </c>
      <c r="AG93" s="639" t="s">
        <v>277</v>
      </c>
      <c r="AH93" s="639" t="s">
        <v>284</v>
      </c>
      <c r="AI93" s="626" t="str">
        <f>IFERROR(VLOOKUP(AH93,Listas!$A$77:$C$83,2,FALSE),"Alerta: Seleccione primero el responsable")</f>
        <v>3550800</v>
      </c>
      <c r="AJ93" s="640" t="str">
        <f>IFERROR(VLOOKUP(AH93,Listas!$A$77:$C$83,3,FALSE),"Alerta: Seleccione primero el responsable")</f>
        <v>margarita.castaneda@idpc.gov.co</v>
      </c>
      <c r="AK93" s="640" t="str">
        <f>IF(J93="Funcionamiento Gastos Generales","No aplica",IF(J93="Funcionamiento Servicios Personales indirectos","No aplica",IFERROR(VLOOKUP(J93,Listas!$A$127:$E$139,3,FALSE),"Alerta: Seleccione la celda en la comumna B con el nombre del proyecto")))</f>
        <v>ME20181107</v>
      </c>
      <c r="AL93" s="640" t="str">
        <f>IF(J93="Funcionamiento Gastos Generales","No aplica",IF(J93="Funcionamiento Servicios Personales","No aplica",IFERROR(VLOOKUP(J93,Listas!$A$220:$D$224,2,FALSE),"Alerta: Seleccione la celda en la comumna B con el nombre del proyecto")))</f>
        <v>COMP1107</v>
      </c>
      <c r="AM93" s="640" t="str">
        <f>IF(J93="Funcionamiento Gastos Generales","No aplica",IF(J93="Funcionamiento Servicios Personales","No aplica",IFERROR(VLOOKUP(J93,Listas!$A$220:$D$224,3,FALSE),"Alerta: Seleccione la celda en la comumna B con el nombre del proyecto")))</f>
        <v>CONC1107</v>
      </c>
      <c r="AN93" s="633" t="s">
        <v>1046</v>
      </c>
      <c r="AO93" s="633" t="s">
        <v>54</v>
      </c>
      <c r="AP93" s="634" t="str">
        <f>IFERROR(VLOOKUP(J93,Listas!$A$182:$E$215,5,FALSE),"Alerta: Seleccione la celda en la comumna B con el nombre del proyecto")</f>
        <v>13. Oferta cultural para la valoración y divulgación del patrimonio material e  inmaterial de la ciud</v>
      </c>
      <c r="AQ93" s="634" t="str">
        <f>IF(J93="Funcionamiento Gastos Generales","No aplica",IF(J93="Funcionamiento Servicios Personales","No aplica",IFERROR(VLOOKUP(J93,Listas!$A$220:$D$224,4,FALSE),"Alerta: Seleccione la celda en la comumna B con el nombre del proyecto")))</f>
        <v>FONT1107</v>
      </c>
      <c r="AR93" s="633" t="s">
        <v>198</v>
      </c>
      <c r="AS93" s="634" t="str">
        <f>IFERROR(VLOOKUP(AU93,Listas!$E$85:$L$105,7,FALSE),"Alerta: Seleccione la celda en la comumna AI con el concepto de gasto")</f>
        <v>03-RECURSO HUMANO</v>
      </c>
      <c r="AT93" s="634" t="str">
        <f>IFERROR(VLOOKUP(AU93,Listas!$E$85:$L$105,8,FALSE),"Alerta: Seleccione la celda en la comumna AI con el concepto de gasto")</f>
        <v>01-DIVULGACION, ASISTENCIA TECNICA Y CAPACITACION DE LA POBLACION</v>
      </c>
      <c r="AU93" s="633" t="s">
        <v>232</v>
      </c>
      <c r="AV93" s="634">
        <f>IFERROR(VLOOKUP(AU93,Listas!$E$85:$F$105,2,FALSE),"Alerta: Seleccione el Concepto de Gasto primero")</f>
        <v>0</v>
      </c>
      <c r="AW93" s="644">
        <v>39600000</v>
      </c>
      <c r="AX93" s="645"/>
      <c r="AY93" s="645"/>
      <c r="AZ93" s="645"/>
      <c r="BA93" s="646">
        <f t="shared" si="28"/>
        <v>39600000</v>
      </c>
      <c r="BB93" s="647"/>
      <c r="BC93" s="648"/>
      <c r="BD93" s="649"/>
      <c r="BE93" s="647"/>
      <c r="BF93" s="644"/>
      <c r="BG93" s="646">
        <f t="shared" si="29"/>
        <v>39600000</v>
      </c>
      <c r="BH93" s="650"/>
      <c r="BI93" s="647"/>
      <c r="BJ93" s="644"/>
      <c r="BK93" s="646">
        <f t="shared" si="30"/>
        <v>0</v>
      </c>
      <c r="BL93" s="651"/>
      <c r="BM93" s="652">
        <f t="shared" si="31"/>
        <v>1</v>
      </c>
      <c r="BN93" s="628"/>
      <c r="BO93" s="670"/>
      <c r="BP93" s="644"/>
      <c r="BQ93" s="644"/>
      <c r="BR93" s="644"/>
      <c r="BS93" s="644"/>
      <c r="BT93" s="644"/>
      <c r="BU93" s="644"/>
      <c r="BV93" s="644"/>
      <c r="BW93" s="644"/>
      <c r="BX93" s="644"/>
      <c r="BY93" s="644"/>
      <c r="BZ93" s="644"/>
      <c r="CA93" s="644"/>
      <c r="CB93" s="646">
        <f t="shared" si="32"/>
        <v>0</v>
      </c>
      <c r="CC93" s="646">
        <f t="shared" si="33"/>
        <v>0</v>
      </c>
      <c r="CD93" s="614"/>
    </row>
    <row r="94" spans="1:85" s="561" customFormat="1" ht="61.5" customHeight="1">
      <c r="A94" s="625" t="str">
        <f t="shared" si="4"/>
        <v>1107-158-FONT1107-03-01-0066-Activación del patrimonio</v>
      </c>
      <c r="B94" s="626" t="str">
        <f t="shared" si="5"/>
        <v>1107-158-FONT1107-03-01-0066</v>
      </c>
      <c r="C94" s="626" t="str">
        <f t="shared" si="6"/>
        <v>1107-158-FONT1107-Activación del patrimonio</v>
      </c>
      <c r="D94" s="626" t="str">
        <f t="shared" si="7"/>
        <v>1107-158-12-Otros Distrito-03-01-0066</v>
      </c>
      <c r="E94" s="626" t="str">
        <f t="shared" si="19"/>
        <v>Activación del patrimonio-12-Otros Distrito-0066-Fomento, apoyo y divulgación de eventos y expresiones artísticas, culturales y del patrimonio</v>
      </c>
      <c r="F94" s="627">
        <v>57</v>
      </c>
      <c r="G94" s="628">
        <f t="shared" si="20"/>
        <v>57</v>
      </c>
      <c r="H94" s="629" t="b">
        <f t="shared" si="21"/>
        <v>0</v>
      </c>
      <c r="I94" s="630" t="s">
        <v>594</v>
      </c>
      <c r="J94" s="627" t="s">
        <v>27</v>
      </c>
      <c r="K94" s="631" t="str">
        <f>+IFERROR(VLOOKUP(J94,Listas!$A$108:$B$114,2,FALSE),"Alerta: Seleccione la celda en la comumna B con el nombre del proyecto")</f>
        <v>3-3-1-15-03-25-1107-158</v>
      </c>
      <c r="L94" s="632" t="s">
        <v>618</v>
      </c>
      <c r="M94" s="633" t="s">
        <v>658</v>
      </c>
      <c r="N94" s="634" t="str">
        <f t="shared" si="22"/>
        <v>(Cód. 57) Prestar servicios profesionales al Instituto Distrital de Patrimonio Cultural para realizar el registro fotográfico y audiovisual requerido para la ejecución de la estrategia de comunicaciones de la entidad.</v>
      </c>
      <c r="O94" s="635">
        <v>43480</v>
      </c>
      <c r="P94" s="636">
        <f>IFERROR(VLOOKUP(W94,'Estimación CRP'!$D$21:$E$30,2,FALSE),0)</f>
        <v>10</v>
      </c>
      <c r="Q94" s="637">
        <f>IF(O94="No aplica","No aplica",WORKDAY.INTL(O94,P94,1,'Estimación CRP'!A280:A296))</f>
        <v>43494</v>
      </c>
      <c r="R94" s="636">
        <f t="shared" si="23"/>
        <v>1</v>
      </c>
      <c r="S94" s="636">
        <f t="shared" si="24"/>
        <v>1</v>
      </c>
      <c r="T94" s="636">
        <f t="shared" si="25"/>
        <v>1</v>
      </c>
      <c r="U94" s="712">
        <v>11</v>
      </c>
      <c r="V94" s="638">
        <v>1</v>
      </c>
      <c r="W94" s="639" t="s">
        <v>274</v>
      </c>
      <c r="X94" s="640" t="str">
        <f>IFERROR(VLOOKUP(W94,Listas!$A$60:$B$73,2,FALSE),"Alerta: Seleccione primero Modalidad de selección")</f>
        <v>CCE-16</v>
      </c>
      <c r="Y94" s="641">
        <v>0</v>
      </c>
      <c r="Z94" s="641" t="s">
        <v>346</v>
      </c>
      <c r="AA94" s="641" t="s">
        <v>1129</v>
      </c>
      <c r="AB94" s="642">
        <f t="shared" si="26"/>
        <v>70620000</v>
      </c>
      <c r="AC94" s="642">
        <f t="shared" si="27"/>
        <v>70620000</v>
      </c>
      <c r="AD94" s="641">
        <v>0</v>
      </c>
      <c r="AE94" s="643">
        <v>0</v>
      </c>
      <c r="AF94" s="639" t="s">
        <v>276</v>
      </c>
      <c r="AG94" s="639" t="s">
        <v>277</v>
      </c>
      <c r="AH94" s="639" t="s">
        <v>284</v>
      </c>
      <c r="AI94" s="626" t="str">
        <f>IFERROR(VLOOKUP(AH94,Listas!$A$77:$C$83,2,FALSE),"Alerta: Seleccione primero el responsable")</f>
        <v>3550800</v>
      </c>
      <c r="AJ94" s="640" t="str">
        <f>IFERROR(VLOOKUP(AH94,Listas!$A$77:$C$83,3,FALSE),"Alerta: Seleccione primero el responsable")</f>
        <v>margarita.castaneda@idpc.gov.co</v>
      </c>
      <c r="AK94" s="640" t="str">
        <f>IF(J94="Funcionamiento Gastos Generales","No aplica",IF(J94="Funcionamiento Servicios Personales indirectos","No aplica",IFERROR(VLOOKUP(J94,Listas!$A$127:$E$139,3,FALSE),"Alerta: Seleccione la celda en la comumna B con el nombre del proyecto")))</f>
        <v>ME20181107</v>
      </c>
      <c r="AL94" s="640" t="str">
        <f>IF(J94="Funcionamiento Gastos Generales","No aplica",IF(J94="Funcionamiento Servicios Personales","No aplica",IFERROR(VLOOKUP(J94,Listas!$A$220:$D$224,2,FALSE),"Alerta: Seleccione la celda en la comumna B con el nombre del proyecto")))</f>
        <v>COMP1107</v>
      </c>
      <c r="AM94" s="640" t="str">
        <f>IF(J94="Funcionamiento Gastos Generales","No aplica",IF(J94="Funcionamiento Servicios Personales","No aplica",IFERROR(VLOOKUP(J94,Listas!$A$220:$D$224,3,FALSE),"Alerta: Seleccione la celda en la comumna B con el nombre del proyecto")))</f>
        <v>CONC1107</v>
      </c>
      <c r="AN94" s="633" t="s">
        <v>1046</v>
      </c>
      <c r="AO94" s="633" t="s">
        <v>54</v>
      </c>
      <c r="AP94" s="634" t="str">
        <f>IFERROR(VLOOKUP(J94,Listas!$A$182:$E$215,5,FALSE),"Alerta: Seleccione la celda en la comumna B con el nombre del proyecto")</f>
        <v>13. Oferta cultural para la valoración y divulgación del patrimonio material e  inmaterial de la ciud</v>
      </c>
      <c r="AQ94" s="634" t="str">
        <f>IF(J94="Funcionamiento Gastos Generales","No aplica",IF(J94="Funcionamiento Servicios Personales","No aplica",IFERROR(VLOOKUP(J94,Listas!$A$220:$D$224,4,FALSE),"Alerta: Seleccione la celda en la comumna B con el nombre del proyecto")))</f>
        <v>FONT1107</v>
      </c>
      <c r="AR94" s="633" t="s">
        <v>198</v>
      </c>
      <c r="AS94" s="634" t="str">
        <f>IFERROR(VLOOKUP(AU94,Listas!$E$85:$L$105,7,FALSE),"Alerta: Seleccione la celda en la comumna AI con el concepto de gasto")</f>
        <v>03-RECURSO HUMANO</v>
      </c>
      <c r="AT94" s="634" t="str">
        <f>IFERROR(VLOOKUP(AU94,Listas!$E$85:$L$105,8,FALSE),"Alerta: Seleccione la celda en la comumna AI con el concepto de gasto")</f>
        <v>01-DIVULGACION, ASISTENCIA TECNICA Y CAPACITACION DE LA POBLACION</v>
      </c>
      <c r="AU94" s="633" t="s">
        <v>232</v>
      </c>
      <c r="AV94" s="634">
        <f>IFERROR(VLOOKUP(AU94,Listas!$E$85:$F$105,2,FALSE),"Alerta: Seleccione el Concepto de Gasto primero")</f>
        <v>0</v>
      </c>
      <c r="AW94" s="644">
        <v>70620000</v>
      </c>
      <c r="AX94" s="645"/>
      <c r="AY94" s="645"/>
      <c r="AZ94" s="645"/>
      <c r="BA94" s="646">
        <f t="shared" si="28"/>
        <v>70620000</v>
      </c>
      <c r="BB94" s="647"/>
      <c r="BC94" s="648"/>
      <c r="BD94" s="649"/>
      <c r="BE94" s="647"/>
      <c r="BF94" s="644"/>
      <c r="BG94" s="646">
        <f t="shared" si="29"/>
        <v>70620000</v>
      </c>
      <c r="BH94" s="650"/>
      <c r="BI94" s="647"/>
      <c r="BJ94" s="644"/>
      <c r="BK94" s="646">
        <f t="shared" si="30"/>
        <v>0</v>
      </c>
      <c r="BL94" s="651"/>
      <c r="BM94" s="652">
        <f t="shared" si="31"/>
        <v>1</v>
      </c>
      <c r="BN94" s="628"/>
      <c r="BO94" s="670"/>
      <c r="BP94" s="644"/>
      <c r="BQ94" s="644"/>
      <c r="BR94" s="644"/>
      <c r="BS94" s="644"/>
      <c r="BT94" s="644"/>
      <c r="BU94" s="644"/>
      <c r="BV94" s="644"/>
      <c r="BW94" s="644"/>
      <c r="BX94" s="644"/>
      <c r="BY94" s="644"/>
      <c r="BZ94" s="644"/>
      <c r="CA94" s="644"/>
      <c r="CB94" s="646">
        <f t="shared" si="32"/>
        <v>0</v>
      </c>
      <c r="CC94" s="646">
        <f t="shared" si="33"/>
        <v>0</v>
      </c>
      <c r="CD94" s="614"/>
    </row>
    <row r="95" spans="1:85" s="561" customFormat="1" ht="61.5" customHeight="1">
      <c r="A95" s="625" t="str">
        <f t="shared" si="4"/>
        <v>1107-158-FONT1107-03-01-0066-Museo de Bogotá en operación</v>
      </c>
      <c r="B95" s="626" t="str">
        <f t="shared" si="5"/>
        <v>1107-158-FONT1107-03-01-0066</v>
      </c>
      <c r="C95" s="626" t="str">
        <f t="shared" si="6"/>
        <v>1107-158-FONT1107-Museo de Bogotá en operación</v>
      </c>
      <c r="D95" s="626" t="str">
        <f t="shared" si="7"/>
        <v>1107-158-12-Otros Distrito-03-01-0066</v>
      </c>
      <c r="E95" s="626" t="str">
        <f t="shared" si="19"/>
        <v>Museo de Bogotá en operación-12-Otros Distrito-0066-Fomento, apoyo y divulgación de eventos y expresiones artísticas, culturales y del patrimonio</v>
      </c>
      <c r="F95" s="627">
        <v>58</v>
      </c>
      <c r="G95" s="628">
        <f t="shared" si="20"/>
        <v>58</v>
      </c>
      <c r="H95" s="629" t="b">
        <f t="shared" si="21"/>
        <v>0</v>
      </c>
      <c r="I95" s="630" t="s">
        <v>594</v>
      </c>
      <c r="J95" s="627" t="s">
        <v>27</v>
      </c>
      <c r="K95" s="631" t="str">
        <f>+IFERROR(VLOOKUP(J95,Listas!$A$108:$B$114,2,FALSE),"Alerta: Seleccione la celda en la comumna B con el nombre del proyecto")</f>
        <v>3-3-1-15-03-25-1107-158</v>
      </c>
      <c r="L95" s="632" t="s">
        <v>659</v>
      </c>
      <c r="M95" s="633" t="s">
        <v>660</v>
      </c>
      <c r="N95" s="634" t="str">
        <f t="shared" si="22"/>
        <v>(Cód. 58) Contratar la iluminación museográfica requerida para las salas de exposición del Museo de Bogotá del Instituto Distrital de Patrimonio Cultural.</v>
      </c>
      <c r="O95" s="635">
        <v>43575</v>
      </c>
      <c r="P95" s="636">
        <f>IFERROR(VLOOKUP(W95,'Estimación CRP'!$D$21:$E$30,2,FALSE),0)</f>
        <v>25</v>
      </c>
      <c r="Q95" s="637">
        <f>IF(O95="No aplica","No aplica",WORKDAY.INTL(O95,P95,1,'Estimación CRP'!A281:A297))</f>
        <v>43609</v>
      </c>
      <c r="R95" s="636">
        <f t="shared" si="23"/>
        <v>5</v>
      </c>
      <c r="S95" s="636">
        <f t="shared" si="24"/>
        <v>4</v>
      </c>
      <c r="T95" s="636">
        <f t="shared" si="25"/>
        <v>4</v>
      </c>
      <c r="U95" s="712">
        <v>3</v>
      </c>
      <c r="V95" s="638">
        <v>1</v>
      </c>
      <c r="W95" s="639" t="s">
        <v>267</v>
      </c>
      <c r="X95" s="640" t="str">
        <f>IFERROR(VLOOKUP(W95,Listas!$A$60:$B$73,2,FALSE),"Alerta: Seleccione primero Modalidad de selección")</f>
        <v>CCE-10</v>
      </c>
      <c r="Y95" s="641">
        <v>0</v>
      </c>
      <c r="Z95" s="641" t="s">
        <v>346</v>
      </c>
      <c r="AA95" s="641" t="s">
        <v>1130</v>
      </c>
      <c r="AB95" s="642">
        <f t="shared" si="26"/>
        <v>17000000</v>
      </c>
      <c r="AC95" s="642">
        <f t="shared" si="27"/>
        <v>17000000</v>
      </c>
      <c r="AD95" s="641">
        <v>0</v>
      </c>
      <c r="AE95" s="643">
        <v>0</v>
      </c>
      <c r="AF95" s="639" t="s">
        <v>276</v>
      </c>
      <c r="AG95" s="639" t="s">
        <v>277</v>
      </c>
      <c r="AH95" s="639" t="s">
        <v>284</v>
      </c>
      <c r="AI95" s="626" t="str">
        <f>IFERROR(VLOOKUP(AH95,Listas!$A$77:$C$83,2,FALSE),"Alerta: Seleccione primero el responsable")</f>
        <v>3550800</v>
      </c>
      <c r="AJ95" s="640" t="str">
        <f>IFERROR(VLOOKUP(AH95,Listas!$A$77:$C$83,3,FALSE),"Alerta: Seleccione primero el responsable")</f>
        <v>margarita.castaneda@idpc.gov.co</v>
      </c>
      <c r="AK95" s="640" t="str">
        <f>IF(J95="Funcionamiento Gastos Generales","No aplica",IF(J95="Funcionamiento Servicios Personales indirectos","No aplica",IFERROR(VLOOKUP(J95,Listas!$A$127:$E$139,3,FALSE),"Alerta: Seleccione la celda en la comumna B con el nombre del proyecto")))</f>
        <v>ME20181107</v>
      </c>
      <c r="AL95" s="640" t="str">
        <f>IF(J95="Funcionamiento Gastos Generales","No aplica",IF(J95="Funcionamiento Servicios Personales","No aplica",IFERROR(VLOOKUP(J95,Listas!$A$220:$D$224,2,FALSE),"Alerta: Seleccione la celda en la comumna B con el nombre del proyecto")))</f>
        <v>COMP1107</v>
      </c>
      <c r="AM95" s="640" t="str">
        <f>IF(J95="Funcionamiento Gastos Generales","No aplica",IF(J95="Funcionamiento Servicios Personales","No aplica",IFERROR(VLOOKUP(J95,Listas!$A$220:$D$224,3,FALSE),"Alerta: Seleccione la celda en la comumna B con el nombre del proyecto")))</f>
        <v>CONC1107</v>
      </c>
      <c r="AN95" s="633" t="s">
        <v>1047</v>
      </c>
      <c r="AO95" s="633" t="s">
        <v>53</v>
      </c>
      <c r="AP95" s="634" t="str">
        <f>IFERROR(VLOOKUP(J95,Listas!$A$182:$E$215,5,FALSE),"Alerta: Seleccione la celda en la comumna B con el nombre del proyecto")</f>
        <v>13. Oferta cultural para la valoración y divulgación del patrimonio material e  inmaterial de la ciud</v>
      </c>
      <c r="AQ95" s="634" t="str">
        <f>IF(J95="Funcionamiento Gastos Generales","No aplica",IF(J95="Funcionamiento Servicios Personales","No aplica",IFERROR(VLOOKUP(J95,Listas!$A$220:$D$224,4,FALSE),"Alerta: Seleccione la celda en la comumna B con el nombre del proyecto")))</f>
        <v>FONT1107</v>
      </c>
      <c r="AR95" s="633" t="s">
        <v>198</v>
      </c>
      <c r="AS95" s="634" t="str">
        <f>IFERROR(VLOOKUP(AU95,Listas!$E$85:$L$105,7,FALSE),"Alerta: Seleccione la celda en la comumna AI con el concepto de gasto")</f>
        <v>03-RECURSO HUMANO</v>
      </c>
      <c r="AT95" s="634" t="str">
        <f>IFERROR(VLOOKUP(AU95,Listas!$E$85:$L$105,8,FALSE),"Alerta: Seleccione la celda en la comumna AI con el concepto de gasto")</f>
        <v>01-DIVULGACION, ASISTENCIA TECNICA Y CAPACITACION DE LA POBLACION</v>
      </c>
      <c r="AU95" s="633" t="s">
        <v>232</v>
      </c>
      <c r="AV95" s="634">
        <f>IFERROR(VLOOKUP(AU95,Listas!$E$85:$F$105,2,FALSE),"Alerta: Seleccione el Concepto de Gasto primero")</f>
        <v>0</v>
      </c>
      <c r="AW95" s="644">
        <v>17000000</v>
      </c>
      <c r="AX95" s="645"/>
      <c r="AY95" s="645"/>
      <c r="AZ95" s="645"/>
      <c r="BA95" s="646">
        <f t="shared" si="28"/>
        <v>17000000</v>
      </c>
      <c r="BB95" s="647"/>
      <c r="BC95" s="648"/>
      <c r="BD95" s="649"/>
      <c r="BE95" s="647"/>
      <c r="BF95" s="644"/>
      <c r="BG95" s="646">
        <f t="shared" si="29"/>
        <v>17000000</v>
      </c>
      <c r="BH95" s="650"/>
      <c r="BI95" s="647"/>
      <c r="BJ95" s="644"/>
      <c r="BK95" s="646">
        <f t="shared" si="30"/>
        <v>0</v>
      </c>
      <c r="BL95" s="651"/>
      <c r="BM95" s="652">
        <f t="shared" si="31"/>
        <v>1</v>
      </c>
      <c r="BN95" s="628"/>
      <c r="BO95" s="670"/>
      <c r="BP95" s="644"/>
      <c r="BQ95" s="644"/>
      <c r="BR95" s="644"/>
      <c r="BS95" s="644"/>
      <c r="BT95" s="644"/>
      <c r="BU95" s="644"/>
      <c r="BV95" s="644"/>
      <c r="BW95" s="644"/>
      <c r="BX95" s="644"/>
      <c r="BY95" s="644"/>
      <c r="BZ95" s="644"/>
      <c r="CA95" s="644"/>
      <c r="CB95" s="646">
        <f t="shared" si="32"/>
        <v>0</v>
      </c>
      <c r="CC95" s="646">
        <f t="shared" si="33"/>
        <v>0</v>
      </c>
      <c r="CD95" s="614"/>
    </row>
    <row r="96" spans="1:85" s="561" customFormat="1" ht="61.5" customHeight="1">
      <c r="A96" s="625" t="str">
        <f t="shared" ref="A96:A159" si="34">+CONCATENATE(B96,"-",AO96)</f>
        <v>1107-158-FONT1107-03-01-0066-Activación del patrimonio</v>
      </c>
      <c r="B96" s="626" t="str">
        <f t="shared" ref="B96:B159" si="35">CONCATENATE(RIGHT(K96,8),"-",AQ96,"-",LEFT(AS96,2),"-",LEFT(AT96,2),"-",LEFT(AU96,4))</f>
        <v>1107-158-FONT1107-03-01-0066</v>
      </c>
      <c r="C96" s="626" t="str">
        <f t="shared" ref="C96:C159" si="36">+CONCATENATE(RIGHT(K96,8),"-",AQ96,"-",AO96)</f>
        <v>1107-158-FONT1107-Activación del patrimonio</v>
      </c>
      <c r="D96" s="626" t="str">
        <f t="shared" ref="D96:D159" si="37">+CONCATENATE(RIGHT(K96,8),"-",AR96,"-",LEFT(AS96,2),"-",LEFT(AT96,2),"-",LEFT(AU96,4))</f>
        <v>1107-158-12-Otros Distrito-03-01-0066</v>
      </c>
      <c r="E96" s="626" t="str">
        <f t="shared" si="19"/>
        <v>Activación del patrimonio-12-Otros Distrito-0066-Fomento, apoyo y divulgación de eventos y expresiones artísticas, culturales y del patrimonio</v>
      </c>
      <c r="F96" s="627">
        <v>59</v>
      </c>
      <c r="G96" s="628">
        <f t="shared" si="20"/>
        <v>59</v>
      </c>
      <c r="H96" s="629" t="b">
        <f t="shared" si="21"/>
        <v>0</v>
      </c>
      <c r="I96" s="630" t="s">
        <v>594</v>
      </c>
      <c r="J96" s="627" t="s">
        <v>27</v>
      </c>
      <c r="K96" s="631" t="str">
        <f>+IFERROR(VLOOKUP(J96,Listas!$A$108:$B$114,2,FALSE),"Alerta: Seleccione la celda en la comumna B con el nombre del proyecto")</f>
        <v>3-3-1-15-03-25-1107-158</v>
      </c>
      <c r="L96" s="632" t="s">
        <v>618</v>
      </c>
      <c r="M96" s="633" t="s">
        <v>661</v>
      </c>
      <c r="N96" s="634" t="str">
        <f t="shared" si="22"/>
        <v>(Cód. 59) Prestar servicios profesionales al Instituto Distrital de Patrimonio Cultural para apoyar el desarrollo de los contenidos requeridos para la publicación sobre inmuebles de valor patrimonial en Bogotá.</v>
      </c>
      <c r="O96" s="635">
        <v>43511</v>
      </c>
      <c r="P96" s="636">
        <f>IFERROR(VLOOKUP(W96,'Estimación CRP'!$D$21:$E$30,2,FALSE),0)</f>
        <v>10</v>
      </c>
      <c r="Q96" s="637">
        <f>IF(O96="No aplica","No aplica",WORKDAY.INTL(O96,P96,1,'Estimación CRP'!A282:A298))</f>
        <v>43525</v>
      </c>
      <c r="R96" s="636">
        <f t="shared" si="23"/>
        <v>3</v>
      </c>
      <c r="S96" s="636">
        <f t="shared" si="24"/>
        <v>2</v>
      </c>
      <c r="T96" s="636">
        <f t="shared" si="25"/>
        <v>2</v>
      </c>
      <c r="U96" s="712">
        <v>4</v>
      </c>
      <c r="V96" s="638">
        <v>1</v>
      </c>
      <c r="W96" s="639" t="s">
        <v>274</v>
      </c>
      <c r="X96" s="640" t="str">
        <f>IFERROR(VLOOKUP(W96,Listas!$A$60:$B$73,2,FALSE),"Alerta: Seleccione primero Modalidad de selección")</f>
        <v>CCE-16</v>
      </c>
      <c r="Y96" s="641">
        <v>0</v>
      </c>
      <c r="Z96" s="641" t="s">
        <v>346</v>
      </c>
      <c r="AA96" s="641" t="s">
        <v>1131</v>
      </c>
      <c r="AB96" s="642">
        <f t="shared" si="26"/>
        <v>20000000</v>
      </c>
      <c r="AC96" s="642">
        <f t="shared" si="27"/>
        <v>20000000</v>
      </c>
      <c r="AD96" s="641">
        <v>0</v>
      </c>
      <c r="AE96" s="643">
        <v>0</v>
      </c>
      <c r="AF96" s="639" t="s">
        <v>276</v>
      </c>
      <c r="AG96" s="639" t="s">
        <v>277</v>
      </c>
      <c r="AH96" s="639" t="s">
        <v>284</v>
      </c>
      <c r="AI96" s="626" t="str">
        <f>IFERROR(VLOOKUP(AH96,Listas!$A$77:$C$83,2,FALSE),"Alerta: Seleccione primero el responsable")</f>
        <v>3550800</v>
      </c>
      <c r="AJ96" s="640" t="str">
        <f>IFERROR(VLOOKUP(AH96,Listas!$A$77:$C$83,3,FALSE),"Alerta: Seleccione primero el responsable")</f>
        <v>margarita.castaneda@idpc.gov.co</v>
      </c>
      <c r="AK96" s="640" t="str">
        <f>IF(J96="Funcionamiento Gastos Generales","No aplica",IF(J96="Funcionamiento Servicios Personales indirectos","No aplica",IFERROR(VLOOKUP(J96,Listas!$A$127:$E$139,3,FALSE),"Alerta: Seleccione la celda en la comumna B con el nombre del proyecto")))</f>
        <v>ME20181107</v>
      </c>
      <c r="AL96" s="640" t="str">
        <f>IF(J96="Funcionamiento Gastos Generales","No aplica",IF(J96="Funcionamiento Servicios Personales","No aplica",IFERROR(VLOOKUP(J96,Listas!$A$220:$D$224,2,FALSE),"Alerta: Seleccione la celda en la comumna B con el nombre del proyecto")))</f>
        <v>COMP1107</v>
      </c>
      <c r="AM96" s="640" t="str">
        <f>IF(J96="Funcionamiento Gastos Generales","No aplica",IF(J96="Funcionamiento Servicios Personales","No aplica",IFERROR(VLOOKUP(J96,Listas!$A$220:$D$224,3,FALSE),"Alerta: Seleccione la celda en la comumna B con el nombre del proyecto")))</f>
        <v>CONC1107</v>
      </c>
      <c r="AN96" s="633" t="s">
        <v>1046</v>
      </c>
      <c r="AO96" s="633" t="s">
        <v>54</v>
      </c>
      <c r="AP96" s="634" t="str">
        <f>IFERROR(VLOOKUP(J96,Listas!$A$182:$E$215,5,FALSE),"Alerta: Seleccione la celda en la comumna B con el nombre del proyecto")</f>
        <v>13. Oferta cultural para la valoración y divulgación del patrimonio material e  inmaterial de la ciud</v>
      </c>
      <c r="AQ96" s="634" t="str">
        <f>IF(J96="Funcionamiento Gastos Generales","No aplica",IF(J96="Funcionamiento Servicios Personales","No aplica",IFERROR(VLOOKUP(J96,Listas!$A$220:$D$224,4,FALSE),"Alerta: Seleccione la celda en la comumna B con el nombre del proyecto")))</f>
        <v>FONT1107</v>
      </c>
      <c r="AR96" s="633" t="s">
        <v>198</v>
      </c>
      <c r="AS96" s="634" t="str">
        <f>IFERROR(VLOOKUP(AU96,Listas!$E$85:$L$105,7,FALSE),"Alerta: Seleccione la celda en la comumna AI con el concepto de gasto")</f>
        <v>03-RECURSO HUMANO</v>
      </c>
      <c r="AT96" s="634" t="str">
        <f>IFERROR(VLOOKUP(AU96,Listas!$E$85:$L$105,8,FALSE),"Alerta: Seleccione la celda en la comumna AI con el concepto de gasto")</f>
        <v>01-DIVULGACION, ASISTENCIA TECNICA Y CAPACITACION DE LA POBLACION</v>
      </c>
      <c r="AU96" s="633" t="s">
        <v>232</v>
      </c>
      <c r="AV96" s="634">
        <f>IFERROR(VLOOKUP(AU96,Listas!$E$85:$F$105,2,FALSE),"Alerta: Seleccione el Concepto de Gasto primero")</f>
        <v>0</v>
      </c>
      <c r="AW96" s="644">
        <v>20000000</v>
      </c>
      <c r="AX96" s="645"/>
      <c r="AY96" s="645"/>
      <c r="AZ96" s="645"/>
      <c r="BA96" s="646">
        <f t="shared" si="28"/>
        <v>20000000</v>
      </c>
      <c r="BB96" s="647"/>
      <c r="BC96" s="648"/>
      <c r="BD96" s="649"/>
      <c r="BE96" s="647"/>
      <c r="BF96" s="644"/>
      <c r="BG96" s="646">
        <f t="shared" si="29"/>
        <v>20000000</v>
      </c>
      <c r="BH96" s="650"/>
      <c r="BI96" s="647"/>
      <c r="BJ96" s="644"/>
      <c r="BK96" s="646">
        <f t="shared" si="30"/>
        <v>0</v>
      </c>
      <c r="BL96" s="651"/>
      <c r="BM96" s="652">
        <f t="shared" si="31"/>
        <v>1</v>
      </c>
      <c r="BN96" s="628"/>
      <c r="BO96" s="670"/>
      <c r="BP96" s="644"/>
      <c r="BQ96" s="644"/>
      <c r="BR96" s="644"/>
      <c r="BS96" s="644"/>
      <c r="BT96" s="644"/>
      <c r="BU96" s="644"/>
      <c r="BV96" s="644"/>
      <c r="BW96" s="644"/>
      <c r="BX96" s="644"/>
      <c r="BY96" s="644"/>
      <c r="BZ96" s="644"/>
      <c r="CA96" s="644"/>
      <c r="CB96" s="646">
        <f t="shared" si="32"/>
        <v>0</v>
      </c>
      <c r="CC96" s="646">
        <f t="shared" si="33"/>
        <v>0</v>
      </c>
      <c r="CD96" s="614"/>
    </row>
    <row r="97" spans="1:82" s="561" customFormat="1" ht="61.5" customHeight="1">
      <c r="A97" s="625" t="str">
        <f t="shared" si="34"/>
        <v>1107-158-FONT1107-03-01-0066-Museo de Bogotá en operación</v>
      </c>
      <c r="B97" s="626" t="str">
        <f t="shared" si="35"/>
        <v>1107-158-FONT1107-03-01-0066</v>
      </c>
      <c r="C97" s="626" t="str">
        <f t="shared" si="36"/>
        <v>1107-158-FONT1107-Museo de Bogotá en operación</v>
      </c>
      <c r="D97" s="626" t="str">
        <f t="shared" si="37"/>
        <v>1107-158-12-Otros Distrito-03-01-0066</v>
      </c>
      <c r="E97" s="626" t="str">
        <f t="shared" ref="E97:E160" si="38">+CONCATENATE(AO97,"-",AR97,"-",AU97)</f>
        <v>Museo de Bogotá en operación-12-Otros Distrito-0066-Fomento, apoyo y divulgación de eventos y expresiones artísticas, culturales y del patrimonio</v>
      </c>
      <c r="F97" s="627">
        <v>60</v>
      </c>
      <c r="G97" s="628">
        <f t="shared" ref="G97:G160" si="39">+F97</f>
        <v>60</v>
      </c>
      <c r="H97" s="629" t="b">
        <f t="shared" ref="H97:H160" si="40">+G97=G96</f>
        <v>0</v>
      </c>
      <c r="I97" s="630" t="s">
        <v>594</v>
      </c>
      <c r="J97" s="627" t="s">
        <v>27</v>
      </c>
      <c r="K97" s="631" t="str">
        <f>+IFERROR(VLOOKUP(J97,Listas!$A$108:$B$114,2,FALSE),"Alerta: Seleccione la celda en la comumna B con el nombre del proyecto")</f>
        <v>3-3-1-15-03-25-1107-158</v>
      </c>
      <c r="L97" s="632" t="s">
        <v>618</v>
      </c>
      <c r="M97" s="633" t="s">
        <v>662</v>
      </c>
      <c r="N97" s="634" t="str">
        <f t="shared" ref="N97:N160" si="41">+CONCATENATE("(Cód. ",F97,") ",M97)</f>
        <v>(Cód. 60) Prestar servicios profesionales al Instituto Distrital de Patrimonio Cultural para orientar los procesos museográficos requeridos por el Museo de Bogotá.</v>
      </c>
      <c r="O97" s="635">
        <v>43480</v>
      </c>
      <c r="P97" s="636">
        <f>IFERROR(VLOOKUP(W97,'Estimación CRP'!$D$21:$E$30,2,FALSE),0)</f>
        <v>10</v>
      </c>
      <c r="Q97" s="637">
        <f>IF(O97="No aplica","No aplica",WORKDAY.INTL(O97,P97,1,'Estimación CRP'!A283:A299))</f>
        <v>43494</v>
      </c>
      <c r="R97" s="636">
        <f t="shared" ref="R97:R160" si="42">IF(O97="No aplica","No aplica",MONTH(Q97))</f>
        <v>1</v>
      </c>
      <c r="S97" s="636">
        <f t="shared" ref="S97:S160" si="43">IF(O97="No aplica","No aplica",MONTH(O97))</f>
        <v>1</v>
      </c>
      <c r="T97" s="636">
        <f t="shared" ref="T97:T160" si="44">IF(O97="No aplica","No aplica",S97)</f>
        <v>1</v>
      </c>
      <c r="U97" s="712">
        <v>11</v>
      </c>
      <c r="V97" s="638">
        <v>1</v>
      </c>
      <c r="W97" s="639" t="s">
        <v>274</v>
      </c>
      <c r="X97" s="640" t="str">
        <f>IFERROR(VLOOKUP(W97,Listas!$A$60:$B$73,2,FALSE),"Alerta: Seleccione primero Modalidad de selección")</f>
        <v>CCE-16</v>
      </c>
      <c r="Y97" s="641">
        <v>0</v>
      </c>
      <c r="Z97" s="641" t="s">
        <v>346</v>
      </c>
      <c r="AA97" s="641" t="s">
        <v>1132</v>
      </c>
      <c r="AB97" s="642">
        <f t="shared" ref="AB97:AB160" si="45">+BA97</f>
        <v>72820000</v>
      </c>
      <c r="AC97" s="642">
        <f t="shared" ref="AC97:AC160" si="46">+AB97</f>
        <v>72820000</v>
      </c>
      <c r="AD97" s="641">
        <v>0</v>
      </c>
      <c r="AE97" s="643">
        <v>0</v>
      </c>
      <c r="AF97" s="639" t="s">
        <v>276</v>
      </c>
      <c r="AG97" s="639" t="s">
        <v>277</v>
      </c>
      <c r="AH97" s="639" t="s">
        <v>284</v>
      </c>
      <c r="AI97" s="626" t="str">
        <f>IFERROR(VLOOKUP(AH97,Listas!$A$77:$C$83,2,FALSE),"Alerta: Seleccione primero el responsable")</f>
        <v>3550800</v>
      </c>
      <c r="AJ97" s="640" t="str">
        <f>IFERROR(VLOOKUP(AH97,Listas!$A$77:$C$83,3,FALSE),"Alerta: Seleccione primero el responsable")</f>
        <v>margarita.castaneda@idpc.gov.co</v>
      </c>
      <c r="AK97" s="640" t="str">
        <f>IF(J97="Funcionamiento Gastos Generales","No aplica",IF(J97="Funcionamiento Servicios Personales indirectos","No aplica",IFERROR(VLOOKUP(J97,Listas!$A$127:$E$139,3,FALSE),"Alerta: Seleccione la celda en la comumna B con el nombre del proyecto")))</f>
        <v>ME20181107</v>
      </c>
      <c r="AL97" s="640" t="str">
        <f>IF(J97="Funcionamiento Gastos Generales","No aplica",IF(J97="Funcionamiento Servicios Personales","No aplica",IFERROR(VLOOKUP(J97,Listas!$A$220:$D$224,2,FALSE),"Alerta: Seleccione la celda en la comumna B con el nombre del proyecto")))</f>
        <v>COMP1107</v>
      </c>
      <c r="AM97" s="640" t="str">
        <f>IF(J97="Funcionamiento Gastos Generales","No aplica",IF(J97="Funcionamiento Servicios Personales","No aplica",IFERROR(VLOOKUP(J97,Listas!$A$220:$D$224,3,FALSE),"Alerta: Seleccione la celda en la comumna B con el nombre del proyecto")))</f>
        <v>CONC1107</v>
      </c>
      <c r="AN97" s="633" t="s">
        <v>1047</v>
      </c>
      <c r="AO97" s="633" t="s">
        <v>53</v>
      </c>
      <c r="AP97" s="634" t="str">
        <f>IFERROR(VLOOKUP(J97,Listas!$A$182:$E$215,5,FALSE),"Alerta: Seleccione la celda en la comumna B con el nombre del proyecto")</f>
        <v>13. Oferta cultural para la valoración y divulgación del patrimonio material e  inmaterial de la ciud</v>
      </c>
      <c r="AQ97" s="634" t="str">
        <f>IF(J97="Funcionamiento Gastos Generales","No aplica",IF(J97="Funcionamiento Servicios Personales","No aplica",IFERROR(VLOOKUP(J97,Listas!$A$220:$D$224,4,FALSE),"Alerta: Seleccione la celda en la comumna B con el nombre del proyecto")))</f>
        <v>FONT1107</v>
      </c>
      <c r="AR97" s="633" t="s">
        <v>198</v>
      </c>
      <c r="AS97" s="634" t="str">
        <f>IFERROR(VLOOKUP(AU97,Listas!$E$85:$L$105,7,FALSE),"Alerta: Seleccione la celda en la comumna AI con el concepto de gasto")</f>
        <v>03-RECURSO HUMANO</v>
      </c>
      <c r="AT97" s="634" t="str">
        <f>IFERROR(VLOOKUP(AU97,Listas!$E$85:$L$105,8,FALSE),"Alerta: Seleccione la celda en la comumna AI con el concepto de gasto")</f>
        <v>01-DIVULGACION, ASISTENCIA TECNICA Y CAPACITACION DE LA POBLACION</v>
      </c>
      <c r="AU97" s="633" t="s">
        <v>232</v>
      </c>
      <c r="AV97" s="634">
        <f>IFERROR(VLOOKUP(AU97,Listas!$E$85:$F$105,2,FALSE),"Alerta: Seleccione el Concepto de Gasto primero")</f>
        <v>0</v>
      </c>
      <c r="AW97" s="644">
        <v>72820000</v>
      </c>
      <c r="AX97" s="645"/>
      <c r="AY97" s="645"/>
      <c r="AZ97" s="645"/>
      <c r="BA97" s="646">
        <f t="shared" ref="BA97:BA160" si="47">+AW97+AX97+AY97-AZ97</f>
        <v>72820000</v>
      </c>
      <c r="BB97" s="647"/>
      <c r="BC97" s="648"/>
      <c r="BD97" s="649"/>
      <c r="BE97" s="647"/>
      <c r="BF97" s="644"/>
      <c r="BG97" s="646">
        <f t="shared" ref="BG97:BG160" si="48">+BA97-BF97</f>
        <v>72820000</v>
      </c>
      <c r="BH97" s="650"/>
      <c r="BI97" s="647"/>
      <c r="BJ97" s="644"/>
      <c r="BK97" s="646">
        <f t="shared" ref="BK97:BK160" si="49">BF97-BJ97</f>
        <v>0</v>
      </c>
      <c r="BL97" s="651"/>
      <c r="BM97" s="652">
        <f t="shared" ref="BM97:BM160" si="50">MONTH(BL97)</f>
        <v>1</v>
      </c>
      <c r="BN97" s="628"/>
      <c r="BO97" s="670"/>
      <c r="BP97" s="644"/>
      <c r="BQ97" s="644"/>
      <c r="BR97" s="644"/>
      <c r="BS97" s="644"/>
      <c r="BT97" s="644"/>
      <c r="BU97" s="644"/>
      <c r="BV97" s="644"/>
      <c r="BW97" s="644"/>
      <c r="BX97" s="644"/>
      <c r="BY97" s="644"/>
      <c r="BZ97" s="644"/>
      <c r="CA97" s="644"/>
      <c r="CB97" s="646">
        <f t="shared" ref="CB97:CB160" si="51">+SUM(BP97:CA97)</f>
        <v>0</v>
      </c>
      <c r="CC97" s="646">
        <f t="shared" ref="CC97:CC160" si="52">BJ97-CB97</f>
        <v>0</v>
      </c>
      <c r="CD97" s="614"/>
    </row>
    <row r="98" spans="1:82" s="561" customFormat="1" ht="61.5" customHeight="1">
      <c r="A98" s="625" t="str">
        <f t="shared" si="34"/>
        <v>1107-158-FONT1107-03-01-0066-Museo de Bogotá en operación</v>
      </c>
      <c r="B98" s="626" t="str">
        <f t="shared" si="35"/>
        <v>1107-158-FONT1107-03-01-0066</v>
      </c>
      <c r="C98" s="626" t="str">
        <f t="shared" si="36"/>
        <v>1107-158-FONT1107-Museo de Bogotá en operación</v>
      </c>
      <c r="D98" s="626" t="str">
        <f t="shared" si="37"/>
        <v>1107-158-12-Otros Distrito-03-01-0066</v>
      </c>
      <c r="E98" s="626" t="str">
        <f t="shared" si="38"/>
        <v>Museo de Bogotá en operación-12-Otros Distrito-0066-Fomento, apoyo y divulgación de eventos y expresiones artísticas, culturales y del patrimonio</v>
      </c>
      <c r="F98" s="627">
        <v>61</v>
      </c>
      <c r="G98" s="628">
        <f t="shared" si="39"/>
        <v>61</v>
      </c>
      <c r="H98" s="629" t="b">
        <f t="shared" si="40"/>
        <v>0</v>
      </c>
      <c r="I98" s="630" t="s">
        <v>594</v>
      </c>
      <c r="J98" s="627" t="s">
        <v>27</v>
      </c>
      <c r="K98" s="631" t="str">
        <f>+IFERROR(VLOOKUP(J98,Listas!$A$108:$B$114,2,FALSE),"Alerta: Seleccione la celda en la comumna B con el nombre del proyecto")</f>
        <v>3-3-1-15-03-25-1107-158</v>
      </c>
      <c r="L98" s="632" t="s">
        <v>618</v>
      </c>
      <c r="M98" s="633" t="s">
        <v>663</v>
      </c>
      <c r="N98" s="634" t="str">
        <f t="shared" si="41"/>
        <v>(Cód. 61) Prestar servicios profesionales al Instituto Distrital de Patrimonio Cultural para acompañar el componente pedagógico y didáctico del portafolio de servicios educativos y culturales del Museo de Bogotá.</v>
      </c>
      <c r="O98" s="635">
        <v>43480</v>
      </c>
      <c r="P98" s="636">
        <f>IFERROR(VLOOKUP(W98,'Estimación CRP'!$D$21:$E$30,2,FALSE),0)</f>
        <v>10</v>
      </c>
      <c r="Q98" s="637">
        <f>IF(O98="No aplica","No aplica",WORKDAY.INTL(O98,P98,1,'Estimación CRP'!A284:A300))</f>
        <v>43494</v>
      </c>
      <c r="R98" s="636">
        <f t="shared" si="42"/>
        <v>1</v>
      </c>
      <c r="S98" s="636">
        <f t="shared" si="43"/>
        <v>1</v>
      </c>
      <c r="T98" s="636">
        <f t="shared" si="44"/>
        <v>1</v>
      </c>
      <c r="U98" s="712">
        <v>3</v>
      </c>
      <c r="V98" s="638">
        <v>1</v>
      </c>
      <c r="W98" s="639" t="s">
        <v>274</v>
      </c>
      <c r="X98" s="640" t="str">
        <f>IFERROR(VLOOKUP(W98,Listas!$A$60:$B$73,2,FALSE),"Alerta: Seleccione primero Modalidad de selección")</f>
        <v>CCE-16</v>
      </c>
      <c r="Y98" s="641">
        <v>0</v>
      </c>
      <c r="Z98" s="641" t="s">
        <v>346</v>
      </c>
      <c r="AA98" s="641" t="s">
        <v>1133</v>
      </c>
      <c r="AB98" s="642">
        <f t="shared" si="45"/>
        <v>16080000</v>
      </c>
      <c r="AC98" s="642">
        <f t="shared" si="46"/>
        <v>16080000</v>
      </c>
      <c r="AD98" s="641">
        <v>0</v>
      </c>
      <c r="AE98" s="643">
        <v>0</v>
      </c>
      <c r="AF98" s="639" t="s">
        <v>276</v>
      </c>
      <c r="AG98" s="639" t="s">
        <v>277</v>
      </c>
      <c r="AH98" s="639" t="s">
        <v>284</v>
      </c>
      <c r="AI98" s="626" t="str">
        <f>IFERROR(VLOOKUP(AH98,Listas!$A$77:$C$83,2,FALSE),"Alerta: Seleccione primero el responsable")</f>
        <v>3550800</v>
      </c>
      <c r="AJ98" s="640" t="str">
        <f>IFERROR(VLOOKUP(AH98,Listas!$A$77:$C$83,3,FALSE),"Alerta: Seleccione primero el responsable")</f>
        <v>margarita.castaneda@idpc.gov.co</v>
      </c>
      <c r="AK98" s="640" t="str">
        <f>IF(J98="Funcionamiento Gastos Generales","No aplica",IF(J98="Funcionamiento Servicios Personales indirectos","No aplica",IFERROR(VLOOKUP(J98,Listas!$A$127:$E$139,3,FALSE),"Alerta: Seleccione la celda en la comumna B con el nombre del proyecto")))</f>
        <v>ME20181107</v>
      </c>
      <c r="AL98" s="640" t="str">
        <f>IF(J98="Funcionamiento Gastos Generales","No aplica",IF(J98="Funcionamiento Servicios Personales","No aplica",IFERROR(VLOOKUP(J98,Listas!$A$220:$D$224,2,FALSE),"Alerta: Seleccione la celda en la comumna B con el nombre del proyecto")))</f>
        <v>COMP1107</v>
      </c>
      <c r="AM98" s="640" t="str">
        <f>IF(J98="Funcionamiento Gastos Generales","No aplica",IF(J98="Funcionamiento Servicios Personales","No aplica",IFERROR(VLOOKUP(J98,Listas!$A$220:$D$224,3,FALSE),"Alerta: Seleccione la celda en la comumna B con el nombre del proyecto")))</f>
        <v>CONC1107</v>
      </c>
      <c r="AN98" s="633" t="s">
        <v>1047</v>
      </c>
      <c r="AO98" s="633" t="s">
        <v>53</v>
      </c>
      <c r="AP98" s="634" t="str">
        <f>IFERROR(VLOOKUP(J98,Listas!$A$182:$E$215,5,FALSE),"Alerta: Seleccione la celda en la comumna B con el nombre del proyecto")</f>
        <v>13. Oferta cultural para la valoración y divulgación del patrimonio material e  inmaterial de la ciud</v>
      </c>
      <c r="AQ98" s="634" t="str">
        <f>IF(J98="Funcionamiento Gastos Generales","No aplica",IF(J98="Funcionamiento Servicios Personales","No aplica",IFERROR(VLOOKUP(J98,Listas!$A$220:$D$224,4,FALSE),"Alerta: Seleccione la celda en la comumna B con el nombre del proyecto")))</f>
        <v>FONT1107</v>
      </c>
      <c r="AR98" s="633" t="s">
        <v>198</v>
      </c>
      <c r="AS98" s="634" t="str">
        <f>IFERROR(VLOOKUP(AU98,Listas!$E$85:$L$105,7,FALSE),"Alerta: Seleccione la celda en la comumna AI con el concepto de gasto")</f>
        <v>03-RECURSO HUMANO</v>
      </c>
      <c r="AT98" s="634" t="str">
        <f>IFERROR(VLOOKUP(AU98,Listas!$E$85:$L$105,8,FALSE),"Alerta: Seleccione la celda en la comumna AI con el concepto de gasto")</f>
        <v>01-DIVULGACION, ASISTENCIA TECNICA Y CAPACITACION DE LA POBLACION</v>
      </c>
      <c r="AU98" s="633" t="s">
        <v>232</v>
      </c>
      <c r="AV98" s="634">
        <f>IFERROR(VLOOKUP(AU98,Listas!$E$85:$F$105,2,FALSE),"Alerta: Seleccione el Concepto de Gasto primero")</f>
        <v>0</v>
      </c>
      <c r="AW98" s="644">
        <v>16080000</v>
      </c>
      <c r="AX98" s="645"/>
      <c r="AY98" s="645"/>
      <c r="AZ98" s="645"/>
      <c r="BA98" s="646">
        <f t="shared" si="47"/>
        <v>16080000</v>
      </c>
      <c r="BB98" s="647"/>
      <c r="BC98" s="648"/>
      <c r="BD98" s="649"/>
      <c r="BE98" s="647"/>
      <c r="BF98" s="644"/>
      <c r="BG98" s="646">
        <f t="shared" si="48"/>
        <v>16080000</v>
      </c>
      <c r="BH98" s="650"/>
      <c r="BI98" s="647"/>
      <c r="BJ98" s="644"/>
      <c r="BK98" s="646">
        <f t="shared" si="49"/>
        <v>0</v>
      </c>
      <c r="BL98" s="651"/>
      <c r="BM98" s="652">
        <f t="shared" si="50"/>
        <v>1</v>
      </c>
      <c r="BN98" s="628"/>
      <c r="BO98" s="670"/>
      <c r="BP98" s="644"/>
      <c r="BQ98" s="644"/>
      <c r="BR98" s="644"/>
      <c r="BS98" s="644"/>
      <c r="BT98" s="644"/>
      <c r="BU98" s="644"/>
      <c r="BV98" s="644"/>
      <c r="BW98" s="644"/>
      <c r="BX98" s="644"/>
      <c r="BY98" s="644"/>
      <c r="BZ98" s="644"/>
      <c r="CA98" s="644"/>
      <c r="CB98" s="646">
        <f t="shared" si="51"/>
        <v>0</v>
      </c>
      <c r="CC98" s="646">
        <f t="shared" si="52"/>
        <v>0</v>
      </c>
      <c r="CD98" s="614"/>
    </row>
    <row r="99" spans="1:82" s="561" customFormat="1" ht="61.5" customHeight="1">
      <c r="A99" s="625" t="str">
        <f t="shared" si="34"/>
        <v>1107-158-FONT1107-03-01-0066-Museo de Bogotá en operación</v>
      </c>
      <c r="B99" s="626" t="str">
        <f t="shared" si="35"/>
        <v>1107-158-FONT1107-03-01-0066</v>
      </c>
      <c r="C99" s="626" t="str">
        <f t="shared" si="36"/>
        <v>1107-158-FONT1107-Museo de Bogotá en operación</v>
      </c>
      <c r="D99" s="626" t="str">
        <f t="shared" si="37"/>
        <v>1107-158-12-Otros Distrito-03-01-0066</v>
      </c>
      <c r="E99" s="626" t="str">
        <f t="shared" si="38"/>
        <v>Museo de Bogotá en operación-12-Otros Distrito-0066-Fomento, apoyo y divulgación de eventos y expresiones artísticas, culturales y del patrimonio</v>
      </c>
      <c r="F99" s="627">
        <v>62</v>
      </c>
      <c r="G99" s="628">
        <f t="shared" si="39"/>
        <v>62</v>
      </c>
      <c r="H99" s="629" t="b">
        <f t="shared" si="40"/>
        <v>0</v>
      </c>
      <c r="I99" s="630" t="s">
        <v>594</v>
      </c>
      <c r="J99" s="627" t="s">
        <v>27</v>
      </c>
      <c r="K99" s="631" t="str">
        <f>+IFERROR(VLOOKUP(J99,Listas!$A$108:$B$114,2,FALSE),"Alerta: Seleccione la celda en la comumna B con el nombre del proyecto")</f>
        <v>3-3-1-15-03-25-1107-158</v>
      </c>
      <c r="L99" s="632" t="s">
        <v>618</v>
      </c>
      <c r="M99" s="633" t="s">
        <v>664</v>
      </c>
      <c r="N99" s="634" t="str">
        <f t="shared" si="41"/>
        <v>(Cód. 62) Prestar servicios profesionales al Instituto Distrital de Patrimonio Cultural en la ejecución de los procesos de mediación y generación de contenidos pedagógicos del portafolio de servicios educativos y culturales del Museo de Bogotá.</v>
      </c>
      <c r="O99" s="635">
        <v>43480</v>
      </c>
      <c r="P99" s="636">
        <f>IFERROR(VLOOKUP(W99,'Estimación CRP'!$D$21:$E$30,2,FALSE),0)</f>
        <v>10</v>
      </c>
      <c r="Q99" s="637">
        <f>IF(O99="No aplica","No aplica",WORKDAY.INTL(O99,P99,1,'Estimación CRP'!A285:A301))</f>
        <v>43494</v>
      </c>
      <c r="R99" s="636">
        <f t="shared" si="42"/>
        <v>1</v>
      </c>
      <c r="S99" s="636">
        <f t="shared" si="43"/>
        <v>1</v>
      </c>
      <c r="T99" s="636">
        <f t="shared" si="44"/>
        <v>1</v>
      </c>
      <c r="U99" s="712">
        <v>3</v>
      </c>
      <c r="V99" s="638">
        <v>1</v>
      </c>
      <c r="W99" s="639" t="s">
        <v>274</v>
      </c>
      <c r="X99" s="640" t="str">
        <f>IFERROR(VLOOKUP(W99,Listas!$A$60:$B$73,2,FALSE),"Alerta: Seleccione primero Modalidad de selección")</f>
        <v>CCE-16</v>
      </c>
      <c r="Y99" s="641">
        <v>0</v>
      </c>
      <c r="Z99" s="641" t="s">
        <v>346</v>
      </c>
      <c r="AA99" s="641" t="s">
        <v>1134</v>
      </c>
      <c r="AB99" s="642">
        <f t="shared" si="45"/>
        <v>12060000</v>
      </c>
      <c r="AC99" s="642">
        <f t="shared" si="46"/>
        <v>12060000</v>
      </c>
      <c r="AD99" s="641">
        <v>0</v>
      </c>
      <c r="AE99" s="643">
        <v>0</v>
      </c>
      <c r="AF99" s="639" t="s">
        <v>276</v>
      </c>
      <c r="AG99" s="639" t="s">
        <v>277</v>
      </c>
      <c r="AH99" s="639" t="s">
        <v>284</v>
      </c>
      <c r="AI99" s="626" t="str">
        <f>IFERROR(VLOOKUP(AH99,Listas!$A$77:$C$83,2,FALSE),"Alerta: Seleccione primero el responsable")</f>
        <v>3550800</v>
      </c>
      <c r="AJ99" s="640" t="str">
        <f>IFERROR(VLOOKUP(AH99,Listas!$A$77:$C$83,3,FALSE),"Alerta: Seleccione primero el responsable")</f>
        <v>margarita.castaneda@idpc.gov.co</v>
      </c>
      <c r="AK99" s="640" t="str">
        <f>IF(J99="Funcionamiento Gastos Generales","No aplica",IF(J99="Funcionamiento Servicios Personales indirectos","No aplica",IFERROR(VLOOKUP(J99,Listas!$A$127:$E$139,3,FALSE),"Alerta: Seleccione la celda en la comumna B con el nombre del proyecto")))</f>
        <v>ME20181107</v>
      </c>
      <c r="AL99" s="640" t="str">
        <f>IF(J99="Funcionamiento Gastos Generales","No aplica",IF(J99="Funcionamiento Servicios Personales","No aplica",IFERROR(VLOOKUP(J99,Listas!$A$220:$D$224,2,FALSE),"Alerta: Seleccione la celda en la comumna B con el nombre del proyecto")))</f>
        <v>COMP1107</v>
      </c>
      <c r="AM99" s="640" t="str">
        <f>IF(J99="Funcionamiento Gastos Generales","No aplica",IF(J99="Funcionamiento Servicios Personales","No aplica",IFERROR(VLOOKUP(J99,Listas!$A$220:$D$224,3,FALSE),"Alerta: Seleccione la celda en la comumna B con el nombre del proyecto")))</f>
        <v>CONC1107</v>
      </c>
      <c r="AN99" s="633" t="s">
        <v>1047</v>
      </c>
      <c r="AO99" s="633" t="s">
        <v>53</v>
      </c>
      <c r="AP99" s="634" t="str">
        <f>IFERROR(VLOOKUP(J99,Listas!$A$182:$E$215,5,FALSE),"Alerta: Seleccione la celda en la comumna B con el nombre del proyecto")</f>
        <v>13. Oferta cultural para la valoración y divulgación del patrimonio material e  inmaterial de la ciud</v>
      </c>
      <c r="AQ99" s="634" t="str">
        <f>IF(J99="Funcionamiento Gastos Generales","No aplica",IF(J99="Funcionamiento Servicios Personales","No aplica",IFERROR(VLOOKUP(J99,Listas!$A$220:$D$224,4,FALSE),"Alerta: Seleccione la celda en la comumna B con el nombre del proyecto")))</f>
        <v>FONT1107</v>
      </c>
      <c r="AR99" s="633" t="s">
        <v>198</v>
      </c>
      <c r="AS99" s="634" t="str">
        <f>IFERROR(VLOOKUP(AU99,Listas!$E$85:$L$105,7,FALSE),"Alerta: Seleccione la celda en la comumna AI con el concepto de gasto")</f>
        <v>03-RECURSO HUMANO</v>
      </c>
      <c r="AT99" s="634" t="str">
        <f>IFERROR(VLOOKUP(AU99,Listas!$E$85:$L$105,8,FALSE),"Alerta: Seleccione la celda en la comumna AI con el concepto de gasto")</f>
        <v>01-DIVULGACION, ASISTENCIA TECNICA Y CAPACITACION DE LA POBLACION</v>
      </c>
      <c r="AU99" s="633" t="s">
        <v>232</v>
      </c>
      <c r="AV99" s="634">
        <f>IFERROR(VLOOKUP(AU99,Listas!$E$85:$F$105,2,FALSE),"Alerta: Seleccione el Concepto de Gasto primero")</f>
        <v>0</v>
      </c>
      <c r="AW99" s="644">
        <v>12060000</v>
      </c>
      <c r="AX99" s="645"/>
      <c r="AY99" s="645"/>
      <c r="AZ99" s="645"/>
      <c r="BA99" s="646">
        <f t="shared" si="47"/>
        <v>12060000</v>
      </c>
      <c r="BB99" s="647"/>
      <c r="BC99" s="648"/>
      <c r="BD99" s="649"/>
      <c r="BE99" s="647"/>
      <c r="BF99" s="644"/>
      <c r="BG99" s="646">
        <f t="shared" si="48"/>
        <v>12060000</v>
      </c>
      <c r="BH99" s="650"/>
      <c r="BI99" s="647"/>
      <c r="BJ99" s="644"/>
      <c r="BK99" s="646">
        <f t="shared" si="49"/>
        <v>0</v>
      </c>
      <c r="BL99" s="651"/>
      <c r="BM99" s="652">
        <f t="shared" si="50"/>
        <v>1</v>
      </c>
      <c r="BN99" s="628"/>
      <c r="BO99" s="670"/>
      <c r="BP99" s="644"/>
      <c r="BQ99" s="644"/>
      <c r="BR99" s="644"/>
      <c r="BS99" s="644"/>
      <c r="BT99" s="644"/>
      <c r="BU99" s="644"/>
      <c r="BV99" s="644"/>
      <c r="BW99" s="644"/>
      <c r="BX99" s="644"/>
      <c r="BY99" s="644"/>
      <c r="BZ99" s="644"/>
      <c r="CA99" s="644"/>
      <c r="CB99" s="646">
        <f t="shared" si="51"/>
        <v>0</v>
      </c>
      <c r="CC99" s="646">
        <f t="shared" si="52"/>
        <v>0</v>
      </c>
      <c r="CD99" s="614"/>
    </row>
    <row r="100" spans="1:82" s="561" customFormat="1" ht="61.5" customHeight="1">
      <c r="A100" s="625" t="str">
        <f t="shared" si="34"/>
        <v>1107-158-FONT1107-03-01-0066-Museo de Bogotá en operación</v>
      </c>
      <c r="B100" s="626" t="str">
        <f t="shared" si="35"/>
        <v>1107-158-FONT1107-03-01-0066</v>
      </c>
      <c r="C100" s="626" t="str">
        <f t="shared" si="36"/>
        <v>1107-158-FONT1107-Museo de Bogotá en operación</v>
      </c>
      <c r="D100" s="626" t="str">
        <f t="shared" si="37"/>
        <v>1107-158-12-Otros Distrito-03-01-0066</v>
      </c>
      <c r="E100" s="626" t="str">
        <f t="shared" si="38"/>
        <v>Museo de Bogotá en operación-12-Otros Distrito-0066-Fomento, apoyo y divulgación de eventos y expresiones artísticas, culturales y del patrimonio</v>
      </c>
      <c r="F100" s="627">
        <v>63</v>
      </c>
      <c r="G100" s="628">
        <f t="shared" si="39"/>
        <v>63</v>
      </c>
      <c r="H100" s="629" t="b">
        <f t="shared" si="40"/>
        <v>0</v>
      </c>
      <c r="I100" s="630" t="s">
        <v>594</v>
      </c>
      <c r="J100" s="627" t="s">
        <v>27</v>
      </c>
      <c r="K100" s="631" t="str">
        <f>+IFERROR(VLOOKUP(J100,Listas!$A$108:$B$114,2,FALSE),"Alerta: Seleccione la celda en la comumna B con el nombre del proyecto")</f>
        <v>3-3-1-15-03-25-1107-158</v>
      </c>
      <c r="L100" s="632" t="s">
        <v>618</v>
      </c>
      <c r="M100" s="633" t="s">
        <v>665</v>
      </c>
      <c r="N100" s="634" t="str">
        <f t="shared" si="41"/>
        <v>(Cód. 63)  Prestar servicios profesionales al Instituto Distrital de Patrimonio Cultural para apoyar las acciones de diseño gráfico del Museo de Bogotá .</v>
      </c>
      <c r="O100" s="635">
        <v>43480</v>
      </c>
      <c r="P100" s="636">
        <f>IFERROR(VLOOKUP(W100,'Estimación CRP'!$D$21:$E$30,2,FALSE),0)</f>
        <v>10</v>
      </c>
      <c r="Q100" s="637">
        <f>IF(O100="No aplica","No aplica",WORKDAY.INTL(O100,P100,1,'Estimación CRP'!A286:A302))</f>
        <v>43494</v>
      </c>
      <c r="R100" s="636">
        <f t="shared" si="42"/>
        <v>1</v>
      </c>
      <c r="S100" s="636">
        <f t="shared" si="43"/>
        <v>1</v>
      </c>
      <c r="T100" s="636">
        <f t="shared" si="44"/>
        <v>1</v>
      </c>
      <c r="U100" s="712">
        <v>3</v>
      </c>
      <c r="V100" s="638">
        <v>1</v>
      </c>
      <c r="W100" s="639" t="s">
        <v>274</v>
      </c>
      <c r="X100" s="640" t="str">
        <f>IFERROR(VLOOKUP(W100,Listas!$A$60:$B$73,2,FALSE),"Alerta: Seleccione primero Modalidad de selección")</f>
        <v>CCE-16</v>
      </c>
      <c r="Y100" s="641">
        <v>0</v>
      </c>
      <c r="Z100" s="641" t="s">
        <v>346</v>
      </c>
      <c r="AA100" s="641" t="s">
        <v>1135</v>
      </c>
      <c r="AB100" s="642">
        <f t="shared" si="45"/>
        <v>13320000</v>
      </c>
      <c r="AC100" s="642">
        <f t="shared" si="46"/>
        <v>13320000</v>
      </c>
      <c r="AD100" s="641">
        <v>0</v>
      </c>
      <c r="AE100" s="643">
        <v>0</v>
      </c>
      <c r="AF100" s="639" t="s">
        <v>276</v>
      </c>
      <c r="AG100" s="639" t="s">
        <v>277</v>
      </c>
      <c r="AH100" s="639" t="s">
        <v>284</v>
      </c>
      <c r="AI100" s="626" t="str">
        <f>IFERROR(VLOOKUP(AH100,Listas!$A$77:$C$83,2,FALSE),"Alerta: Seleccione primero el responsable")</f>
        <v>3550800</v>
      </c>
      <c r="AJ100" s="640" t="str">
        <f>IFERROR(VLOOKUP(AH100,Listas!$A$77:$C$83,3,FALSE),"Alerta: Seleccione primero el responsable")</f>
        <v>margarita.castaneda@idpc.gov.co</v>
      </c>
      <c r="AK100" s="640" t="str">
        <f>IF(J100="Funcionamiento Gastos Generales","No aplica",IF(J100="Funcionamiento Servicios Personales indirectos","No aplica",IFERROR(VLOOKUP(J100,Listas!$A$127:$E$139,3,FALSE),"Alerta: Seleccione la celda en la comumna B con el nombre del proyecto")))</f>
        <v>ME20181107</v>
      </c>
      <c r="AL100" s="640" t="str">
        <f>IF(J100="Funcionamiento Gastos Generales","No aplica",IF(J100="Funcionamiento Servicios Personales","No aplica",IFERROR(VLOOKUP(J100,Listas!$A$220:$D$224,2,FALSE),"Alerta: Seleccione la celda en la comumna B con el nombre del proyecto")))</f>
        <v>COMP1107</v>
      </c>
      <c r="AM100" s="640" t="str">
        <f>IF(J100="Funcionamiento Gastos Generales","No aplica",IF(J100="Funcionamiento Servicios Personales","No aplica",IFERROR(VLOOKUP(J100,Listas!$A$220:$D$224,3,FALSE),"Alerta: Seleccione la celda en la comumna B con el nombre del proyecto")))</f>
        <v>CONC1107</v>
      </c>
      <c r="AN100" s="633" t="s">
        <v>1047</v>
      </c>
      <c r="AO100" s="633" t="s">
        <v>53</v>
      </c>
      <c r="AP100" s="634" t="str">
        <f>IFERROR(VLOOKUP(J100,Listas!$A$182:$E$215,5,FALSE),"Alerta: Seleccione la celda en la comumna B con el nombre del proyecto")</f>
        <v>13. Oferta cultural para la valoración y divulgación del patrimonio material e  inmaterial de la ciud</v>
      </c>
      <c r="AQ100" s="634" t="str">
        <f>IF(J100="Funcionamiento Gastos Generales","No aplica",IF(J100="Funcionamiento Servicios Personales","No aplica",IFERROR(VLOOKUP(J100,Listas!$A$220:$D$224,4,FALSE),"Alerta: Seleccione la celda en la comumna B con el nombre del proyecto")))</f>
        <v>FONT1107</v>
      </c>
      <c r="AR100" s="633" t="s">
        <v>198</v>
      </c>
      <c r="AS100" s="634" t="str">
        <f>IFERROR(VLOOKUP(AU100,Listas!$E$85:$L$105,7,FALSE),"Alerta: Seleccione la celda en la comumna AI con el concepto de gasto")</f>
        <v>03-RECURSO HUMANO</v>
      </c>
      <c r="AT100" s="634" t="str">
        <f>IFERROR(VLOOKUP(AU100,Listas!$E$85:$L$105,8,FALSE),"Alerta: Seleccione la celda en la comumna AI con el concepto de gasto")</f>
        <v>01-DIVULGACION, ASISTENCIA TECNICA Y CAPACITACION DE LA POBLACION</v>
      </c>
      <c r="AU100" s="633" t="s">
        <v>232</v>
      </c>
      <c r="AV100" s="634">
        <f>IFERROR(VLOOKUP(AU100,Listas!$E$85:$F$105,2,FALSE),"Alerta: Seleccione el Concepto de Gasto primero")</f>
        <v>0</v>
      </c>
      <c r="AW100" s="644">
        <v>13320000</v>
      </c>
      <c r="AX100" s="645"/>
      <c r="AY100" s="645"/>
      <c r="AZ100" s="645"/>
      <c r="BA100" s="646">
        <f t="shared" si="47"/>
        <v>13320000</v>
      </c>
      <c r="BB100" s="647"/>
      <c r="BC100" s="648"/>
      <c r="BD100" s="649"/>
      <c r="BE100" s="647"/>
      <c r="BF100" s="644"/>
      <c r="BG100" s="646">
        <f t="shared" si="48"/>
        <v>13320000</v>
      </c>
      <c r="BH100" s="650"/>
      <c r="BI100" s="647"/>
      <c r="BJ100" s="644"/>
      <c r="BK100" s="646">
        <f t="shared" si="49"/>
        <v>0</v>
      </c>
      <c r="BL100" s="651"/>
      <c r="BM100" s="652">
        <f t="shared" si="50"/>
        <v>1</v>
      </c>
      <c r="BN100" s="628"/>
      <c r="BO100" s="670"/>
      <c r="BP100" s="644"/>
      <c r="BQ100" s="644"/>
      <c r="BR100" s="644"/>
      <c r="BS100" s="644"/>
      <c r="BT100" s="644"/>
      <c r="BU100" s="644"/>
      <c r="BV100" s="644"/>
      <c r="BW100" s="644"/>
      <c r="BX100" s="644"/>
      <c r="BY100" s="644"/>
      <c r="BZ100" s="644"/>
      <c r="CA100" s="644"/>
      <c r="CB100" s="646">
        <f t="shared" si="51"/>
        <v>0</v>
      </c>
      <c r="CC100" s="646">
        <f t="shared" si="52"/>
        <v>0</v>
      </c>
      <c r="CD100" s="614"/>
    </row>
    <row r="101" spans="1:82" s="561" customFormat="1" ht="61.5" customHeight="1">
      <c r="A101" s="625" t="str">
        <f t="shared" si="34"/>
        <v>1107-158-FONT1107-03-01-0066-Activación del patrimonio</v>
      </c>
      <c r="B101" s="626" t="str">
        <f t="shared" si="35"/>
        <v>1107-158-FONT1107-03-01-0066</v>
      </c>
      <c r="C101" s="626" t="str">
        <f t="shared" si="36"/>
        <v>1107-158-FONT1107-Activación del patrimonio</v>
      </c>
      <c r="D101" s="626" t="str">
        <f t="shared" si="37"/>
        <v>1107-158-12-Otros Distrito-03-01-0066</v>
      </c>
      <c r="E101" s="626" t="str">
        <f t="shared" si="38"/>
        <v>Activación del patrimonio-12-Otros Distrito-0066-Fomento, apoyo y divulgación de eventos y expresiones artísticas, culturales y del patrimonio</v>
      </c>
      <c r="F101" s="627">
        <v>64</v>
      </c>
      <c r="G101" s="628">
        <f t="shared" si="39"/>
        <v>64</v>
      </c>
      <c r="H101" s="629" t="b">
        <f t="shared" si="40"/>
        <v>0</v>
      </c>
      <c r="I101" s="630" t="s">
        <v>594</v>
      </c>
      <c r="J101" s="627" t="s">
        <v>27</v>
      </c>
      <c r="K101" s="631" t="str">
        <f>+IFERROR(VLOOKUP(J101,Listas!$A$108:$B$114,2,FALSE),"Alerta: Seleccione la celda en la comumna B con el nombre del proyecto")</f>
        <v>3-3-1-15-03-25-1107-158</v>
      </c>
      <c r="L101" s="632" t="s">
        <v>618</v>
      </c>
      <c r="M101" s="633" t="s">
        <v>666</v>
      </c>
      <c r="N101" s="634" t="str">
        <f t="shared" si="41"/>
        <v>(Cód. 64) Prestar servicios profesionales al Instituto Distrital de Patrimonio Cultural para apoyar las estrategias relacionadas con la apropiación social del patrimonio cultural inmaterial de la ciudad, así como otras actividades y proyectos de la Subdirección de Divulgación de los Valores del Patrimonio Cultural.</v>
      </c>
      <c r="O101" s="635">
        <v>43480</v>
      </c>
      <c r="P101" s="636">
        <f>IFERROR(VLOOKUP(W101,'Estimación CRP'!$D$21:$E$30,2,FALSE),0)</f>
        <v>10</v>
      </c>
      <c r="Q101" s="637">
        <f>IF(O101="No aplica","No aplica",WORKDAY.INTL(O101,P101,1,'Estimación CRP'!A287:A303))</f>
        <v>43494</v>
      </c>
      <c r="R101" s="636">
        <f t="shared" si="42"/>
        <v>1</v>
      </c>
      <c r="S101" s="636">
        <f t="shared" si="43"/>
        <v>1</v>
      </c>
      <c r="T101" s="636">
        <f t="shared" si="44"/>
        <v>1</v>
      </c>
      <c r="U101" s="712">
        <v>11</v>
      </c>
      <c r="V101" s="638">
        <v>1</v>
      </c>
      <c r="W101" s="639" t="s">
        <v>274</v>
      </c>
      <c r="X101" s="640" t="str">
        <f>IFERROR(VLOOKUP(W101,Listas!$A$60:$B$73,2,FALSE),"Alerta: Seleccione primero Modalidad de selección")</f>
        <v>CCE-16</v>
      </c>
      <c r="Y101" s="641">
        <v>0</v>
      </c>
      <c r="Z101" s="641" t="s">
        <v>346</v>
      </c>
      <c r="AA101" s="641" t="s">
        <v>1136</v>
      </c>
      <c r="AB101" s="642">
        <f t="shared" si="45"/>
        <v>71500000</v>
      </c>
      <c r="AC101" s="642">
        <f t="shared" si="46"/>
        <v>71500000</v>
      </c>
      <c r="AD101" s="641">
        <v>0</v>
      </c>
      <c r="AE101" s="643">
        <v>0</v>
      </c>
      <c r="AF101" s="639" t="s">
        <v>276</v>
      </c>
      <c r="AG101" s="639" t="s">
        <v>277</v>
      </c>
      <c r="AH101" s="639" t="s">
        <v>284</v>
      </c>
      <c r="AI101" s="626" t="str">
        <f>IFERROR(VLOOKUP(AH101,Listas!$A$77:$C$83,2,FALSE),"Alerta: Seleccione primero el responsable")</f>
        <v>3550800</v>
      </c>
      <c r="AJ101" s="640" t="str">
        <f>IFERROR(VLOOKUP(AH101,Listas!$A$77:$C$83,3,FALSE),"Alerta: Seleccione primero el responsable")</f>
        <v>margarita.castaneda@idpc.gov.co</v>
      </c>
      <c r="AK101" s="640" t="str">
        <f>IF(J101="Funcionamiento Gastos Generales","No aplica",IF(J101="Funcionamiento Servicios Personales indirectos","No aplica",IFERROR(VLOOKUP(J101,Listas!$A$127:$E$139,3,FALSE),"Alerta: Seleccione la celda en la comumna B con el nombre del proyecto")))</f>
        <v>ME20181107</v>
      </c>
      <c r="AL101" s="640" t="str">
        <f>IF(J101="Funcionamiento Gastos Generales","No aplica",IF(J101="Funcionamiento Servicios Personales","No aplica",IFERROR(VLOOKUP(J101,Listas!$A$220:$D$224,2,FALSE),"Alerta: Seleccione la celda en la comumna B con el nombre del proyecto")))</f>
        <v>COMP1107</v>
      </c>
      <c r="AM101" s="640" t="str">
        <f>IF(J101="Funcionamiento Gastos Generales","No aplica",IF(J101="Funcionamiento Servicios Personales","No aplica",IFERROR(VLOOKUP(J101,Listas!$A$220:$D$224,3,FALSE),"Alerta: Seleccione la celda en la comumna B con el nombre del proyecto")))</f>
        <v>CONC1107</v>
      </c>
      <c r="AN101" s="633" t="s">
        <v>1046</v>
      </c>
      <c r="AO101" s="633" t="s">
        <v>54</v>
      </c>
      <c r="AP101" s="634" t="str">
        <f>IFERROR(VLOOKUP(J101,Listas!$A$182:$E$215,5,FALSE),"Alerta: Seleccione la celda en la comumna B con el nombre del proyecto")</f>
        <v>13. Oferta cultural para la valoración y divulgación del patrimonio material e  inmaterial de la ciud</v>
      </c>
      <c r="AQ101" s="634" t="str">
        <f>IF(J101="Funcionamiento Gastos Generales","No aplica",IF(J101="Funcionamiento Servicios Personales","No aplica",IFERROR(VLOOKUP(J101,Listas!$A$220:$D$224,4,FALSE),"Alerta: Seleccione la celda en la comumna B con el nombre del proyecto")))</f>
        <v>FONT1107</v>
      </c>
      <c r="AR101" s="633" t="s">
        <v>198</v>
      </c>
      <c r="AS101" s="634" t="str">
        <f>IFERROR(VLOOKUP(AU101,Listas!$E$85:$L$105,7,FALSE),"Alerta: Seleccione la celda en la comumna AI con el concepto de gasto")</f>
        <v>03-RECURSO HUMANO</v>
      </c>
      <c r="AT101" s="634" t="str">
        <f>IFERROR(VLOOKUP(AU101,Listas!$E$85:$L$105,8,FALSE),"Alerta: Seleccione la celda en la comumna AI con el concepto de gasto")</f>
        <v>01-DIVULGACION, ASISTENCIA TECNICA Y CAPACITACION DE LA POBLACION</v>
      </c>
      <c r="AU101" s="633" t="s">
        <v>232</v>
      </c>
      <c r="AV101" s="634">
        <f>IFERROR(VLOOKUP(AU101,Listas!$E$85:$F$105,2,FALSE),"Alerta: Seleccione el Concepto de Gasto primero")</f>
        <v>0</v>
      </c>
      <c r="AW101" s="644">
        <v>71500000</v>
      </c>
      <c r="AX101" s="645"/>
      <c r="AY101" s="645"/>
      <c r="AZ101" s="645"/>
      <c r="BA101" s="646">
        <f t="shared" si="47"/>
        <v>71500000</v>
      </c>
      <c r="BB101" s="647"/>
      <c r="BC101" s="648"/>
      <c r="BD101" s="649"/>
      <c r="BE101" s="647"/>
      <c r="BF101" s="644"/>
      <c r="BG101" s="646">
        <f t="shared" si="48"/>
        <v>71500000</v>
      </c>
      <c r="BH101" s="650"/>
      <c r="BI101" s="647"/>
      <c r="BJ101" s="644"/>
      <c r="BK101" s="646">
        <f t="shared" si="49"/>
        <v>0</v>
      </c>
      <c r="BL101" s="651"/>
      <c r="BM101" s="652">
        <f t="shared" si="50"/>
        <v>1</v>
      </c>
      <c r="BN101" s="628"/>
      <c r="BO101" s="670"/>
      <c r="BP101" s="644"/>
      <c r="BQ101" s="644"/>
      <c r="BR101" s="644"/>
      <c r="BS101" s="644"/>
      <c r="BT101" s="644"/>
      <c r="BU101" s="644"/>
      <c r="BV101" s="644"/>
      <c r="BW101" s="644"/>
      <c r="BX101" s="644"/>
      <c r="BY101" s="644"/>
      <c r="BZ101" s="644"/>
      <c r="CA101" s="644"/>
      <c r="CB101" s="646">
        <f t="shared" si="51"/>
        <v>0</v>
      </c>
      <c r="CC101" s="646">
        <f t="shared" si="52"/>
        <v>0</v>
      </c>
      <c r="CD101" s="614"/>
    </row>
    <row r="102" spans="1:82" s="561" customFormat="1" ht="61.5" customHeight="1">
      <c r="A102" s="625" t="str">
        <f t="shared" si="34"/>
        <v>1107-158-FONT1107-03-01-0066-Activación del patrimonio</v>
      </c>
      <c r="B102" s="626" t="str">
        <f t="shared" si="35"/>
        <v>1107-158-FONT1107-03-01-0066</v>
      </c>
      <c r="C102" s="626" t="str">
        <f t="shared" si="36"/>
        <v>1107-158-FONT1107-Activación del patrimonio</v>
      </c>
      <c r="D102" s="626" t="str">
        <f t="shared" si="37"/>
        <v>1107-158-12-Otros Distrito-03-01-0066</v>
      </c>
      <c r="E102" s="626" t="str">
        <f t="shared" si="38"/>
        <v>Activación del patrimonio-12-Otros Distrito-0066-Fomento, apoyo y divulgación de eventos y expresiones artísticas, culturales y del patrimonio</v>
      </c>
      <c r="F102" s="627">
        <v>65</v>
      </c>
      <c r="G102" s="628">
        <f t="shared" si="39"/>
        <v>65</v>
      </c>
      <c r="H102" s="629" t="b">
        <f t="shared" si="40"/>
        <v>0</v>
      </c>
      <c r="I102" s="630" t="s">
        <v>594</v>
      </c>
      <c r="J102" s="627" t="s">
        <v>27</v>
      </c>
      <c r="K102" s="631" t="str">
        <f>+IFERROR(VLOOKUP(J102,Listas!$A$108:$B$114,2,FALSE),"Alerta: Seleccione la celda en la comumna B con el nombre del proyecto")</f>
        <v>3-3-1-15-03-25-1107-158</v>
      </c>
      <c r="L102" s="632" t="s">
        <v>618</v>
      </c>
      <c r="M102" s="633" t="s">
        <v>667</v>
      </c>
      <c r="N102" s="634" t="str">
        <f t="shared" si="41"/>
        <v>(Cód. 65) Prestar servicios profesionales al Instituto Distrital de Patrimonio Cultural para orientar la estrategia de apropiación social del patrimonio cultural.</v>
      </c>
      <c r="O102" s="635">
        <v>43480</v>
      </c>
      <c r="P102" s="636">
        <f>IFERROR(VLOOKUP(W102,'Estimación CRP'!$D$21:$E$30,2,FALSE),0)</f>
        <v>10</v>
      </c>
      <c r="Q102" s="637">
        <f>IF(O102="No aplica","No aplica",WORKDAY.INTL(O102,P102,1,'Estimación CRP'!A288:A304))</f>
        <v>43494</v>
      </c>
      <c r="R102" s="636">
        <f t="shared" si="42"/>
        <v>1</v>
      </c>
      <c r="S102" s="636">
        <f t="shared" si="43"/>
        <v>1</v>
      </c>
      <c r="T102" s="636">
        <f t="shared" si="44"/>
        <v>1</v>
      </c>
      <c r="U102" s="712">
        <v>11</v>
      </c>
      <c r="V102" s="638">
        <v>1</v>
      </c>
      <c r="W102" s="639" t="s">
        <v>274</v>
      </c>
      <c r="X102" s="640" t="str">
        <f>IFERROR(VLOOKUP(W102,Listas!$A$60:$B$73,2,FALSE),"Alerta: Seleccione primero Modalidad de selección")</f>
        <v>CCE-16</v>
      </c>
      <c r="Y102" s="641">
        <v>0</v>
      </c>
      <c r="Z102" s="641" t="s">
        <v>346</v>
      </c>
      <c r="AA102" s="641" t="s">
        <v>1137</v>
      </c>
      <c r="AB102" s="642">
        <f t="shared" si="45"/>
        <v>72820000</v>
      </c>
      <c r="AC102" s="642">
        <f t="shared" si="46"/>
        <v>72820000</v>
      </c>
      <c r="AD102" s="641">
        <v>0</v>
      </c>
      <c r="AE102" s="643">
        <v>0</v>
      </c>
      <c r="AF102" s="639" t="s">
        <v>276</v>
      </c>
      <c r="AG102" s="639" t="s">
        <v>277</v>
      </c>
      <c r="AH102" s="639" t="s">
        <v>284</v>
      </c>
      <c r="AI102" s="626" t="str">
        <f>IFERROR(VLOOKUP(AH102,Listas!$A$77:$C$83,2,FALSE),"Alerta: Seleccione primero el responsable")</f>
        <v>3550800</v>
      </c>
      <c r="AJ102" s="640" t="str">
        <f>IFERROR(VLOOKUP(AH102,Listas!$A$77:$C$83,3,FALSE),"Alerta: Seleccione primero el responsable")</f>
        <v>margarita.castaneda@idpc.gov.co</v>
      </c>
      <c r="AK102" s="640" t="str">
        <f>IF(J102="Funcionamiento Gastos Generales","No aplica",IF(J102="Funcionamiento Servicios Personales indirectos","No aplica",IFERROR(VLOOKUP(J102,Listas!$A$127:$E$139,3,FALSE),"Alerta: Seleccione la celda en la comumna B con el nombre del proyecto")))</f>
        <v>ME20181107</v>
      </c>
      <c r="AL102" s="640" t="str">
        <f>IF(J102="Funcionamiento Gastos Generales","No aplica",IF(J102="Funcionamiento Servicios Personales","No aplica",IFERROR(VLOOKUP(J102,Listas!$A$220:$D$224,2,FALSE),"Alerta: Seleccione la celda en la comumna B con el nombre del proyecto")))</f>
        <v>COMP1107</v>
      </c>
      <c r="AM102" s="640" t="str">
        <f>IF(J102="Funcionamiento Gastos Generales","No aplica",IF(J102="Funcionamiento Servicios Personales","No aplica",IFERROR(VLOOKUP(J102,Listas!$A$220:$D$224,3,FALSE),"Alerta: Seleccione la celda en la comumna B con el nombre del proyecto")))</f>
        <v>CONC1107</v>
      </c>
      <c r="AN102" s="633" t="s">
        <v>1046</v>
      </c>
      <c r="AO102" s="633" t="s">
        <v>54</v>
      </c>
      <c r="AP102" s="634" t="str">
        <f>IFERROR(VLOOKUP(J102,Listas!$A$182:$E$215,5,FALSE),"Alerta: Seleccione la celda en la comumna B con el nombre del proyecto")</f>
        <v>13. Oferta cultural para la valoración y divulgación del patrimonio material e  inmaterial de la ciud</v>
      </c>
      <c r="AQ102" s="634" t="str">
        <f>IF(J102="Funcionamiento Gastos Generales","No aplica",IF(J102="Funcionamiento Servicios Personales","No aplica",IFERROR(VLOOKUP(J102,Listas!$A$220:$D$224,4,FALSE),"Alerta: Seleccione la celda en la comumna B con el nombre del proyecto")))</f>
        <v>FONT1107</v>
      </c>
      <c r="AR102" s="633" t="s">
        <v>198</v>
      </c>
      <c r="AS102" s="634" t="str">
        <f>IFERROR(VLOOKUP(AU102,Listas!$E$85:$L$105,7,FALSE),"Alerta: Seleccione la celda en la comumna AI con el concepto de gasto")</f>
        <v>03-RECURSO HUMANO</v>
      </c>
      <c r="AT102" s="634" t="str">
        <f>IFERROR(VLOOKUP(AU102,Listas!$E$85:$L$105,8,FALSE),"Alerta: Seleccione la celda en la comumna AI con el concepto de gasto")</f>
        <v>01-DIVULGACION, ASISTENCIA TECNICA Y CAPACITACION DE LA POBLACION</v>
      </c>
      <c r="AU102" s="633" t="s">
        <v>232</v>
      </c>
      <c r="AV102" s="634">
        <f>IFERROR(VLOOKUP(AU102,Listas!$E$85:$F$105,2,FALSE),"Alerta: Seleccione el Concepto de Gasto primero")</f>
        <v>0</v>
      </c>
      <c r="AW102" s="644">
        <v>72820000</v>
      </c>
      <c r="AX102" s="645"/>
      <c r="AY102" s="645"/>
      <c r="AZ102" s="645"/>
      <c r="BA102" s="646">
        <f t="shared" si="47"/>
        <v>72820000</v>
      </c>
      <c r="BB102" s="647"/>
      <c r="BC102" s="648"/>
      <c r="BD102" s="649"/>
      <c r="BE102" s="647"/>
      <c r="BF102" s="644"/>
      <c r="BG102" s="646">
        <f t="shared" si="48"/>
        <v>72820000</v>
      </c>
      <c r="BH102" s="650"/>
      <c r="BI102" s="647"/>
      <c r="BJ102" s="644"/>
      <c r="BK102" s="646">
        <f t="shared" si="49"/>
        <v>0</v>
      </c>
      <c r="BL102" s="651"/>
      <c r="BM102" s="652">
        <f t="shared" si="50"/>
        <v>1</v>
      </c>
      <c r="BN102" s="628"/>
      <c r="BO102" s="670"/>
      <c r="BP102" s="644"/>
      <c r="BQ102" s="644"/>
      <c r="BR102" s="644"/>
      <c r="BS102" s="644"/>
      <c r="BT102" s="644"/>
      <c r="BU102" s="644"/>
      <c r="BV102" s="644"/>
      <c r="BW102" s="644"/>
      <c r="BX102" s="644"/>
      <c r="BY102" s="644"/>
      <c r="BZ102" s="644"/>
      <c r="CA102" s="644"/>
      <c r="CB102" s="646">
        <f t="shared" si="51"/>
        <v>0</v>
      </c>
      <c r="CC102" s="646">
        <f t="shared" si="52"/>
        <v>0</v>
      </c>
      <c r="CD102" s="614"/>
    </row>
    <row r="103" spans="1:82" s="561" customFormat="1" ht="61.5" customHeight="1">
      <c r="A103" s="625" t="str">
        <f t="shared" si="34"/>
        <v>1107-158-FONT1107-03-01-0066-Museo de Bogotá en operación</v>
      </c>
      <c r="B103" s="626" t="str">
        <f t="shared" si="35"/>
        <v>1107-158-FONT1107-03-01-0066</v>
      </c>
      <c r="C103" s="626" t="str">
        <f t="shared" si="36"/>
        <v>1107-158-FONT1107-Museo de Bogotá en operación</v>
      </c>
      <c r="D103" s="626" t="str">
        <f t="shared" si="37"/>
        <v>1107-158-12-Otros Distrito-03-01-0066</v>
      </c>
      <c r="E103" s="626" t="str">
        <f t="shared" si="38"/>
        <v>Museo de Bogotá en operación-12-Otros Distrito-0066-Fomento, apoyo y divulgación de eventos y expresiones artísticas, culturales y del patrimonio</v>
      </c>
      <c r="F103" s="627">
        <v>66</v>
      </c>
      <c r="G103" s="628">
        <f t="shared" si="39"/>
        <v>66</v>
      </c>
      <c r="H103" s="629" t="b">
        <f t="shared" si="40"/>
        <v>0</v>
      </c>
      <c r="I103" s="630" t="s">
        <v>594</v>
      </c>
      <c r="J103" s="627" t="s">
        <v>27</v>
      </c>
      <c r="K103" s="631" t="str">
        <f>+IFERROR(VLOOKUP(J103,Listas!$A$108:$B$114,2,FALSE),"Alerta: Seleccione la celda en la comumna B con el nombre del proyecto")</f>
        <v>3-3-1-15-03-25-1107-158</v>
      </c>
      <c r="L103" s="632" t="s">
        <v>618</v>
      </c>
      <c r="M103" s="633" t="s">
        <v>664</v>
      </c>
      <c r="N103" s="634" t="str">
        <f t="shared" si="41"/>
        <v>(Cód. 66) Prestar servicios profesionales al Instituto Distrital de Patrimonio Cultural en la ejecución de los procesos de mediación y generación de contenidos pedagógicos del portafolio de servicios educativos y culturales del Museo de Bogotá.</v>
      </c>
      <c r="O103" s="635">
        <v>43480</v>
      </c>
      <c r="P103" s="636">
        <f>IFERROR(VLOOKUP(W103,'Estimación CRP'!$D$21:$E$30,2,FALSE),0)</f>
        <v>10</v>
      </c>
      <c r="Q103" s="637">
        <f>IF(O103="No aplica","No aplica",WORKDAY.INTL(O103,P103,1,'Estimación CRP'!A289:A305))</f>
        <v>43494</v>
      </c>
      <c r="R103" s="636">
        <f t="shared" si="42"/>
        <v>1</v>
      </c>
      <c r="S103" s="636">
        <f t="shared" si="43"/>
        <v>1</v>
      </c>
      <c r="T103" s="636">
        <f t="shared" si="44"/>
        <v>1</v>
      </c>
      <c r="U103" s="712">
        <v>3</v>
      </c>
      <c r="V103" s="638">
        <v>1</v>
      </c>
      <c r="W103" s="639" t="s">
        <v>274</v>
      </c>
      <c r="X103" s="640" t="str">
        <f>IFERROR(VLOOKUP(W103,Listas!$A$60:$B$73,2,FALSE),"Alerta: Seleccione primero Modalidad de selección")</f>
        <v>CCE-16</v>
      </c>
      <c r="Y103" s="641">
        <v>0</v>
      </c>
      <c r="Z103" s="641" t="s">
        <v>346</v>
      </c>
      <c r="AA103" s="641" t="s">
        <v>1138</v>
      </c>
      <c r="AB103" s="642">
        <f t="shared" si="45"/>
        <v>12060000</v>
      </c>
      <c r="AC103" s="642">
        <f t="shared" si="46"/>
        <v>12060000</v>
      </c>
      <c r="AD103" s="641">
        <v>0</v>
      </c>
      <c r="AE103" s="643">
        <v>0</v>
      </c>
      <c r="AF103" s="639" t="s">
        <v>276</v>
      </c>
      <c r="AG103" s="639" t="s">
        <v>277</v>
      </c>
      <c r="AH103" s="639" t="s">
        <v>284</v>
      </c>
      <c r="AI103" s="626" t="str">
        <f>IFERROR(VLOOKUP(AH103,Listas!$A$77:$C$83,2,FALSE),"Alerta: Seleccione primero el responsable")</f>
        <v>3550800</v>
      </c>
      <c r="AJ103" s="640" t="str">
        <f>IFERROR(VLOOKUP(AH103,Listas!$A$77:$C$83,3,FALSE),"Alerta: Seleccione primero el responsable")</f>
        <v>margarita.castaneda@idpc.gov.co</v>
      </c>
      <c r="AK103" s="640" t="str">
        <f>IF(J103="Funcionamiento Gastos Generales","No aplica",IF(J103="Funcionamiento Servicios Personales indirectos","No aplica",IFERROR(VLOOKUP(J103,Listas!$A$127:$E$139,3,FALSE),"Alerta: Seleccione la celda en la comumna B con el nombre del proyecto")))</f>
        <v>ME20181107</v>
      </c>
      <c r="AL103" s="640" t="str">
        <f>IF(J103="Funcionamiento Gastos Generales","No aplica",IF(J103="Funcionamiento Servicios Personales","No aplica",IFERROR(VLOOKUP(J103,Listas!$A$220:$D$224,2,FALSE),"Alerta: Seleccione la celda en la comumna B con el nombre del proyecto")))</f>
        <v>COMP1107</v>
      </c>
      <c r="AM103" s="640" t="str">
        <f>IF(J103="Funcionamiento Gastos Generales","No aplica",IF(J103="Funcionamiento Servicios Personales","No aplica",IFERROR(VLOOKUP(J103,Listas!$A$220:$D$224,3,FALSE),"Alerta: Seleccione la celda en la comumna B con el nombre del proyecto")))</f>
        <v>CONC1107</v>
      </c>
      <c r="AN103" s="633" t="s">
        <v>1047</v>
      </c>
      <c r="AO103" s="633" t="s">
        <v>53</v>
      </c>
      <c r="AP103" s="634" t="str">
        <f>IFERROR(VLOOKUP(J103,Listas!$A$182:$E$215,5,FALSE),"Alerta: Seleccione la celda en la comumna B con el nombre del proyecto")</f>
        <v>13. Oferta cultural para la valoración y divulgación del patrimonio material e  inmaterial de la ciud</v>
      </c>
      <c r="AQ103" s="634" t="str">
        <f>IF(J103="Funcionamiento Gastos Generales","No aplica",IF(J103="Funcionamiento Servicios Personales","No aplica",IFERROR(VLOOKUP(J103,Listas!$A$220:$D$224,4,FALSE),"Alerta: Seleccione la celda en la comumna B con el nombre del proyecto")))</f>
        <v>FONT1107</v>
      </c>
      <c r="AR103" s="633" t="s">
        <v>198</v>
      </c>
      <c r="AS103" s="634" t="str">
        <f>IFERROR(VLOOKUP(AU103,Listas!$E$85:$L$105,7,FALSE),"Alerta: Seleccione la celda en la comumna AI con el concepto de gasto")</f>
        <v>03-RECURSO HUMANO</v>
      </c>
      <c r="AT103" s="634" t="str">
        <f>IFERROR(VLOOKUP(AU103,Listas!$E$85:$L$105,8,FALSE),"Alerta: Seleccione la celda en la comumna AI con el concepto de gasto")</f>
        <v>01-DIVULGACION, ASISTENCIA TECNICA Y CAPACITACION DE LA POBLACION</v>
      </c>
      <c r="AU103" s="633" t="s">
        <v>232</v>
      </c>
      <c r="AV103" s="634">
        <f>IFERROR(VLOOKUP(AU103,Listas!$E$85:$F$105,2,FALSE),"Alerta: Seleccione el Concepto de Gasto primero")</f>
        <v>0</v>
      </c>
      <c r="AW103" s="644">
        <v>12060000</v>
      </c>
      <c r="AX103" s="645"/>
      <c r="AY103" s="645"/>
      <c r="AZ103" s="645"/>
      <c r="BA103" s="646">
        <f t="shared" si="47"/>
        <v>12060000</v>
      </c>
      <c r="BB103" s="647"/>
      <c r="BC103" s="648"/>
      <c r="BD103" s="649"/>
      <c r="BE103" s="647"/>
      <c r="BF103" s="644"/>
      <c r="BG103" s="646">
        <f t="shared" si="48"/>
        <v>12060000</v>
      </c>
      <c r="BH103" s="650"/>
      <c r="BI103" s="647"/>
      <c r="BJ103" s="644"/>
      <c r="BK103" s="646">
        <f t="shared" si="49"/>
        <v>0</v>
      </c>
      <c r="BL103" s="651"/>
      <c r="BM103" s="652">
        <f t="shared" si="50"/>
        <v>1</v>
      </c>
      <c r="BN103" s="628"/>
      <c r="BO103" s="670"/>
      <c r="BP103" s="644"/>
      <c r="BQ103" s="644"/>
      <c r="BR103" s="644"/>
      <c r="BS103" s="644"/>
      <c r="BT103" s="644"/>
      <c r="BU103" s="644"/>
      <c r="BV103" s="644"/>
      <c r="BW103" s="644"/>
      <c r="BX103" s="644"/>
      <c r="BY103" s="644"/>
      <c r="BZ103" s="644"/>
      <c r="CA103" s="644"/>
      <c r="CB103" s="646">
        <f t="shared" si="51"/>
        <v>0</v>
      </c>
      <c r="CC103" s="646">
        <f t="shared" si="52"/>
        <v>0</v>
      </c>
      <c r="CD103" s="614"/>
    </row>
    <row r="104" spans="1:82" s="653" customFormat="1" ht="61.5" customHeight="1">
      <c r="A104" s="625" t="str">
        <f t="shared" si="34"/>
        <v>1107-158-FONT1107-03-01-0066-Activación del patrimonio</v>
      </c>
      <c r="B104" s="626" t="str">
        <f t="shared" si="35"/>
        <v>1107-158-FONT1107-03-01-0066</v>
      </c>
      <c r="C104" s="626" t="str">
        <f t="shared" si="36"/>
        <v>1107-158-FONT1107-Activación del patrimonio</v>
      </c>
      <c r="D104" s="626" t="str">
        <f t="shared" si="37"/>
        <v>1107-158-12-Otros Distrito-03-01-0066</v>
      </c>
      <c r="E104" s="626" t="str">
        <f t="shared" si="38"/>
        <v>Activación del patrimonio-12-Otros Distrito-0066-Fomento, apoyo y divulgación de eventos y expresiones artísticas, culturales y del patrimonio</v>
      </c>
      <c r="F104" s="627">
        <v>67</v>
      </c>
      <c r="G104" s="628">
        <f t="shared" si="39"/>
        <v>67</v>
      </c>
      <c r="H104" s="629" t="b">
        <f t="shared" si="40"/>
        <v>0</v>
      </c>
      <c r="I104" s="630" t="s">
        <v>594</v>
      </c>
      <c r="J104" s="627" t="s">
        <v>27</v>
      </c>
      <c r="K104" s="631" t="str">
        <f>+IFERROR(VLOOKUP(J104,Listas!$A$108:$B$114,2,FALSE),"Alerta: Seleccione la celda en la comumna B con el nombre del proyecto")</f>
        <v>3-3-1-15-03-25-1107-158</v>
      </c>
      <c r="L104" s="632" t="s">
        <v>618</v>
      </c>
      <c r="M104" s="633" t="s">
        <v>668</v>
      </c>
      <c r="N104" s="634" t="str">
        <f t="shared" si="41"/>
        <v xml:space="preserve">(Cód. 67) Prestar servicios profesionales al Instituto Distrital de Patrimonio Cultural para apoyar los procesos de inventario, catalogación y organización de los fondos documentales que conforman el Centro de Documentación. </v>
      </c>
      <c r="O104" s="635">
        <v>43480</v>
      </c>
      <c r="P104" s="636">
        <f>IFERROR(VLOOKUP(W104,'Estimación CRP'!$D$21:$E$30,2,FALSE),0)</f>
        <v>10</v>
      </c>
      <c r="Q104" s="637">
        <f>IF(O104="No aplica","No aplica",WORKDAY.INTL(O104,P104,1,'Estimación CRP'!A290:A306))</f>
        <v>43494</v>
      </c>
      <c r="R104" s="636">
        <f t="shared" si="42"/>
        <v>1</v>
      </c>
      <c r="S104" s="636">
        <f t="shared" si="43"/>
        <v>1</v>
      </c>
      <c r="T104" s="636">
        <f t="shared" si="44"/>
        <v>1</v>
      </c>
      <c r="U104" s="712">
        <v>11</v>
      </c>
      <c r="V104" s="638">
        <v>1</v>
      </c>
      <c r="W104" s="639" t="s">
        <v>274</v>
      </c>
      <c r="X104" s="640" t="str">
        <f>IFERROR(VLOOKUP(W104,Listas!$A$60:$B$73,2,FALSE),"Alerta: Seleccione primero Modalidad de selección")</f>
        <v>CCE-16</v>
      </c>
      <c r="Y104" s="641">
        <v>0</v>
      </c>
      <c r="Z104" s="641" t="s">
        <v>346</v>
      </c>
      <c r="AA104" s="641" t="s">
        <v>1139</v>
      </c>
      <c r="AB104" s="642">
        <f t="shared" si="45"/>
        <v>49500000</v>
      </c>
      <c r="AC104" s="642">
        <f t="shared" si="46"/>
        <v>49500000</v>
      </c>
      <c r="AD104" s="641">
        <v>0</v>
      </c>
      <c r="AE104" s="643">
        <v>0</v>
      </c>
      <c r="AF104" s="639" t="s">
        <v>276</v>
      </c>
      <c r="AG104" s="639" t="s">
        <v>277</v>
      </c>
      <c r="AH104" s="639" t="s">
        <v>284</v>
      </c>
      <c r="AI104" s="626" t="str">
        <f>IFERROR(VLOOKUP(AH104,Listas!$A$77:$C$83,2,FALSE),"Alerta: Seleccione primero el responsable")</f>
        <v>3550800</v>
      </c>
      <c r="AJ104" s="640" t="str">
        <f>IFERROR(VLOOKUP(AH104,Listas!$A$77:$C$83,3,FALSE),"Alerta: Seleccione primero el responsable")</f>
        <v>margarita.castaneda@idpc.gov.co</v>
      </c>
      <c r="AK104" s="640" t="str">
        <f>IF(J104="Funcionamiento Gastos Generales","No aplica",IF(J104="Funcionamiento Servicios Personales indirectos","No aplica",IFERROR(VLOOKUP(J104,Listas!$A$127:$E$139,3,FALSE),"Alerta: Seleccione la celda en la comumna B con el nombre del proyecto")))</f>
        <v>ME20181107</v>
      </c>
      <c r="AL104" s="640" t="str">
        <f>IF(J104="Funcionamiento Gastos Generales","No aplica",IF(J104="Funcionamiento Servicios Personales","No aplica",IFERROR(VLOOKUP(J104,Listas!$A$220:$D$224,2,FALSE),"Alerta: Seleccione la celda en la comumna B con el nombre del proyecto")))</f>
        <v>COMP1107</v>
      </c>
      <c r="AM104" s="640" t="str">
        <f>IF(J104="Funcionamiento Gastos Generales","No aplica",IF(J104="Funcionamiento Servicios Personales","No aplica",IFERROR(VLOOKUP(J104,Listas!$A$220:$D$224,3,FALSE),"Alerta: Seleccione la celda en la comumna B con el nombre del proyecto")))</f>
        <v>CONC1107</v>
      </c>
      <c r="AN104" s="633" t="s">
        <v>1046</v>
      </c>
      <c r="AO104" s="633" t="s">
        <v>54</v>
      </c>
      <c r="AP104" s="634" t="str">
        <f>IFERROR(VLOOKUP(J104,Listas!$A$182:$E$215,5,FALSE),"Alerta: Seleccione la celda en la comumna B con el nombre del proyecto")</f>
        <v>13. Oferta cultural para la valoración y divulgación del patrimonio material e  inmaterial de la ciud</v>
      </c>
      <c r="AQ104" s="634" t="str">
        <f>IF(J104="Funcionamiento Gastos Generales","No aplica",IF(J104="Funcionamiento Servicios Personales","No aplica",IFERROR(VLOOKUP(J104,Listas!$A$220:$D$224,4,FALSE),"Alerta: Seleccione la celda en la comumna B con el nombre del proyecto")))</f>
        <v>FONT1107</v>
      </c>
      <c r="AR104" s="633" t="s">
        <v>198</v>
      </c>
      <c r="AS104" s="634" t="str">
        <f>IFERROR(VLOOKUP(AU104,Listas!$E$85:$L$105,7,FALSE),"Alerta: Seleccione la celda en la comumna AI con el concepto de gasto")</f>
        <v>03-RECURSO HUMANO</v>
      </c>
      <c r="AT104" s="634" t="str">
        <f>IFERROR(VLOOKUP(AU104,Listas!$E$85:$L$105,8,FALSE),"Alerta: Seleccione la celda en la comumna AI con el concepto de gasto")</f>
        <v>01-DIVULGACION, ASISTENCIA TECNICA Y CAPACITACION DE LA POBLACION</v>
      </c>
      <c r="AU104" s="633" t="s">
        <v>232</v>
      </c>
      <c r="AV104" s="634">
        <f>IFERROR(VLOOKUP(AU104,Listas!$E$85:$F$105,2,FALSE),"Alerta: Seleccione el Concepto de Gasto primero")</f>
        <v>0</v>
      </c>
      <c r="AW104" s="644">
        <v>49500000</v>
      </c>
      <c r="AX104" s="645"/>
      <c r="AY104" s="645"/>
      <c r="AZ104" s="645"/>
      <c r="BA104" s="646">
        <f t="shared" si="47"/>
        <v>49500000</v>
      </c>
      <c r="BB104" s="647"/>
      <c r="BC104" s="648"/>
      <c r="BD104" s="649"/>
      <c r="BE104" s="647"/>
      <c r="BF104" s="644"/>
      <c r="BG104" s="646">
        <f t="shared" si="48"/>
        <v>49500000</v>
      </c>
      <c r="BH104" s="650"/>
      <c r="BI104" s="647"/>
      <c r="BJ104" s="644"/>
      <c r="BK104" s="646">
        <f t="shared" si="49"/>
        <v>0</v>
      </c>
      <c r="BL104" s="651"/>
      <c r="BM104" s="652">
        <f t="shared" si="50"/>
        <v>1</v>
      </c>
      <c r="BN104" s="628"/>
      <c r="BO104" s="670"/>
      <c r="BP104" s="644"/>
      <c r="BQ104" s="644"/>
      <c r="BR104" s="644"/>
      <c r="BS104" s="644"/>
      <c r="BT104" s="644"/>
      <c r="BU104" s="644"/>
      <c r="BV104" s="644"/>
      <c r="BW104" s="644"/>
      <c r="BX104" s="644"/>
      <c r="BY104" s="644"/>
      <c r="BZ104" s="644"/>
      <c r="CA104" s="644"/>
      <c r="CB104" s="646">
        <f t="shared" si="51"/>
        <v>0</v>
      </c>
      <c r="CC104" s="646">
        <f t="shared" si="52"/>
        <v>0</v>
      </c>
      <c r="CD104" s="614"/>
    </row>
    <row r="105" spans="1:82" s="561" customFormat="1" ht="61.5" customHeight="1">
      <c r="A105" s="625" t="str">
        <f t="shared" si="34"/>
        <v>1107-158-FONT1107-03-01-0066-Activación del patrimonio</v>
      </c>
      <c r="B105" s="626" t="str">
        <f t="shared" si="35"/>
        <v>1107-158-FONT1107-03-01-0066</v>
      </c>
      <c r="C105" s="626" t="str">
        <f t="shared" si="36"/>
        <v>1107-158-FONT1107-Activación del patrimonio</v>
      </c>
      <c r="D105" s="626" t="str">
        <f t="shared" si="37"/>
        <v>1107-158-12-Otros Distrito-03-01-0066</v>
      </c>
      <c r="E105" s="626" t="str">
        <f t="shared" si="38"/>
        <v>Activación del patrimonio-12-Otros Distrito-0066-Fomento, apoyo y divulgación de eventos y expresiones artísticas, culturales y del patrimonio</v>
      </c>
      <c r="F105" s="627">
        <v>68</v>
      </c>
      <c r="G105" s="628">
        <f t="shared" si="39"/>
        <v>68</v>
      </c>
      <c r="H105" s="629" t="b">
        <f t="shared" si="40"/>
        <v>0</v>
      </c>
      <c r="I105" s="630" t="s">
        <v>594</v>
      </c>
      <c r="J105" s="627" t="s">
        <v>27</v>
      </c>
      <c r="K105" s="631" t="str">
        <f>+IFERROR(VLOOKUP(J105,Listas!$A$108:$B$114,2,FALSE),"Alerta: Seleccione la celda en la comumna B con el nombre del proyecto")</f>
        <v>3-3-1-15-03-25-1107-158</v>
      </c>
      <c r="L105" s="632" t="s">
        <v>618</v>
      </c>
      <c r="M105" s="633" t="s">
        <v>669</v>
      </c>
      <c r="N105" s="634" t="str">
        <f t="shared" si="41"/>
        <v>(Cód. 68) Prestar servicios profesionales al Instituto Distrital de Patrimonio Cultural para apoyar el diseño de piezas gráficas y de comunicación requeridas para la ejecución de la estrategia de comunicaciones de la entidad y de apropiación social del patrimonio cultural.</v>
      </c>
      <c r="O105" s="635">
        <v>43480</v>
      </c>
      <c r="P105" s="636">
        <f>IFERROR(VLOOKUP(W105,'Estimación CRP'!$D$21:$E$30,2,FALSE),0)</f>
        <v>10</v>
      </c>
      <c r="Q105" s="637">
        <f>IF(O105="No aplica","No aplica",WORKDAY.INTL(O105,P105,1,'Estimación CRP'!A291:A307))</f>
        <v>43494</v>
      </c>
      <c r="R105" s="636">
        <f t="shared" si="42"/>
        <v>1</v>
      </c>
      <c r="S105" s="636">
        <f t="shared" si="43"/>
        <v>1</v>
      </c>
      <c r="T105" s="636">
        <f t="shared" si="44"/>
        <v>1</v>
      </c>
      <c r="U105" s="712">
        <v>11</v>
      </c>
      <c r="V105" s="638">
        <v>1</v>
      </c>
      <c r="W105" s="639" t="s">
        <v>274</v>
      </c>
      <c r="X105" s="640" t="str">
        <f>IFERROR(VLOOKUP(W105,Listas!$A$60:$B$73,2,FALSE),"Alerta: Seleccione primero Modalidad de selección")</f>
        <v>CCE-16</v>
      </c>
      <c r="Y105" s="641">
        <v>0</v>
      </c>
      <c r="Z105" s="641" t="s">
        <v>346</v>
      </c>
      <c r="AA105" s="641" t="s">
        <v>1140</v>
      </c>
      <c r="AB105" s="642">
        <f t="shared" si="45"/>
        <v>65560000</v>
      </c>
      <c r="AC105" s="642">
        <f t="shared" si="46"/>
        <v>65560000</v>
      </c>
      <c r="AD105" s="641">
        <v>0</v>
      </c>
      <c r="AE105" s="643">
        <v>0</v>
      </c>
      <c r="AF105" s="639" t="s">
        <v>276</v>
      </c>
      <c r="AG105" s="639" t="s">
        <v>277</v>
      </c>
      <c r="AH105" s="639" t="s">
        <v>284</v>
      </c>
      <c r="AI105" s="626" t="str">
        <f>IFERROR(VLOOKUP(AH105,Listas!$A$77:$C$83,2,FALSE),"Alerta: Seleccione primero el responsable")</f>
        <v>3550800</v>
      </c>
      <c r="AJ105" s="640" t="str">
        <f>IFERROR(VLOOKUP(AH105,Listas!$A$77:$C$83,3,FALSE),"Alerta: Seleccione primero el responsable")</f>
        <v>margarita.castaneda@idpc.gov.co</v>
      </c>
      <c r="AK105" s="640" t="str">
        <f>IF(J105="Funcionamiento Gastos Generales","No aplica",IF(J105="Funcionamiento Servicios Personales indirectos","No aplica",IFERROR(VLOOKUP(J105,Listas!$A$127:$E$139,3,FALSE),"Alerta: Seleccione la celda en la comumna B con el nombre del proyecto")))</f>
        <v>ME20181107</v>
      </c>
      <c r="AL105" s="640" t="str">
        <f>IF(J105="Funcionamiento Gastos Generales","No aplica",IF(J105="Funcionamiento Servicios Personales","No aplica",IFERROR(VLOOKUP(J105,Listas!$A$220:$D$224,2,FALSE),"Alerta: Seleccione la celda en la comumna B con el nombre del proyecto")))</f>
        <v>COMP1107</v>
      </c>
      <c r="AM105" s="640" t="str">
        <f>IF(J105="Funcionamiento Gastos Generales","No aplica",IF(J105="Funcionamiento Servicios Personales","No aplica",IFERROR(VLOOKUP(J105,Listas!$A$220:$D$224,3,FALSE),"Alerta: Seleccione la celda en la comumna B con el nombre del proyecto")))</f>
        <v>CONC1107</v>
      </c>
      <c r="AN105" s="633" t="s">
        <v>1046</v>
      </c>
      <c r="AO105" s="633" t="s">
        <v>54</v>
      </c>
      <c r="AP105" s="634" t="str">
        <f>IFERROR(VLOOKUP(J105,Listas!$A$182:$E$215,5,FALSE),"Alerta: Seleccione la celda en la comumna B con el nombre del proyecto")</f>
        <v>13. Oferta cultural para la valoración y divulgación del patrimonio material e  inmaterial de la ciud</v>
      </c>
      <c r="AQ105" s="634" t="str">
        <f>IF(J105="Funcionamiento Gastos Generales","No aplica",IF(J105="Funcionamiento Servicios Personales","No aplica",IFERROR(VLOOKUP(J105,Listas!$A$220:$D$224,4,FALSE),"Alerta: Seleccione la celda en la comumna B con el nombre del proyecto")))</f>
        <v>FONT1107</v>
      </c>
      <c r="AR105" s="633" t="s">
        <v>198</v>
      </c>
      <c r="AS105" s="634" t="str">
        <f>IFERROR(VLOOKUP(AU105,Listas!$E$85:$L$105,7,FALSE),"Alerta: Seleccione la celda en la comumna AI con el concepto de gasto")</f>
        <v>03-RECURSO HUMANO</v>
      </c>
      <c r="AT105" s="634" t="str">
        <f>IFERROR(VLOOKUP(AU105,Listas!$E$85:$L$105,8,FALSE),"Alerta: Seleccione la celda en la comumna AI con el concepto de gasto")</f>
        <v>01-DIVULGACION, ASISTENCIA TECNICA Y CAPACITACION DE LA POBLACION</v>
      </c>
      <c r="AU105" s="633" t="s">
        <v>232</v>
      </c>
      <c r="AV105" s="634">
        <f>IFERROR(VLOOKUP(AU105,Listas!$E$85:$F$105,2,FALSE),"Alerta: Seleccione el Concepto de Gasto primero")</f>
        <v>0</v>
      </c>
      <c r="AW105" s="644">
        <v>65560000</v>
      </c>
      <c r="AX105" s="645"/>
      <c r="AY105" s="645"/>
      <c r="AZ105" s="645"/>
      <c r="BA105" s="646">
        <f t="shared" si="47"/>
        <v>65560000</v>
      </c>
      <c r="BB105" s="647"/>
      <c r="BC105" s="648"/>
      <c r="BD105" s="649"/>
      <c r="BE105" s="647"/>
      <c r="BF105" s="644"/>
      <c r="BG105" s="646">
        <f t="shared" si="48"/>
        <v>65560000</v>
      </c>
      <c r="BH105" s="650"/>
      <c r="BI105" s="647"/>
      <c r="BJ105" s="644"/>
      <c r="BK105" s="646">
        <f t="shared" si="49"/>
        <v>0</v>
      </c>
      <c r="BL105" s="651"/>
      <c r="BM105" s="652">
        <f t="shared" si="50"/>
        <v>1</v>
      </c>
      <c r="BN105" s="628"/>
      <c r="BO105" s="670"/>
      <c r="BP105" s="644"/>
      <c r="BQ105" s="644"/>
      <c r="BR105" s="644"/>
      <c r="BS105" s="644"/>
      <c r="BT105" s="644"/>
      <c r="BU105" s="644"/>
      <c r="BV105" s="644"/>
      <c r="BW105" s="644"/>
      <c r="BX105" s="644"/>
      <c r="BY105" s="644"/>
      <c r="BZ105" s="644"/>
      <c r="CA105" s="644"/>
      <c r="CB105" s="646">
        <f t="shared" si="51"/>
        <v>0</v>
      </c>
      <c r="CC105" s="646">
        <f t="shared" si="52"/>
        <v>0</v>
      </c>
      <c r="CD105" s="614"/>
    </row>
    <row r="106" spans="1:82" s="561" customFormat="1" ht="61.5" customHeight="1">
      <c r="A106" s="625" t="str">
        <f t="shared" si="34"/>
        <v>1107-158-FONT1107-03-01-0066-Activación del patrimonio</v>
      </c>
      <c r="B106" s="626" t="str">
        <f t="shared" si="35"/>
        <v>1107-158-FONT1107-03-01-0066</v>
      </c>
      <c r="C106" s="626" t="str">
        <f t="shared" si="36"/>
        <v>1107-158-FONT1107-Activación del patrimonio</v>
      </c>
      <c r="D106" s="626" t="str">
        <f t="shared" si="37"/>
        <v>1107-158-12-Otros Distrito-03-01-0066</v>
      </c>
      <c r="E106" s="626" t="str">
        <f t="shared" si="38"/>
        <v>Activación del patrimonio-12-Otros Distrito-0066-Fomento, apoyo y divulgación de eventos y expresiones artísticas, culturales y del patrimonio</v>
      </c>
      <c r="F106" s="627">
        <v>69</v>
      </c>
      <c r="G106" s="628">
        <f t="shared" si="39"/>
        <v>69</v>
      </c>
      <c r="H106" s="629" t="b">
        <f t="shared" si="40"/>
        <v>0</v>
      </c>
      <c r="I106" s="630" t="s">
        <v>594</v>
      </c>
      <c r="J106" s="627" t="s">
        <v>27</v>
      </c>
      <c r="K106" s="631" t="str">
        <f>+IFERROR(VLOOKUP(J106,Listas!$A$108:$B$114,2,FALSE),"Alerta: Seleccione la celda en la comumna B con el nombre del proyecto")</f>
        <v>3-3-1-15-03-25-1107-158</v>
      </c>
      <c r="L106" s="632" t="s">
        <v>670</v>
      </c>
      <c r="M106" s="633" t="s">
        <v>671</v>
      </c>
      <c r="N106" s="634" t="str">
        <f t="shared" si="41"/>
        <v>(Cód. 69) Adquisición de material bibliográfico requerido para el incremento de los fondos documentales del Centro de Dcumentación del Instituto Distrital de Patrimonio Cultural.</v>
      </c>
      <c r="O106" s="635">
        <v>43535</v>
      </c>
      <c r="P106" s="636">
        <f>IFERROR(VLOOKUP(W106,'Estimación CRP'!$D$21:$E$30,2,FALSE),0)</f>
        <v>10</v>
      </c>
      <c r="Q106" s="637">
        <f>IF(O106="No aplica","No aplica",WORKDAY.INTL(O106,P106,1,'Estimación CRP'!A292:A308))</f>
        <v>43549</v>
      </c>
      <c r="R106" s="636">
        <f t="shared" si="42"/>
        <v>3</v>
      </c>
      <c r="S106" s="636">
        <f t="shared" si="43"/>
        <v>3</v>
      </c>
      <c r="T106" s="636">
        <f t="shared" si="44"/>
        <v>3</v>
      </c>
      <c r="U106" s="712">
        <v>4</v>
      </c>
      <c r="V106" s="638">
        <v>1</v>
      </c>
      <c r="W106" s="639" t="s">
        <v>269</v>
      </c>
      <c r="X106" s="640" t="str">
        <f>IFERROR(VLOOKUP(W106,Listas!$A$60:$B$73,2,FALSE),"Alerta: Seleccione primero Modalidad de selección")</f>
        <v>CCE-16</v>
      </c>
      <c r="Y106" s="641">
        <v>0</v>
      </c>
      <c r="Z106" s="641" t="s">
        <v>346</v>
      </c>
      <c r="AA106" s="641" t="s">
        <v>1141</v>
      </c>
      <c r="AB106" s="642">
        <f t="shared" si="45"/>
        <v>10575000</v>
      </c>
      <c r="AC106" s="642">
        <f t="shared" si="46"/>
        <v>10575000</v>
      </c>
      <c r="AD106" s="641">
        <v>0</v>
      </c>
      <c r="AE106" s="643">
        <v>0</v>
      </c>
      <c r="AF106" s="639" t="s">
        <v>276</v>
      </c>
      <c r="AG106" s="639" t="s">
        <v>277</v>
      </c>
      <c r="AH106" s="639" t="s">
        <v>284</v>
      </c>
      <c r="AI106" s="626" t="str">
        <f>IFERROR(VLOOKUP(AH106,Listas!$A$77:$C$83,2,FALSE),"Alerta: Seleccione primero el responsable")</f>
        <v>3550800</v>
      </c>
      <c r="AJ106" s="640" t="str">
        <f>IFERROR(VLOOKUP(AH106,Listas!$A$77:$C$83,3,FALSE),"Alerta: Seleccione primero el responsable")</f>
        <v>margarita.castaneda@idpc.gov.co</v>
      </c>
      <c r="AK106" s="640" t="str">
        <f>IF(J106="Funcionamiento Gastos Generales","No aplica",IF(J106="Funcionamiento Servicios Personales indirectos","No aplica",IFERROR(VLOOKUP(J106,Listas!$A$127:$E$139,3,FALSE),"Alerta: Seleccione la celda en la comumna B con el nombre del proyecto")))</f>
        <v>ME20181107</v>
      </c>
      <c r="AL106" s="640" t="str">
        <f>IF(J106="Funcionamiento Gastos Generales","No aplica",IF(J106="Funcionamiento Servicios Personales","No aplica",IFERROR(VLOOKUP(J106,Listas!$A$220:$D$224,2,FALSE),"Alerta: Seleccione la celda en la comumna B con el nombre del proyecto")))</f>
        <v>COMP1107</v>
      </c>
      <c r="AM106" s="640" t="str">
        <f>IF(J106="Funcionamiento Gastos Generales","No aplica",IF(J106="Funcionamiento Servicios Personales","No aplica",IFERROR(VLOOKUP(J106,Listas!$A$220:$D$224,3,FALSE),"Alerta: Seleccione la celda en la comumna B con el nombre del proyecto")))</f>
        <v>CONC1107</v>
      </c>
      <c r="AN106" s="633" t="s">
        <v>1046</v>
      </c>
      <c r="AO106" s="633" t="s">
        <v>54</v>
      </c>
      <c r="AP106" s="634" t="str">
        <f>IFERROR(VLOOKUP(J106,Listas!$A$182:$E$215,5,FALSE),"Alerta: Seleccione la celda en la comumna B con el nombre del proyecto")</f>
        <v>13. Oferta cultural para la valoración y divulgación del patrimonio material e  inmaterial de la ciud</v>
      </c>
      <c r="AQ106" s="634" t="str">
        <f>IF(J106="Funcionamiento Gastos Generales","No aplica",IF(J106="Funcionamiento Servicios Personales","No aplica",IFERROR(VLOOKUP(J106,Listas!$A$220:$D$224,4,FALSE),"Alerta: Seleccione la celda en la comumna B con el nombre del proyecto")))</f>
        <v>FONT1107</v>
      </c>
      <c r="AR106" s="633" t="s">
        <v>198</v>
      </c>
      <c r="AS106" s="634" t="str">
        <f>IFERROR(VLOOKUP(AU106,Listas!$E$85:$L$105,7,FALSE),"Alerta: Seleccione la celda en la comumna AI con el concepto de gasto")</f>
        <v>03-RECURSO HUMANO</v>
      </c>
      <c r="AT106" s="634" t="str">
        <f>IFERROR(VLOOKUP(AU106,Listas!$E$85:$L$105,8,FALSE),"Alerta: Seleccione la celda en la comumna AI con el concepto de gasto")</f>
        <v>01-DIVULGACION, ASISTENCIA TECNICA Y CAPACITACION DE LA POBLACION</v>
      </c>
      <c r="AU106" s="633" t="s">
        <v>232</v>
      </c>
      <c r="AV106" s="634">
        <f>IFERROR(VLOOKUP(AU106,Listas!$E$85:$F$105,2,FALSE),"Alerta: Seleccione el Concepto de Gasto primero")</f>
        <v>0</v>
      </c>
      <c r="AW106" s="644">
        <v>10575000</v>
      </c>
      <c r="AX106" s="645"/>
      <c r="AY106" s="645"/>
      <c r="AZ106" s="645"/>
      <c r="BA106" s="646">
        <f t="shared" si="47"/>
        <v>10575000</v>
      </c>
      <c r="BB106" s="647"/>
      <c r="BC106" s="648"/>
      <c r="BD106" s="649"/>
      <c r="BE106" s="647"/>
      <c r="BF106" s="644"/>
      <c r="BG106" s="646">
        <f t="shared" si="48"/>
        <v>10575000</v>
      </c>
      <c r="BH106" s="650"/>
      <c r="BI106" s="647"/>
      <c r="BJ106" s="644"/>
      <c r="BK106" s="646">
        <f t="shared" si="49"/>
        <v>0</v>
      </c>
      <c r="BL106" s="651"/>
      <c r="BM106" s="652">
        <f t="shared" si="50"/>
        <v>1</v>
      </c>
      <c r="BN106" s="628"/>
      <c r="BO106" s="670"/>
      <c r="BP106" s="644"/>
      <c r="BQ106" s="644"/>
      <c r="BR106" s="644"/>
      <c r="BS106" s="644"/>
      <c r="BT106" s="644"/>
      <c r="BU106" s="644"/>
      <c r="BV106" s="644"/>
      <c r="BW106" s="644"/>
      <c r="BX106" s="644"/>
      <c r="BY106" s="644"/>
      <c r="BZ106" s="644"/>
      <c r="CA106" s="644"/>
      <c r="CB106" s="646">
        <f t="shared" si="51"/>
        <v>0</v>
      </c>
      <c r="CC106" s="646">
        <f t="shared" si="52"/>
        <v>0</v>
      </c>
      <c r="CD106" s="614"/>
    </row>
    <row r="107" spans="1:82" s="653" customFormat="1" ht="61.5" customHeight="1">
      <c r="A107" s="625" t="str">
        <f t="shared" si="34"/>
        <v>1107-158-FONT1107-03-01-0066-Museo de Bogotá en operación</v>
      </c>
      <c r="B107" s="626" t="str">
        <f t="shared" si="35"/>
        <v>1107-158-FONT1107-03-01-0066</v>
      </c>
      <c r="C107" s="626" t="str">
        <f t="shared" si="36"/>
        <v>1107-158-FONT1107-Museo de Bogotá en operación</v>
      </c>
      <c r="D107" s="626" t="str">
        <f t="shared" si="37"/>
        <v>1107-158-12-Otros Distrito-03-01-0066</v>
      </c>
      <c r="E107" s="626" t="str">
        <f t="shared" si="38"/>
        <v>Museo de Bogotá en operación-12-Otros Distrito-0066-Fomento, apoyo y divulgación de eventos y expresiones artísticas, culturales y del patrimonio</v>
      </c>
      <c r="F107" s="627">
        <v>70</v>
      </c>
      <c r="G107" s="628">
        <f t="shared" si="39"/>
        <v>70</v>
      </c>
      <c r="H107" s="629" t="b">
        <f t="shared" si="40"/>
        <v>0</v>
      </c>
      <c r="I107" s="630" t="s">
        <v>594</v>
      </c>
      <c r="J107" s="627" t="s">
        <v>27</v>
      </c>
      <c r="K107" s="631" t="str">
        <f>+IFERROR(VLOOKUP(J107,Listas!$A$108:$B$114,2,FALSE),"Alerta: Seleccione la celda en la comumna B con el nombre del proyecto")</f>
        <v>3-3-1-15-03-25-1107-158</v>
      </c>
      <c r="L107" s="632" t="s">
        <v>672</v>
      </c>
      <c r="M107" s="633" t="s">
        <v>673</v>
      </c>
      <c r="N107" s="634" t="str">
        <f t="shared" si="41"/>
        <v>(Cód. 70) Contratar la adquisición de licencias de software para los equipos de cómputo de Instituto Distrital de Patrimonio Cultural.</v>
      </c>
      <c r="O107" s="635">
        <v>43539</v>
      </c>
      <c r="P107" s="636">
        <f>IFERROR(VLOOKUP(W107,'Estimación CRP'!$D$21:$E$30,2,FALSE),0)</f>
        <v>45</v>
      </c>
      <c r="Q107" s="637">
        <f>IF(O107="No aplica","No aplica",WORKDAY.INTL(O107,P107,1,'Estimación CRP'!A293:A309))</f>
        <v>43602</v>
      </c>
      <c r="R107" s="636">
        <f t="shared" si="42"/>
        <v>5</v>
      </c>
      <c r="S107" s="636">
        <f t="shared" si="43"/>
        <v>3</v>
      </c>
      <c r="T107" s="636">
        <f t="shared" si="44"/>
        <v>3</v>
      </c>
      <c r="U107" s="712">
        <v>1</v>
      </c>
      <c r="V107" s="638">
        <v>1</v>
      </c>
      <c r="W107" s="639" t="s">
        <v>348</v>
      </c>
      <c r="X107" s="640" t="str">
        <f>IFERROR(VLOOKUP(W107,Listas!$A$60:$B$73,2,FALSE),"Alerta: Seleccione primero Modalidad de selección")</f>
        <v>CCE-06</v>
      </c>
      <c r="Y107" s="641">
        <v>0</v>
      </c>
      <c r="Z107" s="641" t="s">
        <v>1142</v>
      </c>
      <c r="AA107" s="641" t="s">
        <v>1143</v>
      </c>
      <c r="AB107" s="642">
        <f t="shared" si="45"/>
        <v>40000000</v>
      </c>
      <c r="AC107" s="642">
        <f t="shared" si="46"/>
        <v>40000000</v>
      </c>
      <c r="AD107" s="641">
        <v>0</v>
      </c>
      <c r="AE107" s="643">
        <v>0</v>
      </c>
      <c r="AF107" s="639" t="s">
        <v>276</v>
      </c>
      <c r="AG107" s="639" t="s">
        <v>277</v>
      </c>
      <c r="AH107" s="639" t="s">
        <v>284</v>
      </c>
      <c r="AI107" s="626" t="str">
        <f>IFERROR(VLOOKUP(AH107,Listas!$A$77:$C$83,2,FALSE),"Alerta: Seleccione primero el responsable")</f>
        <v>3550800</v>
      </c>
      <c r="AJ107" s="640" t="str">
        <f>IFERROR(VLOOKUP(AH107,Listas!$A$77:$C$83,3,FALSE),"Alerta: Seleccione primero el responsable")</f>
        <v>margarita.castaneda@idpc.gov.co</v>
      </c>
      <c r="AK107" s="640" t="str">
        <f>IF(J107="Funcionamiento Gastos Generales","No aplica",IF(J107="Funcionamiento Servicios Personales indirectos","No aplica",IFERROR(VLOOKUP(J107,Listas!$A$127:$E$139,3,FALSE),"Alerta: Seleccione la celda en la comumna B con el nombre del proyecto")))</f>
        <v>ME20181107</v>
      </c>
      <c r="AL107" s="640" t="str">
        <f>IF(J107="Funcionamiento Gastos Generales","No aplica",IF(J107="Funcionamiento Servicios Personales","No aplica",IFERROR(VLOOKUP(J107,Listas!$A$220:$D$224,2,FALSE),"Alerta: Seleccione la celda en la comumna B con el nombre del proyecto")))</f>
        <v>COMP1107</v>
      </c>
      <c r="AM107" s="640" t="str">
        <f>IF(J107="Funcionamiento Gastos Generales","No aplica",IF(J107="Funcionamiento Servicios Personales","No aplica",IFERROR(VLOOKUP(J107,Listas!$A$220:$D$224,3,FALSE),"Alerta: Seleccione la celda en la comumna B con el nombre del proyecto")))</f>
        <v>CONC1107</v>
      </c>
      <c r="AN107" s="633" t="s">
        <v>1047</v>
      </c>
      <c r="AO107" s="633" t="s">
        <v>53</v>
      </c>
      <c r="AP107" s="634" t="str">
        <f>IFERROR(VLOOKUP(J107,Listas!$A$182:$E$215,5,FALSE),"Alerta: Seleccione la celda en la comumna B con el nombre del proyecto")</f>
        <v>13. Oferta cultural para la valoración y divulgación del patrimonio material e  inmaterial de la ciud</v>
      </c>
      <c r="AQ107" s="634" t="str">
        <f>IF(J107="Funcionamiento Gastos Generales","No aplica",IF(J107="Funcionamiento Servicios Personales","No aplica",IFERROR(VLOOKUP(J107,Listas!$A$220:$D$224,4,FALSE),"Alerta: Seleccione la celda en la comumna B con el nombre del proyecto")))</f>
        <v>FONT1107</v>
      </c>
      <c r="AR107" s="633" t="s">
        <v>198</v>
      </c>
      <c r="AS107" s="634" t="str">
        <f>IFERROR(VLOOKUP(AU107,Listas!$E$85:$L$105,7,FALSE),"Alerta: Seleccione la celda en la comumna AI con el concepto de gasto")</f>
        <v>03-RECURSO HUMANO</v>
      </c>
      <c r="AT107" s="634" t="str">
        <f>IFERROR(VLOOKUP(AU107,Listas!$E$85:$L$105,8,FALSE),"Alerta: Seleccione la celda en la comumna AI con el concepto de gasto")</f>
        <v>01-DIVULGACION, ASISTENCIA TECNICA Y CAPACITACION DE LA POBLACION</v>
      </c>
      <c r="AU107" s="633" t="s">
        <v>232</v>
      </c>
      <c r="AV107" s="634">
        <f>IFERROR(VLOOKUP(AU107,Listas!$E$85:$F$105,2,FALSE),"Alerta: Seleccione el Concepto de Gasto primero")</f>
        <v>0</v>
      </c>
      <c r="AW107" s="644">
        <v>40000000</v>
      </c>
      <c r="AX107" s="645"/>
      <c r="AY107" s="645"/>
      <c r="AZ107" s="645"/>
      <c r="BA107" s="646">
        <f t="shared" si="47"/>
        <v>40000000</v>
      </c>
      <c r="BB107" s="647"/>
      <c r="BC107" s="648"/>
      <c r="BD107" s="649"/>
      <c r="BE107" s="647"/>
      <c r="BF107" s="644"/>
      <c r="BG107" s="646">
        <f t="shared" si="48"/>
        <v>40000000</v>
      </c>
      <c r="BH107" s="650"/>
      <c r="BI107" s="647"/>
      <c r="BJ107" s="644"/>
      <c r="BK107" s="646">
        <f t="shared" si="49"/>
        <v>0</v>
      </c>
      <c r="BL107" s="651"/>
      <c r="BM107" s="652">
        <f t="shared" si="50"/>
        <v>1</v>
      </c>
      <c r="BN107" s="628"/>
      <c r="BO107" s="670"/>
      <c r="BP107" s="644"/>
      <c r="BQ107" s="644"/>
      <c r="BR107" s="644"/>
      <c r="BS107" s="644"/>
      <c r="BT107" s="644"/>
      <c r="BU107" s="644"/>
      <c r="BV107" s="644"/>
      <c r="BW107" s="644"/>
      <c r="BX107" s="644"/>
      <c r="BY107" s="644"/>
      <c r="BZ107" s="644"/>
      <c r="CA107" s="644"/>
      <c r="CB107" s="646">
        <f t="shared" si="51"/>
        <v>0</v>
      </c>
      <c r="CC107" s="646">
        <f t="shared" si="52"/>
        <v>0</v>
      </c>
      <c r="CD107" s="614"/>
    </row>
    <row r="108" spans="1:82" s="653" customFormat="1" ht="61.5" customHeight="1">
      <c r="A108" s="625" t="str">
        <f t="shared" si="34"/>
        <v>1107-158-FONT1107-04-01-0185-Estímulos a iniciativas de la ciudadanía en temas de patrimonio cultural</v>
      </c>
      <c r="B108" s="626" t="str">
        <f t="shared" si="35"/>
        <v>1107-158-FONT1107-04-01-0185</v>
      </c>
      <c r="C108" s="626" t="str">
        <f t="shared" si="36"/>
        <v>1107-158-FONT1107-Estímulos a iniciativas de la ciudadanía en temas de patrimonio cultural</v>
      </c>
      <c r="D108" s="626" t="str">
        <f t="shared" si="37"/>
        <v>1107-158-12-Otros Distrito-04-01-0185</v>
      </c>
      <c r="E108" s="626" t="str">
        <f t="shared" si="38"/>
        <v>Estímulos a iniciativas de la ciudadanía en temas de patrimonio cultural-12-Otros Distrito-0185-Actividades de investigación para la valoración, protección, conservación, sostenibilidad y apropiación del Patrimonio Cultural</v>
      </c>
      <c r="F108" s="627">
        <v>71</v>
      </c>
      <c r="G108" s="628">
        <f t="shared" si="39"/>
        <v>71</v>
      </c>
      <c r="H108" s="629" t="b">
        <f t="shared" si="40"/>
        <v>0</v>
      </c>
      <c r="I108" s="630" t="s">
        <v>594</v>
      </c>
      <c r="J108" s="627" t="s">
        <v>27</v>
      </c>
      <c r="K108" s="631" t="str">
        <f>+IFERROR(VLOOKUP(J108,Listas!$A$108:$B$114,2,FALSE),"Alerta: Seleccione la celda en la comumna B con el nombre del proyecto")</f>
        <v>3-3-1-15-03-25-1107-158</v>
      </c>
      <c r="L108" s="632" t="s">
        <v>618</v>
      </c>
      <c r="M108" s="633" t="s">
        <v>674</v>
      </c>
      <c r="N108" s="634" t="str">
        <f t="shared" si="41"/>
        <v>(Cód. 71) Prestar servicios profesionales al Instituto Distrital de Patrimonio Cultural para orientar la estructuración e implementación de las acciones de fomento a las prácticas del patrimonio cultural.</v>
      </c>
      <c r="O108" s="635">
        <v>43480</v>
      </c>
      <c r="P108" s="636">
        <f>IFERROR(VLOOKUP(W108,'Estimación CRP'!$D$21:$E$30,2,FALSE),0)</f>
        <v>10</v>
      </c>
      <c r="Q108" s="637">
        <f>IF(O108="No aplica","No aplica",WORKDAY.INTL(O108,P108,1,'Estimación CRP'!A294:A310))</f>
        <v>43494</v>
      </c>
      <c r="R108" s="636">
        <f t="shared" si="42"/>
        <v>1</v>
      </c>
      <c r="S108" s="636">
        <f t="shared" si="43"/>
        <v>1</v>
      </c>
      <c r="T108" s="636">
        <f t="shared" si="44"/>
        <v>1</v>
      </c>
      <c r="U108" s="712">
        <v>11</v>
      </c>
      <c r="V108" s="638">
        <v>1</v>
      </c>
      <c r="W108" s="639" t="s">
        <v>274</v>
      </c>
      <c r="X108" s="640" t="str">
        <f>IFERROR(VLOOKUP(W108,Listas!$A$60:$B$73,2,FALSE),"Alerta: Seleccione primero Modalidad de selección")</f>
        <v>CCE-16</v>
      </c>
      <c r="Y108" s="641">
        <v>0</v>
      </c>
      <c r="Z108" s="641" t="s">
        <v>346</v>
      </c>
      <c r="AA108" s="641" t="s">
        <v>1144</v>
      </c>
      <c r="AB108" s="642">
        <f t="shared" si="45"/>
        <v>73645000</v>
      </c>
      <c r="AC108" s="642">
        <f t="shared" si="46"/>
        <v>73645000</v>
      </c>
      <c r="AD108" s="641">
        <v>0</v>
      </c>
      <c r="AE108" s="643">
        <v>0</v>
      </c>
      <c r="AF108" s="639" t="s">
        <v>276</v>
      </c>
      <c r="AG108" s="639" t="s">
        <v>277</v>
      </c>
      <c r="AH108" s="639" t="s">
        <v>284</v>
      </c>
      <c r="AI108" s="626" t="str">
        <f>IFERROR(VLOOKUP(AH108,Listas!$A$77:$C$83,2,FALSE),"Alerta: Seleccione primero el responsable")</f>
        <v>3550800</v>
      </c>
      <c r="AJ108" s="640" t="str">
        <f>IFERROR(VLOOKUP(AH108,Listas!$A$77:$C$83,3,FALSE),"Alerta: Seleccione primero el responsable")</f>
        <v>margarita.castaneda@idpc.gov.co</v>
      </c>
      <c r="AK108" s="640" t="str">
        <f>IF(J108="Funcionamiento Gastos Generales","No aplica",IF(J108="Funcionamiento Servicios Personales indirectos","No aplica",IFERROR(VLOOKUP(J108,Listas!$A$127:$E$139,3,FALSE),"Alerta: Seleccione la celda en la comumna B con el nombre del proyecto")))</f>
        <v>ME20181107</v>
      </c>
      <c r="AL108" s="640" t="str">
        <f>IF(J108="Funcionamiento Gastos Generales","No aplica",IF(J108="Funcionamiento Servicios Personales","No aplica",IFERROR(VLOOKUP(J108,Listas!$A$220:$D$224,2,FALSE),"Alerta: Seleccione la celda en la comumna B con el nombre del proyecto")))</f>
        <v>COMP1107</v>
      </c>
      <c r="AM108" s="640" t="str">
        <f>IF(J108="Funcionamiento Gastos Generales","No aplica",IF(J108="Funcionamiento Servicios Personales","No aplica",IFERROR(VLOOKUP(J108,Listas!$A$220:$D$224,3,FALSE),"Alerta: Seleccione la celda en la comumna B con el nombre del proyecto")))</f>
        <v>CONC1107</v>
      </c>
      <c r="AN108" s="633" t="s">
        <v>1048</v>
      </c>
      <c r="AO108" s="633" t="s">
        <v>122</v>
      </c>
      <c r="AP108" s="634" t="str">
        <f>IFERROR(VLOOKUP(J108,Listas!$A$182:$E$215,5,FALSE),"Alerta: Seleccione la celda en la comumna B con el nombre del proyecto")</f>
        <v>13. Oferta cultural para la valoración y divulgación del patrimonio material e  inmaterial de la ciud</v>
      </c>
      <c r="AQ108" s="634" t="str">
        <f>IF(J108="Funcionamiento Gastos Generales","No aplica",IF(J108="Funcionamiento Servicios Personales","No aplica",IFERROR(VLOOKUP(J108,Listas!$A$220:$D$224,4,FALSE),"Alerta: Seleccione la celda en la comumna B con el nombre del proyecto")))</f>
        <v>FONT1107</v>
      </c>
      <c r="AR108" s="633" t="s">
        <v>198</v>
      </c>
      <c r="AS108" s="634" t="str">
        <f>IFERROR(VLOOKUP(AU108,Listas!$E$85:$L$105,7,FALSE),"Alerta: Seleccione la celda en la comumna AI con el concepto de gasto")</f>
        <v>04-INVESTIGACION Y ESTUDIOS</v>
      </c>
      <c r="AT108" s="634" t="str">
        <f>IFERROR(VLOOKUP(AU108,Listas!$E$85:$L$105,8,FALSE),"Alerta: Seleccione la celda en la comumna AI con el concepto de gasto")</f>
        <v>01-INVESTIGACIÓN BÁSICA APLICADA Y ESTUDIOS PROPIOS DEL SECTOR</v>
      </c>
      <c r="AU108" s="633" t="s">
        <v>201</v>
      </c>
      <c r="AV108" s="634">
        <f>IFERROR(VLOOKUP(AU108,Listas!$E$85:$F$105,2,FALSE),"Alerta: Seleccione el Concepto de Gasto primero")</f>
        <v>0</v>
      </c>
      <c r="AW108" s="644">
        <v>73645000</v>
      </c>
      <c r="AX108" s="645"/>
      <c r="AY108" s="645"/>
      <c r="AZ108" s="645"/>
      <c r="BA108" s="646">
        <f t="shared" si="47"/>
        <v>73645000</v>
      </c>
      <c r="BB108" s="647"/>
      <c r="BC108" s="648"/>
      <c r="BD108" s="649"/>
      <c r="BE108" s="647"/>
      <c r="BF108" s="644"/>
      <c r="BG108" s="646">
        <f t="shared" si="48"/>
        <v>73645000</v>
      </c>
      <c r="BH108" s="650"/>
      <c r="BI108" s="647"/>
      <c r="BJ108" s="644"/>
      <c r="BK108" s="646">
        <f t="shared" si="49"/>
        <v>0</v>
      </c>
      <c r="BL108" s="651"/>
      <c r="BM108" s="652">
        <f t="shared" si="50"/>
        <v>1</v>
      </c>
      <c r="BN108" s="628"/>
      <c r="BO108" s="670"/>
      <c r="BP108" s="644"/>
      <c r="BQ108" s="644"/>
      <c r="BR108" s="644"/>
      <c r="BS108" s="644"/>
      <c r="BT108" s="644"/>
      <c r="BU108" s="644"/>
      <c r="BV108" s="644"/>
      <c r="BW108" s="644"/>
      <c r="BX108" s="644"/>
      <c r="BY108" s="644"/>
      <c r="BZ108" s="644"/>
      <c r="CA108" s="644"/>
      <c r="CB108" s="646">
        <f t="shared" si="51"/>
        <v>0</v>
      </c>
      <c r="CC108" s="646">
        <f t="shared" si="52"/>
        <v>0</v>
      </c>
      <c r="CD108" s="614"/>
    </row>
    <row r="109" spans="1:82" s="561" customFormat="1" ht="61.5" customHeight="1">
      <c r="A109" s="625" t="str">
        <f t="shared" si="34"/>
        <v>1107-158-FONT1107-03-01-0066-Activación del patrimonio</v>
      </c>
      <c r="B109" s="626" t="str">
        <f t="shared" si="35"/>
        <v>1107-158-FONT1107-03-01-0066</v>
      </c>
      <c r="C109" s="626" t="str">
        <f t="shared" si="36"/>
        <v>1107-158-FONT1107-Activación del patrimonio</v>
      </c>
      <c r="D109" s="626" t="str">
        <f t="shared" si="37"/>
        <v>1107-158-12-Otros Distrito-03-01-0066</v>
      </c>
      <c r="E109" s="626" t="str">
        <f t="shared" si="38"/>
        <v>Activación del patrimonio-12-Otros Distrito-0066-Fomento, apoyo y divulgación de eventos y expresiones artísticas, culturales y del patrimonio</v>
      </c>
      <c r="F109" s="627">
        <v>72</v>
      </c>
      <c r="G109" s="628">
        <f t="shared" si="39"/>
        <v>72</v>
      </c>
      <c r="H109" s="629" t="b">
        <f t="shared" si="40"/>
        <v>0</v>
      </c>
      <c r="I109" s="630" t="s">
        <v>594</v>
      </c>
      <c r="J109" s="627" t="s">
        <v>27</v>
      </c>
      <c r="K109" s="631" t="str">
        <f>+IFERROR(VLOOKUP(J109,Listas!$A$108:$B$114,2,FALSE),"Alerta: Seleccione la celda en la comumna B con el nombre del proyecto")</f>
        <v>3-3-1-15-03-25-1107-158</v>
      </c>
      <c r="L109" s="632" t="s">
        <v>618</v>
      </c>
      <c r="M109" s="633" t="s">
        <v>619</v>
      </c>
      <c r="N109" s="634" t="str">
        <f t="shared" si="41"/>
        <v>(Cód. 72) Prestar servicios profesionales al Instituto Distrital de Patrimonio Cultural como apoyo a la gestión en los procesos editoriales y de investigación desarrollados por la Subdirección de Divulgación de los Valores del Patrimonio Cultural.</v>
      </c>
      <c r="O109" s="635">
        <v>43511</v>
      </c>
      <c r="P109" s="636">
        <f>IFERROR(VLOOKUP(W109,'Estimación CRP'!$D$21:$E$30,2,FALSE),0)</f>
        <v>10</v>
      </c>
      <c r="Q109" s="637">
        <f>IF(O109="No aplica","No aplica",WORKDAY.INTL(O109,P109,1,'Estimación CRP'!A295:A311))</f>
        <v>43525</v>
      </c>
      <c r="R109" s="636">
        <f t="shared" si="42"/>
        <v>3</v>
      </c>
      <c r="S109" s="636">
        <f t="shared" si="43"/>
        <v>2</v>
      </c>
      <c r="T109" s="636">
        <f t="shared" si="44"/>
        <v>2</v>
      </c>
      <c r="U109" s="712">
        <v>9</v>
      </c>
      <c r="V109" s="638">
        <v>1</v>
      </c>
      <c r="W109" s="639" t="s">
        <v>274</v>
      </c>
      <c r="X109" s="640" t="str">
        <f>IFERROR(VLOOKUP(W109,Listas!$A$60:$B$73,2,FALSE),"Alerta: Seleccione primero Modalidad de selección")</f>
        <v>CCE-16</v>
      </c>
      <c r="Y109" s="641">
        <v>0</v>
      </c>
      <c r="Z109" s="641" t="s">
        <v>346</v>
      </c>
      <c r="AA109" s="641" t="s">
        <v>1145</v>
      </c>
      <c r="AB109" s="642">
        <f t="shared" si="45"/>
        <v>37800000</v>
      </c>
      <c r="AC109" s="642">
        <f t="shared" si="46"/>
        <v>37800000</v>
      </c>
      <c r="AD109" s="641">
        <v>0</v>
      </c>
      <c r="AE109" s="643">
        <v>0</v>
      </c>
      <c r="AF109" s="639" t="s">
        <v>276</v>
      </c>
      <c r="AG109" s="639" t="s">
        <v>277</v>
      </c>
      <c r="AH109" s="639" t="s">
        <v>284</v>
      </c>
      <c r="AI109" s="626" t="str">
        <f>IFERROR(VLOOKUP(AH109,Listas!$A$77:$C$83,2,FALSE),"Alerta: Seleccione primero el responsable")</f>
        <v>3550800</v>
      </c>
      <c r="AJ109" s="640" t="str">
        <f>IFERROR(VLOOKUP(AH109,Listas!$A$77:$C$83,3,FALSE),"Alerta: Seleccione primero el responsable")</f>
        <v>margarita.castaneda@idpc.gov.co</v>
      </c>
      <c r="AK109" s="640" t="str">
        <f>IF(J109="Funcionamiento Gastos Generales","No aplica",IF(J109="Funcionamiento Servicios Personales indirectos","No aplica",IFERROR(VLOOKUP(J109,Listas!$A$127:$E$139,3,FALSE),"Alerta: Seleccione la celda en la comumna B con el nombre del proyecto")))</f>
        <v>ME20181107</v>
      </c>
      <c r="AL109" s="640" t="str">
        <f>IF(J109="Funcionamiento Gastos Generales","No aplica",IF(J109="Funcionamiento Servicios Personales","No aplica",IFERROR(VLOOKUP(J109,Listas!$A$220:$D$224,2,FALSE),"Alerta: Seleccione la celda en la comumna B con el nombre del proyecto")))</f>
        <v>COMP1107</v>
      </c>
      <c r="AM109" s="640" t="str">
        <f>IF(J109="Funcionamiento Gastos Generales","No aplica",IF(J109="Funcionamiento Servicios Personales","No aplica",IFERROR(VLOOKUP(J109,Listas!$A$220:$D$224,3,FALSE),"Alerta: Seleccione la celda en la comumna B con el nombre del proyecto")))</f>
        <v>CONC1107</v>
      </c>
      <c r="AN109" s="633" t="s">
        <v>1046</v>
      </c>
      <c r="AO109" s="633" t="s">
        <v>54</v>
      </c>
      <c r="AP109" s="634" t="str">
        <f>IFERROR(VLOOKUP(J109,Listas!$A$182:$E$215,5,FALSE),"Alerta: Seleccione la celda en la comumna B con el nombre del proyecto")</f>
        <v>13. Oferta cultural para la valoración y divulgación del patrimonio material e  inmaterial de la ciud</v>
      </c>
      <c r="AQ109" s="634" t="str">
        <f>IF(J109="Funcionamiento Gastos Generales","No aplica",IF(J109="Funcionamiento Servicios Personales","No aplica",IFERROR(VLOOKUP(J109,Listas!$A$220:$D$224,4,FALSE),"Alerta: Seleccione la celda en la comumna B con el nombre del proyecto")))</f>
        <v>FONT1107</v>
      </c>
      <c r="AR109" s="633" t="s">
        <v>198</v>
      </c>
      <c r="AS109" s="634" t="str">
        <f>IFERROR(VLOOKUP(AU109,Listas!$E$85:$L$105,7,FALSE),"Alerta: Seleccione la celda en la comumna AI con el concepto de gasto")</f>
        <v>03-RECURSO HUMANO</v>
      </c>
      <c r="AT109" s="634" t="str">
        <f>IFERROR(VLOOKUP(AU109,Listas!$E$85:$L$105,8,FALSE),"Alerta: Seleccione la celda en la comumna AI con el concepto de gasto")</f>
        <v>01-DIVULGACION, ASISTENCIA TECNICA Y CAPACITACION DE LA POBLACION</v>
      </c>
      <c r="AU109" s="633" t="s">
        <v>232</v>
      </c>
      <c r="AV109" s="634">
        <f>IFERROR(VLOOKUP(AU109,Listas!$E$85:$F$105,2,FALSE),"Alerta: Seleccione el Concepto de Gasto primero")</f>
        <v>0</v>
      </c>
      <c r="AW109" s="644">
        <v>37800000</v>
      </c>
      <c r="AX109" s="645"/>
      <c r="AY109" s="645"/>
      <c r="AZ109" s="645"/>
      <c r="BA109" s="646">
        <f t="shared" si="47"/>
        <v>37800000</v>
      </c>
      <c r="BB109" s="647"/>
      <c r="BC109" s="648"/>
      <c r="BD109" s="649"/>
      <c r="BE109" s="647"/>
      <c r="BF109" s="644"/>
      <c r="BG109" s="646">
        <f t="shared" si="48"/>
        <v>37800000</v>
      </c>
      <c r="BH109" s="650"/>
      <c r="BI109" s="647"/>
      <c r="BJ109" s="644"/>
      <c r="BK109" s="646">
        <f t="shared" si="49"/>
        <v>0</v>
      </c>
      <c r="BL109" s="651"/>
      <c r="BM109" s="652">
        <f t="shared" si="50"/>
        <v>1</v>
      </c>
      <c r="BN109" s="628"/>
      <c r="BO109" s="670"/>
      <c r="BP109" s="644"/>
      <c r="BQ109" s="644"/>
      <c r="BR109" s="644"/>
      <c r="BS109" s="644"/>
      <c r="BT109" s="644"/>
      <c r="BU109" s="644"/>
      <c r="BV109" s="644"/>
      <c r="BW109" s="644"/>
      <c r="BX109" s="644"/>
      <c r="BY109" s="644"/>
      <c r="BZ109" s="644"/>
      <c r="CA109" s="644"/>
      <c r="CB109" s="646">
        <f t="shared" si="51"/>
        <v>0</v>
      </c>
      <c r="CC109" s="646">
        <f t="shared" si="52"/>
        <v>0</v>
      </c>
      <c r="CD109" s="614"/>
    </row>
    <row r="110" spans="1:82" s="653" customFormat="1" ht="61.5" customHeight="1">
      <c r="A110" s="625" t="str">
        <f t="shared" si="34"/>
        <v>1107-158-FONT1107-03-01-0066-Activación del patrimonio</v>
      </c>
      <c r="B110" s="626" t="str">
        <f t="shared" si="35"/>
        <v>1107-158-FONT1107-03-01-0066</v>
      </c>
      <c r="C110" s="626" t="str">
        <f t="shared" si="36"/>
        <v>1107-158-FONT1107-Activación del patrimonio</v>
      </c>
      <c r="D110" s="626" t="str">
        <f t="shared" si="37"/>
        <v>1107-158-12-Otros Distrito-03-01-0066</v>
      </c>
      <c r="E110" s="626" t="str">
        <f t="shared" si="38"/>
        <v>Activación del patrimonio-12-Otros Distrito-0066-Fomento, apoyo y divulgación de eventos y expresiones artísticas, culturales y del patrimonio</v>
      </c>
      <c r="F110" s="627">
        <v>73</v>
      </c>
      <c r="G110" s="628">
        <f t="shared" si="39"/>
        <v>73</v>
      </c>
      <c r="H110" s="629" t="b">
        <f t="shared" si="40"/>
        <v>0</v>
      </c>
      <c r="I110" s="630" t="s">
        <v>594</v>
      </c>
      <c r="J110" s="627" t="s">
        <v>27</v>
      </c>
      <c r="K110" s="631" t="str">
        <f>+IFERROR(VLOOKUP(J110,Listas!$A$108:$B$114,2,FALSE),"Alerta: Seleccione la celda en la comumna B con el nombre del proyecto")</f>
        <v>3-3-1-15-03-25-1107-158</v>
      </c>
      <c r="L110" s="632" t="s">
        <v>618</v>
      </c>
      <c r="M110" s="633" t="s">
        <v>675</v>
      </c>
      <c r="N110" s="634" t="str">
        <f t="shared" si="41"/>
        <v>(Cód. 73) Prestar servicios profesionales al Instituto Distrital de Patrimonio Cultural para acompañar el desarrollo del componente histórico de la estrategia de apropiación social del patrimonio cultural.</v>
      </c>
      <c r="O110" s="635">
        <v>43480</v>
      </c>
      <c r="P110" s="636">
        <f>IFERROR(VLOOKUP(W110,'Estimación CRP'!$D$21:$E$30,2,FALSE),0)</f>
        <v>10</v>
      </c>
      <c r="Q110" s="637">
        <f>IF(O110="No aplica","No aplica",WORKDAY.INTL(O110,P110,1,'Estimación CRP'!A296:A312))</f>
        <v>43494</v>
      </c>
      <c r="R110" s="636">
        <f t="shared" si="42"/>
        <v>1</v>
      </c>
      <c r="S110" s="636">
        <f t="shared" si="43"/>
        <v>1</v>
      </c>
      <c r="T110" s="636">
        <f t="shared" si="44"/>
        <v>1</v>
      </c>
      <c r="U110" s="712">
        <v>11</v>
      </c>
      <c r="V110" s="638">
        <v>1</v>
      </c>
      <c r="W110" s="639" t="s">
        <v>274</v>
      </c>
      <c r="X110" s="640" t="str">
        <f>IFERROR(VLOOKUP(W110,Listas!$A$60:$B$73,2,FALSE),"Alerta: Seleccione primero Modalidad de selección")</f>
        <v>CCE-16</v>
      </c>
      <c r="Y110" s="641">
        <v>0</v>
      </c>
      <c r="Z110" s="641" t="s">
        <v>346</v>
      </c>
      <c r="AA110" s="641" t="s">
        <v>1146</v>
      </c>
      <c r="AB110" s="642">
        <f t="shared" si="45"/>
        <v>65560000</v>
      </c>
      <c r="AC110" s="642">
        <f t="shared" si="46"/>
        <v>65560000</v>
      </c>
      <c r="AD110" s="641">
        <v>0</v>
      </c>
      <c r="AE110" s="643">
        <v>0</v>
      </c>
      <c r="AF110" s="639" t="s">
        <v>276</v>
      </c>
      <c r="AG110" s="639" t="s">
        <v>277</v>
      </c>
      <c r="AH110" s="639" t="s">
        <v>284</v>
      </c>
      <c r="AI110" s="626" t="str">
        <f>IFERROR(VLOOKUP(AH110,Listas!$A$77:$C$83,2,FALSE),"Alerta: Seleccione primero el responsable")</f>
        <v>3550800</v>
      </c>
      <c r="AJ110" s="640" t="str">
        <f>IFERROR(VLOOKUP(AH110,Listas!$A$77:$C$83,3,FALSE),"Alerta: Seleccione primero el responsable")</f>
        <v>margarita.castaneda@idpc.gov.co</v>
      </c>
      <c r="AK110" s="640" t="str">
        <f>IF(J110="Funcionamiento Gastos Generales","No aplica",IF(J110="Funcionamiento Servicios Personales indirectos","No aplica",IFERROR(VLOOKUP(J110,Listas!$A$127:$E$139,3,FALSE),"Alerta: Seleccione la celda en la comumna B con el nombre del proyecto")))</f>
        <v>ME20181107</v>
      </c>
      <c r="AL110" s="640" t="str">
        <f>IF(J110="Funcionamiento Gastos Generales","No aplica",IF(J110="Funcionamiento Servicios Personales","No aplica",IFERROR(VLOOKUP(J110,Listas!$A$220:$D$224,2,FALSE),"Alerta: Seleccione la celda en la comumna B con el nombre del proyecto")))</f>
        <v>COMP1107</v>
      </c>
      <c r="AM110" s="640" t="str">
        <f>IF(J110="Funcionamiento Gastos Generales","No aplica",IF(J110="Funcionamiento Servicios Personales","No aplica",IFERROR(VLOOKUP(J110,Listas!$A$220:$D$224,3,FALSE),"Alerta: Seleccione la celda en la comumna B con el nombre del proyecto")))</f>
        <v>CONC1107</v>
      </c>
      <c r="AN110" s="633" t="s">
        <v>1046</v>
      </c>
      <c r="AO110" s="633" t="s">
        <v>54</v>
      </c>
      <c r="AP110" s="634" t="str">
        <f>IFERROR(VLOOKUP(J110,Listas!$A$182:$E$215,5,FALSE),"Alerta: Seleccione la celda en la comumna B con el nombre del proyecto")</f>
        <v>13. Oferta cultural para la valoración y divulgación del patrimonio material e  inmaterial de la ciud</v>
      </c>
      <c r="AQ110" s="634" t="str">
        <f>IF(J110="Funcionamiento Gastos Generales","No aplica",IF(J110="Funcionamiento Servicios Personales","No aplica",IFERROR(VLOOKUP(J110,Listas!$A$220:$D$224,4,FALSE),"Alerta: Seleccione la celda en la comumna B con el nombre del proyecto")))</f>
        <v>FONT1107</v>
      </c>
      <c r="AR110" s="633" t="s">
        <v>198</v>
      </c>
      <c r="AS110" s="634" t="str">
        <f>IFERROR(VLOOKUP(AU110,Listas!$E$85:$L$105,7,FALSE),"Alerta: Seleccione la celda en la comumna AI con el concepto de gasto")</f>
        <v>03-RECURSO HUMANO</v>
      </c>
      <c r="AT110" s="634" t="str">
        <f>IFERROR(VLOOKUP(AU110,Listas!$E$85:$L$105,8,FALSE),"Alerta: Seleccione la celda en la comumna AI con el concepto de gasto")</f>
        <v>01-DIVULGACION, ASISTENCIA TECNICA Y CAPACITACION DE LA POBLACION</v>
      </c>
      <c r="AU110" s="633" t="s">
        <v>232</v>
      </c>
      <c r="AV110" s="634">
        <f>IFERROR(VLOOKUP(AU110,Listas!$E$85:$F$105,2,FALSE),"Alerta: Seleccione el Concepto de Gasto primero")</f>
        <v>0</v>
      </c>
      <c r="AW110" s="644">
        <v>65560000</v>
      </c>
      <c r="AX110" s="645"/>
      <c r="AY110" s="645"/>
      <c r="AZ110" s="645"/>
      <c r="BA110" s="646">
        <f t="shared" si="47"/>
        <v>65560000</v>
      </c>
      <c r="BB110" s="647"/>
      <c r="BC110" s="648"/>
      <c r="BD110" s="649"/>
      <c r="BE110" s="647"/>
      <c r="BF110" s="644"/>
      <c r="BG110" s="646">
        <f t="shared" si="48"/>
        <v>65560000</v>
      </c>
      <c r="BH110" s="650"/>
      <c r="BI110" s="647"/>
      <c r="BJ110" s="644"/>
      <c r="BK110" s="646">
        <f t="shared" si="49"/>
        <v>0</v>
      </c>
      <c r="BL110" s="651"/>
      <c r="BM110" s="652">
        <f t="shared" si="50"/>
        <v>1</v>
      </c>
      <c r="BN110" s="628"/>
      <c r="BO110" s="670"/>
      <c r="BP110" s="644"/>
      <c r="BQ110" s="644"/>
      <c r="BR110" s="644"/>
      <c r="BS110" s="644"/>
      <c r="BT110" s="644"/>
      <c r="BU110" s="644"/>
      <c r="BV110" s="644"/>
      <c r="BW110" s="644"/>
      <c r="BX110" s="644"/>
      <c r="BY110" s="644"/>
      <c r="BZ110" s="644"/>
      <c r="CA110" s="644"/>
      <c r="CB110" s="646">
        <f t="shared" si="51"/>
        <v>0</v>
      </c>
      <c r="CC110" s="646">
        <f t="shared" si="52"/>
        <v>0</v>
      </c>
      <c r="CD110" s="614"/>
    </row>
    <row r="111" spans="1:82" s="561" customFormat="1" ht="61.5" customHeight="1">
      <c r="A111" s="625" t="str">
        <f t="shared" si="34"/>
        <v>1107-158-FONT1107-03-01-0066-Museo de Bogotá en operación</v>
      </c>
      <c r="B111" s="626" t="str">
        <f t="shared" si="35"/>
        <v>1107-158-FONT1107-03-01-0066</v>
      </c>
      <c r="C111" s="626" t="str">
        <f t="shared" si="36"/>
        <v>1107-158-FONT1107-Museo de Bogotá en operación</v>
      </c>
      <c r="D111" s="626" t="str">
        <f t="shared" si="37"/>
        <v>1107-158-12-Otros Distrito-03-01-0066</v>
      </c>
      <c r="E111" s="626" t="str">
        <f t="shared" si="38"/>
        <v>Museo de Bogotá en operación-12-Otros Distrito-0066-Fomento, apoyo y divulgación de eventos y expresiones artísticas, culturales y del patrimonio</v>
      </c>
      <c r="F111" s="627">
        <v>74</v>
      </c>
      <c r="G111" s="628">
        <f t="shared" si="39"/>
        <v>74</v>
      </c>
      <c r="H111" s="629" t="b">
        <f t="shared" si="40"/>
        <v>0</v>
      </c>
      <c r="I111" s="630" t="s">
        <v>594</v>
      </c>
      <c r="J111" s="627" t="s">
        <v>27</v>
      </c>
      <c r="K111" s="631" t="str">
        <f>+IFERROR(VLOOKUP(J111,Listas!$A$108:$B$114,2,FALSE),"Alerta: Seleccione la celda en la comumna B con el nombre del proyecto")</f>
        <v>3-3-1-15-03-25-1107-158</v>
      </c>
      <c r="L111" s="632" t="s">
        <v>618</v>
      </c>
      <c r="M111" s="633" t="s">
        <v>676</v>
      </c>
      <c r="N111" s="634" t="str">
        <f t="shared" si="41"/>
        <v>(Cód. 74) Prestar servicios profesionales al Instituto Distrital de Patrimonio Cultural para orientar la planeación e implementación de la oferta de servicios educativos y culturales del Museo de Bogotá.</v>
      </c>
      <c r="O111" s="635">
        <v>43480</v>
      </c>
      <c r="P111" s="636">
        <f>IFERROR(VLOOKUP(W111,'Estimación CRP'!$D$21:$E$30,2,FALSE),0)</f>
        <v>10</v>
      </c>
      <c r="Q111" s="637">
        <f>IF(O111="No aplica","No aplica",WORKDAY.INTL(O111,P111,1,'Estimación CRP'!A297:A313))</f>
        <v>43494</v>
      </c>
      <c r="R111" s="636">
        <f t="shared" si="42"/>
        <v>1</v>
      </c>
      <c r="S111" s="636">
        <f t="shared" si="43"/>
        <v>1</v>
      </c>
      <c r="T111" s="636">
        <f t="shared" si="44"/>
        <v>1</v>
      </c>
      <c r="U111" s="712">
        <v>11</v>
      </c>
      <c r="V111" s="638">
        <v>1</v>
      </c>
      <c r="W111" s="639" t="s">
        <v>274</v>
      </c>
      <c r="X111" s="640" t="str">
        <f>IFERROR(VLOOKUP(W111,Listas!$A$60:$B$73,2,FALSE),"Alerta: Seleccione primero Modalidad de selección")</f>
        <v>CCE-16</v>
      </c>
      <c r="Y111" s="641">
        <v>0</v>
      </c>
      <c r="Z111" s="641" t="s">
        <v>346</v>
      </c>
      <c r="AA111" s="641" t="s">
        <v>1147</v>
      </c>
      <c r="AB111" s="642">
        <f t="shared" si="45"/>
        <v>72820000</v>
      </c>
      <c r="AC111" s="642">
        <f t="shared" si="46"/>
        <v>72820000</v>
      </c>
      <c r="AD111" s="641">
        <v>0</v>
      </c>
      <c r="AE111" s="643">
        <v>0</v>
      </c>
      <c r="AF111" s="639" t="s">
        <v>276</v>
      </c>
      <c r="AG111" s="639" t="s">
        <v>277</v>
      </c>
      <c r="AH111" s="639" t="s">
        <v>284</v>
      </c>
      <c r="AI111" s="626" t="str">
        <f>IFERROR(VLOOKUP(AH111,Listas!$A$77:$C$83,2,FALSE),"Alerta: Seleccione primero el responsable")</f>
        <v>3550800</v>
      </c>
      <c r="AJ111" s="640" t="str">
        <f>IFERROR(VLOOKUP(AH111,Listas!$A$77:$C$83,3,FALSE),"Alerta: Seleccione primero el responsable")</f>
        <v>margarita.castaneda@idpc.gov.co</v>
      </c>
      <c r="AK111" s="640" t="str">
        <f>IF(J111="Funcionamiento Gastos Generales","No aplica",IF(J111="Funcionamiento Servicios Personales indirectos","No aplica",IFERROR(VLOOKUP(J111,Listas!$A$127:$E$139,3,FALSE),"Alerta: Seleccione la celda en la comumna B con el nombre del proyecto")))</f>
        <v>ME20181107</v>
      </c>
      <c r="AL111" s="640" t="str">
        <f>IF(J111="Funcionamiento Gastos Generales","No aplica",IF(J111="Funcionamiento Servicios Personales","No aplica",IFERROR(VLOOKUP(J111,Listas!$A$220:$D$224,2,FALSE),"Alerta: Seleccione la celda en la comumna B con el nombre del proyecto")))</f>
        <v>COMP1107</v>
      </c>
      <c r="AM111" s="640" t="str">
        <f>IF(J111="Funcionamiento Gastos Generales","No aplica",IF(J111="Funcionamiento Servicios Personales","No aplica",IFERROR(VLOOKUP(J111,Listas!$A$220:$D$224,3,FALSE),"Alerta: Seleccione la celda en la comumna B con el nombre del proyecto")))</f>
        <v>CONC1107</v>
      </c>
      <c r="AN111" s="633" t="s">
        <v>1047</v>
      </c>
      <c r="AO111" s="633" t="s">
        <v>53</v>
      </c>
      <c r="AP111" s="634" t="str">
        <f>IFERROR(VLOOKUP(J111,Listas!$A$182:$E$215,5,FALSE),"Alerta: Seleccione la celda en la comumna B con el nombre del proyecto")</f>
        <v>13. Oferta cultural para la valoración y divulgación del patrimonio material e  inmaterial de la ciud</v>
      </c>
      <c r="AQ111" s="634" t="str">
        <f>IF(J111="Funcionamiento Gastos Generales","No aplica",IF(J111="Funcionamiento Servicios Personales","No aplica",IFERROR(VLOOKUP(J111,Listas!$A$220:$D$224,4,FALSE),"Alerta: Seleccione la celda en la comumna B con el nombre del proyecto")))</f>
        <v>FONT1107</v>
      </c>
      <c r="AR111" s="633" t="s">
        <v>198</v>
      </c>
      <c r="AS111" s="634" t="str">
        <f>IFERROR(VLOOKUP(AU111,Listas!$E$85:$L$105,7,FALSE),"Alerta: Seleccione la celda en la comumna AI con el concepto de gasto")</f>
        <v>03-RECURSO HUMANO</v>
      </c>
      <c r="AT111" s="634" t="str">
        <f>IFERROR(VLOOKUP(AU111,Listas!$E$85:$L$105,8,FALSE),"Alerta: Seleccione la celda en la comumna AI con el concepto de gasto")</f>
        <v>01-DIVULGACION, ASISTENCIA TECNICA Y CAPACITACION DE LA POBLACION</v>
      </c>
      <c r="AU111" s="633" t="s">
        <v>232</v>
      </c>
      <c r="AV111" s="634">
        <f>IFERROR(VLOOKUP(AU111,Listas!$E$85:$F$105,2,FALSE),"Alerta: Seleccione el Concepto de Gasto primero")</f>
        <v>0</v>
      </c>
      <c r="AW111" s="644">
        <v>72820000</v>
      </c>
      <c r="AX111" s="645"/>
      <c r="AY111" s="645"/>
      <c r="AZ111" s="645"/>
      <c r="BA111" s="646">
        <f t="shared" si="47"/>
        <v>72820000</v>
      </c>
      <c r="BB111" s="647"/>
      <c r="BC111" s="648"/>
      <c r="BD111" s="649"/>
      <c r="BE111" s="647"/>
      <c r="BF111" s="644"/>
      <c r="BG111" s="646">
        <f t="shared" si="48"/>
        <v>72820000</v>
      </c>
      <c r="BH111" s="650"/>
      <c r="BI111" s="647"/>
      <c r="BJ111" s="644"/>
      <c r="BK111" s="646">
        <f t="shared" si="49"/>
        <v>0</v>
      </c>
      <c r="BL111" s="651"/>
      <c r="BM111" s="652">
        <f t="shared" si="50"/>
        <v>1</v>
      </c>
      <c r="BN111" s="628"/>
      <c r="BO111" s="670"/>
      <c r="BP111" s="644"/>
      <c r="BQ111" s="644"/>
      <c r="BR111" s="644"/>
      <c r="BS111" s="644"/>
      <c r="BT111" s="644"/>
      <c r="BU111" s="644"/>
      <c r="BV111" s="644"/>
      <c r="BW111" s="644"/>
      <c r="BX111" s="644"/>
      <c r="BY111" s="644"/>
      <c r="BZ111" s="644"/>
      <c r="CA111" s="644"/>
      <c r="CB111" s="646">
        <f t="shared" si="51"/>
        <v>0</v>
      </c>
      <c r="CC111" s="646">
        <f t="shared" si="52"/>
        <v>0</v>
      </c>
      <c r="CD111" s="614"/>
    </row>
    <row r="112" spans="1:82" s="561" customFormat="1" ht="61.5" customHeight="1">
      <c r="A112" s="625" t="str">
        <f t="shared" si="34"/>
        <v>1107-158-FONT1107-03-01-0066-Museo de Bogotá en operación</v>
      </c>
      <c r="B112" s="626" t="str">
        <f t="shared" si="35"/>
        <v>1107-158-FONT1107-03-01-0066</v>
      </c>
      <c r="C112" s="626" t="str">
        <f t="shared" si="36"/>
        <v>1107-158-FONT1107-Museo de Bogotá en operación</v>
      </c>
      <c r="D112" s="626" t="str">
        <f t="shared" si="37"/>
        <v>1107-158-12-Otros Distrito-03-01-0066</v>
      </c>
      <c r="E112" s="626" t="str">
        <f t="shared" si="38"/>
        <v>Museo de Bogotá en operación-12-Otros Distrito-0066-Fomento, apoyo y divulgación de eventos y expresiones artísticas, culturales y del patrimonio</v>
      </c>
      <c r="F112" s="627">
        <v>75</v>
      </c>
      <c r="G112" s="628">
        <f t="shared" si="39"/>
        <v>75</v>
      </c>
      <c r="H112" s="629" t="b">
        <f t="shared" si="40"/>
        <v>0</v>
      </c>
      <c r="I112" s="630" t="s">
        <v>594</v>
      </c>
      <c r="J112" s="627" t="s">
        <v>27</v>
      </c>
      <c r="K112" s="631" t="str">
        <f>+IFERROR(VLOOKUP(J112,Listas!$A$108:$B$114,2,FALSE),"Alerta: Seleccione la celda en la comumna B con el nombre del proyecto")</f>
        <v>3-3-1-15-03-25-1107-158</v>
      </c>
      <c r="L112" s="632" t="s">
        <v>618</v>
      </c>
      <c r="M112" s="633" t="s">
        <v>677</v>
      </c>
      <c r="N112" s="634" t="str">
        <f t="shared" si="41"/>
        <v>(Cód. 75) Prestar servicios profesionales al Instituto Distrital de Patrimonio Cultural para llevar a cabo las actividades de registro y catalogación de la colección del Museo de Bogotá.</v>
      </c>
      <c r="O112" s="635">
        <v>43480</v>
      </c>
      <c r="P112" s="636">
        <f>IFERROR(VLOOKUP(W112,'Estimación CRP'!$D$21:$E$30,2,FALSE),0)</f>
        <v>10</v>
      </c>
      <c r="Q112" s="637">
        <f>IF(O112="No aplica","No aplica",WORKDAY.INTL(O112,P112,1,'Estimación CRP'!A298:A314))</f>
        <v>43494</v>
      </c>
      <c r="R112" s="636">
        <f t="shared" si="42"/>
        <v>1</v>
      </c>
      <c r="S112" s="636">
        <f t="shared" si="43"/>
        <v>1</v>
      </c>
      <c r="T112" s="636">
        <f t="shared" si="44"/>
        <v>1</v>
      </c>
      <c r="U112" s="712">
        <v>11</v>
      </c>
      <c r="V112" s="638">
        <v>1</v>
      </c>
      <c r="W112" s="639" t="s">
        <v>274</v>
      </c>
      <c r="X112" s="640" t="str">
        <f>IFERROR(VLOOKUP(W112,Listas!$A$60:$B$73,2,FALSE),"Alerta: Seleccione primero Modalidad de selección")</f>
        <v>CCE-16</v>
      </c>
      <c r="Y112" s="641">
        <v>0</v>
      </c>
      <c r="Z112" s="641" t="s">
        <v>346</v>
      </c>
      <c r="AA112" s="641" t="s">
        <v>1148</v>
      </c>
      <c r="AB112" s="642">
        <f t="shared" si="45"/>
        <v>60060000</v>
      </c>
      <c r="AC112" s="642">
        <f t="shared" si="46"/>
        <v>60060000</v>
      </c>
      <c r="AD112" s="641">
        <v>0</v>
      </c>
      <c r="AE112" s="643">
        <v>0</v>
      </c>
      <c r="AF112" s="639" t="s">
        <v>276</v>
      </c>
      <c r="AG112" s="639" t="s">
        <v>277</v>
      </c>
      <c r="AH112" s="639" t="s">
        <v>284</v>
      </c>
      <c r="AI112" s="626" t="str">
        <f>IFERROR(VLOOKUP(AH112,Listas!$A$77:$C$83,2,FALSE),"Alerta: Seleccione primero el responsable")</f>
        <v>3550800</v>
      </c>
      <c r="AJ112" s="640" t="str">
        <f>IFERROR(VLOOKUP(AH112,Listas!$A$77:$C$83,3,FALSE),"Alerta: Seleccione primero el responsable")</f>
        <v>margarita.castaneda@idpc.gov.co</v>
      </c>
      <c r="AK112" s="640" t="str">
        <f>IF(J112="Funcionamiento Gastos Generales","No aplica",IF(J112="Funcionamiento Servicios Personales indirectos","No aplica",IFERROR(VLOOKUP(J112,Listas!$A$127:$E$139,3,FALSE),"Alerta: Seleccione la celda en la comumna B con el nombre del proyecto")))</f>
        <v>ME20181107</v>
      </c>
      <c r="AL112" s="640" t="str">
        <f>IF(J112="Funcionamiento Gastos Generales","No aplica",IF(J112="Funcionamiento Servicios Personales","No aplica",IFERROR(VLOOKUP(J112,Listas!$A$220:$D$224,2,FALSE),"Alerta: Seleccione la celda en la comumna B con el nombre del proyecto")))</f>
        <v>COMP1107</v>
      </c>
      <c r="AM112" s="640" t="str">
        <f>IF(J112="Funcionamiento Gastos Generales","No aplica",IF(J112="Funcionamiento Servicios Personales","No aplica",IFERROR(VLOOKUP(J112,Listas!$A$220:$D$224,3,FALSE),"Alerta: Seleccione la celda en la comumna B con el nombre del proyecto")))</f>
        <v>CONC1107</v>
      </c>
      <c r="AN112" s="633" t="s">
        <v>1047</v>
      </c>
      <c r="AO112" s="633" t="s">
        <v>53</v>
      </c>
      <c r="AP112" s="634" t="str">
        <f>IFERROR(VLOOKUP(J112,Listas!$A$182:$E$215,5,FALSE),"Alerta: Seleccione la celda en la comumna B con el nombre del proyecto")</f>
        <v>13. Oferta cultural para la valoración y divulgación del patrimonio material e  inmaterial de la ciud</v>
      </c>
      <c r="AQ112" s="634" t="str">
        <f>IF(J112="Funcionamiento Gastos Generales","No aplica",IF(J112="Funcionamiento Servicios Personales","No aplica",IFERROR(VLOOKUP(J112,Listas!$A$220:$D$224,4,FALSE),"Alerta: Seleccione la celda en la comumna B con el nombre del proyecto")))</f>
        <v>FONT1107</v>
      </c>
      <c r="AR112" s="633" t="s">
        <v>198</v>
      </c>
      <c r="AS112" s="634" t="str">
        <f>IFERROR(VLOOKUP(AU112,Listas!$E$85:$L$105,7,FALSE),"Alerta: Seleccione la celda en la comumna AI con el concepto de gasto")</f>
        <v>03-RECURSO HUMANO</v>
      </c>
      <c r="AT112" s="634" t="str">
        <f>IFERROR(VLOOKUP(AU112,Listas!$E$85:$L$105,8,FALSE),"Alerta: Seleccione la celda en la comumna AI con el concepto de gasto")</f>
        <v>01-DIVULGACION, ASISTENCIA TECNICA Y CAPACITACION DE LA POBLACION</v>
      </c>
      <c r="AU112" s="633" t="s">
        <v>232</v>
      </c>
      <c r="AV112" s="634">
        <f>IFERROR(VLOOKUP(AU112,Listas!$E$85:$F$105,2,FALSE),"Alerta: Seleccione el Concepto de Gasto primero")</f>
        <v>0</v>
      </c>
      <c r="AW112" s="644">
        <v>60060000</v>
      </c>
      <c r="AX112" s="645"/>
      <c r="AY112" s="645"/>
      <c r="AZ112" s="645"/>
      <c r="BA112" s="646">
        <f t="shared" si="47"/>
        <v>60060000</v>
      </c>
      <c r="BB112" s="647"/>
      <c r="BC112" s="648"/>
      <c r="BD112" s="649"/>
      <c r="BE112" s="647"/>
      <c r="BF112" s="644"/>
      <c r="BG112" s="646">
        <f t="shared" si="48"/>
        <v>60060000</v>
      </c>
      <c r="BH112" s="650"/>
      <c r="BI112" s="647"/>
      <c r="BJ112" s="644"/>
      <c r="BK112" s="646">
        <f t="shared" si="49"/>
        <v>0</v>
      </c>
      <c r="BL112" s="651"/>
      <c r="BM112" s="652">
        <f t="shared" si="50"/>
        <v>1</v>
      </c>
      <c r="BN112" s="628"/>
      <c r="BO112" s="670"/>
      <c r="BP112" s="644"/>
      <c r="BQ112" s="644"/>
      <c r="BR112" s="644"/>
      <c r="BS112" s="644"/>
      <c r="BT112" s="644"/>
      <c r="BU112" s="644"/>
      <c r="BV112" s="644"/>
      <c r="BW112" s="644"/>
      <c r="BX112" s="644"/>
      <c r="BY112" s="644"/>
      <c r="BZ112" s="644"/>
      <c r="CA112" s="644"/>
      <c r="CB112" s="646">
        <f t="shared" si="51"/>
        <v>0</v>
      </c>
      <c r="CC112" s="646">
        <f t="shared" si="52"/>
        <v>0</v>
      </c>
      <c r="CD112" s="614"/>
    </row>
    <row r="113" spans="1:82" s="561" customFormat="1" ht="61.5" customHeight="1">
      <c r="A113" s="625" t="str">
        <f t="shared" si="34"/>
        <v>1107-158-FONT1107-03-01-0066-Museo de Bogotá en operación</v>
      </c>
      <c r="B113" s="626" t="str">
        <f t="shared" si="35"/>
        <v>1107-158-FONT1107-03-01-0066</v>
      </c>
      <c r="C113" s="626" t="str">
        <f t="shared" si="36"/>
        <v>1107-158-FONT1107-Museo de Bogotá en operación</v>
      </c>
      <c r="D113" s="626" t="str">
        <f t="shared" si="37"/>
        <v>1107-158-12-Otros Distrito-03-01-0066</v>
      </c>
      <c r="E113" s="626" t="str">
        <f t="shared" si="38"/>
        <v>Museo de Bogotá en operación-12-Otros Distrito-0066-Fomento, apoyo y divulgación de eventos y expresiones artísticas, culturales y del patrimonio</v>
      </c>
      <c r="F113" s="627">
        <v>76</v>
      </c>
      <c r="G113" s="628">
        <f t="shared" si="39"/>
        <v>76</v>
      </c>
      <c r="H113" s="629" t="b">
        <f t="shared" si="40"/>
        <v>0</v>
      </c>
      <c r="I113" s="630" t="s">
        <v>594</v>
      </c>
      <c r="J113" s="627" t="s">
        <v>27</v>
      </c>
      <c r="K113" s="631" t="str">
        <f>+IFERROR(VLOOKUP(J113,Listas!$A$108:$B$114,2,FALSE),"Alerta: Seleccione la celda en la comumna B con el nombre del proyecto")</f>
        <v>3-3-1-15-03-25-1107-158</v>
      </c>
      <c r="L113" s="632" t="s">
        <v>618</v>
      </c>
      <c r="M113" s="633" t="s">
        <v>664</v>
      </c>
      <c r="N113" s="634" t="str">
        <f t="shared" si="41"/>
        <v>(Cód. 76) Prestar servicios profesionales al Instituto Distrital de Patrimonio Cultural en la ejecución de los procesos de mediación y generación de contenidos pedagógicos del portafolio de servicios educativos y culturales del Museo de Bogotá.</v>
      </c>
      <c r="O113" s="635">
        <v>43480</v>
      </c>
      <c r="P113" s="636">
        <f>IFERROR(VLOOKUP(W113,'Estimación CRP'!$D$21:$E$30,2,FALSE),0)</f>
        <v>10</v>
      </c>
      <c r="Q113" s="637">
        <f>IF(O113="No aplica","No aplica",WORKDAY.INTL(O113,P113,1,'Estimación CRP'!A299:A315))</f>
        <v>43494</v>
      </c>
      <c r="R113" s="636">
        <f t="shared" si="42"/>
        <v>1</v>
      </c>
      <c r="S113" s="636">
        <f t="shared" si="43"/>
        <v>1</v>
      </c>
      <c r="T113" s="636">
        <f t="shared" si="44"/>
        <v>1</v>
      </c>
      <c r="U113" s="712">
        <v>3</v>
      </c>
      <c r="V113" s="638">
        <v>1</v>
      </c>
      <c r="W113" s="639" t="s">
        <v>274</v>
      </c>
      <c r="X113" s="640" t="str">
        <f>IFERROR(VLOOKUP(W113,Listas!$A$60:$B$73,2,FALSE),"Alerta: Seleccione primero Modalidad de selección")</f>
        <v>CCE-16</v>
      </c>
      <c r="Y113" s="641">
        <v>0</v>
      </c>
      <c r="Z113" s="641" t="s">
        <v>346</v>
      </c>
      <c r="AA113" s="641" t="s">
        <v>1149</v>
      </c>
      <c r="AB113" s="642">
        <f t="shared" si="45"/>
        <v>6420000</v>
      </c>
      <c r="AC113" s="642">
        <f t="shared" si="46"/>
        <v>6420000</v>
      </c>
      <c r="AD113" s="641">
        <v>0</v>
      </c>
      <c r="AE113" s="643">
        <v>0</v>
      </c>
      <c r="AF113" s="639" t="s">
        <v>276</v>
      </c>
      <c r="AG113" s="639" t="s">
        <v>277</v>
      </c>
      <c r="AH113" s="639" t="s">
        <v>284</v>
      </c>
      <c r="AI113" s="626" t="str">
        <f>IFERROR(VLOOKUP(AH113,Listas!$A$77:$C$83,2,FALSE),"Alerta: Seleccione primero el responsable")</f>
        <v>3550800</v>
      </c>
      <c r="AJ113" s="640" t="str">
        <f>IFERROR(VLOOKUP(AH113,Listas!$A$77:$C$83,3,FALSE),"Alerta: Seleccione primero el responsable")</f>
        <v>margarita.castaneda@idpc.gov.co</v>
      </c>
      <c r="AK113" s="640" t="str">
        <f>IF(J113="Funcionamiento Gastos Generales","No aplica",IF(J113="Funcionamiento Servicios Personales indirectos","No aplica",IFERROR(VLOOKUP(J113,Listas!$A$127:$E$139,3,FALSE),"Alerta: Seleccione la celda en la comumna B con el nombre del proyecto")))</f>
        <v>ME20181107</v>
      </c>
      <c r="AL113" s="640" t="str">
        <f>IF(J113="Funcionamiento Gastos Generales","No aplica",IF(J113="Funcionamiento Servicios Personales","No aplica",IFERROR(VLOOKUP(J113,Listas!$A$220:$D$224,2,FALSE),"Alerta: Seleccione la celda en la comumna B con el nombre del proyecto")))</f>
        <v>COMP1107</v>
      </c>
      <c r="AM113" s="640" t="str">
        <f>IF(J113="Funcionamiento Gastos Generales","No aplica",IF(J113="Funcionamiento Servicios Personales","No aplica",IFERROR(VLOOKUP(J113,Listas!$A$220:$D$224,3,FALSE),"Alerta: Seleccione la celda en la comumna B con el nombre del proyecto")))</f>
        <v>CONC1107</v>
      </c>
      <c r="AN113" s="633" t="s">
        <v>1047</v>
      </c>
      <c r="AO113" s="633" t="s">
        <v>53</v>
      </c>
      <c r="AP113" s="634" t="str">
        <f>IFERROR(VLOOKUP(J113,Listas!$A$182:$E$215,5,FALSE),"Alerta: Seleccione la celda en la comumna B con el nombre del proyecto")</f>
        <v>13. Oferta cultural para la valoración y divulgación del patrimonio material e  inmaterial de la ciud</v>
      </c>
      <c r="AQ113" s="634" t="str">
        <f>IF(J113="Funcionamiento Gastos Generales","No aplica",IF(J113="Funcionamiento Servicios Personales","No aplica",IFERROR(VLOOKUP(J113,Listas!$A$220:$D$224,4,FALSE),"Alerta: Seleccione la celda en la comumna B con el nombre del proyecto")))</f>
        <v>FONT1107</v>
      </c>
      <c r="AR113" s="633" t="s">
        <v>198</v>
      </c>
      <c r="AS113" s="634" t="str">
        <f>IFERROR(VLOOKUP(AU113,Listas!$E$85:$L$105,7,FALSE),"Alerta: Seleccione la celda en la comumna AI con el concepto de gasto")</f>
        <v>03-RECURSO HUMANO</v>
      </c>
      <c r="AT113" s="634" t="str">
        <f>IFERROR(VLOOKUP(AU113,Listas!$E$85:$L$105,8,FALSE),"Alerta: Seleccione la celda en la comumna AI con el concepto de gasto")</f>
        <v>01-DIVULGACION, ASISTENCIA TECNICA Y CAPACITACION DE LA POBLACION</v>
      </c>
      <c r="AU113" s="633" t="s">
        <v>232</v>
      </c>
      <c r="AV113" s="634">
        <f>IFERROR(VLOOKUP(AU113,Listas!$E$85:$F$105,2,FALSE),"Alerta: Seleccione el Concepto de Gasto primero")</f>
        <v>0</v>
      </c>
      <c r="AW113" s="644">
        <v>6420000</v>
      </c>
      <c r="AX113" s="645"/>
      <c r="AY113" s="645"/>
      <c r="AZ113" s="645"/>
      <c r="BA113" s="646">
        <f t="shared" si="47"/>
        <v>6420000</v>
      </c>
      <c r="BB113" s="647"/>
      <c r="BC113" s="648"/>
      <c r="BD113" s="649"/>
      <c r="BE113" s="647"/>
      <c r="BF113" s="644"/>
      <c r="BG113" s="646">
        <f t="shared" si="48"/>
        <v>6420000</v>
      </c>
      <c r="BH113" s="650"/>
      <c r="BI113" s="647"/>
      <c r="BJ113" s="644"/>
      <c r="BK113" s="646">
        <f t="shared" si="49"/>
        <v>0</v>
      </c>
      <c r="BL113" s="651"/>
      <c r="BM113" s="652">
        <f t="shared" si="50"/>
        <v>1</v>
      </c>
      <c r="BN113" s="628"/>
      <c r="BO113" s="670"/>
      <c r="BP113" s="644"/>
      <c r="BQ113" s="644"/>
      <c r="BR113" s="644"/>
      <c r="BS113" s="644"/>
      <c r="BT113" s="644"/>
      <c r="BU113" s="644"/>
      <c r="BV113" s="644"/>
      <c r="BW113" s="644"/>
      <c r="BX113" s="644"/>
      <c r="BY113" s="644"/>
      <c r="BZ113" s="644"/>
      <c r="CA113" s="644"/>
      <c r="CB113" s="646">
        <f t="shared" si="51"/>
        <v>0</v>
      </c>
      <c r="CC113" s="646">
        <f t="shared" si="52"/>
        <v>0</v>
      </c>
      <c r="CD113" s="614"/>
    </row>
    <row r="114" spans="1:82" s="561" customFormat="1" ht="61.5" customHeight="1">
      <c r="A114" s="625" t="str">
        <f t="shared" si="34"/>
        <v>1107-158-FONT1107-03-01-0066-Activación del patrimonio</v>
      </c>
      <c r="B114" s="626" t="str">
        <f t="shared" si="35"/>
        <v>1107-158-FONT1107-03-01-0066</v>
      </c>
      <c r="C114" s="626" t="str">
        <f t="shared" si="36"/>
        <v>1107-158-FONT1107-Activación del patrimonio</v>
      </c>
      <c r="D114" s="626" t="str">
        <f t="shared" si="37"/>
        <v>1107-158-12-Otros Distrito-03-01-0066</v>
      </c>
      <c r="E114" s="626" t="str">
        <f t="shared" si="38"/>
        <v>Activación del patrimonio-12-Otros Distrito-0066-Fomento, apoyo y divulgación de eventos y expresiones artísticas, culturales y del patrimonio</v>
      </c>
      <c r="F114" s="627">
        <v>77</v>
      </c>
      <c r="G114" s="628">
        <f t="shared" si="39"/>
        <v>77</v>
      </c>
      <c r="H114" s="629" t="b">
        <f t="shared" si="40"/>
        <v>0</v>
      </c>
      <c r="I114" s="630" t="s">
        <v>594</v>
      </c>
      <c r="J114" s="627" t="s">
        <v>27</v>
      </c>
      <c r="K114" s="631" t="str">
        <f>+IFERROR(VLOOKUP(J114,Listas!$A$108:$B$114,2,FALSE),"Alerta: Seleccione la celda en la comumna B con el nombre del proyecto")</f>
        <v>3-3-1-15-03-25-1107-158</v>
      </c>
      <c r="L114" s="632" t="s">
        <v>618</v>
      </c>
      <c r="M114" s="633" t="s">
        <v>678</v>
      </c>
      <c r="N114" s="634" t="str">
        <f t="shared" si="41"/>
        <v>(Cód. 77) Prestar servicios profesionales al Instituto Distrital de Patrimonio Cultural para apoyar las actividades de comunicación interna y organización de archivo fotográfico de la Subdirección de Divulgación de los Valores del Patrimonio Cultural.</v>
      </c>
      <c r="O114" s="635">
        <v>43483</v>
      </c>
      <c r="P114" s="636">
        <f>IFERROR(VLOOKUP(W114,'Estimación CRP'!$D$21:$E$30,2,FALSE),0)</f>
        <v>10</v>
      </c>
      <c r="Q114" s="637">
        <f>IF(O114="No aplica","No aplica",WORKDAY.INTL(O114,P114,1,'Estimación CRP'!A300:A316))</f>
        <v>43497</v>
      </c>
      <c r="R114" s="636">
        <f t="shared" si="42"/>
        <v>2</v>
      </c>
      <c r="S114" s="636">
        <f t="shared" si="43"/>
        <v>1</v>
      </c>
      <c r="T114" s="636">
        <f t="shared" si="44"/>
        <v>1</v>
      </c>
      <c r="U114" s="712">
        <v>11</v>
      </c>
      <c r="V114" s="638">
        <v>1</v>
      </c>
      <c r="W114" s="639" t="s">
        <v>274</v>
      </c>
      <c r="X114" s="640" t="str">
        <f>IFERROR(VLOOKUP(W114,Listas!$A$60:$B$73,2,FALSE),"Alerta: Seleccione primero Modalidad de selección")</f>
        <v>CCE-16</v>
      </c>
      <c r="Y114" s="641">
        <v>0</v>
      </c>
      <c r="Z114" s="641" t="s">
        <v>346</v>
      </c>
      <c r="AA114" s="641" t="s">
        <v>1150</v>
      </c>
      <c r="AB114" s="642">
        <f t="shared" si="45"/>
        <v>42900000</v>
      </c>
      <c r="AC114" s="642">
        <f t="shared" si="46"/>
        <v>42900000</v>
      </c>
      <c r="AD114" s="641">
        <v>0</v>
      </c>
      <c r="AE114" s="643">
        <v>0</v>
      </c>
      <c r="AF114" s="639" t="s">
        <v>276</v>
      </c>
      <c r="AG114" s="639" t="s">
        <v>277</v>
      </c>
      <c r="AH114" s="639" t="s">
        <v>284</v>
      </c>
      <c r="AI114" s="626" t="str">
        <f>IFERROR(VLOOKUP(AH114,Listas!$A$77:$C$83,2,FALSE),"Alerta: Seleccione primero el responsable")</f>
        <v>3550800</v>
      </c>
      <c r="AJ114" s="640" t="str">
        <f>IFERROR(VLOOKUP(AH114,Listas!$A$77:$C$83,3,FALSE),"Alerta: Seleccione primero el responsable")</f>
        <v>margarita.castaneda@idpc.gov.co</v>
      </c>
      <c r="AK114" s="640" t="str">
        <f>IF(J114="Funcionamiento Gastos Generales","No aplica",IF(J114="Funcionamiento Servicios Personales indirectos","No aplica",IFERROR(VLOOKUP(J114,Listas!$A$127:$E$139,3,FALSE),"Alerta: Seleccione la celda en la comumna B con el nombre del proyecto")))</f>
        <v>ME20181107</v>
      </c>
      <c r="AL114" s="640" t="str">
        <f>IF(J114="Funcionamiento Gastos Generales","No aplica",IF(J114="Funcionamiento Servicios Personales","No aplica",IFERROR(VLOOKUP(J114,Listas!$A$220:$D$224,2,FALSE),"Alerta: Seleccione la celda en la comumna B con el nombre del proyecto")))</f>
        <v>COMP1107</v>
      </c>
      <c r="AM114" s="640" t="str">
        <f>IF(J114="Funcionamiento Gastos Generales","No aplica",IF(J114="Funcionamiento Servicios Personales","No aplica",IFERROR(VLOOKUP(J114,Listas!$A$220:$D$224,3,FALSE),"Alerta: Seleccione la celda en la comumna B con el nombre del proyecto")))</f>
        <v>CONC1107</v>
      </c>
      <c r="AN114" s="633" t="s">
        <v>1046</v>
      </c>
      <c r="AO114" s="633" t="s">
        <v>54</v>
      </c>
      <c r="AP114" s="634" t="str">
        <f>IFERROR(VLOOKUP(J114,Listas!$A$182:$E$215,5,FALSE),"Alerta: Seleccione la celda en la comumna B con el nombre del proyecto")</f>
        <v>13. Oferta cultural para la valoración y divulgación del patrimonio material e  inmaterial de la ciud</v>
      </c>
      <c r="AQ114" s="634" t="str">
        <f>IF(J114="Funcionamiento Gastos Generales","No aplica",IF(J114="Funcionamiento Servicios Personales","No aplica",IFERROR(VLOOKUP(J114,Listas!$A$220:$D$224,4,FALSE),"Alerta: Seleccione la celda en la comumna B con el nombre del proyecto")))</f>
        <v>FONT1107</v>
      </c>
      <c r="AR114" s="633" t="s">
        <v>198</v>
      </c>
      <c r="AS114" s="634" t="str">
        <f>IFERROR(VLOOKUP(AU114,Listas!$E$85:$L$105,7,FALSE),"Alerta: Seleccione la celda en la comumna AI con el concepto de gasto")</f>
        <v>03-RECURSO HUMANO</v>
      </c>
      <c r="AT114" s="634" t="str">
        <f>IFERROR(VLOOKUP(AU114,Listas!$E$85:$L$105,8,FALSE),"Alerta: Seleccione la celda en la comumna AI con el concepto de gasto")</f>
        <v>01-DIVULGACION, ASISTENCIA TECNICA Y CAPACITACION DE LA POBLACION</v>
      </c>
      <c r="AU114" s="633" t="s">
        <v>232</v>
      </c>
      <c r="AV114" s="634">
        <f>IFERROR(VLOOKUP(AU114,Listas!$E$85:$F$105,2,FALSE),"Alerta: Seleccione el Concepto de Gasto primero")</f>
        <v>0</v>
      </c>
      <c r="AW114" s="644">
        <v>42900000</v>
      </c>
      <c r="AX114" s="645"/>
      <c r="AY114" s="645"/>
      <c r="AZ114" s="645"/>
      <c r="BA114" s="646">
        <f t="shared" si="47"/>
        <v>42900000</v>
      </c>
      <c r="BB114" s="647"/>
      <c r="BC114" s="648"/>
      <c r="BD114" s="649"/>
      <c r="BE114" s="647"/>
      <c r="BF114" s="644"/>
      <c r="BG114" s="646">
        <f t="shared" si="48"/>
        <v>42900000</v>
      </c>
      <c r="BH114" s="650"/>
      <c r="BI114" s="647"/>
      <c r="BJ114" s="644"/>
      <c r="BK114" s="646">
        <f t="shared" si="49"/>
        <v>0</v>
      </c>
      <c r="BL114" s="651"/>
      <c r="BM114" s="652">
        <f t="shared" si="50"/>
        <v>1</v>
      </c>
      <c r="BN114" s="628"/>
      <c r="BO114" s="670"/>
      <c r="BP114" s="644"/>
      <c r="BQ114" s="644"/>
      <c r="BR114" s="644"/>
      <c r="BS114" s="644"/>
      <c r="BT114" s="644"/>
      <c r="BU114" s="644"/>
      <c r="BV114" s="644"/>
      <c r="BW114" s="644"/>
      <c r="BX114" s="644"/>
      <c r="BY114" s="644"/>
      <c r="BZ114" s="644"/>
      <c r="CA114" s="644"/>
      <c r="CB114" s="646">
        <f t="shared" si="51"/>
        <v>0</v>
      </c>
      <c r="CC114" s="646">
        <f t="shared" si="52"/>
        <v>0</v>
      </c>
      <c r="CD114" s="614"/>
    </row>
    <row r="115" spans="1:82" s="561" customFormat="1" ht="61.5" customHeight="1">
      <c r="A115" s="625" t="str">
        <f t="shared" si="34"/>
        <v>1107-158-FONT1107-03-01-0066-Museo de Bogotá en operación</v>
      </c>
      <c r="B115" s="626" t="str">
        <f t="shared" si="35"/>
        <v>1107-158-FONT1107-03-01-0066</v>
      </c>
      <c r="C115" s="626" t="str">
        <f t="shared" si="36"/>
        <v>1107-158-FONT1107-Museo de Bogotá en operación</v>
      </c>
      <c r="D115" s="626" t="str">
        <f t="shared" si="37"/>
        <v>1107-158-12-Otros Distrito-03-01-0066</v>
      </c>
      <c r="E115" s="626" t="str">
        <f t="shared" si="38"/>
        <v>Museo de Bogotá en operación-12-Otros Distrito-0066-Fomento, apoyo y divulgación de eventos y expresiones artísticas, culturales y del patrimonio</v>
      </c>
      <c r="F115" s="627">
        <v>78</v>
      </c>
      <c r="G115" s="628">
        <f t="shared" si="39"/>
        <v>78</v>
      </c>
      <c r="H115" s="629" t="b">
        <f t="shared" si="40"/>
        <v>0</v>
      </c>
      <c r="I115" s="630" t="s">
        <v>594</v>
      </c>
      <c r="J115" s="627" t="s">
        <v>27</v>
      </c>
      <c r="K115" s="631" t="str">
        <f>+IFERROR(VLOOKUP(J115,Listas!$A$108:$B$114,2,FALSE),"Alerta: Seleccione la celda en la comumna B con el nombre del proyecto")</f>
        <v>3-3-1-15-03-25-1107-158</v>
      </c>
      <c r="L115" s="632" t="s">
        <v>618</v>
      </c>
      <c r="M115" s="633" t="s">
        <v>679</v>
      </c>
      <c r="N115" s="634" t="str">
        <f t="shared" si="41"/>
        <v>(Cód. 78) Prestar servicios profesionales al Instituto Distrital de Patrimonio Cultural para acompañar el diseño, programación y desarrollo de las actividades del portafolio de servicios educativos y culturales del Museo de Bogotá.</v>
      </c>
      <c r="O115" s="635">
        <v>43480</v>
      </c>
      <c r="P115" s="636">
        <f>IFERROR(VLOOKUP(W115,'Estimación CRP'!$D$21:$E$30,2,FALSE),0)</f>
        <v>10</v>
      </c>
      <c r="Q115" s="637">
        <f>IF(O115="No aplica","No aplica",WORKDAY.INTL(O115,P115,1,'Estimación CRP'!A301:A317))</f>
        <v>43494</v>
      </c>
      <c r="R115" s="636">
        <f t="shared" si="42"/>
        <v>1</v>
      </c>
      <c r="S115" s="636">
        <f t="shared" si="43"/>
        <v>1</v>
      </c>
      <c r="T115" s="636">
        <f t="shared" si="44"/>
        <v>1</v>
      </c>
      <c r="U115" s="712">
        <v>3</v>
      </c>
      <c r="V115" s="638">
        <v>1</v>
      </c>
      <c r="W115" s="639" t="s">
        <v>274</v>
      </c>
      <c r="X115" s="640" t="str">
        <f>IFERROR(VLOOKUP(W115,Listas!$A$60:$B$73,2,FALSE),"Alerta: Seleccione primero Modalidad de selección")</f>
        <v>CCE-16</v>
      </c>
      <c r="Y115" s="641">
        <v>0</v>
      </c>
      <c r="Z115" s="641" t="s">
        <v>346</v>
      </c>
      <c r="AA115" s="641" t="s">
        <v>1151</v>
      </c>
      <c r="AB115" s="642">
        <f t="shared" si="45"/>
        <v>16080000</v>
      </c>
      <c r="AC115" s="642">
        <f t="shared" si="46"/>
        <v>16080000</v>
      </c>
      <c r="AD115" s="641">
        <v>0</v>
      </c>
      <c r="AE115" s="643">
        <v>0</v>
      </c>
      <c r="AF115" s="639" t="s">
        <v>276</v>
      </c>
      <c r="AG115" s="639" t="s">
        <v>277</v>
      </c>
      <c r="AH115" s="639" t="s">
        <v>284</v>
      </c>
      <c r="AI115" s="626" t="str">
        <f>IFERROR(VLOOKUP(AH115,Listas!$A$77:$C$83,2,FALSE),"Alerta: Seleccione primero el responsable")</f>
        <v>3550800</v>
      </c>
      <c r="AJ115" s="640" t="str">
        <f>IFERROR(VLOOKUP(AH115,Listas!$A$77:$C$83,3,FALSE),"Alerta: Seleccione primero el responsable")</f>
        <v>margarita.castaneda@idpc.gov.co</v>
      </c>
      <c r="AK115" s="640" t="str">
        <f>IF(J115="Funcionamiento Gastos Generales","No aplica",IF(J115="Funcionamiento Servicios Personales indirectos","No aplica",IFERROR(VLOOKUP(J115,Listas!$A$127:$E$139,3,FALSE),"Alerta: Seleccione la celda en la comumna B con el nombre del proyecto")))</f>
        <v>ME20181107</v>
      </c>
      <c r="AL115" s="640" t="str">
        <f>IF(J115="Funcionamiento Gastos Generales","No aplica",IF(J115="Funcionamiento Servicios Personales","No aplica",IFERROR(VLOOKUP(J115,Listas!$A$220:$D$224,2,FALSE),"Alerta: Seleccione la celda en la comumna B con el nombre del proyecto")))</f>
        <v>COMP1107</v>
      </c>
      <c r="AM115" s="640" t="str">
        <f>IF(J115="Funcionamiento Gastos Generales","No aplica",IF(J115="Funcionamiento Servicios Personales","No aplica",IFERROR(VLOOKUP(J115,Listas!$A$220:$D$224,3,FALSE),"Alerta: Seleccione la celda en la comumna B con el nombre del proyecto")))</f>
        <v>CONC1107</v>
      </c>
      <c r="AN115" s="633" t="s">
        <v>1047</v>
      </c>
      <c r="AO115" s="633" t="s">
        <v>53</v>
      </c>
      <c r="AP115" s="634" t="str">
        <f>IFERROR(VLOOKUP(J115,Listas!$A$182:$E$215,5,FALSE),"Alerta: Seleccione la celda en la comumna B con el nombre del proyecto")</f>
        <v>13. Oferta cultural para la valoración y divulgación del patrimonio material e  inmaterial de la ciud</v>
      </c>
      <c r="AQ115" s="634" t="str">
        <f>IF(J115="Funcionamiento Gastos Generales","No aplica",IF(J115="Funcionamiento Servicios Personales","No aplica",IFERROR(VLOOKUP(J115,Listas!$A$220:$D$224,4,FALSE),"Alerta: Seleccione la celda en la comumna B con el nombre del proyecto")))</f>
        <v>FONT1107</v>
      </c>
      <c r="AR115" s="633" t="s">
        <v>198</v>
      </c>
      <c r="AS115" s="634" t="str">
        <f>IFERROR(VLOOKUP(AU115,Listas!$E$85:$L$105,7,FALSE),"Alerta: Seleccione la celda en la comumna AI con el concepto de gasto")</f>
        <v>03-RECURSO HUMANO</v>
      </c>
      <c r="AT115" s="634" t="str">
        <f>IFERROR(VLOOKUP(AU115,Listas!$E$85:$L$105,8,FALSE),"Alerta: Seleccione la celda en la comumna AI con el concepto de gasto")</f>
        <v>01-DIVULGACION, ASISTENCIA TECNICA Y CAPACITACION DE LA POBLACION</v>
      </c>
      <c r="AU115" s="633" t="s">
        <v>232</v>
      </c>
      <c r="AV115" s="634">
        <f>IFERROR(VLOOKUP(AU115,Listas!$E$85:$F$105,2,FALSE),"Alerta: Seleccione el Concepto de Gasto primero")</f>
        <v>0</v>
      </c>
      <c r="AW115" s="644">
        <v>16080000</v>
      </c>
      <c r="AX115" s="645"/>
      <c r="AY115" s="645"/>
      <c r="AZ115" s="645"/>
      <c r="BA115" s="646">
        <f t="shared" si="47"/>
        <v>16080000</v>
      </c>
      <c r="BB115" s="647"/>
      <c r="BC115" s="648"/>
      <c r="BD115" s="649"/>
      <c r="BE115" s="647"/>
      <c r="BF115" s="644"/>
      <c r="BG115" s="646">
        <f t="shared" si="48"/>
        <v>16080000</v>
      </c>
      <c r="BH115" s="650"/>
      <c r="BI115" s="647"/>
      <c r="BJ115" s="644"/>
      <c r="BK115" s="646">
        <f t="shared" si="49"/>
        <v>0</v>
      </c>
      <c r="BL115" s="651"/>
      <c r="BM115" s="652">
        <f t="shared" si="50"/>
        <v>1</v>
      </c>
      <c r="BN115" s="628"/>
      <c r="BO115" s="670"/>
      <c r="BP115" s="644"/>
      <c r="BQ115" s="644"/>
      <c r="BR115" s="644"/>
      <c r="BS115" s="644"/>
      <c r="BT115" s="644"/>
      <c r="BU115" s="644"/>
      <c r="BV115" s="644"/>
      <c r="BW115" s="644"/>
      <c r="BX115" s="644"/>
      <c r="BY115" s="644"/>
      <c r="BZ115" s="644"/>
      <c r="CA115" s="644"/>
      <c r="CB115" s="646">
        <f t="shared" si="51"/>
        <v>0</v>
      </c>
      <c r="CC115" s="646">
        <f t="shared" si="52"/>
        <v>0</v>
      </c>
      <c r="CD115" s="614"/>
    </row>
    <row r="116" spans="1:82" s="561" customFormat="1" ht="61.5" customHeight="1">
      <c r="A116" s="625" t="str">
        <f t="shared" si="34"/>
        <v>1107-158-FONT1107-03-01-0066-Museo de Bogotá en operación</v>
      </c>
      <c r="B116" s="626" t="str">
        <f t="shared" si="35"/>
        <v>1107-158-FONT1107-03-01-0066</v>
      </c>
      <c r="C116" s="626" t="str">
        <f t="shared" si="36"/>
        <v>1107-158-FONT1107-Museo de Bogotá en operación</v>
      </c>
      <c r="D116" s="626" t="str">
        <f t="shared" si="37"/>
        <v>1107-158-12-Otros Distrito-03-01-0066</v>
      </c>
      <c r="E116" s="626" t="str">
        <f t="shared" si="38"/>
        <v>Museo de Bogotá en operación-12-Otros Distrito-0066-Fomento, apoyo y divulgación de eventos y expresiones artísticas, culturales y del patrimonio</v>
      </c>
      <c r="F116" s="627">
        <v>79</v>
      </c>
      <c r="G116" s="628">
        <f t="shared" si="39"/>
        <v>79</v>
      </c>
      <c r="H116" s="629" t="b">
        <f t="shared" si="40"/>
        <v>0</v>
      </c>
      <c r="I116" s="630" t="s">
        <v>594</v>
      </c>
      <c r="J116" s="627" t="s">
        <v>27</v>
      </c>
      <c r="K116" s="631" t="str">
        <f>+IFERROR(VLOOKUP(J116,Listas!$A$108:$B$114,2,FALSE),"Alerta: Seleccione la celda en la comumna B con el nombre del proyecto")</f>
        <v>3-3-1-15-03-25-1107-158</v>
      </c>
      <c r="L116" s="632">
        <v>81141504</v>
      </c>
      <c r="M116" s="633" t="s">
        <v>680</v>
      </c>
      <c r="N116" s="634" t="str">
        <f t="shared" si="41"/>
        <v>(Cód. 79) Contratar el  saneamiento ambiental requerido para las las sedes del Museo de Bogotá del Instituto Distrital de Patrimonio Cultural.</v>
      </c>
      <c r="O116" s="635">
        <v>43602</v>
      </c>
      <c r="P116" s="636">
        <f>IFERROR(VLOOKUP(W116,'Estimación CRP'!$D$21:$E$30,2,FALSE),0)</f>
        <v>25</v>
      </c>
      <c r="Q116" s="637">
        <f>IF(O116="No aplica","No aplica",WORKDAY.INTL(O116,P116,1,'Estimación CRP'!A302:A318))</f>
        <v>43637</v>
      </c>
      <c r="R116" s="636">
        <f t="shared" si="42"/>
        <v>6</v>
      </c>
      <c r="S116" s="636">
        <f t="shared" si="43"/>
        <v>5</v>
      </c>
      <c r="T116" s="636">
        <f t="shared" si="44"/>
        <v>5</v>
      </c>
      <c r="U116" s="712">
        <v>3</v>
      </c>
      <c r="V116" s="638">
        <v>1</v>
      </c>
      <c r="W116" s="639" t="s">
        <v>267</v>
      </c>
      <c r="X116" s="640" t="str">
        <f>IFERROR(VLOOKUP(W116,Listas!$A$60:$B$73,2,FALSE),"Alerta: Seleccione primero Modalidad de selección")</f>
        <v>CCE-10</v>
      </c>
      <c r="Y116" s="641">
        <v>0</v>
      </c>
      <c r="Z116" s="641" t="s">
        <v>1109</v>
      </c>
      <c r="AA116" s="641" t="s">
        <v>1152</v>
      </c>
      <c r="AB116" s="642">
        <f t="shared" si="45"/>
        <v>7000000</v>
      </c>
      <c r="AC116" s="642">
        <f t="shared" si="46"/>
        <v>7000000</v>
      </c>
      <c r="AD116" s="641">
        <v>0</v>
      </c>
      <c r="AE116" s="643">
        <v>0</v>
      </c>
      <c r="AF116" s="639" t="s">
        <v>276</v>
      </c>
      <c r="AG116" s="639" t="s">
        <v>277</v>
      </c>
      <c r="AH116" s="639" t="s">
        <v>284</v>
      </c>
      <c r="AI116" s="626" t="str">
        <f>IFERROR(VLOOKUP(AH116,Listas!$A$77:$C$83,2,FALSE),"Alerta: Seleccione primero el responsable")</f>
        <v>3550800</v>
      </c>
      <c r="AJ116" s="640" t="str">
        <f>IFERROR(VLOOKUP(AH116,Listas!$A$77:$C$83,3,FALSE),"Alerta: Seleccione primero el responsable")</f>
        <v>margarita.castaneda@idpc.gov.co</v>
      </c>
      <c r="AK116" s="640" t="str">
        <f>IF(J116="Funcionamiento Gastos Generales","No aplica",IF(J116="Funcionamiento Servicios Personales indirectos","No aplica",IFERROR(VLOOKUP(J116,Listas!$A$127:$E$139,3,FALSE),"Alerta: Seleccione la celda en la comumna B con el nombre del proyecto")))</f>
        <v>ME20181107</v>
      </c>
      <c r="AL116" s="640" t="str">
        <f>IF(J116="Funcionamiento Gastos Generales","No aplica",IF(J116="Funcionamiento Servicios Personales","No aplica",IFERROR(VLOOKUP(J116,Listas!$A$220:$D$224,2,FALSE),"Alerta: Seleccione la celda en la comumna B con el nombre del proyecto")))</f>
        <v>COMP1107</v>
      </c>
      <c r="AM116" s="640" t="str">
        <f>IF(J116="Funcionamiento Gastos Generales","No aplica",IF(J116="Funcionamiento Servicios Personales","No aplica",IFERROR(VLOOKUP(J116,Listas!$A$220:$D$224,3,FALSE),"Alerta: Seleccione la celda en la comumna B con el nombre del proyecto")))</f>
        <v>CONC1107</v>
      </c>
      <c r="AN116" s="633" t="s">
        <v>1047</v>
      </c>
      <c r="AO116" s="633" t="s">
        <v>53</v>
      </c>
      <c r="AP116" s="634" t="str">
        <f>IFERROR(VLOOKUP(J116,Listas!$A$182:$E$215,5,FALSE),"Alerta: Seleccione la celda en la comumna B con el nombre del proyecto")</f>
        <v>13. Oferta cultural para la valoración y divulgación del patrimonio material e  inmaterial de la ciud</v>
      </c>
      <c r="AQ116" s="634" t="str">
        <f>IF(J116="Funcionamiento Gastos Generales","No aplica",IF(J116="Funcionamiento Servicios Personales","No aplica",IFERROR(VLOOKUP(J116,Listas!$A$220:$D$224,4,FALSE),"Alerta: Seleccione la celda en la comumna B con el nombre del proyecto")))</f>
        <v>FONT1107</v>
      </c>
      <c r="AR116" s="633" t="s">
        <v>198</v>
      </c>
      <c r="AS116" s="634" t="str">
        <f>IFERROR(VLOOKUP(AU116,Listas!$E$85:$L$105,7,FALSE),"Alerta: Seleccione la celda en la comumna AI con el concepto de gasto")</f>
        <v>03-RECURSO HUMANO</v>
      </c>
      <c r="AT116" s="634" t="str">
        <f>IFERROR(VLOOKUP(AU116,Listas!$E$85:$L$105,8,FALSE),"Alerta: Seleccione la celda en la comumna AI con el concepto de gasto")</f>
        <v>01-DIVULGACION, ASISTENCIA TECNICA Y CAPACITACION DE LA POBLACION</v>
      </c>
      <c r="AU116" s="633" t="s">
        <v>232</v>
      </c>
      <c r="AV116" s="634">
        <f>IFERROR(VLOOKUP(AU116,Listas!$E$85:$F$105,2,FALSE),"Alerta: Seleccione el Concepto de Gasto primero")</f>
        <v>0</v>
      </c>
      <c r="AW116" s="644">
        <v>7000000</v>
      </c>
      <c r="AX116" s="645"/>
      <c r="AY116" s="645"/>
      <c r="AZ116" s="645"/>
      <c r="BA116" s="646">
        <f t="shared" si="47"/>
        <v>7000000</v>
      </c>
      <c r="BB116" s="647"/>
      <c r="BC116" s="648"/>
      <c r="BD116" s="649"/>
      <c r="BE116" s="647"/>
      <c r="BF116" s="644"/>
      <c r="BG116" s="646">
        <f t="shared" si="48"/>
        <v>7000000</v>
      </c>
      <c r="BH116" s="650"/>
      <c r="BI116" s="647"/>
      <c r="BJ116" s="644"/>
      <c r="BK116" s="646">
        <f t="shared" si="49"/>
        <v>0</v>
      </c>
      <c r="BL116" s="651"/>
      <c r="BM116" s="652">
        <f t="shared" si="50"/>
        <v>1</v>
      </c>
      <c r="BN116" s="628"/>
      <c r="BO116" s="670"/>
      <c r="BP116" s="644"/>
      <c r="BQ116" s="644"/>
      <c r="BR116" s="644"/>
      <c r="BS116" s="644"/>
      <c r="BT116" s="644"/>
      <c r="BU116" s="644"/>
      <c r="BV116" s="644"/>
      <c r="BW116" s="644"/>
      <c r="BX116" s="644"/>
      <c r="BY116" s="644"/>
      <c r="BZ116" s="644"/>
      <c r="CA116" s="644"/>
      <c r="CB116" s="646">
        <f t="shared" si="51"/>
        <v>0</v>
      </c>
      <c r="CC116" s="646">
        <f t="shared" si="52"/>
        <v>0</v>
      </c>
      <c r="CD116" s="614"/>
    </row>
    <row r="117" spans="1:82" s="561" customFormat="1" ht="61.5" customHeight="1">
      <c r="A117" s="625" t="str">
        <f t="shared" si="34"/>
        <v>1107-158-FONT1107-03-01-0066-Museo de Bogotá en operación</v>
      </c>
      <c r="B117" s="626" t="str">
        <f t="shared" si="35"/>
        <v>1107-158-FONT1107-03-01-0066</v>
      </c>
      <c r="C117" s="626" t="str">
        <f t="shared" si="36"/>
        <v>1107-158-FONT1107-Museo de Bogotá en operación</v>
      </c>
      <c r="D117" s="626" t="str">
        <f t="shared" si="37"/>
        <v>1107-158-12-Otros Distrito-03-01-0066</v>
      </c>
      <c r="E117" s="626" t="str">
        <f t="shared" si="38"/>
        <v>Museo de Bogotá en operación-12-Otros Distrito-0066-Fomento, apoyo y divulgación de eventos y expresiones artísticas, culturales y del patrimonio</v>
      </c>
      <c r="F117" s="627">
        <v>80</v>
      </c>
      <c r="G117" s="628">
        <f t="shared" si="39"/>
        <v>80</v>
      </c>
      <c r="H117" s="629" t="b">
        <f t="shared" si="40"/>
        <v>0</v>
      </c>
      <c r="I117" s="630" t="s">
        <v>594</v>
      </c>
      <c r="J117" s="627" t="s">
        <v>27</v>
      </c>
      <c r="K117" s="631" t="str">
        <f>+IFERROR(VLOOKUP(J117,Listas!$A$108:$B$114,2,FALSE),"Alerta: Seleccione la celda en la comumna B con el nombre del proyecto")</f>
        <v>3-3-1-15-03-25-1107-158</v>
      </c>
      <c r="L117" s="632" t="s">
        <v>618</v>
      </c>
      <c r="M117" s="633" t="s">
        <v>681</v>
      </c>
      <c r="N117" s="634" t="str">
        <f t="shared" si="41"/>
        <v>(Cód. 80) Prestar servicios profesionales al Instituto Distrital de Patrimonio Cultural para orientar los procesos de gestión de la colección del Museo de Bogotá</v>
      </c>
      <c r="O117" s="635">
        <v>43480</v>
      </c>
      <c r="P117" s="636">
        <f>IFERROR(VLOOKUP(W117,'Estimación CRP'!$D$21:$E$30,2,FALSE),0)</f>
        <v>10</v>
      </c>
      <c r="Q117" s="637">
        <f>IF(O117="No aplica","No aplica",WORKDAY.INTL(O117,P117,1,'Estimación CRP'!A303:A319))</f>
        <v>43494</v>
      </c>
      <c r="R117" s="636">
        <f t="shared" si="42"/>
        <v>1</v>
      </c>
      <c r="S117" s="636">
        <f t="shared" si="43"/>
        <v>1</v>
      </c>
      <c r="T117" s="636">
        <f t="shared" si="44"/>
        <v>1</v>
      </c>
      <c r="U117" s="712">
        <v>11</v>
      </c>
      <c r="V117" s="638">
        <v>1</v>
      </c>
      <c r="W117" s="639" t="s">
        <v>274</v>
      </c>
      <c r="X117" s="640" t="str">
        <f>IFERROR(VLOOKUP(W117,Listas!$A$60:$B$73,2,FALSE),"Alerta: Seleccione primero Modalidad de selección")</f>
        <v>CCE-16</v>
      </c>
      <c r="Y117" s="641">
        <v>0</v>
      </c>
      <c r="Z117" s="641" t="s">
        <v>346</v>
      </c>
      <c r="AA117" s="641" t="s">
        <v>1153</v>
      </c>
      <c r="AB117" s="642">
        <f t="shared" si="45"/>
        <v>65560000</v>
      </c>
      <c r="AC117" s="642">
        <f t="shared" si="46"/>
        <v>65560000</v>
      </c>
      <c r="AD117" s="641">
        <v>0</v>
      </c>
      <c r="AE117" s="643">
        <v>0</v>
      </c>
      <c r="AF117" s="639" t="s">
        <v>276</v>
      </c>
      <c r="AG117" s="639" t="s">
        <v>277</v>
      </c>
      <c r="AH117" s="639" t="s">
        <v>284</v>
      </c>
      <c r="AI117" s="626" t="str">
        <f>IFERROR(VLOOKUP(AH117,Listas!$A$77:$C$83,2,FALSE),"Alerta: Seleccione primero el responsable")</f>
        <v>3550800</v>
      </c>
      <c r="AJ117" s="640" t="str">
        <f>IFERROR(VLOOKUP(AH117,Listas!$A$77:$C$83,3,FALSE),"Alerta: Seleccione primero el responsable")</f>
        <v>margarita.castaneda@idpc.gov.co</v>
      </c>
      <c r="AK117" s="640" t="str">
        <f>IF(J117="Funcionamiento Gastos Generales","No aplica",IF(J117="Funcionamiento Servicios Personales indirectos","No aplica",IFERROR(VLOOKUP(J117,Listas!$A$127:$E$139,3,FALSE),"Alerta: Seleccione la celda en la comumna B con el nombre del proyecto")))</f>
        <v>ME20181107</v>
      </c>
      <c r="AL117" s="640" t="str">
        <f>IF(J117="Funcionamiento Gastos Generales","No aplica",IF(J117="Funcionamiento Servicios Personales","No aplica",IFERROR(VLOOKUP(J117,Listas!$A$220:$D$224,2,FALSE),"Alerta: Seleccione la celda en la comumna B con el nombre del proyecto")))</f>
        <v>COMP1107</v>
      </c>
      <c r="AM117" s="640" t="str">
        <f>IF(J117="Funcionamiento Gastos Generales","No aplica",IF(J117="Funcionamiento Servicios Personales","No aplica",IFERROR(VLOOKUP(J117,Listas!$A$220:$D$224,3,FALSE),"Alerta: Seleccione la celda en la comumna B con el nombre del proyecto")))</f>
        <v>CONC1107</v>
      </c>
      <c r="AN117" s="633" t="s">
        <v>1047</v>
      </c>
      <c r="AO117" s="633" t="s">
        <v>53</v>
      </c>
      <c r="AP117" s="634" t="str">
        <f>IFERROR(VLOOKUP(J117,Listas!$A$182:$E$215,5,FALSE),"Alerta: Seleccione la celda en la comumna B con el nombre del proyecto")</f>
        <v>13. Oferta cultural para la valoración y divulgación del patrimonio material e  inmaterial de la ciud</v>
      </c>
      <c r="AQ117" s="634" t="str">
        <f>IF(J117="Funcionamiento Gastos Generales","No aplica",IF(J117="Funcionamiento Servicios Personales","No aplica",IFERROR(VLOOKUP(J117,Listas!$A$220:$D$224,4,FALSE),"Alerta: Seleccione la celda en la comumna B con el nombre del proyecto")))</f>
        <v>FONT1107</v>
      </c>
      <c r="AR117" s="633" t="s">
        <v>198</v>
      </c>
      <c r="AS117" s="634" t="str">
        <f>IFERROR(VLOOKUP(AU117,Listas!$E$85:$L$105,7,FALSE),"Alerta: Seleccione la celda en la comumna AI con el concepto de gasto")</f>
        <v>03-RECURSO HUMANO</v>
      </c>
      <c r="AT117" s="634" t="str">
        <f>IFERROR(VLOOKUP(AU117,Listas!$E$85:$L$105,8,FALSE),"Alerta: Seleccione la celda en la comumna AI con el concepto de gasto")</f>
        <v>01-DIVULGACION, ASISTENCIA TECNICA Y CAPACITACION DE LA POBLACION</v>
      </c>
      <c r="AU117" s="633" t="s">
        <v>232</v>
      </c>
      <c r="AV117" s="634">
        <f>IFERROR(VLOOKUP(AU117,Listas!$E$85:$F$105,2,FALSE),"Alerta: Seleccione el Concepto de Gasto primero")</f>
        <v>0</v>
      </c>
      <c r="AW117" s="644">
        <v>65560000</v>
      </c>
      <c r="AX117" s="645"/>
      <c r="AY117" s="645"/>
      <c r="AZ117" s="645"/>
      <c r="BA117" s="646">
        <f t="shared" si="47"/>
        <v>65560000</v>
      </c>
      <c r="BB117" s="647"/>
      <c r="BC117" s="648"/>
      <c r="BD117" s="649"/>
      <c r="BE117" s="647"/>
      <c r="BF117" s="644"/>
      <c r="BG117" s="646">
        <f t="shared" si="48"/>
        <v>65560000</v>
      </c>
      <c r="BH117" s="650"/>
      <c r="BI117" s="647"/>
      <c r="BJ117" s="644"/>
      <c r="BK117" s="646">
        <f t="shared" si="49"/>
        <v>0</v>
      </c>
      <c r="BL117" s="651"/>
      <c r="BM117" s="652">
        <f t="shared" si="50"/>
        <v>1</v>
      </c>
      <c r="BN117" s="628"/>
      <c r="BO117" s="670"/>
      <c r="BP117" s="644"/>
      <c r="BQ117" s="644"/>
      <c r="BR117" s="644"/>
      <c r="BS117" s="644"/>
      <c r="BT117" s="644"/>
      <c r="BU117" s="644"/>
      <c r="BV117" s="644"/>
      <c r="BW117" s="644"/>
      <c r="BX117" s="644"/>
      <c r="BY117" s="644"/>
      <c r="BZ117" s="644"/>
      <c r="CA117" s="644"/>
      <c r="CB117" s="646">
        <f t="shared" si="51"/>
        <v>0</v>
      </c>
      <c r="CC117" s="646">
        <f t="shared" si="52"/>
        <v>0</v>
      </c>
      <c r="CD117" s="614"/>
    </row>
    <row r="118" spans="1:82" s="561" customFormat="1" ht="61.5" customHeight="1">
      <c r="A118" s="625" t="str">
        <f t="shared" si="34"/>
        <v>1107-158-FONT1107-03-01-0066-Museo de Bogotá en operación</v>
      </c>
      <c r="B118" s="626" t="str">
        <f t="shared" si="35"/>
        <v>1107-158-FONT1107-03-01-0066</v>
      </c>
      <c r="C118" s="626" t="str">
        <f t="shared" si="36"/>
        <v>1107-158-FONT1107-Museo de Bogotá en operación</v>
      </c>
      <c r="D118" s="626" t="str">
        <f t="shared" si="37"/>
        <v>1107-158-12-Otros Distrito-03-01-0066</v>
      </c>
      <c r="E118" s="626" t="str">
        <f t="shared" si="38"/>
        <v>Museo de Bogotá en operación-12-Otros Distrito-0066-Fomento, apoyo y divulgación de eventos y expresiones artísticas, culturales y del patrimonio</v>
      </c>
      <c r="F118" s="627">
        <v>81</v>
      </c>
      <c r="G118" s="628">
        <f t="shared" si="39"/>
        <v>81</v>
      </c>
      <c r="H118" s="629" t="b">
        <f t="shared" si="40"/>
        <v>0</v>
      </c>
      <c r="I118" s="630" t="s">
        <v>594</v>
      </c>
      <c r="J118" s="627" t="s">
        <v>27</v>
      </c>
      <c r="K118" s="631" t="str">
        <f>+IFERROR(VLOOKUP(J118,Listas!$A$108:$B$114,2,FALSE),"Alerta: Seleccione la celda en la comumna B con el nombre del proyecto")</f>
        <v>3-3-1-15-03-25-1107-158</v>
      </c>
      <c r="L118" s="632" t="s">
        <v>618</v>
      </c>
      <c r="M118" s="633" t="s">
        <v>682</v>
      </c>
      <c r="N118" s="634" t="str">
        <f t="shared" si="41"/>
        <v>(Cód. 81) Prestar servicios de apoyo a la gestión al Instituto Distrital de Patrimonio Cultural en los procesos de montaje y actividades logísticas requeridas por el Museo de Bogotá.</v>
      </c>
      <c r="O118" s="635">
        <v>43480</v>
      </c>
      <c r="P118" s="636">
        <f>IFERROR(VLOOKUP(W118,'Estimación CRP'!$D$21:$E$30,2,FALSE),0)</f>
        <v>10</v>
      </c>
      <c r="Q118" s="637">
        <f>IF(O118="No aplica","No aplica",WORKDAY.INTL(O118,P118,1,'Estimación CRP'!A304:A320))</f>
        <v>43494</v>
      </c>
      <c r="R118" s="636">
        <f t="shared" si="42"/>
        <v>1</v>
      </c>
      <c r="S118" s="636">
        <f t="shared" si="43"/>
        <v>1</v>
      </c>
      <c r="T118" s="636">
        <f t="shared" si="44"/>
        <v>1</v>
      </c>
      <c r="U118" s="712">
        <v>11</v>
      </c>
      <c r="V118" s="638">
        <v>1</v>
      </c>
      <c r="W118" s="639" t="s">
        <v>274</v>
      </c>
      <c r="X118" s="640" t="str">
        <f>IFERROR(VLOOKUP(W118,Listas!$A$60:$B$73,2,FALSE),"Alerta: Seleccione primero Modalidad de selección")</f>
        <v>CCE-16</v>
      </c>
      <c r="Y118" s="641">
        <v>0</v>
      </c>
      <c r="Z118" s="641" t="s">
        <v>346</v>
      </c>
      <c r="AA118" s="641" t="s">
        <v>1154</v>
      </c>
      <c r="AB118" s="642">
        <f t="shared" si="45"/>
        <v>27500000</v>
      </c>
      <c r="AC118" s="642">
        <f t="shared" si="46"/>
        <v>27500000</v>
      </c>
      <c r="AD118" s="641">
        <v>0</v>
      </c>
      <c r="AE118" s="643">
        <v>0</v>
      </c>
      <c r="AF118" s="639" t="s">
        <v>276</v>
      </c>
      <c r="AG118" s="639" t="s">
        <v>277</v>
      </c>
      <c r="AH118" s="639" t="s">
        <v>284</v>
      </c>
      <c r="AI118" s="626" t="str">
        <f>IFERROR(VLOOKUP(AH118,Listas!$A$77:$C$83,2,FALSE),"Alerta: Seleccione primero el responsable")</f>
        <v>3550800</v>
      </c>
      <c r="AJ118" s="640" t="str">
        <f>IFERROR(VLOOKUP(AH118,Listas!$A$77:$C$83,3,FALSE),"Alerta: Seleccione primero el responsable")</f>
        <v>margarita.castaneda@idpc.gov.co</v>
      </c>
      <c r="AK118" s="640" t="str">
        <f>IF(J118="Funcionamiento Gastos Generales","No aplica",IF(J118="Funcionamiento Servicios Personales indirectos","No aplica",IFERROR(VLOOKUP(J118,Listas!$A$127:$E$139,3,FALSE),"Alerta: Seleccione la celda en la comumna B con el nombre del proyecto")))</f>
        <v>ME20181107</v>
      </c>
      <c r="AL118" s="640" t="str">
        <f>IF(J118="Funcionamiento Gastos Generales","No aplica",IF(J118="Funcionamiento Servicios Personales","No aplica",IFERROR(VLOOKUP(J118,Listas!$A$220:$D$224,2,FALSE),"Alerta: Seleccione la celda en la comumna B con el nombre del proyecto")))</f>
        <v>COMP1107</v>
      </c>
      <c r="AM118" s="640" t="str">
        <f>IF(J118="Funcionamiento Gastos Generales","No aplica",IF(J118="Funcionamiento Servicios Personales","No aplica",IFERROR(VLOOKUP(J118,Listas!$A$220:$D$224,3,FALSE),"Alerta: Seleccione la celda en la comumna B con el nombre del proyecto")))</f>
        <v>CONC1107</v>
      </c>
      <c r="AN118" s="633" t="s">
        <v>1047</v>
      </c>
      <c r="AO118" s="633" t="s">
        <v>53</v>
      </c>
      <c r="AP118" s="634" t="str">
        <f>IFERROR(VLOOKUP(J118,Listas!$A$182:$E$215,5,FALSE),"Alerta: Seleccione la celda en la comumna B con el nombre del proyecto")</f>
        <v>13. Oferta cultural para la valoración y divulgación del patrimonio material e  inmaterial de la ciud</v>
      </c>
      <c r="AQ118" s="634" t="str">
        <f>IF(J118="Funcionamiento Gastos Generales","No aplica",IF(J118="Funcionamiento Servicios Personales","No aplica",IFERROR(VLOOKUP(J118,Listas!$A$220:$D$224,4,FALSE),"Alerta: Seleccione la celda en la comumna B con el nombre del proyecto")))</f>
        <v>FONT1107</v>
      </c>
      <c r="AR118" s="633" t="s">
        <v>198</v>
      </c>
      <c r="AS118" s="634" t="str">
        <f>IFERROR(VLOOKUP(AU118,Listas!$E$85:$L$105,7,FALSE),"Alerta: Seleccione la celda en la comumna AI con el concepto de gasto")</f>
        <v>03-RECURSO HUMANO</v>
      </c>
      <c r="AT118" s="634" t="str">
        <f>IFERROR(VLOOKUP(AU118,Listas!$E$85:$L$105,8,FALSE),"Alerta: Seleccione la celda en la comumna AI con el concepto de gasto")</f>
        <v>01-DIVULGACION, ASISTENCIA TECNICA Y CAPACITACION DE LA POBLACION</v>
      </c>
      <c r="AU118" s="633" t="s">
        <v>232</v>
      </c>
      <c r="AV118" s="634">
        <f>IFERROR(VLOOKUP(AU118,Listas!$E$85:$F$105,2,FALSE),"Alerta: Seleccione el Concepto de Gasto primero")</f>
        <v>0</v>
      </c>
      <c r="AW118" s="644">
        <v>27500000</v>
      </c>
      <c r="AX118" s="645"/>
      <c r="AY118" s="645"/>
      <c r="AZ118" s="645"/>
      <c r="BA118" s="646">
        <f t="shared" si="47"/>
        <v>27500000</v>
      </c>
      <c r="BB118" s="647"/>
      <c r="BC118" s="648"/>
      <c r="BD118" s="649"/>
      <c r="BE118" s="647"/>
      <c r="BF118" s="644"/>
      <c r="BG118" s="646">
        <f t="shared" si="48"/>
        <v>27500000</v>
      </c>
      <c r="BH118" s="650"/>
      <c r="BI118" s="647"/>
      <c r="BJ118" s="644"/>
      <c r="BK118" s="646">
        <f t="shared" si="49"/>
        <v>0</v>
      </c>
      <c r="BL118" s="651"/>
      <c r="BM118" s="652">
        <f t="shared" si="50"/>
        <v>1</v>
      </c>
      <c r="BN118" s="628"/>
      <c r="BO118" s="670"/>
      <c r="BP118" s="644"/>
      <c r="BQ118" s="644"/>
      <c r="BR118" s="644"/>
      <c r="BS118" s="644"/>
      <c r="BT118" s="644"/>
      <c r="BU118" s="644"/>
      <c r="BV118" s="644"/>
      <c r="BW118" s="644"/>
      <c r="BX118" s="644"/>
      <c r="BY118" s="644"/>
      <c r="BZ118" s="644"/>
      <c r="CA118" s="644"/>
      <c r="CB118" s="646">
        <f t="shared" si="51"/>
        <v>0</v>
      </c>
      <c r="CC118" s="646">
        <f t="shared" si="52"/>
        <v>0</v>
      </c>
      <c r="CD118" s="614"/>
    </row>
    <row r="119" spans="1:82" s="561" customFormat="1" ht="61.5" customHeight="1">
      <c r="A119" s="625" t="str">
        <f t="shared" si="34"/>
        <v>1107-158-FONT1107-03-01-0066-Museo de Bogotá en operación</v>
      </c>
      <c r="B119" s="626" t="str">
        <f t="shared" si="35"/>
        <v>1107-158-FONT1107-03-01-0066</v>
      </c>
      <c r="C119" s="626" t="str">
        <f t="shared" si="36"/>
        <v>1107-158-FONT1107-Museo de Bogotá en operación</v>
      </c>
      <c r="D119" s="626" t="str">
        <f t="shared" si="37"/>
        <v>1107-158-12-Otros Distrito-03-01-0066</v>
      </c>
      <c r="E119" s="626" t="str">
        <f t="shared" si="38"/>
        <v>Museo de Bogotá en operación-12-Otros Distrito-0066-Fomento, apoyo y divulgación de eventos y expresiones artísticas, culturales y del patrimonio</v>
      </c>
      <c r="F119" s="627">
        <v>82</v>
      </c>
      <c r="G119" s="628">
        <f t="shared" si="39"/>
        <v>82</v>
      </c>
      <c r="H119" s="629" t="b">
        <f t="shared" si="40"/>
        <v>0</v>
      </c>
      <c r="I119" s="630" t="s">
        <v>594</v>
      </c>
      <c r="J119" s="627" t="s">
        <v>27</v>
      </c>
      <c r="K119" s="631" t="str">
        <f>+IFERROR(VLOOKUP(J119,Listas!$A$108:$B$114,2,FALSE),"Alerta: Seleccione la celda en la comumna B con el nombre del proyecto")</f>
        <v>3-3-1-15-03-25-1107-158</v>
      </c>
      <c r="L119" s="632" t="s">
        <v>618</v>
      </c>
      <c r="M119" s="633" t="s">
        <v>683</v>
      </c>
      <c r="N119" s="634" t="str">
        <f t="shared" si="41"/>
        <v>(Cód. 82) Prestar servicios profesionales al Instituto Distrital de Patrimonio Cultural para apoyar el desarrollo del plan de exposiciones temporales del Museo de Bogotá y los requerimientos asociados a los planes y proyectos especiales de la entidad.</v>
      </c>
      <c r="O119" s="635">
        <v>43480</v>
      </c>
      <c r="P119" s="636">
        <f>IFERROR(VLOOKUP(W119,'Estimación CRP'!$D$21:$E$30,2,FALSE),0)</f>
        <v>10</v>
      </c>
      <c r="Q119" s="637">
        <f>IF(O119="No aplica","No aplica",WORKDAY.INTL(O119,P119,1,'Estimación CRP'!A305:A321))</f>
        <v>43494</v>
      </c>
      <c r="R119" s="636">
        <f t="shared" si="42"/>
        <v>1</v>
      </c>
      <c r="S119" s="636">
        <f t="shared" si="43"/>
        <v>1</v>
      </c>
      <c r="T119" s="636">
        <f t="shared" si="44"/>
        <v>1</v>
      </c>
      <c r="U119" s="712">
        <v>11</v>
      </c>
      <c r="V119" s="638">
        <v>1</v>
      </c>
      <c r="W119" s="639" t="s">
        <v>274</v>
      </c>
      <c r="X119" s="640" t="str">
        <f>IFERROR(VLOOKUP(W119,Listas!$A$60:$B$73,2,FALSE),"Alerta: Seleccione primero Modalidad de selección")</f>
        <v>CCE-16</v>
      </c>
      <c r="Y119" s="641">
        <v>0</v>
      </c>
      <c r="Z119" s="641" t="s">
        <v>346</v>
      </c>
      <c r="AA119" s="641" t="s">
        <v>1155</v>
      </c>
      <c r="AB119" s="642">
        <f t="shared" si="45"/>
        <v>42020000</v>
      </c>
      <c r="AC119" s="642">
        <f t="shared" si="46"/>
        <v>42020000</v>
      </c>
      <c r="AD119" s="641">
        <v>0</v>
      </c>
      <c r="AE119" s="643">
        <v>0</v>
      </c>
      <c r="AF119" s="639" t="s">
        <v>276</v>
      </c>
      <c r="AG119" s="639" t="s">
        <v>277</v>
      </c>
      <c r="AH119" s="639" t="s">
        <v>284</v>
      </c>
      <c r="AI119" s="626" t="str">
        <f>IFERROR(VLOOKUP(AH119,Listas!$A$77:$C$83,2,FALSE),"Alerta: Seleccione primero el responsable")</f>
        <v>3550800</v>
      </c>
      <c r="AJ119" s="640" t="str">
        <f>IFERROR(VLOOKUP(AH119,Listas!$A$77:$C$83,3,FALSE),"Alerta: Seleccione primero el responsable")</f>
        <v>margarita.castaneda@idpc.gov.co</v>
      </c>
      <c r="AK119" s="640" t="str">
        <f>IF(J119="Funcionamiento Gastos Generales","No aplica",IF(J119="Funcionamiento Servicios Personales indirectos","No aplica",IFERROR(VLOOKUP(J119,Listas!$A$127:$E$139,3,FALSE),"Alerta: Seleccione la celda en la comumna B con el nombre del proyecto")))</f>
        <v>ME20181107</v>
      </c>
      <c r="AL119" s="640" t="str">
        <f>IF(J119="Funcionamiento Gastos Generales","No aplica",IF(J119="Funcionamiento Servicios Personales","No aplica",IFERROR(VLOOKUP(J119,Listas!$A$220:$D$224,2,FALSE),"Alerta: Seleccione la celda en la comumna B con el nombre del proyecto")))</f>
        <v>COMP1107</v>
      </c>
      <c r="AM119" s="640" t="str">
        <f>IF(J119="Funcionamiento Gastos Generales","No aplica",IF(J119="Funcionamiento Servicios Personales","No aplica",IFERROR(VLOOKUP(J119,Listas!$A$220:$D$224,3,FALSE),"Alerta: Seleccione la celda en la comumna B con el nombre del proyecto")))</f>
        <v>CONC1107</v>
      </c>
      <c r="AN119" s="633" t="s">
        <v>1047</v>
      </c>
      <c r="AO119" s="633" t="s">
        <v>53</v>
      </c>
      <c r="AP119" s="634" t="str">
        <f>IFERROR(VLOOKUP(J119,Listas!$A$182:$E$215,5,FALSE),"Alerta: Seleccione la celda en la comumna B con el nombre del proyecto")</f>
        <v>13. Oferta cultural para la valoración y divulgación del patrimonio material e  inmaterial de la ciud</v>
      </c>
      <c r="AQ119" s="634" t="str">
        <f>IF(J119="Funcionamiento Gastos Generales","No aplica",IF(J119="Funcionamiento Servicios Personales","No aplica",IFERROR(VLOOKUP(J119,Listas!$A$220:$D$224,4,FALSE),"Alerta: Seleccione la celda en la comumna B con el nombre del proyecto")))</f>
        <v>FONT1107</v>
      </c>
      <c r="AR119" s="633" t="s">
        <v>198</v>
      </c>
      <c r="AS119" s="634" t="str">
        <f>IFERROR(VLOOKUP(AU119,Listas!$E$85:$L$105,7,FALSE),"Alerta: Seleccione la celda en la comumna AI con el concepto de gasto")</f>
        <v>03-RECURSO HUMANO</v>
      </c>
      <c r="AT119" s="634" t="str">
        <f>IFERROR(VLOOKUP(AU119,Listas!$E$85:$L$105,8,FALSE),"Alerta: Seleccione la celda en la comumna AI con el concepto de gasto")</f>
        <v>01-DIVULGACION, ASISTENCIA TECNICA Y CAPACITACION DE LA POBLACION</v>
      </c>
      <c r="AU119" s="633" t="s">
        <v>232</v>
      </c>
      <c r="AV119" s="634">
        <f>IFERROR(VLOOKUP(AU119,Listas!$E$85:$F$105,2,FALSE),"Alerta: Seleccione el Concepto de Gasto primero")</f>
        <v>0</v>
      </c>
      <c r="AW119" s="644">
        <v>42020000</v>
      </c>
      <c r="AX119" s="645"/>
      <c r="AY119" s="645"/>
      <c r="AZ119" s="645"/>
      <c r="BA119" s="646">
        <f t="shared" si="47"/>
        <v>42020000</v>
      </c>
      <c r="BB119" s="647"/>
      <c r="BC119" s="648"/>
      <c r="BD119" s="649"/>
      <c r="BE119" s="647"/>
      <c r="BF119" s="644"/>
      <c r="BG119" s="646">
        <f t="shared" si="48"/>
        <v>42020000</v>
      </c>
      <c r="BH119" s="650"/>
      <c r="BI119" s="647"/>
      <c r="BJ119" s="644"/>
      <c r="BK119" s="646">
        <f t="shared" si="49"/>
        <v>0</v>
      </c>
      <c r="BL119" s="651"/>
      <c r="BM119" s="652">
        <f t="shared" si="50"/>
        <v>1</v>
      </c>
      <c r="BN119" s="628"/>
      <c r="BO119" s="670"/>
      <c r="BP119" s="644"/>
      <c r="BQ119" s="644"/>
      <c r="BR119" s="644"/>
      <c r="BS119" s="644"/>
      <c r="BT119" s="644"/>
      <c r="BU119" s="644"/>
      <c r="BV119" s="644"/>
      <c r="BW119" s="644"/>
      <c r="BX119" s="644"/>
      <c r="BY119" s="644"/>
      <c r="BZ119" s="644"/>
      <c r="CA119" s="644"/>
      <c r="CB119" s="646">
        <f t="shared" si="51"/>
        <v>0</v>
      </c>
      <c r="CC119" s="646">
        <f t="shared" si="52"/>
        <v>0</v>
      </c>
      <c r="CD119" s="614"/>
    </row>
    <row r="120" spans="1:82" s="561" customFormat="1" ht="61.5" customHeight="1">
      <c r="A120" s="625" t="str">
        <f t="shared" si="34"/>
        <v>1107-158-FONT1107-03-01-0066-Activación del patrimonio</v>
      </c>
      <c r="B120" s="626" t="str">
        <f t="shared" si="35"/>
        <v>1107-158-FONT1107-03-01-0066</v>
      </c>
      <c r="C120" s="626" t="str">
        <f t="shared" si="36"/>
        <v>1107-158-FONT1107-Activación del patrimonio</v>
      </c>
      <c r="D120" s="626" t="str">
        <f t="shared" si="37"/>
        <v>1107-158-12-Otros Distrito-03-01-0066</v>
      </c>
      <c r="E120" s="626" t="str">
        <f t="shared" si="38"/>
        <v>Activación del patrimonio-12-Otros Distrito-0066-Fomento, apoyo y divulgación de eventos y expresiones artísticas, culturales y del patrimonio</v>
      </c>
      <c r="F120" s="627">
        <v>83</v>
      </c>
      <c r="G120" s="628">
        <f t="shared" si="39"/>
        <v>83</v>
      </c>
      <c r="H120" s="629" t="b">
        <f t="shared" si="40"/>
        <v>0</v>
      </c>
      <c r="I120" s="630" t="s">
        <v>594</v>
      </c>
      <c r="J120" s="627" t="s">
        <v>27</v>
      </c>
      <c r="K120" s="631" t="str">
        <f>+IFERROR(VLOOKUP(J120,Listas!$A$108:$B$114,2,FALSE),"Alerta: Seleccione la celda en la comumna B con el nombre del proyecto")</f>
        <v>3-3-1-15-03-25-1107-158</v>
      </c>
      <c r="L120" s="632" t="s">
        <v>618</v>
      </c>
      <c r="M120" s="633" t="s">
        <v>684</v>
      </c>
      <c r="N120" s="634" t="str">
        <f t="shared" si="41"/>
        <v xml:space="preserve">(Cód. 83) Prestar servicios profesionales al Instituto Distrital de Patrimonio Cultural para orientar el Programa de Patrimonios Locales y otras iniciativas que contribuyan a la salvaguardia y apropiación social del Patrimonio Cultural Inmaterial. </v>
      </c>
      <c r="O120" s="635">
        <v>43480</v>
      </c>
      <c r="P120" s="636">
        <f>IFERROR(VLOOKUP(W120,'Estimación CRP'!$D$21:$E$30,2,FALSE),0)</f>
        <v>10</v>
      </c>
      <c r="Q120" s="637">
        <f>IF(O120="No aplica","No aplica",WORKDAY.INTL(O120,P120,1,'Estimación CRP'!A306:A322))</f>
        <v>43494</v>
      </c>
      <c r="R120" s="636">
        <f t="shared" si="42"/>
        <v>1</v>
      </c>
      <c r="S120" s="636">
        <f t="shared" si="43"/>
        <v>1</v>
      </c>
      <c r="T120" s="636">
        <f t="shared" si="44"/>
        <v>1</v>
      </c>
      <c r="U120" s="712">
        <v>11</v>
      </c>
      <c r="V120" s="638">
        <v>1</v>
      </c>
      <c r="W120" s="639" t="s">
        <v>274</v>
      </c>
      <c r="X120" s="640" t="str">
        <f>IFERROR(VLOOKUP(W120,Listas!$A$60:$B$73,2,FALSE),"Alerta: Seleccione primero Modalidad de selección")</f>
        <v>CCE-16</v>
      </c>
      <c r="Y120" s="641">
        <v>0</v>
      </c>
      <c r="Z120" s="641" t="s">
        <v>346</v>
      </c>
      <c r="AA120" s="641" t="s">
        <v>1156</v>
      </c>
      <c r="AB120" s="642">
        <f t="shared" si="45"/>
        <v>50600000</v>
      </c>
      <c r="AC120" s="642">
        <f t="shared" si="46"/>
        <v>50600000</v>
      </c>
      <c r="AD120" s="641">
        <v>0</v>
      </c>
      <c r="AE120" s="643">
        <v>0</v>
      </c>
      <c r="AF120" s="639" t="s">
        <v>276</v>
      </c>
      <c r="AG120" s="639" t="s">
        <v>277</v>
      </c>
      <c r="AH120" s="639" t="s">
        <v>284</v>
      </c>
      <c r="AI120" s="626" t="str">
        <f>IFERROR(VLOOKUP(AH120,Listas!$A$77:$C$83,2,FALSE),"Alerta: Seleccione primero el responsable")</f>
        <v>3550800</v>
      </c>
      <c r="AJ120" s="640" t="str">
        <f>IFERROR(VLOOKUP(AH120,Listas!$A$77:$C$83,3,FALSE),"Alerta: Seleccione primero el responsable")</f>
        <v>margarita.castaneda@idpc.gov.co</v>
      </c>
      <c r="AK120" s="640" t="str">
        <f>IF(J120="Funcionamiento Gastos Generales","No aplica",IF(J120="Funcionamiento Servicios Personales indirectos","No aplica",IFERROR(VLOOKUP(J120,Listas!$A$127:$E$139,3,FALSE),"Alerta: Seleccione la celda en la comumna B con el nombre del proyecto")))</f>
        <v>ME20181107</v>
      </c>
      <c r="AL120" s="640" t="str">
        <f>IF(J120="Funcionamiento Gastos Generales","No aplica",IF(J120="Funcionamiento Servicios Personales","No aplica",IFERROR(VLOOKUP(J120,Listas!$A$220:$D$224,2,FALSE),"Alerta: Seleccione la celda en la comumna B con el nombre del proyecto")))</f>
        <v>COMP1107</v>
      </c>
      <c r="AM120" s="640" t="str">
        <f>IF(J120="Funcionamiento Gastos Generales","No aplica",IF(J120="Funcionamiento Servicios Personales","No aplica",IFERROR(VLOOKUP(J120,Listas!$A$220:$D$224,3,FALSE),"Alerta: Seleccione la celda en la comumna B con el nombre del proyecto")))</f>
        <v>CONC1107</v>
      </c>
      <c r="AN120" s="633" t="s">
        <v>1046</v>
      </c>
      <c r="AO120" s="633" t="s">
        <v>54</v>
      </c>
      <c r="AP120" s="634" t="str">
        <f>IFERROR(VLOOKUP(J120,Listas!$A$182:$E$215,5,FALSE),"Alerta: Seleccione la celda en la comumna B con el nombre del proyecto")</f>
        <v>13. Oferta cultural para la valoración y divulgación del patrimonio material e  inmaterial de la ciud</v>
      </c>
      <c r="AQ120" s="634" t="str">
        <f>IF(J120="Funcionamiento Gastos Generales","No aplica",IF(J120="Funcionamiento Servicios Personales","No aplica",IFERROR(VLOOKUP(J120,Listas!$A$220:$D$224,4,FALSE),"Alerta: Seleccione la celda en la comumna B con el nombre del proyecto")))</f>
        <v>FONT1107</v>
      </c>
      <c r="AR120" s="633" t="s">
        <v>198</v>
      </c>
      <c r="AS120" s="634" t="str">
        <f>IFERROR(VLOOKUP(AU120,Listas!$E$85:$L$105,7,FALSE),"Alerta: Seleccione la celda en la comumna AI con el concepto de gasto")</f>
        <v>03-RECURSO HUMANO</v>
      </c>
      <c r="AT120" s="634" t="str">
        <f>IFERROR(VLOOKUP(AU120,Listas!$E$85:$L$105,8,FALSE),"Alerta: Seleccione la celda en la comumna AI con el concepto de gasto")</f>
        <v>01-DIVULGACION, ASISTENCIA TECNICA Y CAPACITACION DE LA POBLACION</v>
      </c>
      <c r="AU120" s="633" t="s">
        <v>232</v>
      </c>
      <c r="AV120" s="634">
        <f>IFERROR(VLOOKUP(AU120,Listas!$E$85:$F$105,2,FALSE),"Alerta: Seleccione el Concepto de Gasto primero")</f>
        <v>0</v>
      </c>
      <c r="AW120" s="644">
        <v>50600000</v>
      </c>
      <c r="AX120" s="645"/>
      <c r="AY120" s="645"/>
      <c r="AZ120" s="645"/>
      <c r="BA120" s="646">
        <f t="shared" si="47"/>
        <v>50600000</v>
      </c>
      <c r="BB120" s="647"/>
      <c r="BC120" s="648"/>
      <c r="BD120" s="649"/>
      <c r="BE120" s="647"/>
      <c r="BF120" s="644"/>
      <c r="BG120" s="646">
        <f t="shared" si="48"/>
        <v>50600000</v>
      </c>
      <c r="BH120" s="650"/>
      <c r="BI120" s="647"/>
      <c r="BJ120" s="644"/>
      <c r="BK120" s="646">
        <f t="shared" si="49"/>
        <v>0</v>
      </c>
      <c r="BL120" s="651"/>
      <c r="BM120" s="652">
        <f t="shared" si="50"/>
        <v>1</v>
      </c>
      <c r="BN120" s="628"/>
      <c r="BO120" s="670"/>
      <c r="BP120" s="644"/>
      <c r="BQ120" s="644"/>
      <c r="BR120" s="644"/>
      <c r="BS120" s="644"/>
      <c r="BT120" s="644"/>
      <c r="BU120" s="644"/>
      <c r="BV120" s="644"/>
      <c r="BW120" s="644"/>
      <c r="BX120" s="644"/>
      <c r="BY120" s="644"/>
      <c r="BZ120" s="644"/>
      <c r="CA120" s="644"/>
      <c r="CB120" s="646">
        <f t="shared" si="51"/>
        <v>0</v>
      </c>
      <c r="CC120" s="646">
        <f t="shared" si="52"/>
        <v>0</v>
      </c>
      <c r="CD120" s="614"/>
    </row>
    <row r="121" spans="1:82" s="561" customFormat="1" ht="61.5" customHeight="1">
      <c r="A121" s="625" t="str">
        <f t="shared" si="34"/>
        <v>1107-158-FONT1107-03-01-0066-Museo de Bogotá en operación</v>
      </c>
      <c r="B121" s="626" t="str">
        <f t="shared" si="35"/>
        <v>1107-158-FONT1107-03-01-0066</v>
      </c>
      <c r="C121" s="626" t="str">
        <f t="shared" si="36"/>
        <v>1107-158-FONT1107-Museo de Bogotá en operación</v>
      </c>
      <c r="D121" s="626" t="str">
        <f t="shared" si="37"/>
        <v>1107-158-12-Otros Distrito-03-01-0066</v>
      </c>
      <c r="E121" s="626" t="str">
        <f t="shared" si="38"/>
        <v>Museo de Bogotá en operación-12-Otros Distrito-0066-Fomento, apoyo y divulgación de eventos y expresiones artísticas, culturales y del patrimonio</v>
      </c>
      <c r="F121" s="627">
        <v>84</v>
      </c>
      <c r="G121" s="628">
        <f t="shared" si="39"/>
        <v>84</v>
      </c>
      <c r="H121" s="629" t="b">
        <f t="shared" si="40"/>
        <v>0</v>
      </c>
      <c r="I121" s="630" t="s">
        <v>594</v>
      </c>
      <c r="J121" s="627" t="s">
        <v>27</v>
      </c>
      <c r="K121" s="631" t="str">
        <f>+IFERROR(VLOOKUP(J121,Listas!$A$108:$B$114,2,FALSE),"Alerta: Seleccione la celda en la comumna B con el nombre del proyecto")</f>
        <v>3-3-1-15-03-25-1107-158</v>
      </c>
      <c r="L121" s="632">
        <v>90151501</v>
      </c>
      <c r="M121" s="633" t="s">
        <v>685</v>
      </c>
      <c r="N121" s="634" t="str">
        <f t="shared" si="41"/>
        <v>(Cód. 84) Museo de la ciudad autoconstruida</v>
      </c>
      <c r="O121" s="635">
        <v>43687</v>
      </c>
      <c r="P121" s="636">
        <f>IFERROR(VLOOKUP(W121,'Estimación CRP'!$D$21:$E$30,2,FALSE),0)</f>
        <v>50</v>
      </c>
      <c r="Q121" s="637">
        <f>IF(O121="No aplica","No aplica",WORKDAY.INTL(O121,P121,1,'Estimación CRP'!A307:A323))</f>
        <v>43756</v>
      </c>
      <c r="R121" s="636">
        <f t="shared" si="42"/>
        <v>10</v>
      </c>
      <c r="S121" s="636">
        <f t="shared" si="43"/>
        <v>8</v>
      </c>
      <c r="T121" s="636">
        <f t="shared" si="44"/>
        <v>8</v>
      </c>
      <c r="U121" s="712">
        <v>10</v>
      </c>
      <c r="V121" s="638">
        <v>1</v>
      </c>
      <c r="W121" s="639" t="s">
        <v>258</v>
      </c>
      <c r="X121" s="640" t="str">
        <f>IFERROR(VLOOKUP(W121,Listas!$A$60:$B$73,2,FALSE),"Alerta: Seleccione primero Modalidad de selección")</f>
        <v>CCE-02</v>
      </c>
      <c r="Y121" s="641">
        <v>0</v>
      </c>
      <c r="Z121" s="641" t="s">
        <v>1157</v>
      </c>
      <c r="AA121" s="641" t="s">
        <v>1158</v>
      </c>
      <c r="AB121" s="642">
        <f t="shared" si="45"/>
        <v>2000000000</v>
      </c>
      <c r="AC121" s="642">
        <f t="shared" si="46"/>
        <v>2000000000</v>
      </c>
      <c r="AD121" s="641">
        <v>0</v>
      </c>
      <c r="AE121" s="643">
        <v>0</v>
      </c>
      <c r="AF121" s="639" t="s">
        <v>276</v>
      </c>
      <c r="AG121" s="639" t="s">
        <v>277</v>
      </c>
      <c r="AH121" s="639" t="s">
        <v>284</v>
      </c>
      <c r="AI121" s="626" t="str">
        <f>IFERROR(VLOOKUP(AH121,Listas!$A$77:$C$83,2,FALSE),"Alerta: Seleccione primero el responsable")</f>
        <v>3550800</v>
      </c>
      <c r="AJ121" s="640" t="str">
        <f>IFERROR(VLOOKUP(AH121,Listas!$A$77:$C$83,3,FALSE),"Alerta: Seleccione primero el responsable")</f>
        <v>margarita.castaneda@idpc.gov.co</v>
      </c>
      <c r="AK121" s="640" t="str">
        <f>IF(J121="Funcionamiento Gastos Generales","No aplica",IF(J121="Funcionamiento Servicios Personales indirectos","No aplica",IFERROR(VLOOKUP(J121,Listas!$A$127:$E$139,3,FALSE),"Alerta: Seleccione la celda en la comumna B con el nombre del proyecto")))</f>
        <v>ME20181107</v>
      </c>
      <c r="AL121" s="640" t="str">
        <f>IF(J121="Funcionamiento Gastos Generales","No aplica",IF(J121="Funcionamiento Servicios Personales","No aplica",IFERROR(VLOOKUP(J121,Listas!$A$220:$D$224,2,FALSE),"Alerta: Seleccione la celda en la comumna B con el nombre del proyecto")))</f>
        <v>COMP1107</v>
      </c>
      <c r="AM121" s="640" t="str">
        <f>IF(J121="Funcionamiento Gastos Generales","No aplica",IF(J121="Funcionamiento Servicios Personales","No aplica",IFERROR(VLOOKUP(J121,Listas!$A$220:$D$224,3,FALSE),"Alerta: Seleccione la celda en la comumna B con el nombre del proyecto")))</f>
        <v>CONC1107</v>
      </c>
      <c r="AN121" s="633" t="s">
        <v>1047</v>
      </c>
      <c r="AO121" s="633" t="s">
        <v>53</v>
      </c>
      <c r="AP121" s="634" t="str">
        <f>IFERROR(VLOOKUP(J121,Listas!$A$182:$E$215,5,FALSE),"Alerta: Seleccione la celda en la comumna B con el nombre del proyecto")</f>
        <v>13. Oferta cultural para la valoración y divulgación del patrimonio material e  inmaterial de la ciud</v>
      </c>
      <c r="AQ121" s="634" t="str">
        <f>IF(J121="Funcionamiento Gastos Generales","No aplica",IF(J121="Funcionamiento Servicios Personales","No aplica",IFERROR(VLOOKUP(J121,Listas!$A$220:$D$224,4,FALSE),"Alerta: Seleccione la celda en la comumna B con el nombre del proyecto")))</f>
        <v>FONT1107</v>
      </c>
      <c r="AR121" s="633" t="s">
        <v>198</v>
      </c>
      <c r="AS121" s="634" t="str">
        <f>IFERROR(VLOOKUP(AU121,Listas!$E$85:$L$105,7,FALSE),"Alerta: Seleccione la celda en la comumna AI con el concepto de gasto")</f>
        <v>03-RECURSO HUMANO</v>
      </c>
      <c r="AT121" s="634" t="str">
        <f>IFERROR(VLOOKUP(AU121,Listas!$E$85:$L$105,8,FALSE),"Alerta: Seleccione la celda en la comumna AI con el concepto de gasto")</f>
        <v>01-DIVULGACION, ASISTENCIA TECNICA Y CAPACITACION DE LA POBLACION</v>
      </c>
      <c r="AU121" s="633" t="s">
        <v>232</v>
      </c>
      <c r="AV121" s="634">
        <f>IFERROR(VLOOKUP(AU121,Listas!$E$85:$F$105,2,FALSE),"Alerta: Seleccione el Concepto de Gasto primero")</f>
        <v>0</v>
      </c>
      <c r="AW121" s="644">
        <v>2000000000</v>
      </c>
      <c r="AX121" s="645"/>
      <c r="AY121" s="645"/>
      <c r="AZ121" s="645"/>
      <c r="BA121" s="646">
        <f t="shared" si="47"/>
        <v>2000000000</v>
      </c>
      <c r="BB121" s="647"/>
      <c r="BC121" s="648"/>
      <c r="BD121" s="649"/>
      <c r="BE121" s="647"/>
      <c r="BF121" s="644"/>
      <c r="BG121" s="646">
        <f t="shared" si="48"/>
        <v>2000000000</v>
      </c>
      <c r="BH121" s="650"/>
      <c r="BI121" s="647"/>
      <c r="BJ121" s="644"/>
      <c r="BK121" s="646">
        <f t="shared" si="49"/>
        <v>0</v>
      </c>
      <c r="BL121" s="651"/>
      <c r="BM121" s="652">
        <f t="shared" si="50"/>
        <v>1</v>
      </c>
      <c r="BN121" s="628"/>
      <c r="BO121" s="670"/>
      <c r="BP121" s="644"/>
      <c r="BQ121" s="644"/>
      <c r="BR121" s="644"/>
      <c r="BS121" s="644"/>
      <c r="BT121" s="644"/>
      <c r="BU121" s="644"/>
      <c r="BV121" s="644"/>
      <c r="BW121" s="644"/>
      <c r="BX121" s="644"/>
      <c r="BY121" s="644"/>
      <c r="BZ121" s="644"/>
      <c r="CA121" s="644"/>
      <c r="CB121" s="646">
        <f t="shared" si="51"/>
        <v>0</v>
      </c>
      <c r="CC121" s="646">
        <f t="shared" si="52"/>
        <v>0</v>
      </c>
      <c r="CD121" s="614"/>
    </row>
    <row r="122" spans="1:82" s="561" customFormat="1" ht="61.5" customHeight="1">
      <c r="A122" s="625" t="str">
        <f t="shared" si="34"/>
        <v>1107-158-FONT1107-04-01-0185-Estímulos a iniciativas de la ciudadanía en temas de patrimonio cultural</v>
      </c>
      <c r="B122" s="626" t="str">
        <f t="shared" si="35"/>
        <v>1107-158-FONT1107-04-01-0185</v>
      </c>
      <c r="C122" s="626" t="str">
        <f t="shared" si="36"/>
        <v>1107-158-FONT1107-Estímulos a iniciativas de la ciudadanía en temas de patrimonio cultural</v>
      </c>
      <c r="D122" s="626" t="str">
        <f t="shared" si="37"/>
        <v>1107-158-12-Otros Distrito-04-01-0185</v>
      </c>
      <c r="E122" s="626" t="str">
        <f t="shared" si="38"/>
        <v>Estímulos a iniciativas de la ciudadanía en temas de patrimonio cultural-12-Otros Distrito-0185-Actividades de investigación para la valoración, protección, conservación, sostenibilidad y apropiación del Patrimonio Cultural</v>
      </c>
      <c r="F122" s="627">
        <v>85</v>
      </c>
      <c r="G122" s="628">
        <f t="shared" si="39"/>
        <v>85</v>
      </c>
      <c r="H122" s="629" t="b">
        <f t="shared" si="40"/>
        <v>0</v>
      </c>
      <c r="I122" s="630" t="s">
        <v>594</v>
      </c>
      <c r="J122" s="627" t="s">
        <v>27</v>
      </c>
      <c r="K122" s="631" t="str">
        <f>+IFERROR(VLOOKUP(J122,Listas!$A$108:$B$114,2,FALSE),"Alerta: Seleccione la celda en la comumna B con el nombre del proyecto")</f>
        <v>3-3-1-15-03-25-1107-158</v>
      </c>
      <c r="L122" s="632" t="s">
        <v>618</v>
      </c>
      <c r="M122" s="633" t="s">
        <v>686</v>
      </c>
      <c r="N122" s="634" t="str">
        <f t="shared" si="41"/>
        <v>(Cód. 85) Prestar servicios profesionales al Instituto Distrital de Patrimonio Cultural para apoyar la implementación de las acciones de fomento a las prácticas del patrimonio cultural.</v>
      </c>
      <c r="O122" s="635">
        <v>43480</v>
      </c>
      <c r="P122" s="636">
        <f>IFERROR(VLOOKUP(W122,'Estimación CRP'!$D$21:$E$30,2,FALSE),0)</f>
        <v>10</v>
      </c>
      <c r="Q122" s="637">
        <f>IF(O122="No aplica","No aplica",WORKDAY.INTL(O122,P122,1,'Estimación CRP'!A308:A324))</f>
        <v>43494</v>
      </c>
      <c r="R122" s="636">
        <f t="shared" si="42"/>
        <v>1</v>
      </c>
      <c r="S122" s="636">
        <f t="shared" si="43"/>
        <v>1</v>
      </c>
      <c r="T122" s="636">
        <f t="shared" si="44"/>
        <v>1</v>
      </c>
      <c r="U122" s="712">
        <v>11</v>
      </c>
      <c r="V122" s="638">
        <v>1</v>
      </c>
      <c r="W122" s="639" t="s">
        <v>274</v>
      </c>
      <c r="X122" s="640" t="str">
        <f>IFERROR(VLOOKUP(W122,Listas!$A$60:$B$73,2,FALSE),"Alerta: Seleccione primero Modalidad de selección")</f>
        <v>CCE-16</v>
      </c>
      <c r="Y122" s="641">
        <v>0</v>
      </c>
      <c r="Z122" s="641" t="s">
        <v>346</v>
      </c>
      <c r="AA122" s="641" t="s">
        <v>1159</v>
      </c>
      <c r="AB122" s="642">
        <f t="shared" si="45"/>
        <v>51040000</v>
      </c>
      <c r="AC122" s="642">
        <f t="shared" si="46"/>
        <v>51040000</v>
      </c>
      <c r="AD122" s="641">
        <v>0</v>
      </c>
      <c r="AE122" s="643">
        <v>0</v>
      </c>
      <c r="AF122" s="639" t="s">
        <v>276</v>
      </c>
      <c r="AG122" s="639" t="s">
        <v>277</v>
      </c>
      <c r="AH122" s="639" t="s">
        <v>284</v>
      </c>
      <c r="AI122" s="626" t="str">
        <f>IFERROR(VLOOKUP(AH122,Listas!$A$77:$C$83,2,FALSE),"Alerta: Seleccione primero el responsable")</f>
        <v>3550800</v>
      </c>
      <c r="AJ122" s="640" t="str">
        <f>IFERROR(VLOOKUP(AH122,Listas!$A$77:$C$83,3,FALSE),"Alerta: Seleccione primero el responsable")</f>
        <v>margarita.castaneda@idpc.gov.co</v>
      </c>
      <c r="AK122" s="640" t="str">
        <f>IF(J122="Funcionamiento Gastos Generales","No aplica",IF(J122="Funcionamiento Servicios Personales indirectos","No aplica",IFERROR(VLOOKUP(J122,Listas!$A$127:$E$139,3,FALSE),"Alerta: Seleccione la celda en la comumna B con el nombre del proyecto")))</f>
        <v>ME20181107</v>
      </c>
      <c r="AL122" s="640" t="str">
        <f>IF(J122="Funcionamiento Gastos Generales","No aplica",IF(J122="Funcionamiento Servicios Personales","No aplica",IFERROR(VLOOKUP(J122,Listas!$A$220:$D$224,2,FALSE),"Alerta: Seleccione la celda en la comumna B con el nombre del proyecto")))</f>
        <v>COMP1107</v>
      </c>
      <c r="AM122" s="640" t="str">
        <f>IF(J122="Funcionamiento Gastos Generales","No aplica",IF(J122="Funcionamiento Servicios Personales","No aplica",IFERROR(VLOOKUP(J122,Listas!$A$220:$D$224,3,FALSE),"Alerta: Seleccione la celda en la comumna B con el nombre del proyecto")))</f>
        <v>CONC1107</v>
      </c>
      <c r="AN122" s="633" t="s">
        <v>1048</v>
      </c>
      <c r="AO122" s="633" t="s">
        <v>122</v>
      </c>
      <c r="AP122" s="634" t="str">
        <f>IFERROR(VLOOKUP(J122,Listas!$A$182:$E$215,5,FALSE),"Alerta: Seleccione la celda en la comumna B con el nombre del proyecto")</f>
        <v>13. Oferta cultural para la valoración y divulgación del patrimonio material e  inmaterial de la ciud</v>
      </c>
      <c r="AQ122" s="634" t="str">
        <f>IF(J122="Funcionamiento Gastos Generales","No aplica",IF(J122="Funcionamiento Servicios Personales","No aplica",IFERROR(VLOOKUP(J122,Listas!$A$220:$D$224,4,FALSE),"Alerta: Seleccione la celda en la comumna B con el nombre del proyecto")))</f>
        <v>FONT1107</v>
      </c>
      <c r="AR122" s="633" t="s">
        <v>198</v>
      </c>
      <c r="AS122" s="634" t="str">
        <f>IFERROR(VLOOKUP(AU122,Listas!$E$85:$L$105,7,FALSE),"Alerta: Seleccione la celda en la comumna AI con el concepto de gasto")</f>
        <v>04-INVESTIGACION Y ESTUDIOS</v>
      </c>
      <c r="AT122" s="634" t="str">
        <f>IFERROR(VLOOKUP(AU122,Listas!$E$85:$L$105,8,FALSE),"Alerta: Seleccione la celda en la comumna AI con el concepto de gasto")</f>
        <v>01-INVESTIGACIÓN BÁSICA APLICADA Y ESTUDIOS PROPIOS DEL SECTOR</v>
      </c>
      <c r="AU122" s="633" t="s">
        <v>201</v>
      </c>
      <c r="AV122" s="634">
        <f>IFERROR(VLOOKUP(AU122,Listas!$E$85:$F$105,2,FALSE),"Alerta: Seleccione el Concepto de Gasto primero")</f>
        <v>0</v>
      </c>
      <c r="AW122" s="644">
        <v>51040000</v>
      </c>
      <c r="AX122" s="645"/>
      <c r="AY122" s="645"/>
      <c r="AZ122" s="645"/>
      <c r="BA122" s="646">
        <f t="shared" si="47"/>
        <v>51040000</v>
      </c>
      <c r="BB122" s="647"/>
      <c r="BC122" s="648"/>
      <c r="BD122" s="649"/>
      <c r="BE122" s="647"/>
      <c r="BF122" s="644"/>
      <c r="BG122" s="646">
        <f t="shared" si="48"/>
        <v>51040000</v>
      </c>
      <c r="BH122" s="650"/>
      <c r="BI122" s="647"/>
      <c r="BJ122" s="644"/>
      <c r="BK122" s="646">
        <f t="shared" si="49"/>
        <v>0</v>
      </c>
      <c r="BL122" s="651"/>
      <c r="BM122" s="652">
        <f t="shared" si="50"/>
        <v>1</v>
      </c>
      <c r="BN122" s="628"/>
      <c r="BO122" s="670"/>
      <c r="BP122" s="644"/>
      <c r="BQ122" s="644"/>
      <c r="BR122" s="644"/>
      <c r="BS122" s="644"/>
      <c r="BT122" s="644"/>
      <c r="BU122" s="644"/>
      <c r="BV122" s="644"/>
      <c r="BW122" s="644"/>
      <c r="BX122" s="644"/>
      <c r="BY122" s="644"/>
      <c r="BZ122" s="644"/>
      <c r="CA122" s="644"/>
      <c r="CB122" s="646">
        <f t="shared" si="51"/>
        <v>0</v>
      </c>
      <c r="CC122" s="646">
        <f t="shared" si="52"/>
        <v>0</v>
      </c>
      <c r="CD122" s="614"/>
    </row>
    <row r="123" spans="1:82" s="561" customFormat="1" ht="61.5" customHeight="1">
      <c r="A123" s="625" t="str">
        <f t="shared" si="34"/>
        <v>1107-158-FONT1107-03-01-0066-Activación del patrimonio</v>
      </c>
      <c r="B123" s="626" t="str">
        <f t="shared" si="35"/>
        <v>1107-158-FONT1107-03-01-0066</v>
      </c>
      <c r="C123" s="626" t="str">
        <f t="shared" si="36"/>
        <v>1107-158-FONT1107-Activación del patrimonio</v>
      </c>
      <c r="D123" s="626" t="str">
        <f t="shared" si="37"/>
        <v>1107-158-12-Otros Distrito-03-01-0066</v>
      </c>
      <c r="E123" s="626" t="str">
        <f t="shared" si="38"/>
        <v>Activación del patrimonio-12-Otros Distrito-0066-Fomento, apoyo y divulgación de eventos y expresiones artísticas, culturales y del patrimonio</v>
      </c>
      <c r="F123" s="627">
        <v>86</v>
      </c>
      <c r="G123" s="628">
        <f t="shared" si="39"/>
        <v>86</v>
      </c>
      <c r="H123" s="629" t="b">
        <f t="shared" si="40"/>
        <v>0</v>
      </c>
      <c r="I123" s="630" t="s">
        <v>594</v>
      </c>
      <c r="J123" s="627" t="s">
        <v>27</v>
      </c>
      <c r="K123" s="631" t="str">
        <f>+IFERROR(VLOOKUP(J123,Listas!$A$108:$B$114,2,FALSE),"Alerta: Seleccione la celda en la comumna B con el nombre del proyecto")</f>
        <v>3-3-1-15-03-25-1107-158</v>
      </c>
      <c r="L123" s="632" t="s">
        <v>618</v>
      </c>
      <c r="M123" s="633" t="s">
        <v>687</v>
      </c>
      <c r="N123" s="634" t="str">
        <f t="shared" si="41"/>
        <v>(Cód. 86) Prestar servicios profesionales al Instituto Distrital de Patrimonio Cultural en el seguimiento a la ejecución de los procesos de planeación presupuestal y contractual, realizados en el marco de los proyectos a cargo de la Subdirección de Divulgación de los Valores del Patrimonio Cultural.</v>
      </c>
      <c r="O123" s="635">
        <v>43480</v>
      </c>
      <c r="P123" s="636">
        <f>IFERROR(VLOOKUP(W123,'Estimación CRP'!$D$21:$E$30,2,FALSE),0)</f>
        <v>10</v>
      </c>
      <c r="Q123" s="637">
        <f>IF(O123="No aplica","No aplica",WORKDAY.INTL(O123,P123,1,'Estimación CRP'!A309:A325))</f>
        <v>43494</v>
      </c>
      <c r="R123" s="636">
        <f t="shared" si="42"/>
        <v>1</v>
      </c>
      <c r="S123" s="636">
        <f t="shared" si="43"/>
        <v>1</v>
      </c>
      <c r="T123" s="636">
        <f t="shared" si="44"/>
        <v>1</v>
      </c>
      <c r="U123" s="712">
        <v>11</v>
      </c>
      <c r="V123" s="638">
        <v>1</v>
      </c>
      <c r="W123" s="639" t="s">
        <v>274</v>
      </c>
      <c r="X123" s="640" t="str">
        <f>IFERROR(VLOOKUP(W123,Listas!$A$60:$B$73,2,FALSE),"Alerta: Seleccione primero Modalidad de selección")</f>
        <v>CCE-16</v>
      </c>
      <c r="Y123" s="641">
        <v>0</v>
      </c>
      <c r="Z123" s="641" t="s">
        <v>346</v>
      </c>
      <c r="AA123" s="641" t="s">
        <v>1160</v>
      </c>
      <c r="AB123" s="642">
        <f t="shared" si="45"/>
        <v>72820000</v>
      </c>
      <c r="AC123" s="642">
        <f t="shared" si="46"/>
        <v>72820000</v>
      </c>
      <c r="AD123" s="641">
        <v>0</v>
      </c>
      <c r="AE123" s="643">
        <v>0</v>
      </c>
      <c r="AF123" s="639" t="s">
        <v>276</v>
      </c>
      <c r="AG123" s="639" t="s">
        <v>277</v>
      </c>
      <c r="AH123" s="639" t="s">
        <v>284</v>
      </c>
      <c r="AI123" s="626" t="str">
        <f>IFERROR(VLOOKUP(AH123,Listas!$A$77:$C$83,2,FALSE),"Alerta: Seleccione primero el responsable")</f>
        <v>3550800</v>
      </c>
      <c r="AJ123" s="640" t="str">
        <f>IFERROR(VLOOKUP(AH123,Listas!$A$77:$C$83,3,FALSE),"Alerta: Seleccione primero el responsable")</f>
        <v>margarita.castaneda@idpc.gov.co</v>
      </c>
      <c r="AK123" s="640" t="str">
        <f>IF(J123="Funcionamiento Gastos Generales","No aplica",IF(J123="Funcionamiento Servicios Personales indirectos","No aplica",IFERROR(VLOOKUP(J123,Listas!$A$127:$E$139,3,FALSE),"Alerta: Seleccione la celda en la comumna B con el nombre del proyecto")))</f>
        <v>ME20181107</v>
      </c>
      <c r="AL123" s="640" t="str">
        <f>IF(J123="Funcionamiento Gastos Generales","No aplica",IF(J123="Funcionamiento Servicios Personales","No aplica",IFERROR(VLOOKUP(J123,Listas!$A$220:$D$224,2,FALSE),"Alerta: Seleccione la celda en la comumna B con el nombre del proyecto")))</f>
        <v>COMP1107</v>
      </c>
      <c r="AM123" s="640" t="str">
        <f>IF(J123="Funcionamiento Gastos Generales","No aplica",IF(J123="Funcionamiento Servicios Personales","No aplica",IFERROR(VLOOKUP(J123,Listas!$A$220:$D$224,3,FALSE),"Alerta: Seleccione la celda en la comumna B con el nombre del proyecto")))</f>
        <v>CONC1107</v>
      </c>
      <c r="AN123" s="633" t="s">
        <v>1046</v>
      </c>
      <c r="AO123" s="633" t="s">
        <v>54</v>
      </c>
      <c r="AP123" s="634" t="str">
        <f>IFERROR(VLOOKUP(J123,Listas!$A$182:$E$215,5,FALSE),"Alerta: Seleccione la celda en la comumna B con el nombre del proyecto")</f>
        <v>13. Oferta cultural para la valoración y divulgación del patrimonio material e  inmaterial de la ciud</v>
      </c>
      <c r="AQ123" s="634" t="str">
        <f>IF(J123="Funcionamiento Gastos Generales","No aplica",IF(J123="Funcionamiento Servicios Personales","No aplica",IFERROR(VLOOKUP(J123,Listas!$A$220:$D$224,4,FALSE),"Alerta: Seleccione la celda en la comumna B con el nombre del proyecto")))</f>
        <v>FONT1107</v>
      </c>
      <c r="AR123" s="633" t="s">
        <v>198</v>
      </c>
      <c r="AS123" s="634" t="str">
        <f>IFERROR(VLOOKUP(AU123,Listas!$E$85:$L$105,7,FALSE),"Alerta: Seleccione la celda en la comumna AI con el concepto de gasto")</f>
        <v>03-RECURSO HUMANO</v>
      </c>
      <c r="AT123" s="634" t="str">
        <f>IFERROR(VLOOKUP(AU123,Listas!$E$85:$L$105,8,FALSE),"Alerta: Seleccione la celda en la comumna AI con el concepto de gasto")</f>
        <v>01-DIVULGACION, ASISTENCIA TECNICA Y CAPACITACION DE LA POBLACION</v>
      </c>
      <c r="AU123" s="633" t="s">
        <v>232</v>
      </c>
      <c r="AV123" s="634">
        <f>IFERROR(VLOOKUP(AU123,Listas!$E$85:$F$105,2,FALSE),"Alerta: Seleccione el Concepto de Gasto primero")</f>
        <v>0</v>
      </c>
      <c r="AW123" s="644">
        <v>72820000</v>
      </c>
      <c r="AX123" s="645"/>
      <c r="AY123" s="645"/>
      <c r="AZ123" s="645"/>
      <c r="BA123" s="646">
        <f t="shared" si="47"/>
        <v>72820000</v>
      </c>
      <c r="BB123" s="647"/>
      <c r="BC123" s="648"/>
      <c r="BD123" s="649"/>
      <c r="BE123" s="647"/>
      <c r="BF123" s="644"/>
      <c r="BG123" s="646">
        <f t="shared" si="48"/>
        <v>72820000</v>
      </c>
      <c r="BH123" s="650"/>
      <c r="BI123" s="647"/>
      <c r="BJ123" s="644"/>
      <c r="BK123" s="646">
        <f t="shared" si="49"/>
        <v>0</v>
      </c>
      <c r="BL123" s="651"/>
      <c r="BM123" s="652">
        <f t="shared" si="50"/>
        <v>1</v>
      </c>
      <c r="BN123" s="628"/>
      <c r="BO123" s="670"/>
      <c r="BP123" s="644"/>
      <c r="BQ123" s="644"/>
      <c r="BR123" s="644"/>
      <c r="BS123" s="644"/>
      <c r="BT123" s="644"/>
      <c r="BU123" s="644"/>
      <c r="BV123" s="644"/>
      <c r="BW123" s="644"/>
      <c r="BX123" s="644"/>
      <c r="BY123" s="644"/>
      <c r="BZ123" s="644"/>
      <c r="CA123" s="644"/>
      <c r="CB123" s="646">
        <f t="shared" si="51"/>
        <v>0</v>
      </c>
      <c r="CC123" s="646">
        <f t="shared" si="52"/>
        <v>0</v>
      </c>
      <c r="CD123" s="614"/>
    </row>
    <row r="124" spans="1:82" s="561" customFormat="1" ht="61.5" customHeight="1">
      <c r="A124" s="625" t="str">
        <f t="shared" si="34"/>
        <v>1107-158-FONT1107-03-01-0066-Activación del patrimonio</v>
      </c>
      <c r="B124" s="626" t="str">
        <f t="shared" si="35"/>
        <v>1107-158-FONT1107-03-01-0066</v>
      </c>
      <c r="C124" s="626" t="str">
        <f t="shared" si="36"/>
        <v>1107-158-FONT1107-Activación del patrimonio</v>
      </c>
      <c r="D124" s="626" t="str">
        <f t="shared" si="37"/>
        <v>1107-158-12-Otros Distrito-03-01-0066</v>
      </c>
      <c r="E124" s="626" t="str">
        <f t="shared" si="38"/>
        <v>Activación del patrimonio-12-Otros Distrito-0066-Fomento, apoyo y divulgación de eventos y expresiones artísticas, culturales y del patrimonio</v>
      </c>
      <c r="F124" s="627">
        <v>87</v>
      </c>
      <c r="G124" s="628">
        <f t="shared" si="39"/>
        <v>87</v>
      </c>
      <c r="H124" s="629" t="b">
        <f t="shared" si="40"/>
        <v>0</v>
      </c>
      <c r="I124" s="630" t="s">
        <v>594</v>
      </c>
      <c r="J124" s="627" t="s">
        <v>27</v>
      </c>
      <c r="K124" s="631" t="str">
        <f>+IFERROR(VLOOKUP(J124,Listas!$A$108:$B$114,2,FALSE),"Alerta: Seleccione la celda en la comumna B con el nombre del proyecto")</f>
        <v>3-3-1-15-03-25-1107-158</v>
      </c>
      <c r="L124" s="632" t="s">
        <v>618</v>
      </c>
      <c r="M124" s="633" t="s">
        <v>688</v>
      </c>
      <c r="N124" s="634" t="str">
        <f t="shared" si="41"/>
        <v>(Cód. 87) Prestar servicios profesionales al Instituto Distrital de Patrimonio Cultural para apoyar el desarrollo de los contenidos requeridos para la publicación sobre monumentos en espacio público de Bogotá.</v>
      </c>
      <c r="O124" s="635">
        <v>43511</v>
      </c>
      <c r="P124" s="636">
        <f>IFERROR(VLOOKUP(W124,'Estimación CRP'!$D$21:$E$30,2,FALSE),0)</f>
        <v>10</v>
      </c>
      <c r="Q124" s="637">
        <f>IF(O124="No aplica","No aplica",WORKDAY.INTL(O124,P124,1,'Estimación CRP'!A310:A326))</f>
        <v>43525</v>
      </c>
      <c r="R124" s="636">
        <f t="shared" si="42"/>
        <v>3</v>
      </c>
      <c r="S124" s="636">
        <f t="shared" si="43"/>
        <v>2</v>
      </c>
      <c r="T124" s="636">
        <f t="shared" si="44"/>
        <v>2</v>
      </c>
      <c r="U124" s="712">
        <v>2</v>
      </c>
      <c r="V124" s="638">
        <v>1</v>
      </c>
      <c r="W124" s="639" t="s">
        <v>274</v>
      </c>
      <c r="X124" s="640" t="str">
        <f>IFERROR(VLOOKUP(W124,Listas!$A$60:$B$73,2,FALSE),"Alerta: Seleccione primero Modalidad de selección")</f>
        <v>CCE-16</v>
      </c>
      <c r="Y124" s="641">
        <v>0</v>
      </c>
      <c r="Z124" s="641" t="s">
        <v>346</v>
      </c>
      <c r="AA124" s="641" t="s">
        <v>1161</v>
      </c>
      <c r="AB124" s="642">
        <f t="shared" si="45"/>
        <v>12000000</v>
      </c>
      <c r="AC124" s="642">
        <f t="shared" si="46"/>
        <v>12000000</v>
      </c>
      <c r="AD124" s="641">
        <v>0</v>
      </c>
      <c r="AE124" s="643">
        <v>0</v>
      </c>
      <c r="AF124" s="639" t="s">
        <v>276</v>
      </c>
      <c r="AG124" s="639" t="s">
        <v>277</v>
      </c>
      <c r="AH124" s="639" t="s">
        <v>284</v>
      </c>
      <c r="AI124" s="626" t="str">
        <f>IFERROR(VLOOKUP(AH124,Listas!$A$77:$C$83,2,FALSE),"Alerta: Seleccione primero el responsable")</f>
        <v>3550800</v>
      </c>
      <c r="AJ124" s="640" t="str">
        <f>IFERROR(VLOOKUP(AH124,Listas!$A$77:$C$83,3,FALSE),"Alerta: Seleccione primero el responsable")</f>
        <v>margarita.castaneda@idpc.gov.co</v>
      </c>
      <c r="AK124" s="640" t="str">
        <f>IF(J124="Funcionamiento Gastos Generales","No aplica",IF(J124="Funcionamiento Servicios Personales indirectos","No aplica",IFERROR(VLOOKUP(J124,Listas!$A$127:$E$139,3,FALSE),"Alerta: Seleccione la celda en la comumna B con el nombre del proyecto")))</f>
        <v>ME20181107</v>
      </c>
      <c r="AL124" s="640" t="str">
        <f>IF(J124="Funcionamiento Gastos Generales","No aplica",IF(J124="Funcionamiento Servicios Personales","No aplica",IFERROR(VLOOKUP(J124,Listas!$A$220:$D$224,2,FALSE),"Alerta: Seleccione la celda en la comumna B con el nombre del proyecto")))</f>
        <v>COMP1107</v>
      </c>
      <c r="AM124" s="640" t="str">
        <f>IF(J124="Funcionamiento Gastos Generales","No aplica",IF(J124="Funcionamiento Servicios Personales","No aplica",IFERROR(VLOOKUP(J124,Listas!$A$220:$D$224,3,FALSE),"Alerta: Seleccione la celda en la comumna B con el nombre del proyecto")))</f>
        <v>CONC1107</v>
      </c>
      <c r="AN124" s="633" t="s">
        <v>1046</v>
      </c>
      <c r="AO124" s="633" t="s">
        <v>54</v>
      </c>
      <c r="AP124" s="634" t="str">
        <f>IFERROR(VLOOKUP(J124,Listas!$A$182:$E$215,5,FALSE),"Alerta: Seleccione la celda en la comumna B con el nombre del proyecto")</f>
        <v>13. Oferta cultural para la valoración y divulgación del patrimonio material e  inmaterial de la ciud</v>
      </c>
      <c r="AQ124" s="634" t="str">
        <f>IF(J124="Funcionamiento Gastos Generales","No aplica",IF(J124="Funcionamiento Servicios Personales","No aplica",IFERROR(VLOOKUP(J124,Listas!$A$220:$D$224,4,FALSE),"Alerta: Seleccione la celda en la comumna B con el nombre del proyecto")))</f>
        <v>FONT1107</v>
      </c>
      <c r="AR124" s="633" t="s">
        <v>198</v>
      </c>
      <c r="AS124" s="634" t="str">
        <f>IFERROR(VLOOKUP(AU124,Listas!$E$85:$L$105,7,FALSE),"Alerta: Seleccione la celda en la comumna AI con el concepto de gasto")</f>
        <v>03-RECURSO HUMANO</v>
      </c>
      <c r="AT124" s="634" t="str">
        <f>IFERROR(VLOOKUP(AU124,Listas!$E$85:$L$105,8,FALSE),"Alerta: Seleccione la celda en la comumna AI con el concepto de gasto")</f>
        <v>01-DIVULGACION, ASISTENCIA TECNICA Y CAPACITACION DE LA POBLACION</v>
      </c>
      <c r="AU124" s="633" t="s">
        <v>232</v>
      </c>
      <c r="AV124" s="634">
        <f>IFERROR(VLOOKUP(AU124,Listas!$E$85:$F$105,2,FALSE),"Alerta: Seleccione el Concepto de Gasto primero")</f>
        <v>0</v>
      </c>
      <c r="AW124" s="644">
        <v>12000000</v>
      </c>
      <c r="AX124" s="645"/>
      <c r="AY124" s="645"/>
      <c r="AZ124" s="645"/>
      <c r="BA124" s="646">
        <f t="shared" si="47"/>
        <v>12000000</v>
      </c>
      <c r="BB124" s="647"/>
      <c r="BC124" s="648"/>
      <c r="BD124" s="649"/>
      <c r="BE124" s="647"/>
      <c r="BF124" s="644"/>
      <c r="BG124" s="646">
        <f t="shared" si="48"/>
        <v>12000000</v>
      </c>
      <c r="BH124" s="650"/>
      <c r="BI124" s="647"/>
      <c r="BJ124" s="644"/>
      <c r="BK124" s="646">
        <f t="shared" si="49"/>
        <v>0</v>
      </c>
      <c r="BL124" s="651"/>
      <c r="BM124" s="652">
        <f t="shared" si="50"/>
        <v>1</v>
      </c>
      <c r="BN124" s="628"/>
      <c r="BO124" s="670"/>
      <c r="BP124" s="644"/>
      <c r="BQ124" s="644"/>
      <c r="BR124" s="644"/>
      <c r="BS124" s="644"/>
      <c r="BT124" s="644"/>
      <c r="BU124" s="644"/>
      <c r="BV124" s="644"/>
      <c r="BW124" s="644"/>
      <c r="BX124" s="644"/>
      <c r="BY124" s="644"/>
      <c r="BZ124" s="644"/>
      <c r="CA124" s="644"/>
      <c r="CB124" s="646">
        <f t="shared" si="51"/>
        <v>0</v>
      </c>
      <c r="CC124" s="646">
        <f t="shared" si="52"/>
        <v>0</v>
      </c>
      <c r="CD124" s="614"/>
    </row>
    <row r="125" spans="1:82" s="561" customFormat="1" ht="61.5" customHeight="1">
      <c r="A125" s="625" t="str">
        <f t="shared" si="34"/>
        <v>1107-158-FONT1107-03-01-0066-Activación del patrimonio</v>
      </c>
      <c r="B125" s="626" t="str">
        <f t="shared" si="35"/>
        <v>1107-158-FONT1107-03-01-0066</v>
      </c>
      <c r="C125" s="626" t="str">
        <f t="shared" si="36"/>
        <v>1107-158-FONT1107-Activación del patrimonio</v>
      </c>
      <c r="D125" s="626" t="str">
        <f t="shared" si="37"/>
        <v>1107-158-12-Otros Distrito-03-01-0066</v>
      </c>
      <c r="E125" s="626" t="str">
        <f t="shared" si="38"/>
        <v>Activación del patrimonio-12-Otros Distrito-0066-Fomento, apoyo y divulgación de eventos y expresiones artísticas, culturales y del patrimonio</v>
      </c>
      <c r="F125" s="627">
        <v>88</v>
      </c>
      <c r="G125" s="628">
        <f t="shared" si="39"/>
        <v>88</v>
      </c>
      <c r="H125" s="629" t="b">
        <f t="shared" si="40"/>
        <v>0</v>
      </c>
      <c r="I125" s="630" t="s">
        <v>594</v>
      </c>
      <c r="J125" s="627" t="s">
        <v>27</v>
      </c>
      <c r="K125" s="631" t="str">
        <f>+IFERROR(VLOOKUP(J125,Listas!$A$108:$B$114,2,FALSE),"Alerta: Seleccione la celda en la comumna B con el nombre del proyecto")</f>
        <v>3-3-1-15-03-25-1107-158</v>
      </c>
      <c r="L125" s="632" t="s">
        <v>618</v>
      </c>
      <c r="M125" s="633" t="s">
        <v>689</v>
      </c>
      <c r="N125" s="634" t="str">
        <f t="shared" si="41"/>
        <v>(Cód. 88) Prestar servicios profesionales al Instituto Distrital de Patrimonio Cultural para apoyar el desarrollo de los contenidos requeridos para la publicación sobre el Plan Especial de Manejo y Protección PEMP del Centro Histórico de Bogotá.</v>
      </c>
      <c r="O125" s="635">
        <v>43511</v>
      </c>
      <c r="P125" s="636">
        <f>IFERROR(VLOOKUP(W125,'Estimación CRP'!$D$21:$E$30,2,FALSE),0)</f>
        <v>10</v>
      </c>
      <c r="Q125" s="637">
        <f>IF(O125="No aplica","No aplica",WORKDAY.INTL(O125,P125,1,'Estimación CRP'!A311:A327))</f>
        <v>43525</v>
      </c>
      <c r="R125" s="636">
        <f t="shared" si="42"/>
        <v>3</v>
      </c>
      <c r="S125" s="636">
        <f t="shared" si="43"/>
        <v>2</v>
      </c>
      <c r="T125" s="636">
        <f t="shared" si="44"/>
        <v>2</v>
      </c>
      <c r="U125" s="712">
        <v>4</v>
      </c>
      <c r="V125" s="638">
        <v>1</v>
      </c>
      <c r="W125" s="639" t="s">
        <v>274</v>
      </c>
      <c r="X125" s="640" t="str">
        <f>IFERROR(VLOOKUP(W125,Listas!$A$60:$B$73,2,FALSE),"Alerta: Seleccione primero Modalidad de selección")</f>
        <v>CCE-16</v>
      </c>
      <c r="Y125" s="641">
        <v>0</v>
      </c>
      <c r="Z125" s="641" t="s">
        <v>346</v>
      </c>
      <c r="AA125" s="641" t="s">
        <v>1162</v>
      </c>
      <c r="AB125" s="642">
        <f t="shared" si="45"/>
        <v>20000000</v>
      </c>
      <c r="AC125" s="642">
        <f t="shared" si="46"/>
        <v>20000000</v>
      </c>
      <c r="AD125" s="641">
        <v>0</v>
      </c>
      <c r="AE125" s="643">
        <v>0</v>
      </c>
      <c r="AF125" s="639" t="s">
        <v>276</v>
      </c>
      <c r="AG125" s="639" t="s">
        <v>277</v>
      </c>
      <c r="AH125" s="639" t="s">
        <v>284</v>
      </c>
      <c r="AI125" s="626" t="str">
        <f>IFERROR(VLOOKUP(AH125,Listas!$A$77:$C$83,2,FALSE),"Alerta: Seleccione primero el responsable")</f>
        <v>3550800</v>
      </c>
      <c r="AJ125" s="640" t="str">
        <f>IFERROR(VLOOKUP(AH125,Listas!$A$77:$C$83,3,FALSE),"Alerta: Seleccione primero el responsable")</f>
        <v>margarita.castaneda@idpc.gov.co</v>
      </c>
      <c r="AK125" s="640" t="str">
        <f>IF(J125="Funcionamiento Gastos Generales","No aplica",IF(J125="Funcionamiento Servicios Personales indirectos","No aplica",IFERROR(VLOOKUP(J125,Listas!$A$127:$E$139,3,FALSE),"Alerta: Seleccione la celda en la comumna B con el nombre del proyecto")))</f>
        <v>ME20181107</v>
      </c>
      <c r="AL125" s="640" t="str">
        <f>IF(J125="Funcionamiento Gastos Generales","No aplica",IF(J125="Funcionamiento Servicios Personales","No aplica",IFERROR(VLOOKUP(J125,Listas!$A$220:$D$224,2,FALSE),"Alerta: Seleccione la celda en la comumna B con el nombre del proyecto")))</f>
        <v>COMP1107</v>
      </c>
      <c r="AM125" s="640" t="str">
        <f>IF(J125="Funcionamiento Gastos Generales","No aplica",IF(J125="Funcionamiento Servicios Personales","No aplica",IFERROR(VLOOKUP(J125,Listas!$A$220:$D$224,3,FALSE),"Alerta: Seleccione la celda en la comumna B con el nombre del proyecto")))</f>
        <v>CONC1107</v>
      </c>
      <c r="AN125" s="633" t="s">
        <v>1046</v>
      </c>
      <c r="AO125" s="633" t="s">
        <v>54</v>
      </c>
      <c r="AP125" s="634" t="str">
        <f>IFERROR(VLOOKUP(J125,Listas!$A$182:$E$215,5,FALSE),"Alerta: Seleccione la celda en la comumna B con el nombre del proyecto")</f>
        <v>13. Oferta cultural para la valoración y divulgación del patrimonio material e  inmaterial de la ciud</v>
      </c>
      <c r="AQ125" s="634" t="str">
        <f>IF(J125="Funcionamiento Gastos Generales","No aplica",IF(J125="Funcionamiento Servicios Personales","No aplica",IFERROR(VLOOKUP(J125,Listas!$A$220:$D$224,4,FALSE),"Alerta: Seleccione la celda en la comumna B con el nombre del proyecto")))</f>
        <v>FONT1107</v>
      </c>
      <c r="AR125" s="633" t="s">
        <v>198</v>
      </c>
      <c r="AS125" s="634" t="str">
        <f>IFERROR(VLOOKUP(AU125,Listas!$E$85:$L$105,7,FALSE),"Alerta: Seleccione la celda en la comumna AI con el concepto de gasto")</f>
        <v>03-RECURSO HUMANO</v>
      </c>
      <c r="AT125" s="634" t="str">
        <f>IFERROR(VLOOKUP(AU125,Listas!$E$85:$L$105,8,FALSE),"Alerta: Seleccione la celda en la comumna AI con el concepto de gasto")</f>
        <v>01-DIVULGACION, ASISTENCIA TECNICA Y CAPACITACION DE LA POBLACION</v>
      </c>
      <c r="AU125" s="633" t="s">
        <v>232</v>
      </c>
      <c r="AV125" s="634">
        <f>IFERROR(VLOOKUP(AU125,Listas!$E$85:$F$105,2,FALSE),"Alerta: Seleccione el Concepto de Gasto primero")</f>
        <v>0</v>
      </c>
      <c r="AW125" s="644">
        <v>20000000</v>
      </c>
      <c r="AX125" s="645"/>
      <c r="AY125" s="645"/>
      <c r="AZ125" s="645"/>
      <c r="BA125" s="646">
        <f t="shared" si="47"/>
        <v>20000000</v>
      </c>
      <c r="BB125" s="647"/>
      <c r="BC125" s="648"/>
      <c r="BD125" s="649"/>
      <c r="BE125" s="647"/>
      <c r="BF125" s="644"/>
      <c r="BG125" s="646">
        <f t="shared" si="48"/>
        <v>20000000</v>
      </c>
      <c r="BH125" s="650"/>
      <c r="BI125" s="647"/>
      <c r="BJ125" s="644"/>
      <c r="BK125" s="646">
        <f t="shared" si="49"/>
        <v>0</v>
      </c>
      <c r="BL125" s="651"/>
      <c r="BM125" s="652">
        <f t="shared" si="50"/>
        <v>1</v>
      </c>
      <c r="BN125" s="628"/>
      <c r="BO125" s="670"/>
      <c r="BP125" s="644"/>
      <c r="BQ125" s="644"/>
      <c r="BR125" s="644"/>
      <c r="BS125" s="644"/>
      <c r="BT125" s="644"/>
      <c r="BU125" s="644"/>
      <c r="BV125" s="644"/>
      <c r="BW125" s="644"/>
      <c r="BX125" s="644"/>
      <c r="BY125" s="644"/>
      <c r="BZ125" s="644"/>
      <c r="CA125" s="644"/>
      <c r="CB125" s="646">
        <f t="shared" si="51"/>
        <v>0</v>
      </c>
      <c r="CC125" s="646">
        <f t="shared" si="52"/>
        <v>0</v>
      </c>
      <c r="CD125" s="614"/>
    </row>
    <row r="126" spans="1:82" s="561" customFormat="1" ht="61.5" customHeight="1">
      <c r="A126" s="625" t="str">
        <f t="shared" si="34"/>
        <v>1107-158-FONT1107-03-01-0066-Museo de Bogotá en operación</v>
      </c>
      <c r="B126" s="626" t="str">
        <f t="shared" si="35"/>
        <v>1107-158-FONT1107-03-01-0066</v>
      </c>
      <c r="C126" s="626" t="str">
        <f t="shared" si="36"/>
        <v>1107-158-FONT1107-Museo de Bogotá en operación</v>
      </c>
      <c r="D126" s="626" t="str">
        <f t="shared" si="37"/>
        <v>1107-158-12-Otros Distrito-03-01-0066</v>
      </c>
      <c r="E126" s="626" t="str">
        <f t="shared" si="38"/>
        <v>Museo de Bogotá en operación-12-Otros Distrito-0066-Fomento, apoyo y divulgación de eventos y expresiones artísticas, culturales y del patrimonio</v>
      </c>
      <c r="F126" s="627">
        <v>89</v>
      </c>
      <c r="G126" s="628">
        <f t="shared" si="39"/>
        <v>89</v>
      </c>
      <c r="H126" s="629" t="b">
        <f t="shared" si="40"/>
        <v>0</v>
      </c>
      <c r="I126" s="630" t="s">
        <v>594</v>
      </c>
      <c r="J126" s="627" t="s">
        <v>27</v>
      </c>
      <c r="K126" s="631" t="str">
        <f>+IFERROR(VLOOKUP(J126,Listas!$A$108:$B$114,2,FALSE),"Alerta: Seleccione la celda en la comumna B con el nombre del proyecto")</f>
        <v>3-3-1-15-03-25-1107-158</v>
      </c>
      <c r="L126" s="632" t="s">
        <v>690</v>
      </c>
      <c r="M126" s="633" t="s">
        <v>691</v>
      </c>
      <c r="N126" s="634" t="str">
        <f t="shared" si="41"/>
        <v>(Cód. 89) Contratar la prestación del servicio integral de aseo, cafetería y fumigación, incluidos los insumos, para las sedes del Instituto Distrital de Patrimonio Cultural.</v>
      </c>
      <c r="O126" s="635">
        <v>43501</v>
      </c>
      <c r="P126" s="636">
        <f>IFERROR(VLOOKUP(W126,'Estimación CRP'!$D$21:$E$30,2,FALSE),0)</f>
        <v>10</v>
      </c>
      <c r="Q126" s="637">
        <f>IF(O126="No aplica","No aplica",WORKDAY.INTL(O126,P126,1,'Estimación CRP'!A312:A328))</f>
        <v>43515</v>
      </c>
      <c r="R126" s="636">
        <f t="shared" si="42"/>
        <v>2</v>
      </c>
      <c r="S126" s="636">
        <f t="shared" si="43"/>
        <v>2</v>
      </c>
      <c r="T126" s="636">
        <f t="shared" si="44"/>
        <v>2</v>
      </c>
      <c r="U126" s="712">
        <v>10</v>
      </c>
      <c r="V126" s="638">
        <v>1</v>
      </c>
      <c r="W126" s="639" t="s">
        <v>349</v>
      </c>
      <c r="X126" s="640" t="str">
        <f>IFERROR(VLOOKUP(W126,Listas!$A$60:$B$73,2,FALSE),"Alerta: Seleccione primero Modalidad de selección")</f>
        <v>CCE-99</v>
      </c>
      <c r="Y126" s="641">
        <v>0</v>
      </c>
      <c r="Z126" s="641" t="s">
        <v>1163</v>
      </c>
      <c r="AA126" s="641" t="s">
        <v>1164</v>
      </c>
      <c r="AB126" s="642">
        <f t="shared" si="45"/>
        <v>25000000</v>
      </c>
      <c r="AC126" s="642">
        <f t="shared" si="46"/>
        <v>25000000</v>
      </c>
      <c r="AD126" s="641">
        <v>0</v>
      </c>
      <c r="AE126" s="643">
        <v>0</v>
      </c>
      <c r="AF126" s="639" t="s">
        <v>276</v>
      </c>
      <c r="AG126" s="639" t="s">
        <v>277</v>
      </c>
      <c r="AH126" s="639" t="s">
        <v>284</v>
      </c>
      <c r="AI126" s="626" t="str">
        <f>IFERROR(VLOOKUP(AH126,Listas!$A$77:$C$83,2,FALSE),"Alerta: Seleccione primero el responsable")</f>
        <v>3550800</v>
      </c>
      <c r="AJ126" s="640" t="str">
        <f>IFERROR(VLOOKUP(AH126,Listas!$A$77:$C$83,3,FALSE),"Alerta: Seleccione primero el responsable")</f>
        <v>margarita.castaneda@idpc.gov.co</v>
      </c>
      <c r="AK126" s="640" t="str">
        <f>IF(J126="Funcionamiento Gastos Generales","No aplica",IF(J126="Funcionamiento Servicios Personales indirectos","No aplica",IFERROR(VLOOKUP(J126,Listas!$A$127:$E$139,3,FALSE),"Alerta: Seleccione la celda en la comumna B con el nombre del proyecto")))</f>
        <v>ME20181107</v>
      </c>
      <c r="AL126" s="640" t="str">
        <f>IF(J126="Funcionamiento Gastos Generales","No aplica",IF(J126="Funcionamiento Servicios Personales","No aplica",IFERROR(VLOOKUP(J126,Listas!$A$220:$D$224,2,FALSE),"Alerta: Seleccione la celda en la comumna B con el nombre del proyecto")))</f>
        <v>COMP1107</v>
      </c>
      <c r="AM126" s="640" t="str">
        <f>IF(J126="Funcionamiento Gastos Generales","No aplica",IF(J126="Funcionamiento Servicios Personales","No aplica",IFERROR(VLOOKUP(J126,Listas!$A$220:$D$224,3,FALSE),"Alerta: Seleccione la celda en la comumna B con el nombre del proyecto")))</f>
        <v>CONC1107</v>
      </c>
      <c r="AN126" s="633" t="s">
        <v>1047</v>
      </c>
      <c r="AO126" s="633" t="s">
        <v>53</v>
      </c>
      <c r="AP126" s="634" t="str">
        <f>IFERROR(VLOOKUP(J126,Listas!$A$182:$E$215,5,FALSE),"Alerta: Seleccione la celda en la comumna B con el nombre del proyecto")</f>
        <v>13. Oferta cultural para la valoración y divulgación del patrimonio material e  inmaterial de la ciud</v>
      </c>
      <c r="AQ126" s="634" t="str">
        <f>IF(J126="Funcionamiento Gastos Generales","No aplica",IF(J126="Funcionamiento Servicios Personales","No aplica",IFERROR(VLOOKUP(J126,Listas!$A$220:$D$224,4,FALSE),"Alerta: Seleccione la celda en la comumna B con el nombre del proyecto")))</f>
        <v>FONT1107</v>
      </c>
      <c r="AR126" s="633" t="s">
        <v>198</v>
      </c>
      <c r="AS126" s="634" t="str">
        <f>IFERROR(VLOOKUP(AU126,Listas!$E$85:$L$105,7,FALSE),"Alerta: Seleccione la celda en la comumna AI con el concepto de gasto")</f>
        <v>03-RECURSO HUMANO</v>
      </c>
      <c r="AT126" s="634" t="str">
        <f>IFERROR(VLOOKUP(AU126,Listas!$E$85:$L$105,8,FALSE),"Alerta: Seleccione la celda en la comumna AI con el concepto de gasto")</f>
        <v>01-DIVULGACION, ASISTENCIA TECNICA Y CAPACITACION DE LA POBLACION</v>
      </c>
      <c r="AU126" s="633" t="s">
        <v>232</v>
      </c>
      <c r="AV126" s="634">
        <f>IFERROR(VLOOKUP(AU126,Listas!$E$85:$F$105,2,FALSE),"Alerta: Seleccione el Concepto de Gasto primero")</f>
        <v>0</v>
      </c>
      <c r="AW126" s="644">
        <v>25000000</v>
      </c>
      <c r="AX126" s="645"/>
      <c r="AY126" s="645"/>
      <c r="AZ126" s="645"/>
      <c r="BA126" s="646">
        <f t="shared" si="47"/>
        <v>25000000</v>
      </c>
      <c r="BB126" s="647"/>
      <c r="BC126" s="648"/>
      <c r="BD126" s="649"/>
      <c r="BE126" s="647"/>
      <c r="BF126" s="644"/>
      <c r="BG126" s="646">
        <f t="shared" si="48"/>
        <v>25000000</v>
      </c>
      <c r="BH126" s="650"/>
      <c r="BI126" s="647"/>
      <c r="BJ126" s="644"/>
      <c r="BK126" s="646">
        <f t="shared" si="49"/>
        <v>0</v>
      </c>
      <c r="BL126" s="651"/>
      <c r="BM126" s="652">
        <f t="shared" si="50"/>
        <v>1</v>
      </c>
      <c r="BN126" s="628"/>
      <c r="BO126" s="670"/>
      <c r="BP126" s="644"/>
      <c r="BQ126" s="644"/>
      <c r="BR126" s="644"/>
      <c r="BS126" s="644"/>
      <c r="BT126" s="644"/>
      <c r="BU126" s="644"/>
      <c r="BV126" s="644"/>
      <c r="BW126" s="644"/>
      <c r="BX126" s="644"/>
      <c r="BY126" s="644"/>
      <c r="BZ126" s="644"/>
      <c r="CA126" s="644"/>
      <c r="CB126" s="646">
        <f t="shared" si="51"/>
        <v>0</v>
      </c>
      <c r="CC126" s="646">
        <f t="shared" si="52"/>
        <v>0</v>
      </c>
      <c r="CD126" s="614"/>
    </row>
    <row r="127" spans="1:82" s="561" customFormat="1" ht="61.5" customHeight="1">
      <c r="A127" s="625" t="str">
        <f t="shared" si="34"/>
        <v>1107-158-FONT1107-03-01-0066-Activación del patrimonio</v>
      </c>
      <c r="B127" s="626" t="str">
        <f t="shared" si="35"/>
        <v>1107-158-FONT1107-03-01-0066</v>
      </c>
      <c r="C127" s="626" t="str">
        <f t="shared" si="36"/>
        <v>1107-158-FONT1107-Activación del patrimonio</v>
      </c>
      <c r="D127" s="626" t="str">
        <f t="shared" si="37"/>
        <v>1107-158-12-Otros Distrito-03-01-0066</v>
      </c>
      <c r="E127" s="626" t="str">
        <f t="shared" si="38"/>
        <v>Activación del patrimonio-12-Otros Distrito-0066-Fomento, apoyo y divulgación de eventos y expresiones artísticas, culturales y del patrimonio</v>
      </c>
      <c r="F127" s="627">
        <v>90</v>
      </c>
      <c r="G127" s="628">
        <f t="shared" si="39"/>
        <v>90</v>
      </c>
      <c r="H127" s="629" t="b">
        <f t="shared" si="40"/>
        <v>0</v>
      </c>
      <c r="I127" s="630" t="s">
        <v>594</v>
      </c>
      <c r="J127" s="627" t="s">
        <v>27</v>
      </c>
      <c r="K127" s="631" t="str">
        <f>+IFERROR(VLOOKUP(J127,Listas!$A$108:$B$114,2,FALSE),"Alerta: Seleccione la celda en la comumna B con el nombre del proyecto")</f>
        <v>3-3-1-15-03-25-1107-158</v>
      </c>
      <c r="L127" s="632" t="s">
        <v>618</v>
      </c>
      <c r="M127" s="633" t="s">
        <v>692</v>
      </c>
      <c r="N127" s="634" t="str">
        <f t="shared" si="41"/>
        <v>(Cód. 90) Prestar servicios profesionales al Instituto Distrital de Patrimonio Cultural para apoyar las acciones de diseño gráfico y diagramación de las publicaciones y proyectos editoriales adelantados en el marco de la estrategia de apropiación social del patrimonio cultural</v>
      </c>
      <c r="O127" s="635">
        <v>43500</v>
      </c>
      <c r="P127" s="636">
        <f>IFERROR(VLOOKUP(W127,'Estimación CRP'!$D$21:$E$30,2,FALSE),0)</f>
        <v>10</v>
      </c>
      <c r="Q127" s="637">
        <f>IF(O127="No aplica","No aplica",WORKDAY.INTL(O127,P127,1,'Estimación CRP'!A313:A329))</f>
        <v>43514</v>
      </c>
      <c r="R127" s="636">
        <f t="shared" si="42"/>
        <v>2</v>
      </c>
      <c r="S127" s="636">
        <f t="shared" si="43"/>
        <v>2</v>
      </c>
      <c r="T127" s="636">
        <f t="shared" si="44"/>
        <v>2</v>
      </c>
      <c r="U127" s="712">
        <v>9</v>
      </c>
      <c r="V127" s="638">
        <v>1</v>
      </c>
      <c r="W127" s="639" t="s">
        <v>274</v>
      </c>
      <c r="X127" s="640" t="str">
        <f>IFERROR(VLOOKUP(W127,Listas!$A$60:$B$73,2,FALSE),"Alerta: Seleccione primero Modalidad de selección")</f>
        <v>CCE-16</v>
      </c>
      <c r="Y127" s="641">
        <v>0</v>
      </c>
      <c r="Z127" s="641" t="s">
        <v>346</v>
      </c>
      <c r="AA127" s="641" t="s">
        <v>1165</v>
      </c>
      <c r="AB127" s="642">
        <f t="shared" si="45"/>
        <v>49500000</v>
      </c>
      <c r="AC127" s="642">
        <f t="shared" si="46"/>
        <v>49500000</v>
      </c>
      <c r="AD127" s="641">
        <v>0</v>
      </c>
      <c r="AE127" s="643">
        <v>0</v>
      </c>
      <c r="AF127" s="639" t="s">
        <v>276</v>
      </c>
      <c r="AG127" s="639" t="s">
        <v>277</v>
      </c>
      <c r="AH127" s="639" t="s">
        <v>284</v>
      </c>
      <c r="AI127" s="626" t="str">
        <f>IFERROR(VLOOKUP(AH127,Listas!$A$77:$C$83,2,FALSE),"Alerta: Seleccione primero el responsable")</f>
        <v>3550800</v>
      </c>
      <c r="AJ127" s="640" t="str">
        <f>IFERROR(VLOOKUP(AH127,Listas!$A$77:$C$83,3,FALSE),"Alerta: Seleccione primero el responsable")</f>
        <v>margarita.castaneda@idpc.gov.co</v>
      </c>
      <c r="AK127" s="640" t="str">
        <f>IF(J127="Funcionamiento Gastos Generales","No aplica",IF(J127="Funcionamiento Servicios Personales indirectos","No aplica",IFERROR(VLOOKUP(J127,Listas!$A$127:$E$139,3,FALSE),"Alerta: Seleccione la celda en la comumna B con el nombre del proyecto")))</f>
        <v>ME20181107</v>
      </c>
      <c r="AL127" s="640" t="str">
        <f>IF(J127="Funcionamiento Gastos Generales","No aplica",IF(J127="Funcionamiento Servicios Personales","No aplica",IFERROR(VLOOKUP(J127,Listas!$A$220:$D$224,2,FALSE),"Alerta: Seleccione la celda en la comumna B con el nombre del proyecto")))</f>
        <v>COMP1107</v>
      </c>
      <c r="AM127" s="640" t="str">
        <f>IF(J127="Funcionamiento Gastos Generales","No aplica",IF(J127="Funcionamiento Servicios Personales","No aplica",IFERROR(VLOOKUP(J127,Listas!$A$220:$D$224,3,FALSE),"Alerta: Seleccione la celda en la comumna B con el nombre del proyecto")))</f>
        <v>CONC1107</v>
      </c>
      <c r="AN127" s="633" t="s">
        <v>1046</v>
      </c>
      <c r="AO127" s="633" t="s">
        <v>54</v>
      </c>
      <c r="AP127" s="634" t="str">
        <f>IFERROR(VLOOKUP(J127,Listas!$A$182:$E$215,5,FALSE),"Alerta: Seleccione la celda en la comumna B con el nombre del proyecto")</f>
        <v>13. Oferta cultural para la valoración y divulgación del patrimonio material e  inmaterial de la ciud</v>
      </c>
      <c r="AQ127" s="634" t="str">
        <f>IF(J127="Funcionamiento Gastos Generales","No aplica",IF(J127="Funcionamiento Servicios Personales","No aplica",IFERROR(VLOOKUP(J127,Listas!$A$220:$D$224,4,FALSE),"Alerta: Seleccione la celda en la comumna B con el nombre del proyecto")))</f>
        <v>FONT1107</v>
      </c>
      <c r="AR127" s="633" t="s">
        <v>198</v>
      </c>
      <c r="AS127" s="634" t="str">
        <f>IFERROR(VLOOKUP(AU127,Listas!$E$85:$L$105,7,FALSE),"Alerta: Seleccione la celda en la comumna AI con el concepto de gasto")</f>
        <v>03-RECURSO HUMANO</v>
      </c>
      <c r="AT127" s="634" t="str">
        <f>IFERROR(VLOOKUP(AU127,Listas!$E$85:$L$105,8,FALSE),"Alerta: Seleccione la celda en la comumna AI con el concepto de gasto")</f>
        <v>01-DIVULGACION, ASISTENCIA TECNICA Y CAPACITACION DE LA POBLACION</v>
      </c>
      <c r="AU127" s="633" t="s">
        <v>232</v>
      </c>
      <c r="AV127" s="634">
        <f>IFERROR(VLOOKUP(AU127,Listas!$E$85:$F$105,2,FALSE),"Alerta: Seleccione el Concepto de Gasto primero")</f>
        <v>0</v>
      </c>
      <c r="AW127" s="644">
        <v>49500000</v>
      </c>
      <c r="AX127" s="645"/>
      <c r="AY127" s="645"/>
      <c r="AZ127" s="645"/>
      <c r="BA127" s="646">
        <f t="shared" si="47"/>
        <v>49500000</v>
      </c>
      <c r="BB127" s="647"/>
      <c r="BC127" s="648"/>
      <c r="BD127" s="649"/>
      <c r="BE127" s="647"/>
      <c r="BF127" s="644"/>
      <c r="BG127" s="646">
        <f t="shared" si="48"/>
        <v>49500000</v>
      </c>
      <c r="BH127" s="650"/>
      <c r="BI127" s="647"/>
      <c r="BJ127" s="644"/>
      <c r="BK127" s="646">
        <f t="shared" si="49"/>
        <v>0</v>
      </c>
      <c r="BL127" s="651"/>
      <c r="BM127" s="652">
        <f t="shared" si="50"/>
        <v>1</v>
      </c>
      <c r="BN127" s="628"/>
      <c r="BO127" s="670"/>
      <c r="BP127" s="644"/>
      <c r="BQ127" s="644"/>
      <c r="BR127" s="644"/>
      <c r="BS127" s="644"/>
      <c r="BT127" s="644"/>
      <c r="BU127" s="644"/>
      <c r="BV127" s="644"/>
      <c r="BW127" s="644"/>
      <c r="BX127" s="644"/>
      <c r="BY127" s="644"/>
      <c r="BZ127" s="644"/>
      <c r="CA127" s="644"/>
      <c r="CB127" s="646">
        <f t="shared" si="51"/>
        <v>0</v>
      </c>
      <c r="CC127" s="646">
        <f t="shared" si="52"/>
        <v>0</v>
      </c>
      <c r="CD127" s="614"/>
    </row>
    <row r="128" spans="1:82" s="561" customFormat="1" ht="61.5" customHeight="1">
      <c r="A128" s="625" t="str">
        <f t="shared" si="34"/>
        <v>1107-158-FONT1107-03-01-0066-Activación del patrimonio</v>
      </c>
      <c r="B128" s="626" t="str">
        <f t="shared" si="35"/>
        <v>1107-158-FONT1107-03-01-0066</v>
      </c>
      <c r="C128" s="626" t="str">
        <f t="shared" si="36"/>
        <v>1107-158-FONT1107-Activación del patrimonio</v>
      </c>
      <c r="D128" s="626" t="str">
        <f t="shared" si="37"/>
        <v>1107-158-12-Otros Distrito-03-01-0066</v>
      </c>
      <c r="E128" s="626" t="str">
        <f t="shared" si="38"/>
        <v>Activación del patrimonio-12-Otros Distrito-0066-Fomento, apoyo y divulgación de eventos y expresiones artísticas, culturales y del patrimonio</v>
      </c>
      <c r="F128" s="627">
        <v>91</v>
      </c>
      <c r="G128" s="628">
        <f t="shared" si="39"/>
        <v>91</v>
      </c>
      <c r="H128" s="629" t="b">
        <f t="shared" si="40"/>
        <v>0</v>
      </c>
      <c r="I128" s="630" t="s">
        <v>594</v>
      </c>
      <c r="J128" s="627" t="s">
        <v>27</v>
      </c>
      <c r="K128" s="631" t="str">
        <f>+IFERROR(VLOOKUP(J128,Listas!$A$108:$B$114,2,FALSE),"Alerta: Seleccione la celda en la comumna B con el nombre del proyecto")</f>
        <v>3-3-1-15-03-25-1107-158</v>
      </c>
      <c r="L128" s="632" t="s">
        <v>618</v>
      </c>
      <c r="M128" s="633" t="s">
        <v>693</v>
      </c>
      <c r="N128" s="634" t="str">
        <f t="shared" si="41"/>
        <v>(Cód. 91) Prestar servicios profesionales al Instituto Distrital de Patrimonio Cultural para llevar a cabo las actividades periodísticas requeridas en la estrategia de apropiación social del patrimonio cultural.</v>
      </c>
      <c r="O128" s="635">
        <v>43485</v>
      </c>
      <c r="P128" s="636">
        <f>IFERROR(VLOOKUP(W128,'Estimación CRP'!$D$21:$E$30,2,FALSE),0)</f>
        <v>10</v>
      </c>
      <c r="Q128" s="637">
        <f>IF(O128="No aplica","No aplica",WORKDAY.INTL(O128,P128,1,'Estimación CRP'!A314:A330))</f>
        <v>43497</v>
      </c>
      <c r="R128" s="636">
        <f t="shared" si="42"/>
        <v>2</v>
      </c>
      <c r="S128" s="636">
        <f t="shared" si="43"/>
        <v>1</v>
      </c>
      <c r="T128" s="636">
        <f t="shared" si="44"/>
        <v>1</v>
      </c>
      <c r="U128" s="712">
        <v>11</v>
      </c>
      <c r="V128" s="638">
        <v>1</v>
      </c>
      <c r="W128" s="639" t="s">
        <v>274</v>
      </c>
      <c r="X128" s="640" t="str">
        <f>IFERROR(VLOOKUP(W128,Listas!$A$60:$B$73,2,FALSE),"Alerta: Seleccione primero Modalidad de selección")</f>
        <v>CCE-16</v>
      </c>
      <c r="Y128" s="641">
        <v>0</v>
      </c>
      <c r="Z128" s="641" t="s">
        <v>346</v>
      </c>
      <c r="AA128" s="641" t="s">
        <v>1165</v>
      </c>
      <c r="AB128" s="642">
        <f t="shared" si="45"/>
        <v>66000000</v>
      </c>
      <c r="AC128" s="642">
        <f t="shared" si="46"/>
        <v>66000000</v>
      </c>
      <c r="AD128" s="641">
        <v>0</v>
      </c>
      <c r="AE128" s="643">
        <v>0</v>
      </c>
      <c r="AF128" s="639" t="s">
        <v>276</v>
      </c>
      <c r="AG128" s="639" t="s">
        <v>277</v>
      </c>
      <c r="AH128" s="639" t="s">
        <v>284</v>
      </c>
      <c r="AI128" s="626" t="str">
        <f>IFERROR(VLOOKUP(AH128,Listas!$A$77:$C$83,2,FALSE),"Alerta: Seleccione primero el responsable")</f>
        <v>3550800</v>
      </c>
      <c r="AJ128" s="640" t="str">
        <f>IFERROR(VLOOKUP(AH128,Listas!$A$77:$C$83,3,FALSE),"Alerta: Seleccione primero el responsable")</f>
        <v>margarita.castaneda@idpc.gov.co</v>
      </c>
      <c r="AK128" s="640" t="str">
        <f>IF(J128="Funcionamiento Gastos Generales","No aplica",IF(J128="Funcionamiento Servicios Personales indirectos","No aplica",IFERROR(VLOOKUP(J128,Listas!$A$127:$E$139,3,FALSE),"Alerta: Seleccione la celda en la comumna B con el nombre del proyecto")))</f>
        <v>ME20181107</v>
      </c>
      <c r="AL128" s="640" t="str">
        <f>IF(J128="Funcionamiento Gastos Generales","No aplica",IF(J128="Funcionamiento Servicios Personales","No aplica",IFERROR(VLOOKUP(J128,Listas!$A$220:$D$224,2,FALSE),"Alerta: Seleccione la celda en la comumna B con el nombre del proyecto")))</f>
        <v>COMP1107</v>
      </c>
      <c r="AM128" s="640" t="str">
        <f>IF(J128="Funcionamiento Gastos Generales","No aplica",IF(J128="Funcionamiento Servicios Personales","No aplica",IFERROR(VLOOKUP(J128,Listas!$A$220:$D$224,3,FALSE),"Alerta: Seleccione la celda en la comumna B con el nombre del proyecto")))</f>
        <v>CONC1107</v>
      </c>
      <c r="AN128" s="633" t="s">
        <v>1046</v>
      </c>
      <c r="AO128" s="633" t="s">
        <v>54</v>
      </c>
      <c r="AP128" s="634" t="str">
        <f>IFERROR(VLOOKUP(J128,Listas!$A$182:$E$215,5,FALSE),"Alerta: Seleccione la celda en la comumna B con el nombre del proyecto")</f>
        <v>13. Oferta cultural para la valoración y divulgación del patrimonio material e  inmaterial de la ciud</v>
      </c>
      <c r="AQ128" s="634" t="str">
        <f>IF(J128="Funcionamiento Gastos Generales","No aplica",IF(J128="Funcionamiento Servicios Personales","No aplica",IFERROR(VLOOKUP(J128,Listas!$A$220:$D$224,4,FALSE),"Alerta: Seleccione la celda en la comumna B con el nombre del proyecto")))</f>
        <v>FONT1107</v>
      </c>
      <c r="AR128" s="633" t="s">
        <v>198</v>
      </c>
      <c r="AS128" s="634" t="str">
        <f>IFERROR(VLOOKUP(AU128,Listas!$E$85:$L$105,7,FALSE),"Alerta: Seleccione la celda en la comumna AI con el concepto de gasto")</f>
        <v>03-RECURSO HUMANO</v>
      </c>
      <c r="AT128" s="634" t="str">
        <f>IFERROR(VLOOKUP(AU128,Listas!$E$85:$L$105,8,FALSE),"Alerta: Seleccione la celda en la comumna AI con el concepto de gasto")</f>
        <v>01-DIVULGACION, ASISTENCIA TECNICA Y CAPACITACION DE LA POBLACION</v>
      </c>
      <c r="AU128" s="633" t="s">
        <v>232</v>
      </c>
      <c r="AV128" s="634">
        <f>IFERROR(VLOOKUP(AU128,Listas!$E$85:$F$105,2,FALSE),"Alerta: Seleccione el Concepto de Gasto primero")</f>
        <v>0</v>
      </c>
      <c r="AW128" s="644">
        <v>66000000</v>
      </c>
      <c r="AX128" s="645"/>
      <c r="AY128" s="645"/>
      <c r="AZ128" s="645"/>
      <c r="BA128" s="646">
        <f t="shared" si="47"/>
        <v>66000000</v>
      </c>
      <c r="BB128" s="647"/>
      <c r="BC128" s="648"/>
      <c r="BD128" s="649"/>
      <c r="BE128" s="647"/>
      <c r="BF128" s="644"/>
      <c r="BG128" s="646">
        <f t="shared" si="48"/>
        <v>66000000</v>
      </c>
      <c r="BH128" s="650"/>
      <c r="BI128" s="647"/>
      <c r="BJ128" s="644"/>
      <c r="BK128" s="646">
        <f t="shared" si="49"/>
        <v>0</v>
      </c>
      <c r="BL128" s="651"/>
      <c r="BM128" s="652">
        <f t="shared" si="50"/>
        <v>1</v>
      </c>
      <c r="BN128" s="628"/>
      <c r="BO128" s="670"/>
      <c r="BP128" s="644"/>
      <c r="BQ128" s="644"/>
      <c r="BR128" s="644"/>
      <c r="BS128" s="644"/>
      <c r="BT128" s="644"/>
      <c r="BU128" s="644"/>
      <c r="BV128" s="644"/>
      <c r="BW128" s="644"/>
      <c r="BX128" s="644"/>
      <c r="BY128" s="644"/>
      <c r="BZ128" s="644"/>
      <c r="CA128" s="644"/>
      <c r="CB128" s="646">
        <f t="shared" si="51"/>
        <v>0</v>
      </c>
      <c r="CC128" s="646">
        <f t="shared" si="52"/>
        <v>0</v>
      </c>
      <c r="CD128" s="614"/>
    </row>
    <row r="129" spans="1:82" s="561" customFormat="1" ht="61.5" customHeight="1">
      <c r="A129" s="625" t="str">
        <f t="shared" si="34"/>
        <v>1107-158-FONT1107-03-01-0066-Activación del patrimonio</v>
      </c>
      <c r="B129" s="626" t="str">
        <f t="shared" si="35"/>
        <v>1107-158-FONT1107-03-01-0066</v>
      </c>
      <c r="C129" s="626" t="str">
        <f t="shared" si="36"/>
        <v>1107-158-FONT1107-Activación del patrimonio</v>
      </c>
      <c r="D129" s="626" t="str">
        <f t="shared" si="37"/>
        <v>1107-158-12-Otros Distrito-03-01-0066</v>
      </c>
      <c r="E129" s="626" t="str">
        <f t="shared" si="38"/>
        <v>Activación del patrimonio-12-Otros Distrito-0066-Fomento, apoyo y divulgación de eventos y expresiones artísticas, culturales y del patrimonio</v>
      </c>
      <c r="F129" s="627">
        <v>92</v>
      </c>
      <c r="G129" s="628">
        <f t="shared" si="39"/>
        <v>92</v>
      </c>
      <c r="H129" s="629" t="b">
        <f t="shared" si="40"/>
        <v>0</v>
      </c>
      <c r="I129" s="630" t="s">
        <v>594</v>
      </c>
      <c r="J129" s="627" t="s">
        <v>27</v>
      </c>
      <c r="K129" s="631" t="str">
        <f>+IFERROR(VLOOKUP(J129,Listas!$A$108:$B$114,2,FALSE),"Alerta: Seleccione la celda en la comumna B con el nombre del proyecto")</f>
        <v>3-3-1-15-03-25-1107-158</v>
      </c>
      <c r="L129" s="632" t="s">
        <v>618</v>
      </c>
      <c r="M129" s="633" t="s">
        <v>694</v>
      </c>
      <c r="N129" s="634" t="str">
        <f t="shared" si="41"/>
        <v>(Cód. 92) Prestar servicios profesionales al Instituto Distrital de Patrimonio Cultural para apoyar la gestión de prensa generada en el marco de la estrategia de comunicaciones del IDPC.</v>
      </c>
      <c r="O129" s="635">
        <v>43485</v>
      </c>
      <c r="P129" s="636">
        <f>IFERROR(VLOOKUP(W129,'Estimación CRP'!$D$21:$E$30,2,FALSE),0)</f>
        <v>10</v>
      </c>
      <c r="Q129" s="637">
        <f>IF(O129="No aplica","No aplica",WORKDAY.INTL(O129,P129,1,'Estimación CRP'!A315:A331))</f>
        <v>43497</v>
      </c>
      <c r="R129" s="636">
        <f t="shared" si="42"/>
        <v>2</v>
      </c>
      <c r="S129" s="636">
        <f t="shared" si="43"/>
        <v>1</v>
      </c>
      <c r="T129" s="636">
        <f t="shared" si="44"/>
        <v>1</v>
      </c>
      <c r="U129" s="712">
        <v>11</v>
      </c>
      <c r="V129" s="638">
        <v>1</v>
      </c>
      <c r="W129" s="639" t="s">
        <v>274</v>
      </c>
      <c r="X129" s="640" t="str">
        <f>IFERROR(VLOOKUP(W129,Listas!$A$60:$B$73,2,FALSE),"Alerta: Seleccione primero Modalidad de selección")</f>
        <v>CCE-16</v>
      </c>
      <c r="Y129" s="641">
        <v>0</v>
      </c>
      <c r="Z129" s="641" t="s">
        <v>346</v>
      </c>
      <c r="AA129" s="641" t="s">
        <v>1165</v>
      </c>
      <c r="AB129" s="642">
        <f t="shared" si="45"/>
        <v>55000000</v>
      </c>
      <c r="AC129" s="642">
        <f t="shared" si="46"/>
        <v>55000000</v>
      </c>
      <c r="AD129" s="641">
        <v>0</v>
      </c>
      <c r="AE129" s="643">
        <v>0</v>
      </c>
      <c r="AF129" s="639" t="s">
        <v>276</v>
      </c>
      <c r="AG129" s="639" t="s">
        <v>277</v>
      </c>
      <c r="AH129" s="639" t="s">
        <v>284</v>
      </c>
      <c r="AI129" s="626" t="str">
        <f>IFERROR(VLOOKUP(AH129,Listas!$A$77:$C$83,2,FALSE),"Alerta: Seleccione primero el responsable")</f>
        <v>3550800</v>
      </c>
      <c r="AJ129" s="640" t="str">
        <f>IFERROR(VLOOKUP(AH129,Listas!$A$77:$C$83,3,FALSE),"Alerta: Seleccione primero el responsable")</f>
        <v>margarita.castaneda@idpc.gov.co</v>
      </c>
      <c r="AK129" s="640" t="str">
        <f>IF(J129="Funcionamiento Gastos Generales","No aplica",IF(J129="Funcionamiento Servicios Personales indirectos","No aplica",IFERROR(VLOOKUP(J129,Listas!$A$127:$E$139,3,FALSE),"Alerta: Seleccione la celda en la comumna B con el nombre del proyecto")))</f>
        <v>ME20181107</v>
      </c>
      <c r="AL129" s="640" t="str">
        <f>IF(J129="Funcionamiento Gastos Generales","No aplica",IF(J129="Funcionamiento Servicios Personales","No aplica",IFERROR(VLOOKUP(J129,Listas!$A$220:$D$224,2,FALSE),"Alerta: Seleccione la celda en la comumna B con el nombre del proyecto")))</f>
        <v>COMP1107</v>
      </c>
      <c r="AM129" s="640" t="str">
        <f>IF(J129="Funcionamiento Gastos Generales","No aplica",IF(J129="Funcionamiento Servicios Personales","No aplica",IFERROR(VLOOKUP(J129,Listas!$A$220:$D$224,3,FALSE),"Alerta: Seleccione la celda en la comumna B con el nombre del proyecto")))</f>
        <v>CONC1107</v>
      </c>
      <c r="AN129" s="633" t="s">
        <v>1046</v>
      </c>
      <c r="AO129" s="633" t="s">
        <v>54</v>
      </c>
      <c r="AP129" s="634" t="str">
        <f>IFERROR(VLOOKUP(J129,Listas!$A$182:$E$215,5,FALSE),"Alerta: Seleccione la celda en la comumna B con el nombre del proyecto")</f>
        <v>13. Oferta cultural para la valoración y divulgación del patrimonio material e  inmaterial de la ciud</v>
      </c>
      <c r="AQ129" s="634" t="str">
        <f>IF(J129="Funcionamiento Gastos Generales","No aplica",IF(J129="Funcionamiento Servicios Personales","No aplica",IFERROR(VLOOKUP(J129,Listas!$A$220:$D$224,4,FALSE),"Alerta: Seleccione la celda en la comumna B con el nombre del proyecto")))</f>
        <v>FONT1107</v>
      </c>
      <c r="AR129" s="633" t="s">
        <v>198</v>
      </c>
      <c r="AS129" s="634" t="str">
        <f>IFERROR(VLOOKUP(AU129,Listas!$E$85:$L$105,7,FALSE),"Alerta: Seleccione la celda en la comumna AI con el concepto de gasto")</f>
        <v>03-RECURSO HUMANO</v>
      </c>
      <c r="AT129" s="634" t="str">
        <f>IFERROR(VLOOKUP(AU129,Listas!$E$85:$L$105,8,FALSE),"Alerta: Seleccione la celda en la comumna AI con el concepto de gasto")</f>
        <v>01-DIVULGACION, ASISTENCIA TECNICA Y CAPACITACION DE LA POBLACION</v>
      </c>
      <c r="AU129" s="633" t="s">
        <v>232</v>
      </c>
      <c r="AV129" s="634">
        <f>IFERROR(VLOOKUP(AU129,Listas!$E$85:$F$105,2,FALSE),"Alerta: Seleccione el Concepto de Gasto primero")</f>
        <v>0</v>
      </c>
      <c r="AW129" s="644">
        <v>55000000</v>
      </c>
      <c r="AX129" s="645"/>
      <c r="AY129" s="645"/>
      <c r="AZ129" s="645"/>
      <c r="BA129" s="646">
        <f t="shared" si="47"/>
        <v>55000000</v>
      </c>
      <c r="BB129" s="647"/>
      <c r="BC129" s="648"/>
      <c r="BD129" s="649"/>
      <c r="BE129" s="647"/>
      <c r="BF129" s="644"/>
      <c r="BG129" s="646">
        <f t="shared" si="48"/>
        <v>55000000</v>
      </c>
      <c r="BH129" s="650"/>
      <c r="BI129" s="647"/>
      <c r="BJ129" s="644"/>
      <c r="BK129" s="646">
        <f t="shared" si="49"/>
        <v>0</v>
      </c>
      <c r="BL129" s="651"/>
      <c r="BM129" s="652">
        <f t="shared" si="50"/>
        <v>1</v>
      </c>
      <c r="BN129" s="628"/>
      <c r="BO129" s="670"/>
      <c r="BP129" s="644"/>
      <c r="BQ129" s="644"/>
      <c r="BR129" s="644"/>
      <c r="BS129" s="644"/>
      <c r="BT129" s="644"/>
      <c r="BU129" s="644"/>
      <c r="BV129" s="644"/>
      <c r="BW129" s="644"/>
      <c r="BX129" s="644"/>
      <c r="BY129" s="644"/>
      <c r="BZ129" s="644"/>
      <c r="CA129" s="644"/>
      <c r="CB129" s="646">
        <f t="shared" si="51"/>
        <v>0</v>
      </c>
      <c r="CC129" s="646">
        <f t="shared" si="52"/>
        <v>0</v>
      </c>
      <c r="CD129" s="614"/>
    </row>
    <row r="130" spans="1:82" s="561" customFormat="1" ht="61.5" customHeight="1">
      <c r="A130" s="625" t="str">
        <f t="shared" si="34"/>
        <v>1107-158-FONT1107-03-01-0066-Activación del patrimonio</v>
      </c>
      <c r="B130" s="626" t="str">
        <f t="shared" si="35"/>
        <v>1107-158-FONT1107-03-01-0066</v>
      </c>
      <c r="C130" s="626" t="str">
        <f t="shared" si="36"/>
        <v>1107-158-FONT1107-Activación del patrimonio</v>
      </c>
      <c r="D130" s="626" t="str">
        <f t="shared" si="37"/>
        <v>1107-158-12-Otros Distrito-03-01-0066</v>
      </c>
      <c r="E130" s="626" t="str">
        <f t="shared" si="38"/>
        <v>Activación del patrimonio-12-Otros Distrito-0066-Fomento, apoyo y divulgación de eventos y expresiones artísticas, culturales y del patrimonio</v>
      </c>
      <c r="F130" s="627">
        <v>93</v>
      </c>
      <c r="G130" s="628">
        <f t="shared" si="39"/>
        <v>93</v>
      </c>
      <c r="H130" s="629" t="b">
        <f t="shared" si="40"/>
        <v>0</v>
      </c>
      <c r="I130" s="630" t="s">
        <v>594</v>
      </c>
      <c r="J130" s="627" t="s">
        <v>27</v>
      </c>
      <c r="K130" s="631" t="str">
        <f>+IFERROR(VLOOKUP(J130,Listas!$A$108:$B$114,2,FALSE),"Alerta: Seleccione la celda en la comumna B con el nombre del proyecto")</f>
        <v>3-3-1-15-03-25-1107-158</v>
      </c>
      <c r="L130" s="632" t="s">
        <v>618</v>
      </c>
      <c r="M130" s="633" t="s">
        <v>695</v>
      </c>
      <c r="N130" s="634" t="str">
        <f t="shared" si="41"/>
        <v>(Cód. 93) Prestar servicios profesionales al Instituto Distrital de Patrimonio Cultural para apoyar el desarrollo de los contenidos requeridos para la publicación sobre los proyectos evaluados y aprobados por el IDPC en contextos patrimoniales.</v>
      </c>
      <c r="O130" s="635">
        <v>43480</v>
      </c>
      <c r="P130" s="636">
        <f>IFERROR(VLOOKUP(W130,'Estimación CRP'!$D$21:$E$30,2,FALSE),0)</f>
        <v>10</v>
      </c>
      <c r="Q130" s="637">
        <f>IF(O130="No aplica","No aplica",WORKDAY.INTL(O130,P130,1,'Estimación CRP'!A316:A332))</f>
        <v>43494</v>
      </c>
      <c r="R130" s="636">
        <f t="shared" si="42"/>
        <v>1</v>
      </c>
      <c r="S130" s="636">
        <f t="shared" si="43"/>
        <v>1</v>
      </c>
      <c r="T130" s="636">
        <f t="shared" si="44"/>
        <v>1</v>
      </c>
      <c r="U130" s="712">
        <v>4</v>
      </c>
      <c r="V130" s="638">
        <v>1</v>
      </c>
      <c r="W130" s="639" t="s">
        <v>274</v>
      </c>
      <c r="X130" s="640" t="str">
        <f>IFERROR(VLOOKUP(W130,Listas!$A$60:$B$73,2,FALSE),"Alerta: Seleccione primero Modalidad de selección")</f>
        <v>CCE-16</v>
      </c>
      <c r="Y130" s="641">
        <v>0</v>
      </c>
      <c r="Z130" s="641" t="s">
        <v>346</v>
      </c>
      <c r="AA130" s="641" t="s">
        <v>1166</v>
      </c>
      <c r="AB130" s="642">
        <f t="shared" si="45"/>
        <v>20000000</v>
      </c>
      <c r="AC130" s="642">
        <f t="shared" si="46"/>
        <v>20000000</v>
      </c>
      <c r="AD130" s="641">
        <v>0</v>
      </c>
      <c r="AE130" s="643">
        <v>0</v>
      </c>
      <c r="AF130" s="639" t="s">
        <v>276</v>
      </c>
      <c r="AG130" s="639" t="s">
        <v>277</v>
      </c>
      <c r="AH130" s="639" t="s">
        <v>284</v>
      </c>
      <c r="AI130" s="626" t="str">
        <f>IFERROR(VLOOKUP(AH130,Listas!$A$77:$C$83,2,FALSE),"Alerta: Seleccione primero el responsable")</f>
        <v>3550800</v>
      </c>
      <c r="AJ130" s="640" t="str">
        <f>IFERROR(VLOOKUP(AH130,Listas!$A$77:$C$83,3,FALSE),"Alerta: Seleccione primero el responsable")</f>
        <v>margarita.castaneda@idpc.gov.co</v>
      </c>
      <c r="AK130" s="640" t="str">
        <f>IF(J130="Funcionamiento Gastos Generales","No aplica",IF(J130="Funcionamiento Servicios Personales indirectos","No aplica",IFERROR(VLOOKUP(J130,Listas!$A$127:$E$139,3,FALSE),"Alerta: Seleccione la celda en la comumna B con el nombre del proyecto")))</f>
        <v>ME20181107</v>
      </c>
      <c r="AL130" s="640" t="str">
        <f>IF(J130="Funcionamiento Gastos Generales","No aplica",IF(J130="Funcionamiento Servicios Personales","No aplica",IFERROR(VLOOKUP(J130,Listas!$A$220:$D$224,2,FALSE),"Alerta: Seleccione la celda en la comumna B con el nombre del proyecto")))</f>
        <v>COMP1107</v>
      </c>
      <c r="AM130" s="640" t="str">
        <f>IF(J130="Funcionamiento Gastos Generales","No aplica",IF(J130="Funcionamiento Servicios Personales","No aplica",IFERROR(VLOOKUP(J130,Listas!$A$220:$D$224,3,FALSE),"Alerta: Seleccione la celda en la comumna B con el nombre del proyecto")))</f>
        <v>CONC1107</v>
      </c>
      <c r="AN130" s="633" t="s">
        <v>1046</v>
      </c>
      <c r="AO130" s="633" t="s">
        <v>54</v>
      </c>
      <c r="AP130" s="634" t="str">
        <f>IFERROR(VLOOKUP(J130,Listas!$A$182:$E$215,5,FALSE),"Alerta: Seleccione la celda en la comumna B con el nombre del proyecto")</f>
        <v>13. Oferta cultural para la valoración y divulgación del patrimonio material e  inmaterial de la ciud</v>
      </c>
      <c r="AQ130" s="634" t="str">
        <f>IF(J130="Funcionamiento Gastos Generales","No aplica",IF(J130="Funcionamiento Servicios Personales","No aplica",IFERROR(VLOOKUP(J130,Listas!$A$220:$D$224,4,FALSE),"Alerta: Seleccione la celda en la comumna B con el nombre del proyecto")))</f>
        <v>FONT1107</v>
      </c>
      <c r="AR130" s="633" t="s">
        <v>198</v>
      </c>
      <c r="AS130" s="634" t="str">
        <f>IFERROR(VLOOKUP(AU130,Listas!$E$85:$L$105,7,FALSE),"Alerta: Seleccione la celda en la comumna AI con el concepto de gasto")</f>
        <v>03-RECURSO HUMANO</v>
      </c>
      <c r="AT130" s="634" t="str">
        <f>IFERROR(VLOOKUP(AU130,Listas!$E$85:$L$105,8,FALSE),"Alerta: Seleccione la celda en la comumna AI con el concepto de gasto")</f>
        <v>01-DIVULGACION, ASISTENCIA TECNICA Y CAPACITACION DE LA POBLACION</v>
      </c>
      <c r="AU130" s="633" t="s">
        <v>232</v>
      </c>
      <c r="AV130" s="634">
        <f>IFERROR(VLOOKUP(AU130,Listas!$E$85:$F$105,2,FALSE),"Alerta: Seleccione el Concepto de Gasto primero")</f>
        <v>0</v>
      </c>
      <c r="AW130" s="644">
        <v>20000000</v>
      </c>
      <c r="AX130" s="645"/>
      <c r="AY130" s="645"/>
      <c r="AZ130" s="645"/>
      <c r="BA130" s="646">
        <f t="shared" si="47"/>
        <v>20000000</v>
      </c>
      <c r="BB130" s="647"/>
      <c r="BC130" s="648"/>
      <c r="BD130" s="649"/>
      <c r="BE130" s="647"/>
      <c r="BF130" s="644"/>
      <c r="BG130" s="646">
        <f t="shared" si="48"/>
        <v>20000000</v>
      </c>
      <c r="BH130" s="650"/>
      <c r="BI130" s="647"/>
      <c r="BJ130" s="644"/>
      <c r="BK130" s="646">
        <f t="shared" si="49"/>
        <v>0</v>
      </c>
      <c r="BL130" s="651"/>
      <c r="BM130" s="652">
        <f t="shared" si="50"/>
        <v>1</v>
      </c>
      <c r="BN130" s="628"/>
      <c r="BO130" s="670"/>
      <c r="BP130" s="644"/>
      <c r="BQ130" s="644"/>
      <c r="BR130" s="644"/>
      <c r="BS130" s="644"/>
      <c r="BT130" s="644"/>
      <c r="BU130" s="644"/>
      <c r="BV130" s="644"/>
      <c r="BW130" s="644"/>
      <c r="BX130" s="644"/>
      <c r="BY130" s="644"/>
      <c r="BZ130" s="644"/>
      <c r="CA130" s="644"/>
      <c r="CB130" s="646">
        <f t="shared" si="51"/>
        <v>0</v>
      </c>
      <c r="CC130" s="646">
        <f t="shared" si="52"/>
        <v>0</v>
      </c>
      <c r="CD130" s="614"/>
    </row>
    <row r="131" spans="1:82" s="561" customFormat="1" ht="61.5" customHeight="1">
      <c r="A131" s="625" t="str">
        <f t="shared" si="34"/>
        <v>1107-158-FONT1107-03-01-0066-Activación del patrimonio</v>
      </c>
      <c r="B131" s="626" t="str">
        <f t="shared" si="35"/>
        <v>1107-158-FONT1107-03-01-0066</v>
      </c>
      <c r="C131" s="626" t="str">
        <f t="shared" si="36"/>
        <v>1107-158-FONT1107-Activación del patrimonio</v>
      </c>
      <c r="D131" s="626" t="str">
        <f t="shared" si="37"/>
        <v>1107-158-21-Administrados de Libre Destinación-03-01-0066</v>
      </c>
      <c r="E131" s="626" t="str">
        <f t="shared" si="38"/>
        <v>Activación del patrimonio-21-Administrados de Libre Destinación-0066-Fomento, apoyo y divulgación de eventos y expresiones artísticas, culturales y del patrimonio</v>
      </c>
      <c r="F131" s="627">
        <v>94</v>
      </c>
      <c r="G131" s="628">
        <f t="shared" si="39"/>
        <v>94</v>
      </c>
      <c r="H131" s="629" t="b">
        <f t="shared" si="40"/>
        <v>0</v>
      </c>
      <c r="I131" s="630" t="s">
        <v>594</v>
      </c>
      <c r="J131" s="627" t="s">
        <v>27</v>
      </c>
      <c r="K131" s="631" t="str">
        <f>+IFERROR(VLOOKUP(J131,Listas!$A$108:$B$114,2,FALSE),"Alerta: Seleccione la celda en la comumna B con el nombre del proyecto")</f>
        <v>3-3-1-15-03-25-1107-158</v>
      </c>
      <c r="L131" s="632" t="s">
        <v>608</v>
      </c>
      <c r="M131" s="633" t="s">
        <v>613</v>
      </c>
      <c r="N131" s="634" t="str">
        <f t="shared" si="41"/>
        <v>(Cód. 94) Contratar el proceso de impresión, encuadernación y acabados de los impresos y publicaciones requeridos para el desarrollo de los proyectos misionales adelantados por la Subdirección de Divulgación del Instituto Distrital de Patrimonio Cultural.</v>
      </c>
      <c r="O131" s="635">
        <v>43544</v>
      </c>
      <c r="P131" s="636">
        <f>IFERROR(VLOOKUP(W131,'Estimación CRP'!$D$21:$E$30,2,FALSE),0)</f>
        <v>50</v>
      </c>
      <c r="Q131" s="637">
        <f>IF(O131="No aplica","No aplica",WORKDAY.INTL(O131,P131,1,'Estimación CRP'!A317:A333))</f>
        <v>43614</v>
      </c>
      <c r="R131" s="636">
        <f t="shared" si="42"/>
        <v>5</v>
      </c>
      <c r="S131" s="636">
        <f t="shared" si="43"/>
        <v>3</v>
      </c>
      <c r="T131" s="636">
        <f t="shared" si="44"/>
        <v>3</v>
      </c>
      <c r="U131" s="712">
        <v>8</v>
      </c>
      <c r="V131" s="638">
        <v>1</v>
      </c>
      <c r="W131" s="639" t="s">
        <v>258</v>
      </c>
      <c r="X131" s="640" t="str">
        <f>IFERROR(VLOOKUP(W131,Listas!$A$60:$B$73,2,FALSE),"Alerta: Seleccione primero Modalidad de selección")</f>
        <v>CCE-02</v>
      </c>
      <c r="Y131" s="641">
        <v>0</v>
      </c>
      <c r="Z131" s="641" t="s">
        <v>1075</v>
      </c>
      <c r="AA131" s="641" t="s">
        <v>1167</v>
      </c>
      <c r="AB131" s="642">
        <f t="shared" si="45"/>
        <v>63000000</v>
      </c>
      <c r="AC131" s="642">
        <f t="shared" si="46"/>
        <v>63000000</v>
      </c>
      <c r="AD131" s="641">
        <v>0</v>
      </c>
      <c r="AE131" s="643">
        <v>0</v>
      </c>
      <c r="AF131" s="639" t="s">
        <v>276</v>
      </c>
      <c r="AG131" s="639" t="s">
        <v>277</v>
      </c>
      <c r="AH131" s="639" t="s">
        <v>284</v>
      </c>
      <c r="AI131" s="626" t="str">
        <f>IFERROR(VLOOKUP(AH131,Listas!$A$77:$C$83,2,FALSE),"Alerta: Seleccione primero el responsable")</f>
        <v>3550800</v>
      </c>
      <c r="AJ131" s="640" t="str">
        <f>IFERROR(VLOOKUP(AH131,Listas!$A$77:$C$83,3,FALSE),"Alerta: Seleccione primero el responsable")</f>
        <v>margarita.castaneda@idpc.gov.co</v>
      </c>
      <c r="AK131" s="640" t="str">
        <f>IF(J131="Funcionamiento Gastos Generales","No aplica",IF(J131="Funcionamiento Servicios Personales indirectos","No aplica",IFERROR(VLOOKUP(J131,Listas!$A$127:$E$139,3,FALSE),"Alerta: Seleccione la celda en la comumna B con el nombre del proyecto")))</f>
        <v>ME20181107</v>
      </c>
      <c r="AL131" s="640" t="str">
        <f>IF(J131="Funcionamiento Gastos Generales","No aplica",IF(J131="Funcionamiento Servicios Personales","No aplica",IFERROR(VLOOKUP(J131,Listas!$A$220:$D$224,2,FALSE),"Alerta: Seleccione la celda en la comumna B con el nombre del proyecto")))</f>
        <v>COMP1107</v>
      </c>
      <c r="AM131" s="640" t="str">
        <f>IF(J131="Funcionamiento Gastos Generales","No aplica",IF(J131="Funcionamiento Servicios Personales","No aplica",IFERROR(VLOOKUP(J131,Listas!$A$220:$D$224,3,FALSE),"Alerta: Seleccione la celda en la comumna B con el nombre del proyecto")))</f>
        <v>CONC1107</v>
      </c>
      <c r="AN131" s="633" t="s">
        <v>1046</v>
      </c>
      <c r="AO131" s="633" t="s">
        <v>54</v>
      </c>
      <c r="AP131" s="634" t="str">
        <f>IFERROR(VLOOKUP(J131,Listas!$A$182:$E$215,5,FALSE),"Alerta: Seleccione la celda en la comumna B con el nombre del proyecto")</f>
        <v>13. Oferta cultural para la valoración y divulgación del patrimonio material e  inmaterial de la ciud</v>
      </c>
      <c r="AQ131" s="634" t="str">
        <f>IF(J131="Funcionamiento Gastos Generales","No aplica",IF(J131="Funcionamiento Servicios Personales","No aplica",IFERROR(VLOOKUP(J131,Listas!$A$220:$D$224,4,FALSE),"Alerta: Seleccione la celda en la comumna B con el nombre del proyecto")))</f>
        <v>FONT1107</v>
      </c>
      <c r="AR131" s="633" t="s">
        <v>222</v>
      </c>
      <c r="AS131" s="634" t="str">
        <f>IFERROR(VLOOKUP(AU131,Listas!$E$85:$L$105,7,FALSE),"Alerta: Seleccione la celda en la comumna AI con el concepto de gasto")</f>
        <v>03-RECURSO HUMANO</v>
      </c>
      <c r="AT131" s="634" t="str">
        <f>IFERROR(VLOOKUP(AU131,Listas!$E$85:$L$105,8,FALSE),"Alerta: Seleccione la celda en la comumna AI con el concepto de gasto")</f>
        <v>01-DIVULGACION, ASISTENCIA TECNICA Y CAPACITACION DE LA POBLACION</v>
      </c>
      <c r="AU131" s="633" t="s">
        <v>232</v>
      </c>
      <c r="AV131" s="634">
        <f>IFERROR(VLOOKUP(AU131,Listas!$E$85:$F$105,2,FALSE),"Alerta: Seleccione el Concepto de Gasto primero")</f>
        <v>0</v>
      </c>
      <c r="AW131" s="644">
        <v>63000000</v>
      </c>
      <c r="AX131" s="645"/>
      <c r="AY131" s="645"/>
      <c r="AZ131" s="645"/>
      <c r="BA131" s="646">
        <f t="shared" si="47"/>
        <v>63000000</v>
      </c>
      <c r="BB131" s="647"/>
      <c r="BC131" s="648"/>
      <c r="BD131" s="649"/>
      <c r="BE131" s="647"/>
      <c r="BF131" s="644"/>
      <c r="BG131" s="646">
        <f t="shared" si="48"/>
        <v>63000000</v>
      </c>
      <c r="BH131" s="650"/>
      <c r="BI131" s="647"/>
      <c r="BJ131" s="644"/>
      <c r="BK131" s="646">
        <f t="shared" si="49"/>
        <v>0</v>
      </c>
      <c r="BL131" s="651"/>
      <c r="BM131" s="652">
        <f t="shared" si="50"/>
        <v>1</v>
      </c>
      <c r="BN131" s="628"/>
      <c r="BO131" s="670"/>
      <c r="BP131" s="644"/>
      <c r="BQ131" s="644"/>
      <c r="BR131" s="644"/>
      <c r="BS131" s="644"/>
      <c r="BT131" s="644"/>
      <c r="BU131" s="644"/>
      <c r="BV131" s="644"/>
      <c r="BW131" s="644"/>
      <c r="BX131" s="644"/>
      <c r="BY131" s="644"/>
      <c r="BZ131" s="644"/>
      <c r="CA131" s="644"/>
      <c r="CB131" s="646">
        <f t="shared" si="51"/>
        <v>0</v>
      </c>
      <c r="CC131" s="646">
        <f t="shared" si="52"/>
        <v>0</v>
      </c>
      <c r="CD131" s="614"/>
    </row>
    <row r="132" spans="1:82" s="561" customFormat="1" ht="61.5" customHeight="1">
      <c r="A132" s="625" t="str">
        <f t="shared" si="34"/>
        <v>1107-158-FONT1107-03-01-0066-Activación del patrimonio</v>
      </c>
      <c r="B132" s="626" t="str">
        <f t="shared" si="35"/>
        <v>1107-158-FONT1107-03-01-0066</v>
      </c>
      <c r="C132" s="626" t="str">
        <f t="shared" si="36"/>
        <v>1107-158-FONT1107-Activación del patrimonio</v>
      </c>
      <c r="D132" s="626" t="str">
        <f t="shared" si="37"/>
        <v>1107-158-12-Otros Distrito-03-01-0066</v>
      </c>
      <c r="E132" s="626" t="str">
        <f t="shared" si="38"/>
        <v>Activación del patrimonio-12-Otros Distrito-0066-Fomento, apoyo y divulgación de eventos y expresiones artísticas, culturales y del patrimonio</v>
      </c>
      <c r="F132" s="627">
        <v>94</v>
      </c>
      <c r="G132" s="628">
        <f t="shared" si="39"/>
        <v>94</v>
      </c>
      <c r="H132" s="629" t="b">
        <f t="shared" si="40"/>
        <v>1</v>
      </c>
      <c r="I132" s="630" t="s">
        <v>594</v>
      </c>
      <c r="J132" s="627" t="s">
        <v>27</v>
      </c>
      <c r="K132" s="631" t="str">
        <f>+IFERROR(VLOOKUP(J132,Listas!$A$108:$B$114,2,FALSE),"Alerta: Seleccione la celda en la comumna B con el nombre del proyecto")</f>
        <v>3-3-1-15-03-25-1107-158</v>
      </c>
      <c r="L132" s="632" t="s">
        <v>608</v>
      </c>
      <c r="M132" s="633" t="s">
        <v>613</v>
      </c>
      <c r="N132" s="634" t="str">
        <f t="shared" si="41"/>
        <v>(Cód. 94) Contratar el proceso de impresión, encuadernación y acabados de los impresos y publicaciones requeridos para el desarrollo de los proyectos misionales adelantados por la Subdirección de Divulgación del Instituto Distrital de Patrimonio Cultural.</v>
      </c>
      <c r="O132" s="635">
        <v>43544</v>
      </c>
      <c r="P132" s="636">
        <f>IFERROR(VLOOKUP(W132,'Estimación CRP'!$D$21:$E$30,2,FALSE),0)</f>
        <v>50</v>
      </c>
      <c r="Q132" s="637">
        <f>IF(O132="No aplica","No aplica",WORKDAY.INTL(O132,P132,1,'Estimación CRP'!A318:A334))</f>
        <v>43614</v>
      </c>
      <c r="R132" s="636">
        <f t="shared" si="42"/>
        <v>5</v>
      </c>
      <c r="S132" s="636">
        <f t="shared" si="43"/>
        <v>3</v>
      </c>
      <c r="T132" s="636">
        <f t="shared" si="44"/>
        <v>3</v>
      </c>
      <c r="U132" s="712">
        <v>8</v>
      </c>
      <c r="V132" s="638">
        <v>1</v>
      </c>
      <c r="W132" s="639" t="s">
        <v>258</v>
      </c>
      <c r="X132" s="640" t="str">
        <f>IFERROR(VLOOKUP(W132,Listas!$A$60:$B$73,2,FALSE),"Alerta: Seleccione primero Modalidad de selección")</f>
        <v>CCE-02</v>
      </c>
      <c r="Y132" s="641">
        <v>0</v>
      </c>
      <c r="Z132" s="641" t="s">
        <v>1075</v>
      </c>
      <c r="AA132" s="641" t="s">
        <v>1168</v>
      </c>
      <c r="AB132" s="642">
        <f t="shared" si="45"/>
        <v>447000000</v>
      </c>
      <c r="AC132" s="642">
        <f t="shared" si="46"/>
        <v>447000000</v>
      </c>
      <c r="AD132" s="641">
        <v>0</v>
      </c>
      <c r="AE132" s="643">
        <v>0</v>
      </c>
      <c r="AF132" s="639" t="s">
        <v>276</v>
      </c>
      <c r="AG132" s="639" t="s">
        <v>277</v>
      </c>
      <c r="AH132" s="639" t="s">
        <v>284</v>
      </c>
      <c r="AI132" s="626" t="str">
        <f>IFERROR(VLOOKUP(AH132,Listas!$A$77:$C$83,2,FALSE),"Alerta: Seleccione primero el responsable")</f>
        <v>3550800</v>
      </c>
      <c r="AJ132" s="640" t="str">
        <f>IFERROR(VLOOKUP(AH132,Listas!$A$77:$C$83,3,FALSE),"Alerta: Seleccione primero el responsable")</f>
        <v>margarita.castaneda@idpc.gov.co</v>
      </c>
      <c r="AK132" s="640" t="str">
        <f>IF(J132="Funcionamiento Gastos Generales","No aplica",IF(J132="Funcionamiento Servicios Personales indirectos","No aplica",IFERROR(VLOOKUP(J132,Listas!$A$127:$E$139,3,FALSE),"Alerta: Seleccione la celda en la comumna B con el nombre del proyecto")))</f>
        <v>ME20181107</v>
      </c>
      <c r="AL132" s="640" t="str">
        <f>IF(J132="Funcionamiento Gastos Generales","No aplica",IF(J132="Funcionamiento Servicios Personales","No aplica",IFERROR(VLOOKUP(J132,Listas!$A$220:$D$224,2,FALSE),"Alerta: Seleccione la celda en la comumna B con el nombre del proyecto")))</f>
        <v>COMP1107</v>
      </c>
      <c r="AM132" s="640" t="str">
        <f>IF(J132="Funcionamiento Gastos Generales","No aplica",IF(J132="Funcionamiento Servicios Personales","No aplica",IFERROR(VLOOKUP(J132,Listas!$A$220:$D$224,3,FALSE),"Alerta: Seleccione la celda en la comumna B con el nombre del proyecto")))</f>
        <v>CONC1107</v>
      </c>
      <c r="AN132" s="633" t="s">
        <v>1046</v>
      </c>
      <c r="AO132" s="633" t="s">
        <v>54</v>
      </c>
      <c r="AP132" s="634" t="str">
        <f>IFERROR(VLOOKUP(J132,Listas!$A$182:$E$215,5,FALSE),"Alerta: Seleccione la celda en la comumna B con el nombre del proyecto")</f>
        <v>13. Oferta cultural para la valoración y divulgación del patrimonio material e  inmaterial de la ciud</v>
      </c>
      <c r="AQ132" s="634" t="str">
        <f>IF(J132="Funcionamiento Gastos Generales","No aplica",IF(J132="Funcionamiento Servicios Personales","No aplica",IFERROR(VLOOKUP(J132,Listas!$A$220:$D$224,4,FALSE),"Alerta: Seleccione la celda en la comumna B con el nombre del proyecto")))</f>
        <v>FONT1107</v>
      </c>
      <c r="AR132" s="633" t="s">
        <v>198</v>
      </c>
      <c r="AS132" s="634" t="str">
        <f>IFERROR(VLOOKUP(AU132,Listas!$E$85:$L$105,7,FALSE),"Alerta: Seleccione la celda en la comumna AI con el concepto de gasto")</f>
        <v>03-RECURSO HUMANO</v>
      </c>
      <c r="AT132" s="634" t="str">
        <f>IFERROR(VLOOKUP(AU132,Listas!$E$85:$L$105,8,FALSE),"Alerta: Seleccione la celda en la comumna AI con el concepto de gasto")</f>
        <v>01-DIVULGACION, ASISTENCIA TECNICA Y CAPACITACION DE LA POBLACION</v>
      </c>
      <c r="AU132" s="633" t="s">
        <v>232</v>
      </c>
      <c r="AV132" s="634">
        <f>IFERROR(VLOOKUP(AU132,Listas!$E$85:$F$105,2,FALSE),"Alerta: Seleccione el Concepto de Gasto primero")</f>
        <v>0</v>
      </c>
      <c r="AW132" s="644">
        <v>447000000</v>
      </c>
      <c r="AX132" s="645"/>
      <c r="AY132" s="645"/>
      <c r="AZ132" s="645"/>
      <c r="BA132" s="646">
        <f t="shared" si="47"/>
        <v>447000000</v>
      </c>
      <c r="BB132" s="647"/>
      <c r="BC132" s="648"/>
      <c r="BD132" s="649"/>
      <c r="BE132" s="647"/>
      <c r="BF132" s="644"/>
      <c r="BG132" s="646">
        <f t="shared" si="48"/>
        <v>447000000</v>
      </c>
      <c r="BH132" s="650"/>
      <c r="BI132" s="647"/>
      <c r="BJ132" s="644"/>
      <c r="BK132" s="646">
        <f t="shared" si="49"/>
        <v>0</v>
      </c>
      <c r="BL132" s="651"/>
      <c r="BM132" s="652">
        <f t="shared" si="50"/>
        <v>1</v>
      </c>
      <c r="BN132" s="628"/>
      <c r="BO132" s="670"/>
      <c r="BP132" s="644"/>
      <c r="BQ132" s="644"/>
      <c r="BR132" s="644"/>
      <c r="BS132" s="644"/>
      <c r="BT132" s="644"/>
      <c r="BU132" s="644"/>
      <c r="BV132" s="644"/>
      <c r="BW132" s="644"/>
      <c r="BX132" s="644"/>
      <c r="BY132" s="644"/>
      <c r="BZ132" s="644"/>
      <c r="CA132" s="644"/>
      <c r="CB132" s="646">
        <f t="shared" si="51"/>
        <v>0</v>
      </c>
      <c r="CC132" s="646">
        <f t="shared" si="52"/>
        <v>0</v>
      </c>
      <c r="CD132" s="614"/>
    </row>
    <row r="133" spans="1:82" s="561" customFormat="1" ht="61.5" customHeight="1">
      <c r="A133" s="625" t="str">
        <f t="shared" si="34"/>
        <v>1107-158-FONT1107-03-01-0066-Museo de Bogotá en operación</v>
      </c>
      <c r="B133" s="626" t="str">
        <f t="shared" si="35"/>
        <v>1107-158-FONT1107-03-01-0066</v>
      </c>
      <c r="C133" s="626" t="str">
        <f t="shared" si="36"/>
        <v>1107-158-FONT1107-Museo de Bogotá en operación</v>
      </c>
      <c r="D133" s="626" t="str">
        <f t="shared" si="37"/>
        <v>1107-158-12-Otros Distrito-03-01-0066</v>
      </c>
      <c r="E133" s="626" t="str">
        <f t="shared" si="38"/>
        <v>Museo de Bogotá en operación-12-Otros Distrito-0066-Fomento, apoyo y divulgación de eventos y expresiones artísticas, culturales y del patrimonio</v>
      </c>
      <c r="F133" s="627">
        <v>95</v>
      </c>
      <c r="G133" s="628">
        <f t="shared" si="39"/>
        <v>95</v>
      </c>
      <c r="H133" s="629" t="b">
        <f t="shared" si="40"/>
        <v>0</v>
      </c>
      <c r="I133" s="630" t="s">
        <v>594</v>
      </c>
      <c r="J133" s="627" t="s">
        <v>27</v>
      </c>
      <c r="K133" s="631" t="str">
        <f>+IFERROR(VLOOKUP(J133,Listas!$A$108:$B$114,2,FALSE),"Alerta: Seleccione la celda en la comumna B con el nombre del proyecto")</f>
        <v>3-3-1-15-03-25-1107-158</v>
      </c>
      <c r="L133" s="632" t="s">
        <v>618</v>
      </c>
      <c r="M133" s="633" t="s">
        <v>696</v>
      </c>
      <c r="N133" s="634" t="str">
        <f t="shared" si="41"/>
        <v>(Cód. 95) Prestar servicios de apoyo a la gestión al Instituto Distrital de Patrimonio Cultural en los procesos de digitalización de la Colección del Museo de Bogotá.</v>
      </c>
      <c r="O133" s="635">
        <v>43490</v>
      </c>
      <c r="P133" s="636">
        <f>IFERROR(VLOOKUP(W133,'Estimación CRP'!$D$21:$E$30,2,FALSE),0)</f>
        <v>10</v>
      </c>
      <c r="Q133" s="637">
        <f>IF(O133="No aplica","No aplica",WORKDAY.INTL(O133,P133,1,'Estimación CRP'!A319:A335))</f>
        <v>43504</v>
      </c>
      <c r="R133" s="636">
        <f t="shared" si="42"/>
        <v>2</v>
      </c>
      <c r="S133" s="636">
        <f t="shared" si="43"/>
        <v>1</v>
      </c>
      <c r="T133" s="636">
        <f t="shared" si="44"/>
        <v>1</v>
      </c>
      <c r="U133" s="712">
        <v>10</v>
      </c>
      <c r="V133" s="638">
        <v>1</v>
      </c>
      <c r="W133" s="639" t="s">
        <v>274</v>
      </c>
      <c r="X133" s="640" t="str">
        <f>IFERROR(VLOOKUP(W133,Listas!$A$60:$B$73,2,FALSE),"Alerta: Seleccione primero Modalidad de selección")</f>
        <v>CCE-16</v>
      </c>
      <c r="Y133" s="641">
        <v>0</v>
      </c>
      <c r="Z133" s="641" t="s">
        <v>346</v>
      </c>
      <c r="AA133" s="641" t="s">
        <v>1169</v>
      </c>
      <c r="AB133" s="642">
        <f t="shared" si="45"/>
        <v>22400000</v>
      </c>
      <c r="AC133" s="642">
        <f t="shared" si="46"/>
        <v>22400000</v>
      </c>
      <c r="AD133" s="641">
        <v>0</v>
      </c>
      <c r="AE133" s="643">
        <v>0</v>
      </c>
      <c r="AF133" s="639" t="s">
        <v>276</v>
      </c>
      <c r="AG133" s="639" t="s">
        <v>277</v>
      </c>
      <c r="AH133" s="639" t="s">
        <v>284</v>
      </c>
      <c r="AI133" s="626" t="str">
        <f>IFERROR(VLOOKUP(AH133,Listas!$A$77:$C$83,2,FALSE),"Alerta: Seleccione primero el responsable")</f>
        <v>3550800</v>
      </c>
      <c r="AJ133" s="640" t="str">
        <f>IFERROR(VLOOKUP(AH133,Listas!$A$77:$C$83,3,FALSE),"Alerta: Seleccione primero el responsable")</f>
        <v>margarita.castaneda@idpc.gov.co</v>
      </c>
      <c r="AK133" s="640" t="str">
        <f>IF(J133="Funcionamiento Gastos Generales","No aplica",IF(J133="Funcionamiento Servicios Personales indirectos","No aplica",IFERROR(VLOOKUP(J133,Listas!$A$127:$E$139,3,FALSE),"Alerta: Seleccione la celda en la comumna B con el nombre del proyecto")))</f>
        <v>ME20181107</v>
      </c>
      <c r="AL133" s="640" t="str">
        <f>IF(J133="Funcionamiento Gastos Generales","No aplica",IF(J133="Funcionamiento Servicios Personales","No aplica",IFERROR(VLOOKUP(J133,Listas!$A$220:$D$224,2,FALSE),"Alerta: Seleccione la celda en la comumna B con el nombre del proyecto")))</f>
        <v>COMP1107</v>
      </c>
      <c r="AM133" s="640" t="str">
        <f>IF(J133="Funcionamiento Gastos Generales","No aplica",IF(J133="Funcionamiento Servicios Personales","No aplica",IFERROR(VLOOKUP(J133,Listas!$A$220:$D$224,3,FALSE),"Alerta: Seleccione la celda en la comumna B con el nombre del proyecto")))</f>
        <v>CONC1107</v>
      </c>
      <c r="AN133" s="633" t="s">
        <v>1047</v>
      </c>
      <c r="AO133" s="633" t="s">
        <v>53</v>
      </c>
      <c r="AP133" s="634" t="str">
        <f>IFERROR(VLOOKUP(J133,Listas!$A$182:$E$215,5,FALSE),"Alerta: Seleccione la celda en la comumna B con el nombre del proyecto")</f>
        <v>13. Oferta cultural para la valoración y divulgación del patrimonio material e  inmaterial de la ciud</v>
      </c>
      <c r="AQ133" s="634" t="str">
        <f>IF(J133="Funcionamiento Gastos Generales","No aplica",IF(J133="Funcionamiento Servicios Personales","No aplica",IFERROR(VLOOKUP(J133,Listas!$A$220:$D$224,4,FALSE),"Alerta: Seleccione la celda en la comumna B con el nombre del proyecto")))</f>
        <v>FONT1107</v>
      </c>
      <c r="AR133" s="633" t="s">
        <v>198</v>
      </c>
      <c r="AS133" s="634" t="str">
        <f>IFERROR(VLOOKUP(AU133,Listas!$E$85:$L$105,7,FALSE),"Alerta: Seleccione la celda en la comumna AI con el concepto de gasto")</f>
        <v>03-RECURSO HUMANO</v>
      </c>
      <c r="AT133" s="634" t="str">
        <f>IFERROR(VLOOKUP(AU133,Listas!$E$85:$L$105,8,FALSE),"Alerta: Seleccione la celda en la comumna AI con el concepto de gasto")</f>
        <v>01-DIVULGACION, ASISTENCIA TECNICA Y CAPACITACION DE LA POBLACION</v>
      </c>
      <c r="AU133" s="633" t="s">
        <v>232</v>
      </c>
      <c r="AV133" s="634">
        <f>IFERROR(VLOOKUP(AU133,Listas!$E$85:$F$105,2,FALSE),"Alerta: Seleccione el Concepto de Gasto primero")</f>
        <v>0</v>
      </c>
      <c r="AW133" s="644">
        <v>22400000</v>
      </c>
      <c r="AX133" s="645"/>
      <c r="AY133" s="645"/>
      <c r="AZ133" s="645"/>
      <c r="BA133" s="646">
        <f t="shared" si="47"/>
        <v>22400000</v>
      </c>
      <c r="BB133" s="647"/>
      <c r="BC133" s="648"/>
      <c r="BD133" s="649"/>
      <c r="BE133" s="647"/>
      <c r="BF133" s="644"/>
      <c r="BG133" s="646">
        <f t="shared" si="48"/>
        <v>22400000</v>
      </c>
      <c r="BH133" s="650"/>
      <c r="BI133" s="647"/>
      <c r="BJ133" s="644"/>
      <c r="BK133" s="646">
        <f t="shared" si="49"/>
        <v>0</v>
      </c>
      <c r="BL133" s="651"/>
      <c r="BM133" s="652">
        <f t="shared" si="50"/>
        <v>1</v>
      </c>
      <c r="BN133" s="628"/>
      <c r="BO133" s="670"/>
      <c r="BP133" s="644"/>
      <c r="BQ133" s="644"/>
      <c r="BR133" s="644"/>
      <c r="BS133" s="644"/>
      <c r="BT133" s="644"/>
      <c r="BU133" s="644"/>
      <c r="BV133" s="644"/>
      <c r="BW133" s="644"/>
      <c r="BX133" s="644"/>
      <c r="BY133" s="644"/>
      <c r="BZ133" s="644"/>
      <c r="CA133" s="644"/>
      <c r="CB133" s="646">
        <f t="shared" si="51"/>
        <v>0</v>
      </c>
      <c r="CC133" s="646">
        <f t="shared" si="52"/>
        <v>0</v>
      </c>
      <c r="CD133" s="614"/>
    </row>
    <row r="134" spans="1:82" s="561" customFormat="1" ht="61.5" customHeight="1">
      <c r="A134" s="625" t="str">
        <f t="shared" si="34"/>
        <v>1107-158-FONT1107-03-01-0066-Museo de Bogotá en operación</v>
      </c>
      <c r="B134" s="626" t="str">
        <f t="shared" si="35"/>
        <v>1107-158-FONT1107-03-01-0066</v>
      </c>
      <c r="C134" s="626" t="str">
        <f t="shared" si="36"/>
        <v>1107-158-FONT1107-Museo de Bogotá en operación</v>
      </c>
      <c r="D134" s="626" t="str">
        <f t="shared" si="37"/>
        <v>1107-158-12-Otros Distrito-03-01-0066</v>
      </c>
      <c r="E134" s="626" t="str">
        <f t="shared" si="38"/>
        <v>Museo de Bogotá en operación-12-Otros Distrito-0066-Fomento, apoyo y divulgación de eventos y expresiones artísticas, culturales y del patrimonio</v>
      </c>
      <c r="F134" s="627">
        <v>96</v>
      </c>
      <c r="G134" s="628">
        <f t="shared" si="39"/>
        <v>96</v>
      </c>
      <c r="H134" s="629" t="b">
        <f t="shared" si="40"/>
        <v>0</v>
      </c>
      <c r="I134" s="630" t="s">
        <v>594</v>
      </c>
      <c r="J134" s="627" t="s">
        <v>27</v>
      </c>
      <c r="K134" s="631" t="str">
        <f>+IFERROR(VLOOKUP(J134,Listas!$A$108:$B$114,2,FALSE),"Alerta: Seleccione la celda en la comumna B con el nombre del proyecto")</f>
        <v>3-3-1-15-03-25-1107-158</v>
      </c>
      <c r="L134" s="632" t="s">
        <v>618</v>
      </c>
      <c r="M134" s="633" t="s">
        <v>697</v>
      </c>
      <c r="N134" s="634" t="str">
        <f t="shared" si="41"/>
        <v>(Cód. 96) Prestar servicios profesionales al Instituto Distrital de Patrimonio Cultural para llevar a cabo la restauración de piezas pertenecientes a la Colección del Museo de Bogotá.</v>
      </c>
      <c r="O134" s="635">
        <v>43485</v>
      </c>
      <c r="P134" s="636">
        <f>IFERROR(VLOOKUP(W134,'Estimación CRP'!$D$21:$E$30,2,FALSE),0)</f>
        <v>10</v>
      </c>
      <c r="Q134" s="637">
        <f>IF(O134="No aplica","No aplica",WORKDAY.INTL(O134,P134,1,'Estimación CRP'!A320:A336))</f>
        <v>43497</v>
      </c>
      <c r="R134" s="636">
        <f t="shared" si="42"/>
        <v>2</v>
      </c>
      <c r="S134" s="636">
        <f t="shared" si="43"/>
        <v>1</v>
      </c>
      <c r="T134" s="636">
        <f t="shared" si="44"/>
        <v>1</v>
      </c>
      <c r="U134" s="712">
        <v>6</v>
      </c>
      <c r="V134" s="638">
        <v>1</v>
      </c>
      <c r="W134" s="639" t="s">
        <v>274</v>
      </c>
      <c r="X134" s="640" t="str">
        <f>IFERROR(VLOOKUP(W134,Listas!$A$60:$B$73,2,FALSE),"Alerta: Seleccione primero Modalidad de selección")</f>
        <v>CCE-16</v>
      </c>
      <c r="Y134" s="641">
        <v>0</v>
      </c>
      <c r="Z134" s="641" t="s">
        <v>346</v>
      </c>
      <c r="AA134" s="641" t="s">
        <v>1170</v>
      </c>
      <c r="AB134" s="642">
        <f t="shared" si="45"/>
        <v>8000000</v>
      </c>
      <c r="AC134" s="642">
        <f t="shared" si="46"/>
        <v>8000000</v>
      </c>
      <c r="AD134" s="641">
        <v>0</v>
      </c>
      <c r="AE134" s="643">
        <v>0</v>
      </c>
      <c r="AF134" s="639" t="s">
        <v>276</v>
      </c>
      <c r="AG134" s="639" t="s">
        <v>277</v>
      </c>
      <c r="AH134" s="639" t="s">
        <v>284</v>
      </c>
      <c r="AI134" s="626" t="str">
        <f>IFERROR(VLOOKUP(AH134,Listas!$A$77:$C$83,2,FALSE),"Alerta: Seleccione primero el responsable")</f>
        <v>3550800</v>
      </c>
      <c r="AJ134" s="640" t="str">
        <f>IFERROR(VLOOKUP(AH134,Listas!$A$77:$C$83,3,FALSE),"Alerta: Seleccione primero el responsable")</f>
        <v>margarita.castaneda@idpc.gov.co</v>
      </c>
      <c r="AK134" s="640" t="str">
        <f>IF(J134="Funcionamiento Gastos Generales","No aplica",IF(J134="Funcionamiento Servicios Personales indirectos","No aplica",IFERROR(VLOOKUP(J134,Listas!$A$127:$E$139,3,FALSE),"Alerta: Seleccione la celda en la comumna B con el nombre del proyecto")))</f>
        <v>ME20181107</v>
      </c>
      <c r="AL134" s="640" t="str">
        <f>IF(J134="Funcionamiento Gastos Generales","No aplica",IF(J134="Funcionamiento Servicios Personales","No aplica",IFERROR(VLOOKUP(J134,Listas!$A$220:$D$224,2,FALSE),"Alerta: Seleccione la celda en la comumna B con el nombre del proyecto")))</f>
        <v>COMP1107</v>
      </c>
      <c r="AM134" s="640" t="str">
        <f>IF(J134="Funcionamiento Gastos Generales","No aplica",IF(J134="Funcionamiento Servicios Personales","No aplica",IFERROR(VLOOKUP(J134,Listas!$A$220:$D$224,3,FALSE),"Alerta: Seleccione la celda en la comumna B con el nombre del proyecto")))</f>
        <v>CONC1107</v>
      </c>
      <c r="AN134" s="633" t="s">
        <v>1047</v>
      </c>
      <c r="AO134" s="633" t="s">
        <v>53</v>
      </c>
      <c r="AP134" s="634" t="str">
        <f>IFERROR(VLOOKUP(J134,Listas!$A$182:$E$215,5,FALSE),"Alerta: Seleccione la celda en la comumna B con el nombre del proyecto")</f>
        <v>13. Oferta cultural para la valoración y divulgación del patrimonio material e  inmaterial de la ciud</v>
      </c>
      <c r="AQ134" s="634" t="str">
        <f>IF(J134="Funcionamiento Gastos Generales","No aplica",IF(J134="Funcionamiento Servicios Personales","No aplica",IFERROR(VLOOKUP(J134,Listas!$A$220:$D$224,4,FALSE),"Alerta: Seleccione la celda en la comumna B con el nombre del proyecto")))</f>
        <v>FONT1107</v>
      </c>
      <c r="AR134" s="633" t="s">
        <v>198</v>
      </c>
      <c r="AS134" s="634" t="str">
        <f>IFERROR(VLOOKUP(AU134,Listas!$E$85:$L$105,7,FALSE),"Alerta: Seleccione la celda en la comumna AI con el concepto de gasto")</f>
        <v>03-RECURSO HUMANO</v>
      </c>
      <c r="AT134" s="634" t="str">
        <f>IFERROR(VLOOKUP(AU134,Listas!$E$85:$L$105,8,FALSE),"Alerta: Seleccione la celda en la comumna AI con el concepto de gasto")</f>
        <v>01-DIVULGACION, ASISTENCIA TECNICA Y CAPACITACION DE LA POBLACION</v>
      </c>
      <c r="AU134" s="633" t="s">
        <v>232</v>
      </c>
      <c r="AV134" s="634">
        <f>IFERROR(VLOOKUP(AU134,Listas!$E$85:$F$105,2,FALSE),"Alerta: Seleccione el Concepto de Gasto primero")</f>
        <v>0</v>
      </c>
      <c r="AW134" s="644">
        <v>8000000</v>
      </c>
      <c r="AX134" s="645"/>
      <c r="AY134" s="645"/>
      <c r="AZ134" s="645"/>
      <c r="BA134" s="646">
        <f t="shared" si="47"/>
        <v>8000000</v>
      </c>
      <c r="BB134" s="647"/>
      <c r="BC134" s="648"/>
      <c r="BD134" s="649"/>
      <c r="BE134" s="647"/>
      <c r="BF134" s="644"/>
      <c r="BG134" s="646">
        <f t="shared" si="48"/>
        <v>8000000</v>
      </c>
      <c r="BH134" s="650"/>
      <c r="BI134" s="647"/>
      <c r="BJ134" s="644"/>
      <c r="BK134" s="646">
        <f t="shared" si="49"/>
        <v>0</v>
      </c>
      <c r="BL134" s="651"/>
      <c r="BM134" s="652">
        <f t="shared" si="50"/>
        <v>1</v>
      </c>
      <c r="BN134" s="628"/>
      <c r="BO134" s="670"/>
      <c r="BP134" s="644"/>
      <c r="BQ134" s="644"/>
      <c r="BR134" s="644"/>
      <c r="BS134" s="644"/>
      <c r="BT134" s="644"/>
      <c r="BU134" s="644"/>
      <c r="BV134" s="644"/>
      <c r="BW134" s="644"/>
      <c r="BX134" s="644"/>
      <c r="BY134" s="644"/>
      <c r="BZ134" s="644"/>
      <c r="CA134" s="644"/>
      <c r="CB134" s="646">
        <f t="shared" si="51"/>
        <v>0</v>
      </c>
      <c r="CC134" s="646">
        <f t="shared" si="52"/>
        <v>0</v>
      </c>
      <c r="CD134" s="614"/>
    </row>
    <row r="135" spans="1:82" s="561" customFormat="1" ht="61.5" customHeight="1">
      <c r="A135" s="625" t="str">
        <f t="shared" si="34"/>
        <v>1107-158-FONT1107-03-01-0066-Museo de Bogotá en operación</v>
      </c>
      <c r="B135" s="626" t="str">
        <f t="shared" si="35"/>
        <v>1107-158-FONT1107-03-01-0066</v>
      </c>
      <c r="C135" s="626" t="str">
        <f t="shared" si="36"/>
        <v>1107-158-FONT1107-Museo de Bogotá en operación</v>
      </c>
      <c r="D135" s="626" t="str">
        <f t="shared" si="37"/>
        <v>1107-158-12-Otros Distrito-03-01-0066</v>
      </c>
      <c r="E135" s="626" t="str">
        <f t="shared" si="38"/>
        <v>Museo de Bogotá en operación-12-Otros Distrito-0066-Fomento, apoyo y divulgación de eventos y expresiones artísticas, culturales y del patrimonio</v>
      </c>
      <c r="F135" s="627">
        <v>97</v>
      </c>
      <c r="G135" s="628">
        <f t="shared" si="39"/>
        <v>97</v>
      </c>
      <c r="H135" s="629" t="b">
        <f t="shared" si="40"/>
        <v>0</v>
      </c>
      <c r="I135" s="630" t="s">
        <v>594</v>
      </c>
      <c r="J135" s="627" t="s">
        <v>27</v>
      </c>
      <c r="K135" s="631" t="str">
        <f>+IFERROR(VLOOKUP(J135,Listas!$A$108:$B$114,2,FALSE),"Alerta: Seleccione la celda en la comumna B con el nombre del proyecto")</f>
        <v>3-3-1-15-03-25-1107-158</v>
      </c>
      <c r="L135" s="632" t="s">
        <v>618</v>
      </c>
      <c r="M135" s="633" t="s">
        <v>698</v>
      </c>
      <c r="N135" s="634" t="str">
        <f t="shared" si="41"/>
        <v xml:space="preserve">(Cód. 97) Prestar servicios profesionales al Instituto Distrital de Patrimonio Cultural para acompañar el componente histórico de los procesos curatoriales desarrollados por el Museo de Bogotá. </v>
      </c>
      <c r="O135" s="635">
        <v>43480</v>
      </c>
      <c r="P135" s="636">
        <f>IFERROR(VLOOKUP(W135,'Estimación CRP'!$D$21:$E$30,2,FALSE),0)</f>
        <v>10</v>
      </c>
      <c r="Q135" s="637">
        <f>IF(O135="No aplica","No aplica",WORKDAY.INTL(O135,P135,1,'Estimación CRP'!A321:A337))</f>
        <v>43494</v>
      </c>
      <c r="R135" s="636">
        <f t="shared" si="42"/>
        <v>1</v>
      </c>
      <c r="S135" s="636">
        <f t="shared" si="43"/>
        <v>1</v>
      </c>
      <c r="T135" s="636">
        <f t="shared" si="44"/>
        <v>1</v>
      </c>
      <c r="U135" s="712">
        <v>3</v>
      </c>
      <c r="V135" s="638">
        <v>1</v>
      </c>
      <c r="W135" s="639" t="s">
        <v>274</v>
      </c>
      <c r="X135" s="640" t="str">
        <f>IFERROR(VLOOKUP(W135,Listas!$A$60:$B$73,2,FALSE),"Alerta: Seleccione primero Modalidad de selección")</f>
        <v>CCE-16</v>
      </c>
      <c r="Y135" s="641">
        <v>0</v>
      </c>
      <c r="Z135" s="641" t="s">
        <v>346</v>
      </c>
      <c r="AA135" s="641" t="s">
        <v>1171</v>
      </c>
      <c r="AB135" s="642">
        <f t="shared" si="45"/>
        <v>17880000</v>
      </c>
      <c r="AC135" s="642">
        <f t="shared" si="46"/>
        <v>17880000</v>
      </c>
      <c r="AD135" s="641">
        <v>0</v>
      </c>
      <c r="AE135" s="643">
        <v>0</v>
      </c>
      <c r="AF135" s="639" t="s">
        <v>276</v>
      </c>
      <c r="AG135" s="639" t="s">
        <v>277</v>
      </c>
      <c r="AH135" s="639" t="s">
        <v>284</v>
      </c>
      <c r="AI135" s="626" t="str">
        <f>IFERROR(VLOOKUP(AH135,Listas!$A$77:$C$83,2,FALSE),"Alerta: Seleccione primero el responsable")</f>
        <v>3550800</v>
      </c>
      <c r="AJ135" s="640" t="str">
        <f>IFERROR(VLOOKUP(AH135,Listas!$A$77:$C$83,3,FALSE),"Alerta: Seleccione primero el responsable")</f>
        <v>margarita.castaneda@idpc.gov.co</v>
      </c>
      <c r="AK135" s="640" t="str">
        <f>IF(J135="Funcionamiento Gastos Generales","No aplica",IF(J135="Funcionamiento Servicios Personales indirectos","No aplica",IFERROR(VLOOKUP(J135,Listas!$A$127:$E$139,3,FALSE),"Alerta: Seleccione la celda en la comumna B con el nombre del proyecto")))</f>
        <v>ME20181107</v>
      </c>
      <c r="AL135" s="640" t="str">
        <f>IF(J135="Funcionamiento Gastos Generales","No aplica",IF(J135="Funcionamiento Servicios Personales","No aplica",IFERROR(VLOOKUP(J135,Listas!$A$220:$D$224,2,FALSE),"Alerta: Seleccione la celda en la comumna B con el nombre del proyecto")))</f>
        <v>COMP1107</v>
      </c>
      <c r="AM135" s="640" t="str">
        <f>IF(J135="Funcionamiento Gastos Generales","No aplica",IF(J135="Funcionamiento Servicios Personales","No aplica",IFERROR(VLOOKUP(J135,Listas!$A$220:$D$224,3,FALSE),"Alerta: Seleccione la celda en la comumna B con el nombre del proyecto")))</f>
        <v>CONC1107</v>
      </c>
      <c r="AN135" s="633" t="s">
        <v>1047</v>
      </c>
      <c r="AO135" s="633" t="s">
        <v>53</v>
      </c>
      <c r="AP135" s="634" t="str">
        <f>IFERROR(VLOOKUP(J135,Listas!$A$182:$E$215,5,FALSE),"Alerta: Seleccione la celda en la comumna B con el nombre del proyecto")</f>
        <v>13. Oferta cultural para la valoración y divulgación del patrimonio material e  inmaterial de la ciud</v>
      </c>
      <c r="AQ135" s="634" t="str">
        <f>IF(J135="Funcionamiento Gastos Generales","No aplica",IF(J135="Funcionamiento Servicios Personales","No aplica",IFERROR(VLOOKUP(J135,Listas!$A$220:$D$224,4,FALSE),"Alerta: Seleccione la celda en la comumna B con el nombre del proyecto")))</f>
        <v>FONT1107</v>
      </c>
      <c r="AR135" s="633" t="s">
        <v>198</v>
      </c>
      <c r="AS135" s="634" t="str">
        <f>IFERROR(VLOOKUP(AU135,Listas!$E$85:$L$105,7,FALSE),"Alerta: Seleccione la celda en la comumna AI con el concepto de gasto")</f>
        <v>03-RECURSO HUMANO</v>
      </c>
      <c r="AT135" s="634" t="str">
        <f>IFERROR(VLOOKUP(AU135,Listas!$E$85:$L$105,8,FALSE),"Alerta: Seleccione la celda en la comumna AI con el concepto de gasto")</f>
        <v>01-DIVULGACION, ASISTENCIA TECNICA Y CAPACITACION DE LA POBLACION</v>
      </c>
      <c r="AU135" s="633" t="s">
        <v>232</v>
      </c>
      <c r="AV135" s="634">
        <f>IFERROR(VLOOKUP(AU135,Listas!$E$85:$F$105,2,FALSE),"Alerta: Seleccione el Concepto de Gasto primero")</f>
        <v>0</v>
      </c>
      <c r="AW135" s="644">
        <v>17880000</v>
      </c>
      <c r="AX135" s="645"/>
      <c r="AY135" s="645"/>
      <c r="AZ135" s="645"/>
      <c r="BA135" s="646">
        <f t="shared" si="47"/>
        <v>17880000</v>
      </c>
      <c r="BB135" s="647"/>
      <c r="BC135" s="648"/>
      <c r="BD135" s="649"/>
      <c r="BE135" s="647"/>
      <c r="BF135" s="644"/>
      <c r="BG135" s="646">
        <f t="shared" si="48"/>
        <v>17880000</v>
      </c>
      <c r="BH135" s="650"/>
      <c r="BI135" s="647"/>
      <c r="BJ135" s="644"/>
      <c r="BK135" s="646">
        <f t="shared" si="49"/>
        <v>0</v>
      </c>
      <c r="BL135" s="651"/>
      <c r="BM135" s="652">
        <f t="shared" si="50"/>
        <v>1</v>
      </c>
      <c r="BN135" s="628"/>
      <c r="BO135" s="670"/>
      <c r="BP135" s="644"/>
      <c r="BQ135" s="644"/>
      <c r="BR135" s="644"/>
      <c r="BS135" s="644"/>
      <c r="BT135" s="644"/>
      <c r="BU135" s="644"/>
      <c r="BV135" s="644"/>
      <c r="BW135" s="644"/>
      <c r="BX135" s="644"/>
      <c r="BY135" s="644"/>
      <c r="BZ135" s="644"/>
      <c r="CA135" s="644"/>
      <c r="CB135" s="646">
        <f t="shared" si="51"/>
        <v>0</v>
      </c>
      <c r="CC135" s="646">
        <f t="shared" si="52"/>
        <v>0</v>
      </c>
      <c r="CD135" s="614"/>
    </row>
    <row r="136" spans="1:82" s="561" customFormat="1" ht="61.5" customHeight="1">
      <c r="A136" s="625" t="str">
        <f t="shared" si="34"/>
        <v>1107-158-FONT1107-03-01-0066-Museo de Bogotá en operación</v>
      </c>
      <c r="B136" s="626" t="str">
        <f t="shared" si="35"/>
        <v>1107-158-FONT1107-03-01-0066</v>
      </c>
      <c r="C136" s="626" t="str">
        <f t="shared" si="36"/>
        <v>1107-158-FONT1107-Museo de Bogotá en operación</v>
      </c>
      <c r="D136" s="626" t="str">
        <f t="shared" si="37"/>
        <v>1107-158-12-Otros Distrito-03-01-0066</v>
      </c>
      <c r="E136" s="626" t="str">
        <f t="shared" si="38"/>
        <v>Museo de Bogotá en operación-12-Otros Distrito-0066-Fomento, apoyo y divulgación de eventos y expresiones artísticas, culturales y del patrimonio</v>
      </c>
      <c r="F136" s="627">
        <v>98</v>
      </c>
      <c r="G136" s="628">
        <f t="shared" si="39"/>
        <v>98</v>
      </c>
      <c r="H136" s="629" t="b">
        <f t="shared" si="40"/>
        <v>0</v>
      </c>
      <c r="I136" s="630" t="s">
        <v>594</v>
      </c>
      <c r="J136" s="627" t="s">
        <v>27</v>
      </c>
      <c r="K136" s="631" t="str">
        <f>+IFERROR(VLOOKUP(J136,Listas!$A$108:$B$114,2,FALSE),"Alerta: Seleccione la celda en la comumna B con el nombre del proyecto")</f>
        <v>3-3-1-15-03-25-1107-158</v>
      </c>
      <c r="L136" s="632">
        <v>56112101</v>
      </c>
      <c r="M136" s="633" t="s">
        <v>699</v>
      </c>
      <c r="N136" s="634" t="str">
        <f t="shared" si="41"/>
        <v>(Cód. 98) Adquisición de mobiliario requerido para la operación del Museo de Bogotá del Instituto Distrital de Patrimonio Cultural.</v>
      </c>
      <c r="O136" s="635">
        <v>43501</v>
      </c>
      <c r="P136" s="636">
        <f>IFERROR(VLOOKUP(W136,'Estimación CRP'!$D$21:$E$30,2,FALSE),0)</f>
        <v>45</v>
      </c>
      <c r="Q136" s="637">
        <f>IF(O136="No aplica","No aplica",WORKDAY.INTL(O136,P136,1,'Estimación CRP'!A322:A338))</f>
        <v>43564</v>
      </c>
      <c r="R136" s="636">
        <f t="shared" si="42"/>
        <v>4</v>
      </c>
      <c r="S136" s="636">
        <f t="shared" si="43"/>
        <v>2</v>
      </c>
      <c r="T136" s="636">
        <f t="shared" si="44"/>
        <v>2</v>
      </c>
      <c r="U136" s="712">
        <v>4</v>
      </c>
      <c r="V136" s="638">
        <v>1</v>
      </c>
      <c r="W136" s="639" t="s">
        <v>348</v>
      </c>
      <c r="X136" s="640" t="str">
        <f>IFERROR(VLOOKUP(W136,Listas!$A$60:$B$73,2,FALSE),"Alerta: Seleccione primero Modalidad de selección")</f>
        <v>CCE-06</v>
      </c>
      <c r="Y136" s="641">
        <v>0</v>
      </c>
      <c r="Z136" s="641" t="s">
        <v>1172</v>
      </c>
      <c r="AA136" s="641" t="s">
        <v>1173</v>
      </c>
      <c r="AB136" s="642">
        <f t="shared" si="45"/>
        <v>40000000</v>
      </c>
      <c r="AC136" s="642">
        <f t="shared" si="46"/>
        <v>40000000</v>
      </c>
      <c r="AD136" s="641">
        <v>0</v>
      </c>
      <c r="AE136" s="643">
        <v>0</v>
      </c>
      <c r="AF136" s="639" t="s">
        <v>276</v>
      </c>
      <c r="AG136" s="639" t="s">
        <v>277</v>
      </c>
      <c r="AH136" s="639" t="s">
        <v>284</v>
      </c>
      <c r="AI136" s="626" t="str">
        <f>IFERROR(VLOOKUP(AH136,Listas!$A$77:$C$83,2,FALSE),"Alerta: Seleccione primero el responsable")</f>
        <v>3550800</v>
      </c>
      <c r="AJ136" s="640" t="str">
        <f>IFERROR(VLOOKUP(AH136,Listas!$A$77:$C$83,3,FALSE),"Alerta: Seleccione primero el responsable")</f>
        <v>margarita.castaneda@idpc.gov.co</v>
      </c>
      <c r="AK136" s="640" t="str">
        <f>IF(J136="Funcionamiento Gastos Generales","No aplica",IF(J136="Funcionamiento Servicios Personales indirectos","No aplica",IFERROR(VLOOKUP(J136,Listas!$A$127:$E$139,3,FALSE),"Alerta: Seleccione la celda en la comumna B con el nombre del proyecto")))</f>
        <v>ME20181107</v>
      </c>
      <c r="AL136" s="640" t="str">
        <f>IF(J136="Funcionamiento Gastos Generales","No aplica",IF(J136="Funcionamiento Servicios Personales","No aplica",IFERROR(VLOOKUP(J136,Listas!$A$220:$D$224,2,FALSE),"Alerta: Seleccione la celda en la comumna B con el nombre del proyecto")))</f>
        <v>COMP1107</v>
      </c>
      <c r="AM136" s="640" t="str">
        <f>IF(J136="Funcionamiento Gastos Generales","No aplica",IF(J136="Funcionamiento Servicios Personales","No aplica",IFERROR(VLOOKUP(J136,Listas!$A$220:$D$224,3,FALSE),"Alerta: Seleccione la celda en la comumna B con el nombre del proyecto")))</f>
        <v>CONC1107</v>
      </c>
      <c r="AN136" s="633" t="s">
        <v>1047</v>
      </c>
      <c r="AO136" s="633" t="s">
        <v>53</v>
      </c>
      <c r="AP136" s="634" t="str">
        <f>IFERROR(VLOOKUP(J136,Listas!$A$182:$E$215,5,FALSE),"Alerta: Seleccione la celda en la comumna B con el nombre del proyecto")</f>
        <v>13. Oferta cultural para la valoración y divulgación del patrimonio material e  inmaterial de la ciud</v>
      </c>
      <c r="AQ136" s="634" t="str">
        <f>IF(J136="Funcionamiento Gastos Generales","No aplica",IF(J136="Funcionamiento Servicios Personales","No aplica",IFERROR(VLOOKUP(J136,Listas!$A$220:$D$224,4,FALSE),"Alerta: Seleccione la celda en la comumna B con el nombre del proyecto")))</f>
        <v>FONT1107</v>
      </c>
      <c r="AR136" s="633" t="s">
        <v>198</v>
      </c>
      <c r="AS136" s="634" t="str">
        <f>IFERROR(VLOOKUP(AU136,Listas!$E$85:$L$105,7,FALSE),"Alerta: Seleccione la celda en la comumna AI con el concepto de gasto")</f>
        <v>03-RECURSO HUMANO</v>
      </c>
      <c r="AT136" s="634" t="str">
        <f>IFERROR(VLOOKUP(AU136,Listas!$E$85:$L$105,8,FALSE),"Alerta: Seleccione la celda en la comumna AI con el concepto de gasto")</f>
        <v>01-DIVULGACION, ASISTENCIA TECNICA Y CAPACITACION DE LA POBLACION</v>
      </c>
      <c r="AU136" s="633" t="s">
        <v>232</v>
      </c>
      <c r="AV136" s="634">
        <f>IFERROR(VLOOKUP(AU136,Listas!$E$85:$F$105,2,FALSE),"Alerta: Seleccione el Concepto de Gasto primero")</f>
        <v>0</v>
      </c>
      <c r="AW136" s="644">
        <v>40000000</v>
      </c>
      <c r="AX136" s="645"/>
      <c r="AY136" s="645"/>
      <c r="AZ136" s="645"/>
      <c r="BA136" s="646">
        <f t="shared" si="47"/>
        <v>40000000</v>
      </c>
      <c r="BB136" s="647"/>
      <c r="BC136" s="648"/>
      <c r="BD136" s="649"/>
      <c r="BE136" s="647"/>
      <c r="BF136" s="644"/>
      <c r="BG136" s="646">
        <f t="shared" si="48"/>
        <v>40000000</v>
      </c>
      <c r="BH136" s="650"/>
      <c r="BI136" s="647"/>
      <c r="BJ136" s="644"/>
      <c r="BK136" s="646">
        <f t="shared" si="49"/>
        <v>0</v>
      </c>
      <c r="BL136" s="651"/>
      <c r="BM136" s="652">
        <f t="shared" si="50"/>
        <v>1</v>
      </c>
      <c r="BN136" s="628"/>
      <c r="BO136" s="670"/>
      <c r="BP136" s="644"/>
      <c r="BQ136" s="644"/>
      <c r="BR136" s="644"/>
      <c r="BS136" s="644"/>
      <c r="BT136" s="644"/>
      <c r="BU136" s="644"/>
      <c r="BV136" s="644"/>
      <c r="BW136" s="644"/>
      <c r="BX136" s="644"/>
      <c r="BY136" s="644"/>
      <c r="BZ136" s="644"/>
      <c r="CA136" s="644"/>
      <c r="CB136" s="646">
        <f t="shared" si="51"/>
        <v>0</v>
      </c>
      <c r="CC136" s="646">
        <f t="shared" si="52"/>
        <v>0</v>
      </c>
      <c r="CD136" s="614"/>
    </row>
    <row r="137" spans="1:82" s="561" customFormat="1" ht="61.5" customHeight="1">
      <c r="A137" s="625" t="str">
        <f t="shared" si="34"/>
        <v>1107-158-FONT1107-03-01-0066-Activación del patrimonio</v>
      </c>
      <c r="B137" s="626" t="str">
        <f t="shared" si="35"/>
        <v>1107-158-FONT1107-03-01-0066</v>
      </c>
      <c r="C137" s="626" t="str">
        <f t="shared" si="36"/>
        <v>1107-158-FONT1107-Activación del patrimonio</v>
      </c>
      <c r="D137" s="626" t="str">
        <f t="shared" si="37"/>
        <v>1107-158-12-Otros Distrito-03-01-0066</v>
      </c>
      <c r="E137" s="626" t="str">
        <f t="shared" si="38"/>
        <v>Activación del patrimonio-12-Otros Distrito-0066-Fomento, apoyo y divulgación de eventos y expresiones artísticas, culturales y del patrimonio</v>
      </c>
      <c r="F137" s="627">
        <v>99</v>
      </c>
      <c r="G137" s="628">
        <f t="shared" si="39"/>
        <v>99</v>
      </c>
      <c r="H137" s="629" t="b">
        <f t="shared" si="40"/>
        <v>0</v>
      </c>
      <c r="I137" s="630" t="s">
        <v>594</v>
      </c>
      <c r="J137" s="627" t="s">
        <v>27</v>
      </c>
      <c r="K137" s="631" t="str">
        <f>+IFERROR(VLOOKUP(J137,Listas!$A$108:$B$114,2,FALSE),"Alerta: Seleccione la celda en la comumna B con el nombre del proyecto")</f>
        <v>3-3-1-15-03-25-1107-158</v>
      </c>
      <c r="L137" s="632" t="s">
        <v>615</v>
      </c>
      <c r="M137" s="633" t="s">
        <v>616</v>
      </c>
      <c r="N137" s="634" t="str">
        <f t="shared" si="41"/>
        <v>(Cód. 99) Contratar el desarrollo y diseño de la página web, así como las herramientas digitales conexas requeridas por el Instituto Distrital de Patrimonio Cultural para la formación y divulgación del patrimonio cultural del Distrito Capital.</v>
      </c>
      <c r="O137" s="635">
        <v>43525</v>
      </c>
      <c r="P137" s="636">
        <f>IFERROR(VLOOKUP(W137,'Estimación CRP'!$D$21:$E$30,2,FALSE),0)</f>
        <v>45</v>
      </c>
      <c r="Q137" s="637">
        <f>IF(O137="No aplica","No aplica",WORKDAY.INTL(O137,P137,1,'Estimación CRP'!A323:A339))</f>
        <v>43588</v>
      </c>
      <c r="R137" s="636">
        <f t="shared" si="42"/>
        <v>5</v>
      </c>
      <c r="S137" s="636">
        <f t="shared" si="43"/>
        <v>3</v>
      </c>
      <c r="T137" s="636">
        <f t="shared" si="44"/>
        <v>3</v>
      </c>
      <c r="U137" s="712">
        <v>6</v>
      </c>
      <c r="V137" s="638">
        <v>1</v>
      </c>
      <c r="W137" s="639" t="s">
        <v>348</v>
      </c>
      <c r="X137" s="640" t="str">
        <f>IFERROR(VLOOKUP(W137,Listas!$A$60:$B$73,2,FALSE),"Alerta: Seleccione primero Modalidad de selección")</f>
        <v>CCE-06</v>
      </c>
      <c r="Y137" s="641">
        <v>0</v>
      </c>
      <c r="Z137" s="641" t="s">
        <v>1083</v>
      </c>
      <c r="AA137" s="641" t="s">
        <v>1084</v>
      </c>
      <c r="AB137" s="642">
        <f t="shared" si="45"/>
        <v>25000000</v>
      </c>
      <c r="AC137" s="642">
        <f t="shared" si="46"/>
        <v>25000000</v>
      </c>
      <c r="AD137" s="641">
        <v>0</v>
      </c>
      <c r="AE137" s="643">
        <v>0</v>
      </c>
      <c r="AF137" s="639" t="s">
        <v>276</v>
      </c>
      <c r="AG137" s="639" t="s">
        <v>277</v>
      </c>
      <c r="AH137" s="639" t="s">
        <v>284</v>
      </c>
      <c r="AI137" s="626" t="str">
        <f>IFERROR(VLOOKUP(AH137,Listas!$A$77:$C$83,2,FALSE),"Alerta: Seleccione primero el responsable")</f>
        <v>3550800</v>
      </c>
      <c r="AJ137" s="640" t="str">
        <f>IFERROR(VLOOKUP(AH137,Listas!$A$77:$C$83,3,FALSE),"Alerta: Seleccione primero el responsable")</f>
        <v>margarita.castaneda@idpc.gov.co</v>
      </c>
      <c r="AK137" s="640" t="str">
        <f>IF(J137="Funcionamiento Gastos Generales","No aplica",IF(J137="Funcionamiento Servicios Personales indirectos","No aplica",IFERROR(VLOOKUP(J137,Listas!$A$127:$E$139,3,FALSE),"Alerta: Seleccione la celda en la comumna B con el nombre del proyecto")))</f>
        <v>ME20181107</v>
      </c>
      <c r="AL137" s="640" t="str">
        <f>IF(J137="Funcionamiento Gastos Generales","No aplica",IF(J137="Funcionamiento Servicios Personales","No aplica",IFERROR(VLOOKUP(J137,Listas!$A$220:$D$224,2,FALSE),"Alerta: Seleccione la celda en la comumna B con el nombre del proyecto")))</f>
        <v>COMP1107</v>
      </c>
      <c r="AM137" s="640" t="str">
        <f>IF(J137="Funcionamiento Gastos Generales","No aplica",IF(J137="Funcionamiento Servicios Personales","No aplica",IFERROR(VLOOKUP(J137,Listas!$A$220:$D$224,3,FALSE),"Alerta: Seleccione la celda en la comumna B con el nombre del proyecto")))</f>
        <v>CONC1107</v>
      </c>
      <c r="AN137" s="633" t="s">
        <v>1046</v>
      </c>
      <c r="AO137" s="633" t="s">
        <v>54</v>
      </c>
      <c r="AP137" s="634" t="str">
        <f>IFERROR(VLOOKUP(J137,Listas!$A$182:$E$215,5,FALSE),"Alerta: Seleccione la celda en la comumna B con el nombre del proyecto")</f>
        <v>13. Oferta cultural para la valoración y divulgación del patrimonio material e  inmaterial de la ciud</v>
      </c>
      <c r="AQ137" s="634" t="str">
        <f>IF(J137="Funcionamiento Gastos Generales","No aplica",IF(J137="Funcionamiento Servicios Personales","No aplica",IFERROR(VLOOKUP(J137,Listas!$A$220:$D$224,4,FALSE),"Alerta: Seleccione la celda en la comumna B con el nombre del proyecto")))</f>
        <v>FONT1107</v>
      </c>
      <c r="AR137" s="633" t="s">
        <v>198</v>
      </c>
      <c r="AS137" s="634" t="str">
        <f>IFERROR(VLOOKUP(AU137,Listas!$E$85:$L$105,7,FALSE),"Alerta: Seleccione la celda en la comumna AI con el concepto de gasto")</f>
        <v>03-RECURSO HUMANO</v>
      </c>
      <c r="AT137" s="634" t="str">
        <f>IFERROR(VLOOKUP(AU137,Listas!$E$85:$L$105,8,FALSE),"Alerta: Seleccione la celda en la comumna AI con el concepto de gasto")</f>
        <v>01-DIVULGACION, ASISTENCIA TECNICA Y CAPACITACION DE LA POBLACION</v>
      </c>
      <c r="AU137" s="633" t="s">
        <v>232</v>
      </c>
      <c r="AV137" s="634">
        <f>IFERROR(VLOOKUP(AU137,Listas!$E$85:$F$105,2,FALSE),"Alerta: Seleccione el Concepto de Gasto primero")</f>
        <v>0</v>
      </c>
      <c r="AW137" s="644">
        <v>25000000</v>
      </c>
      <c r="AX137" s="645"/>
      <c r="AY137" s="645"/>
      <c r="AZ137" s="645"/>
      <c r="BA137" s="646">
        <f t="shared" si="47"/>
        <v>25000000</v>
      </c>
      <c r="BB137" s="647"/>
      <c r="BC137" s="648"/>
      <c r="BD137" s="649"/>
      <c r="BE137" s="647"/>
      <c r="BF137" s="644"/>
      <c r="BG137" s="646">
        <f t="shared" si="48"/>
        <v>25000000</v>
      </c>
      <c r="BH137" s="650"/>
      <c r="BI137" s="647"/>
      <c r="BJ137" s="644"/>
      <c r="BK137" s="646">
        <f t="shared" si="49"/>
        <v>0</v>
      </c>
      <c r="BL137" s="651"/>
      <c r="BM137" s="652">
        <f t="shared" si="50"/>
        <v>1</v>
      </c>
      <c r="BN137" s="628"/>
      <c r="BO137" s="670"/>
      <c r="BP137" s="644"/>
      <c r="BQ137" s="644"/>
      <c r="BR137" s="644"/>
      <c r="BS137" s="644"/>
      <c r="BT137" s="644"/>
      <c r="BU137" s="644"/>
      <c r="BV137" s="644"/>
      <c r="BW137" s="644"/>
      <c r="BX137" s="644"/>
      <c r="BY137" s="644"/>
      <c r="BZ137" s="644"/>
      <c r="CA137" s="644"/>
      <c r="CB137" s="646">
        <f t="shared" si="51"/>
        <v>0</v>
      </c>
      <c r="CC137" s="646">
        <f t="shared" si="52"/>
        <v>0</v>
      </c>
      <c r="CD137" s="614"/>
    </row>
    <row r="138" spans="1:82" s="561" customFormat="1" ht="61.5" customHeight="1">
      <c r="A138" s="625" t="str">
        <f t="shared" si="34"/>
        <v>1107-158-FONT1107-03-01-0066-Activación del patrimonio</v>
      </c>
      <c r="B138" s="626" t="str">
        <f t="shared" si="35"/>
        <v>1107-158-FONT1107-03-01-0066</v>
      </c>
      <c r="C138" s="626" t="str">
        <f t="shared" si="36"/>
        <v>1107-158-FONT1107-Activación del patrimonio</v>
      </c>
      <c r="D138" s="626" t="str">
        <f t="shared" si="37"/>
        <v>1107-158-12-Otros Distrito-03-01-0066</v>
      </c>
      <c r="E138" s="626" t="str">
        <f t="shared" si="38"/>
        <v>Activación del patrimonio-12-Otros Distrito-0066-Fomento, apoyo y divulgación de eventos y expresiones artísticas, culturales y del patrimonio</v>
      </c>
      <c r="F138" s="627">
        <v>100</v>
      </c>
      <c r="G138" s="628">
        <f t="shared" si="39"/>
        <v>100</v>
      </c>
      <c r="H138" s="629" t="b">
        <f t="shared" si="40"/>
        <v>0</v>
      </c>
      <c r="I138" s="630" t="s">
        <v>594</v>
      </c>
      <c r="J138" s="627" t="s">
        <v>27</v>
      </c>
      <c r="K138" s="631" t="str">
        <f>+IFERROR(VLOOKUP(J138,Listas!$A$108:$B$114,2,FALSE),"Alerta: Seleccione la celda en la comumna B con el nombre del proyecto")</f>
        <v>3-3-1-15-03-25-1107-158</v>
      </c>
      <c r="L138" s="632" t="s">
        <v>618</v>
      </c>
      <c r="M138" s="633" t="s">
        <v>700</v>
      </c>
      <c r="N138" s="634" t="str">
        <f t="shared" si="41"/>
        <v>(Cód. 100) Prestar servicios de apoyo a la gestión al Instituto Distrital de Patrimonio Cultural como guía de los recorridos urbanos realizados en el marco de la estrategia de apropiación social del patrimonio cultural.</v>
      </c>
      <c r="O138" s="635">
        <v>43480</v>
      </c>
      <c r="P138" s="636">
        <f>IFERROR(VLOOKUP(W138,'Estimación CRP'!$D$21:$E$30,2,FALSE),0)</f>
        <v>10</v>
      </c>
      <c r="Q138" s="637">
        <f>IF(O138="No aplica","No aplica",WORKDAY.INTL(O138,P138,1,'Estimación CRP'!A324:A340))</f>
        <v>43494</v>
      </c>
      <c r="R138" s="636">
        <f t="shared" si="42"/>
        <v>1</v>
      </c>
      <c r="S138" s="636">
        <f t="shared" si="43"/>
        <v>1</v>
      </c>
      <c r="T138" s="636">
        <f t="shared" si="44"/>
        <v>1</v>
      </c>
      <c r="U138" s="712">
        <v>10</v>
      </c>
      <c r="V138" s="638">
        <v>1</v>
      </c>
      <c r="W138" s="639" t="s">
        <v>274</v>
      </c>
      <c r="X138" s="640" t="str">
        <f>IFERROR(VLOOKUP(W138,Listas!$A$60:$B$73,2,FALSE),"Alerta: Seleccione primero Modalidad de selección")</f>
        <v>CCE-16</v>
      </c>
      <c r="Y138" s="641">
        <v>0</v>
      </c>
      <c r="Z138" s="641" t="s">
        <v>346</v>
      </c>
      <c r="AA138" s="641" t="s">
        <v>1174</v>
      </c>
      <c r="AB138" s="642">
        <f t="shared" si="45"/>
        <v>15000000</v>
      </c>
      <c r="AC138" s="642">
        <f t="shared" si="46"/>
        <v>15000000</v>
      </c>
      <c r="AD138" s="641">
        <v>0</v>
      </c>
      <c r="AE138" s="643">
        <v>0</v>
      </c>
      <c r="AF138" s="639" t="s">
        <v>276</v>
      </c>
      <c r="AG138" s="639" t="s">
        <v>277</v>
      </c>
      <c r="AH138" s="639" t="s">
        <v>284</v>
      </c>
      <c r="AI138" s="626" t="str">
        <f>IFERROR(VLOOKUP(AH138,Listas!$A$77:$C$83,2,FALSE),"Alerta: Seleccione primero el responsable")</f>
        <v>3550800</v>
      </c>
      <c r="AJ138" s="640" t="str">
        <f>IFERROR(VLOOKUP(AH138,Listas!$A$77:$C$83,3,FALSE),"Alerta: Seleccione primero el responsable")</f>
        <v>margarita.castaneda@idpc.gov.co</v>
      </c>
      <c r="AK138" s="640" t="str">
        <f>IF(J138="Funcionamiento Gastos Generales","No aplica",IF(J138="Funcionamiento Servicios Personales indirectos","No aplica",IFERROR(VLOOKUP(J138,Listas!$A$127:$E$139,3,FALSE),"Alerta: Seleccione la celda en la comumna B con el nombre del proyecto")))</f>
        <v>ME20181107</v>
      </c>
      <c r="AL138" s="640" t="str">
        <f>IF(J138="Funcionamiento Gastos Generales","No aplica",IF(J138="Funcionamiento Servicios Personales","No aplica",IFERROR(VLOOKUP(J138,Listas!$A$220:$D$224,2,FALSE),"Alerta: Seleccione la celda en la comumna B con el nombre del proyecto")))</f>
        <v>COMP1107</v>
      </c>
      <c r="AM138" s="640" t="str">
        <f>IF(J138="Funcionamiento Gastos Generales","No aplica",IF(J138="Funcionamiento Servicios Personales","No aplica",IFERROR(VLOOKUP(J138,Listas!$A$220:$D$224,3,FALSE),"Alerta: Seleccione la celda en la comumna B con el nombre del proyecto")))</f>
        <v>CONC1107</v>
      </c>
      <c r="AN138" s="633" t="s">
        <v>1046</v>
      </c>
      <c r="AO138" s="633" t="s">
        <v>54</v>
      </c>
      <c r="AP138" s="634" t="str">
        <f>IFERROR(VLOOKUP(J138,Listas!$A$182:$E$215,5,FALSE),"Alerta: Seleccione la celda en la comumna B con el nombre del proyecto")</f>
        <v>13. Oferta cultural para la valoración y divulgación del patrimonio material e  inmaterial de la ciud</v>
      </c>
      <c r="AQ138" s="634" t="str">
        <f>IF(J138="Funcionamiento Gastos Generales","No aplica",IF(J138="Funcionamiento Servicios Personales","No aplica",IFERROR(VLOOKUP(J138,Listas!$A$220:$D$224,4,FALSE),"Alerta: Seleccione la celda en la comumna B con el nombre del proyecto")))</f>
        <v>FONT1107</v>
      </c>
      <c r="AR138" s="633" t="s">
        <v>198</v>
      </c>
      <c r="AS138" s="634" t="str">
        <f>IFERROR(VLOOKUP(AU138,Listas!$E$85:$L$105,7,FALSE),"Alerta: Seleccione la celda en la comumna AI con el concepto de gasto")</f>
        <v>03-RECURSO HUMANO</v>
      </c>
      <c r="AT138" s="634" t="str">
        <f>IFERROR(VLOOKUP(AU138,Listas!$E$85:$L$105,8,FALSE),"Alerta: Seleccione la celda en la comumna AI con el concepto de gasto")</f>
        <v>01-DIVULGACION, ASISTENCIA TECNICA Y CAPACITACION DE LA POBLACION</v>
      </c>
      <c r="AU138" s="633" t="s">
        <v>232</v>
      </c>
      <c r="AV138" s="634">
        <f>IFERROR(VLOOKUP(AU138,Listas!$E$85:$F$105,2,FALSE),"Alerta: Seleccione el Concepto de Gasto primero")</f>
        <v>0</v>
      </c>
      <c r="AW138" s="644">
        <v>15000000</v>
      </c>
      <c r="AX138" s="645"/>
      <c r="AY138" s="645"/>
      <c r="AZ138" s="645"/>
      <c r="BA138" s="646">
        <f t="shared" si="47"/>
        <v>15000000</v>
      </c>
      <c r="BB138" s="647"/>
      <c r="BC138" s="648"/>
      <c r="BD138" s="649"/>
      <c r="BE138" s="647"/>
      <c r="BF138" s="644"/>
      <c r="BG138" s="646">
        <f t="shared" si="48"/>
        <v>15000000</v>
      </c>
      <c r="BH138" s="650"/>
      <c r="BI138" s="647"/>
      <c r="BJ138" s="644"/>
      <c r="BK138" s="646">
        <f t="shared" si="49"/>
        <v>0</v>
      </c>
      <c r="BL138" s="651"/>
      <c r="BM138" s="652">
        <f t="shared" si="50"/>
        <v>1</v>
      </c>
      <c r="BN138" s="628"/>
      <c r="BO138" s="670"/>
      <c r="BP138" s="644"/>
      <c r="BQ138" s="644"/>
      <c r="BR138" s="644"/>
      <c r="BS138" s="644"/>
      <c r="BT138" s="644"/>
      <c r="BU138" s="644"/>
      <c r="BV138" s="644"/>
      <c r="BW138" s="644"/>
      <c r="BX138" s="644"/>
      <c r="BY138" s="644"/>
      <c r="BZ138" s="644"/>
      <c r="CA138" s="644"/>
      <c r="CB138" s="646">
        <f t="shared" si="51"/>
        <v>0</v>
      </c>
      <c r="CC138" s="646">
        <f t="shared" si="52"/>
        <v>0</v>
      </c>
      <c r="CD138" s="614"/>
    </row>
    <row r="139" spans="1:82" s="561" customFormat="1" ht="61.5" customHeight="1">
      <c r="A139" s="625" t="str">
        <f t="shared" si="34"/>
        <v>1107-158-FONT1107-03-01-0066-Museo de Bogotá en operación</v>
      </c>
      <c r="B139" s="626" t="str">
        <f t="shared" si="35"/>
        <v>1107-158-FONT1107-03-01-0066</v>
      </c>
      <c r="C139" s="626" t="str">
        <f t="shared" si="36"/>
        <v>1107-158-FONT1107-Museo de Bogotá en operación</v>
      </c>
      <c r="D139" s="626" t="str">
        <f t="shared" si="37"/>
        <v>1107-158-12-Otros Distrito-03-01-0066</v>
      </c>
      <c r="E139" s="626" t="str">
        <f t="shared" si="38"/>
        <v>Museo de Bogotá en operación-12-Otros Distrito-0066-Fomento, apoyo y divulgación de eventos y expresiones artísticas, culturales y del patrimonio</v>
      </c>
      <c r="F139" s="627">
        <v>101</v>
      </c>
      <c r="G139" s="628">
        <f t="shared" si="39"/>
        <v>101</v>
      </c>
      <c r="H139" s="629" t="b">
        <f t="shared" si="40"/>
        <v>0</v>
      </c>
      <c r="I139" s="630" t="s">
        <v>594</v>
      </c>
      <c r="J139" s="627" t="s">
        <v>27</v>
      </c>
      <c r="K139" s="631" t="str">
        <f>+IFERROR(VLOOKUP(J139,Listas!$A$108:$B$114,2,FALSE),"Alerta: Seleccione la celda en la comumna B con el nombre del proyecto")</f>
        <v>3-3-1-15-03-25-1107-158</v>
      </c>
      <c r="L139" s="632" t="s">
        <v>690</v>
      </c>
      <c r="M139" s="633" t="s">
        <v>691</v>
      </c>
      <c r="N139" s="634" t="str">
        <f t="shared" si="41"/>
        <v>(Cód. 101) Contratar la prestación del servicio integral de aseo, cafetería y fumigación, incluidos los insumos, para las sedes del Instituto Distrital de Patrimonio Cultural.</v>
      </c>
      <c r="O139" s="635">
        <v>43501</v>
      </c>
      <c r="P139" s="636">
        <f>IFERROR(VLOOKUP(W139,'Estimación CRP'!$D$21:$E$30,2,FALSE),0)</f>
        <v>10</v>
      </c>
      <c r="Q139" s="637">
        <f>IF(O139="No aplica","No aplica",WORKDAY.INTL(O139,P139,1,'Estimación CRP'!A325:A341))</f>
        <v>43515</v>
      </c>
      <c r="R139" s="636">
        <f t="shared" si="42"/>
        <v>2</v>
      </c>
      <c r="S139" s="636">
        <f t="shared" si="43"/>
        <v>2</v>
      </c>
      <c r="T139" s="636">
        <f t="shared" si="44"/>
        <v>2</v>
      </c>
      <c r="U139" s="712">
        <v>10</v>
      </c>
      <c r="V139" s="638">
        <v>1</v>
      </c>
      <c r="W139" s="639" t="s">
        <v>349</v>
      </c>
      <c r="X139" s="640" t="str">
        <f>IFERROR(VLOOKUP(W139,Listas!$A$60:$B$73,2,FALSE),"Alerta: Seleccione primero Modalidad de selección")</f>
        <v>CCE-99</v>
      </c>
      <c r="Y139" s="641">
        <v>0</v>
      </c>
      <c r="Z139" s="641" t="s">
        <v>1163</v>
      </c>
      <c r="AA139" s="641" t="s">
        <v>1175</v>
      </c>
      <c r="AB139" s="642">
        <f t="shared" si="45"/>
        <v>10000000</v>
      </c>
      <c r="AC139" s="642">
        <f t="shared" si="46"/>
        <v>10000000</v>
      </c>
      <c r="AD139" s="641">
        <v>0</v>
      </c>
      <c r="AE139" s="643">
        <v>0</v>
      </c>
      <c r="AF139" s="639" t="s">
        <v>276</v>
      </c>
      <c r="AG139" s="639" t="s">
        <v>277</v>
      </c>
      <c r="AH139" s="639" t="s">
        <v>284</v>
      </c>
      <c r="AI139" s="626" t="str">
        <f>IFERROR(VLOOKUP(AH139,Listas!$A$77:$C$83,2,FALSE),"Alerta: Seleccione primero el responsable")</f>
        <v>3550800</v>
      </c>
      <c r="AJ139" s="640" t="str">
        <f>IFERROR(VLOOKUP(AH139,Listas!$A$77:$C$83,3,FALSE),"Alerta: Seleccione primero el responsable")</f>
        <v>margarita.castaneda@idpc.gov.co</v>
      </c>
      <c r="AK139" s="640" t="str">
        <f>IF(J139="Funcionamiento Gastos Generales","No aplica",IF(J139="Funcionamiento Servicios Personales indirectos","No aplica",IFERROR(VLOOKUP(J139,Listas!$A$127:$E$139,3,FALSE),"Alerta: Seleccione la celda en la comumna B con el nombre del proyecto")))</f>
        <v>ME20181107</v>
      </c>
      <c r="AL139" s="640" t="str">
        <f>IF(J139="Funcionamiento Gastos Generales","No aplica",IF(J139="Funcionamiento Servicios Personales","No aplica",IFERROR(VLOOKUP(J139,Listas!$A$220:$D$224,2,FALSE),"Alerta: Seleccione la celda en la comumna B con el nombre del proyecto")))</f>
        <v>COMP1107</v>
      </c>
      <c r="AM139" s="640" t="str">
        <f>IF(J139="Funcionamiento Gastos Generales","No aplica",IF(J139="Funcionamiento Servicios Personales","No aplica",IFERROR(VLOOKUP(J139,Listas!$A$220:$D$224,3,FALSE),"Alerta: Seleccione la celda en la comumna B con el nombre del proyecto")))</f>
        <v>CONC1107</v>
      </c>
      <c r="AN139" s="633" t="s">
        <v>1047</v>
      </c>
      <c r="AO139" s="633" t="s">
        <v>53</v>
      </c>
      <c r="AP139" s="634" t="str">
        <f>IFERROR(VLOOKUP(J139,Listas!$A$182:$E$215,5,FALSE),"Alerta: Seleccione la celda en la comumna B con el nombre del proyecto")</f>
        <v>13. Oferta cultural para la valoración y divulgación del patrimonio material e  inmaterial de la ciud</v>
      </c>
      <c r="AQ139" s="634" t="str">
        <f>IF(J139="Funcionamiento Gastos Generales","No aplica",IF(J139="Funcionamiento Servicios Personales","No aplica",IFERROR(VLOOKUP(J139,Listas!$A$220:$D$224,4,FALSE),"Alerta: Seleccione la celda en la comumna B con el nombre del proyecto")))</f>
        <v>FONT1107</v>
      </c>
      <c r="AR139" s="633" t="s">
        <v>198</v>
      </c>
      <c r="AS139" s="634" t="str">
        <f>IFERROR(VLOOKUP(AU139,Listas!$E$85:$L$105,7,FALSE),"Alerta: Seleccione la celda en la comumna AI con el concepto de gasto")</f>
        <v>03-RECURSO HUMANO</v>
      </c>
      <c r="AT139" s="634" t="str">
        <f>IFERROR(VLOOKUP(AU139,Listas!$E$85:$L$105,8,FALSE),"Alerta: Seleccione la celda en la comumna AI con el concepto de gasto")</f>
        <v>01-DIVULGACION, ASISTENCIA TECNICA Y CAPACITACION DE LA POBLACION</v>
      </c>
      <c r="AU139" s="633" t="s">
        <v>232</v>
      </c>
      <c r="AV139" s="634">
        <f>IFERROR(VLOOKUP(AU139,Listas!$E$85:$F$105,2,FALSE),"Alerta: Seleccione el Concepto de Gasto primero")</f>
        <v>0</v>
      </c>
      <c r="AW139" s="644">
        <v>10000000</v>
      </c>
      <c r="AX139" s="645"/>
      <c r="AY139" s="645"/>
      <c r="AZ139" s="645"/>
      <c r="BA139" s="646">
        <f t="shared" si="47"/>
        <v>10000000</v>
      </c>
      <c r="BB139" s="647"/>
      <c r="BC139" s="648"/>
      <c r="BD139" s="649"/>
      <c r="BE139" s="647"/>
      <c r="BF139" s="644"/>
      <c r="BG139" s="646">
        <f t="shared" si="48"/>
        <v>10000000</v>
      </c>
      <c r="BH139" s="650"/>
      <c r="BI139" s="647"/>
      <c r="BJ139" s="644"/>
      <c r="BK139" s="646">
        <f t="shared" si="49"/>
        <v>0</v>
      </c>
      <c r="BL139" s="651"/>
      <c r="BM139" s="652">
        <f t="shared" si="50"/>
        <v>1</v>
      </c>
      <c r="BN139" s="628"/>
      <c r="BO139" s="670"/>
      <c r="BP139" s="644"/>
      <c r="BQ139" s="644"/>
      <c r="BR139" s="644"/>
      <c r="BS139" s="644"/>
      <c r="BT139" s="644"/>
      <c r="BU139" s="644"/>
      <c r="BV139" s="644"/>
      <c r="BW139" s="644"/>
      <c r="BX139" s="644"/>
      <c r="BY139" s="644"/>
      <c r="BZ139" s="644"/>
      <c r="CA139" s="644"/>
      <c r="CB139" s="646">
        <f t="shared" si="51"/>
        <v>0</v>
      </c>
      <c r="CC139" s="646">
        <f t="shared" si="52"/>
        <v>0</v>
      </c>
      <c r="CD139" s="614"/>
    </row>
    <row r="140" spans="1:82" s="561" customFormat="1" ht="61.5" customHeight="1">
      <c r="A140" s="625" t="str">
        <f t="shared" si="34"/>
        <v>1107-158-FONT1107-03-01-0066-Activación del patrimonio</v>
      </c>
      <c r="B140" s="626" t="str">
        <f t="shared" si="35"/>
        <v>1107-158-FONT1107-03-01-0066</v>
      </c>
      <c r="C140" s="626" t="str">
        <f t="shared" si="36"/>
        <v>1107-158-FONT1107-Activación del patrimonio</v>
      </c>
      <c r="D140" s="626" t="str">
        <f t="shared" si="37"/>
        <v>1107-158-12-Otros Distrito-03-01-0066</v>
      </c>
      <c r="E140" s="626" t="str">
        <f t="shared" si="38"/>
        <v>Activación del patrimonio-12-Otros Distrito-0066-Fomento, apoyo y divulgación de eventos y expresiones artísticas, culturales y del patrimonio</v>
      </c>
      <c r="F140" s="627">
        <v>102</v>
      </c>
      <c r="G140" s="628">
        <f t="shared" si="39"/>
        <v>102</v>
      </c>
      <c r="H140" s="629" t="b">
        <f t="shared" si="40"/>
        <v>0</v>
      </c>
      <c r="I140" s="630" t="s">
        <v>594</v>
      </c>
      <c r="J140" s="627" t="s">
        <v>27</v>
      </c>
      <c r="K140" s="631" t="str">
        <f>+IFERROR(VLOOKUP(J140,Listas!$A$108:$B$114,2,FALSE),"Alerta: Seleccione la celda en la comumna B con el nombre del proyecto")</f>
        <v>3-3-1-15-03-25-1107-158</v>
      </c>
      <c r="L140" s="632" t="s">
        <v>618</v>
      </c>
      <c r="M140" s="633" t="s">
        <v>701</v>
      </c>
      <c r="N140" s="634" t="str">
        <f t="shared" si="41"/>
        <v xml:space="preserve">(Cód. 102) Prestar servicios profesionales al Instituto Distrital de Patrimonio Cultural para apoyar las actividades de implementación del proyecto de apropiación social del Patrimonio Cultural Inmaterial "Patrimonios Locales". </v>
      </c>
      <c r="O140" s="635">
        <v>43615</v>
      </c>
      <c r="P140" s="636">
        <f>IFERROR(VLOOKUP(W140,'Estimación CRP'!$D$21:$E$30,2,FALSE),0)</f>
        <v>10</v>
      </c>
      <c r="Q140" s="637">
        <f>IF(O140="No aplica","No aplica",WORKDAY.INTL(O140,P140,1,'Estimación CRP'!A326:A342))</f>
        <v>43629</v>
      </c>
      <c r="R140" s="636">
        <f t="shared" si="42"/>
        <v>6</v>
      </c>
      <c r="S140" s="636">
        <f t="shared" si="43"/>
        <v>5</v>
      </c>
      <c r="T140" s="636">
        <f t="shared" si="44"/>
        <v>5</v>
      </c>
      <c r="U140" s="712">
        <v>3</v>
      </c>
      <c r="V140" s="638">
        <v>1</v>
      </c>
      <c r="W140" s="639" t="s">
        <v>274</v>
      </c>
      <c r="X140" s="640" t="str">
        <f>IFERROR(VLOOKUP(W140,Listas!$A$60:$B$73,2,FALSE),"Alerta: Seleccione primero Modalidad de selección")</f>
        <v>CCE-16</v>
      </c>
      <c r="Y140" s="641">
        <v>0</v>
      </c>
      <c r="Z140" s="641" t="s">
        <v>346</v>
      </c>
      <c r="AA140" s="641" t="s">
        <v>1176</v>
      </c>
      <c r="AB140" s="642">
        <f t="shared" si="45"/>
        <v>8400000</v>
      </c>
      <c r="AC140" s="642">
        <f t="shared" si="46"/>
        <v>8400000</v>
      </c>
      <c r="AD140" s="641">
        <v>0</v>
      </c>
      <c r="AE140" s="643">
        <v>0</v>
      </c>
      <c r="AF140" s="639" t="s">
        <v>276</v>
      </c>
      <c r="AG140" s="639" t="s">
        <v>277</v>
      </c>
      <c r="AH140" s="639" t="s">
        <v>284</v>
      </c>
      <c r="AI140" s="626" t="str">
        <f>IFERROR(VLOOKUP(AH140,Listas!$A$77:$C$83,2,FALSE),"Alerta: Seleccione primero el responsable")</f>
        <v>3550800</v>
      </c>
      <c r="AJ140" s="640" t="str">
        <f>IFERROR(VLOOKUP(AH140,Listas!$A$77:$C$83,3,FALSE),"Alerta: Seleccione primero el responsable")</f>
        <v>margarita.castaneda@idpc.gov.co</v>
      </c>
      <c r="AK140" s="640" t="str">
        <f>IF(J140="Funcionamiento Gastos Generales","No aplica",IF(J140="Funcionamiento Servicios Personales indirectos","No aplica",IFERROR(VLOOKUP(J140,Listas!$A$127:$E$139,3,FALSE),"Alerta: Seleccione la celda en la comumna B con el nombre del proyecto")))</f>
        <v>ME20181107</v>
      </c>
      <c r="AL140" s="640" t="str">
        <f>IF(J140="Funcionamiento Gastos Generales","No aplica",IF(J140="Funcionamiento Servicios Personales","No aplica",IFERROR(VLOOKUP(J140,Listas!$A$220:$D$224,2,FALSE),"Alerta: Seleccione la celda en la comumna B con el nombre del proyecto")))</f>
        <v>COMP1107</v>
      </c>
      <c r="AM140" s="640" t="str">
        <f>IF(J140="Funcionamiento Gastos Generales","No aplica",IF(J140="Funcionamiento Servicios Personales","No aplica",IFERROR(VLOOKUP(J140,Listas!$A$220:$D$224,3,FALSE),"Alerta: Seleccione la celda en la comumna B con el nombre del proyecto")))</f>
        <v>CONC1107</v>
      </c>
      <c r="AN140" s="633" t="s">
        <v>1046</v>
      </c>
      <c r="AO140" s="633" t="s">
        <v>54</v>
      </c>
      <c r="AP140" s="634" t="str">
        <f>IFERROR(VLOOKUP(J140,Listas!$A$182:$E$215,5,FALSE),"Alerta: Seleccione la celda en la comumna B con el nombre del proyecto")</f>
        <v>13. Oferta cultural para la valoración y divulgación del patrimonio material e  inmaterial de la ciud</v>
      </c>
      <c r="AQ140" s="634" t="str">
        <f>IF(J140="Funcionamiento Gastos Generales","No aplica",IF(J140="Funcionamiento Servicios Personales","No aplica",IFERROR(VLOOKUP(J140,Listas!$A$220:$D$224,4,FALSE),"Alerta: Seleccione la celda en la comumna B con el nombre del proyecto")))</f>
        <v>FONT1107</v>
      </c>
      <c r="AR140" s="633" t="s">
        <v>198</v>
      </c>
      <c r="AS140" s="634" t="str">
        <f>IFERROR(VLOOKUP(AU140,Listas!$E$85:$L$105,7,FALSE),"Alerta: Seleccione la celda en la comumna AI con el concepto de gasto")</f>
        <v>03-RECURSO HUMANO</v>
      </c>
      <c r="AT140" s="634" t="str">
        <f>IFERROR(VLOOKUP(AU140,Listas!$E$85:$L$105,8,FALSE),"Alerta: Seleccione la celda en la comumna AI con el concepto de gasto")</f>
        <v>01-DIVULGACION, ASISTENCIA TECNICA Y CAPACITACION DE LA POBLACION</v>
      </c>
      <c r="AU140" s="633" t="s">
        <v>232</v>
      </c>
      <c r="AV140" s="634">
        <f>IFERROR(VLOOKUP(AU140,Listas!$E$85:$F$105,2,FALSE),"Alerta: Seleccione el Concepto de Gasto primero")</f>
        <v>0</v>
      </c>
      <c r="AW140" s="644">
        <v>8400000</v>
      </c>
      <c r="AX140" s="645"/>
      <c r="AY140" s="645"/>
      <c r="AZ140" s="645"/>
      <c r="BA140" s="646">
        <f t="shared" si="47"/>
        <v>8400000</v>
      </c>
      <c r="BB140" s="647"/>
      <c r="BC140" s="648"/>
      <c r="BD140" s="649"/>
      <c r="BE140" s="647"/>
      <c r="BF140" s="644"/>
      <c r="BG140" s="646">
        <f t="shared" si="48"/>
        <v>8400000</v>
      </c>
      <c r="BH140" s="650"/>
      <c r="BI140" s="647"/>
      <c r="BJ140" s="644"/>
      <c r="BK140" s="646">
        <f t="shared" si="49"/>
        <v>0</v>
      </c>
      <c r="BL140" s="651"/>
      <c r="BM140" s="652">
        <f t="shared" si="50"/>
        <v>1</v>
      </c>
      <c r="BN140" s="628"/>
      <c r="BO140" s="670"/>
      <c r="BP140" s="644"/>
      <c r="BQ140" s="644"/>
      <c r="BR140" s="644"/>
      <c r="BS140" s="644"/>
      <c r="BT140" s="644"/>
      <c r="BU140" s="644"/>
      <c r="BV140" s="644"/>
      <c r="BW140" s="644"/>
      <c r="BX140" s="644"/>
      <c r="BY140" s="644"/>
      <c r="BZ140" s="644"/>
      <c r="CA140" s="644"/>
      <c r="CB140" s="646">
        <f t="shared" si="51"/>
        <v>0</v>
      </c>
      <c r="CC140" s="646">
        <f t="shared" si="52"/>
        <v>0</v>
      </c>
      <c r="CD140" s="614"/>
    </row>
    <row r="141" spans="1:82" s="561" customFormat="1" ht="61.5" customHeight="1">
      <c r="A141" s="625" t="str">
        <f t="shared" si="34"/>
        <v>1107-158-FONT1107-03-01-0066-Activación del patrimonio</v>
      </c>
      <c r="B141" s="626" t="str">
        <f t="shared" si="35"/>
        <v>1107-158-FONT1107-03-01-0066</v>
      </c>
      <c r="C141" s="626" t="str">
        <f t="shared" si="36"/>
        <v>1107-158-FONT1107-Activación del patrimonio</v>
      </c>
      <c r="D141" s="626" t="str">
        <f t="shared" si="37"/>
        <v>1107-158-12-Otros Distrito-03-01-0066</v>
      </c>
      <c r="E141" s="626" t="str">
        <f t="shared" si="38"/>
        <v>Activación del patrimonio-12-Otros Distrito-0066-Fomento, apoyo y divulgación de eventos y expresiones artísticas, culturales y del patrimonio</v>
      </c>
      <c r="F141" s="627">
        <v>103</v>
      </c>
      <c r="G141" s="628">
        <f t="shared" si="39"/>
        <v>103</v>
      </c>
      <c r="H141" s="629" t="b">
        <f t="shared" si="40"/>
        <v>0</v>
      </c>
      <c r="I141" s="630" t="s">
        <v>594</v>
      </c>
      <c r="J141" s="627" t="s">
        <v>27</v>
      </c>
      <c r="K141" s="631" t="str">
        <f>+IFERROR(VLOOKUP(J141,Listas!$A$108:$B$114,2,FALSE),"Alerta: Seleccione la celda en la comumna B con el nombre del proyecto")</f>
        <v>3-3-1-15-03-25-1107-158</v>
      </c>
      <c r="L141" s="632" t="s">
        <v>618</v>
      </c>
      <c r="M141" s="633" t="s">
        <v>702</v>
      </c>
      <c r="N141" s="634" t="str">
        <f t="shared" si="41"/>
        <v xml:space="preserve">(Cód. 103) Prestar servicios profesionales al Instituto Distrital de Patrimonio Cultural para apoyar las actividades de implementación del proyecto de apropiación social del Patrimonio Cultural Inmaterial "Patrimonios Locales".  </v>
      </c>
      <c r="O141" s="635">
        <v>43615</v>
      </c>
      <c r="P141" s="636">
        <f>IFERROR(VLOOKUP(W141,'Estimación CRP'!$D$21:$E$30,2,FALSE),0)</f>
        <v>10</v>
      </c>
      <c r="Q141" s="637">
        <f>IF(O141="No aplica","No aplica",WORKDAY.INTL(O141,P141,1,'Estimación CRP'!A327:A343))</f>
        <v>43629</v>
      </c>
      <c r="R141" s="636">
        <f t="shared" si="42"/>
        <v>6</v>
      </c>
      <c r="S141" s="636">
        <f t="shared" si="43"/>
        <v>5</v>
      </c>
      <c r="T141" s="636">
        <f t="shared" si="44"/>
        <v>5</v>
      </c>
      <c r="U141" s="712">
        <v>3</v>
      </c>
      <c r="V141" s="638">
        <v>1</v>
      </c>
      <c r="W141" s="639" t="s">
        <v>274</v>
      </c>
      <c r="X141" s="640" t="str">
        <f>IFERROR(VLOOKUP(W141,Listas!$A$60:$B$73,2,FALSE),"Alerta: Seleccione primero Modalidad de selección")</f>
        <v>CCE-16</v>
      </c>
      <c r="Y141" s="641">
        <v>0</v>
      </c>
      <c r="Z141" s="641" t="s">
        <v>346</v>
      </c>
      <c r="AA141" s="641" t="s">
        <v>1177</v>
      </c>
      <c r="AB141" s="642">
        <f t="shared" si="45"/>
        <v>8400000</v>
      </c>
      <c r="AC141" s="642">
        <f t="shared" si="46"/>
        <v>8400000</v>
      </c>
      <c r="AD141" s="641">
        <v>0</v>
      </c>
      <c r="AE141" s="643">
        <v>0</v>
      </c>
      <c r="AF141" s="639" t="s">
        <v>276</v>
      </c>
      <c r="AG141" s="639" t="s">
        <v>277</v>
      </c>
      <c r="AH141" s="639" t="s">
        <v>284</v>
      </c>
      <c r="AI141" s="626" t="str">
        <f>IFERROR(VLOOKUP(AH141,Listas!$A$77:$C$83,2,FALSE),"Alerta: Seleccione primero el responsable")</f>
        <v>3550800</v>
      </c>
      <c r="AJ141" s="640" t="str">
        <f>IFERROR(VLOOKUP(AH141,Listas!$A$77:$C$83,3,FALSE),"Alerta: Seleccione primero el responsable")</f>
        <v>margarita.castaneda@idpc.gov.co</v>
      </c>
      <c r="AK141" s="640" t="str">
        <f>IF(J141="Funcionamiento Gastos Generales","No aplica",IF(J141="Funcionamiento Servicios Personales indirectos","No aplica",IFERROR(VLOOKUP(J141,Listas!$A$127:$E$139,3,FALSE),"Alerta: Seleccione la celda en la comumna B con el nombre del proyecto")))</f>
        <v>ME20181107</v>
      </c>
      <c r="AL141" s="640" t="str">
        <f>IF(J141="Funcionamiento Gastos Generales","No aplica",IF(J141="Funcionamiento Servicios Personales","No aplica",IFERROR(VLOOKUP(J141,Listas!$A$220:$D$224,2,FALSE),"Alerta: Seleccione la celda en la comumna B con el nombre del proyecto")))</f>
        <v>COMP1107</v>
      </c>
      <c r="AM141" s="640" t="str">
        <f>IF(J141="Funcionamiento Gastos Generales","No aplica",IF(J141="Funcionamiento Servicios Personales","No aplica",IFERROR(VLOOKUP(J141,Listas!$A$220:$D$224,3,FALSE),"Alerta: Seleccione la celda en la comumna B con el nombre del proyecto")))</f>
        <v>CONC1107</v>
      </c>
      <c r="AN141" s="633" t="s">
        <v>1046</v>
      </c>
      <c r="AO141" s="633" t="s">
        <v>54</v>
      </c>
      <c r="AP141" s="634" t="str">
        <f>IFERROR(VLOOKUP(J141,Listas!$A$182:$E$215,5,FALSE),"Alerta: Seleccione la celda en la comumna B con el nombre del proyecto")</f>
        <v>13. Oferta cultural para la valoración y divulgación del patrimonio material e  inmaterial de la ciud</v>
      </c>
      <c r="AQ141" s="634" t="str">
        <f>IF(J141="Funcionamiento Gastos Generales","No aplica",IF(J141="Funcionamiento Servicios Personales","No aplica",IFERROR(VLOOKUP(J141,Listas!$A$220:$D$224,4,FALSE),"Alerta: Seleccione la celda en la comumna B con el nombre del proyecto")))</f>
        <v>FONT1107</v>
      </c>
      <c r="AR141" s="633" t="s">
        <v>198</v>
      </c>
      <c r="AS141" s="634" t="str">
        <f>IFERROR(VLOOKUP(AU141,Listas!$E$85:$L$105,7,FALSE),"Alerta: Seleccione la celda en la comumna AI con el concepto de gasto")</f>
        <v>03-RECURSO HUMANO</v>
      </c>
      <c r="AT141" s="634" t="str">
        <f>IFERROR(VLOOKUP(AU141,Listas!$E$85:$L$105,8,FALSE),"Alerta: Seleccione la celda en la comumna AI con el concepto de gasto")</f>
        <v>01-DIVULGACION, ASISTENCIA TECNICA Y CAPACITACION DE LA POBLACION</v>
      </c>
      <c r="AU141" s="633" t="s">
        <v>232</v>
      </c>
      <c r="AV141" s="634">
        <f>IFERROR(VLOOKUP(AU141,Listas!$E$85:$F$105,2,FALSE),"Alerta: Seleccione el Concepto de Gasto primero")</f>
        <v>0</v>
      </c>
      <c r="AW141" s="644">
        <v>8400000</v>
      </c>
      <c r="AX141" s="645"/>
      <c r="AY141" s="645"/>
      <c r="AZ141" s="645"/>
      <c r="BA141" s="646">
        <f t="shared" si="47"/>
        <v>8400000</v>
      </c>
      <c r="BB141" s="647"/>
      <c r="BC141" s="648"/>
      <c r="BD141" s="649"/>
      <c r="BE141" s="647"/>
      <c r="BF141" s="644"/>
      <c r="BG141" s="646">
        <f t="shared" si="48"/>
        <v>8400000</v>
      </c>
      <c r="BH141" s="650"/>
      <c r="BI141" s="647"/>
      <c r="BJ141" s="644"/>
      <c r="BK141" s="646">
        <f t="shared" si="49"/>
        <v>0</v>
      </c>
      <c r="BL141" s="651"/>
      <c r="BM141" s="652">
        <f t="shared" si="50"/>
        <v>1</v>
      </c>
      <c r="BN141" s="628"/>
      <c r="BO141" s="670"/>
      <c r="BP141" s="644"/>
      <c r="BQ141" s="644"/>
      <c r="BR141" s="644"/>
      <c r="BS141" s="644"/>
      <c r="BT141" s="644"/>
      <c r="BU141" s="644"/>
      <c r="BV141" s="644"/>
      <c r="BW141" s="644"/>
      <c r="BX141" s="644"/>
      <c r="BY141" s="644"/>
      <c r="BZ141" s="644"/>
      <c r="CA141" s="644"/>
      <c r="CB141" s="646">
        <f t="shared" si="51"/>
        <v>0</v>
      </c>
      <c r="CC141" s="646">
        <f t="shared" si="52"/>
        <v>0</v>
      </c>
      <c r="CD141" s="614"/>
    </row>
    <row r="142" spans="1:82" s="561" customFormat="1" ht="61.5" customHeight="1">
      <c r="A142" s="625" t="str">
        <f t="shared" si="34"/>
        <v>1107-158-FONT1107-03-01-0066-Activación del patrimonio</v>
      </c>
      <c r="B142" s="626" t="str">
        <f t="shared" si="35"/>
        <v>1107-158-FONT1107-03-01-0066</v>
      </c>
      <c r="C142" s="626" t="str">
        <f t="shared" si="36"/>
        <v>1107-158-FONT1107-Activación del patrimonio</v>
      </c>
      <c r="D142" s="626" t="str">
        <f t="shared" si="37"/>
        <v>1107-158-12-Otros Distrito-03-01-0066</v>
      </c>
      <c r="E142" s="626" t="str">
        <f t="shared" si="38"/>
        <v>Activación del patrimonio-12-Otros Distrito-0066-Fomento, apoyo y divulgación de eventos y expresiones artísticas, culturales y del patrimonio</v>
      </c>
      <c r="F142" s="627">
        <v>104</v>
      </c>
      <c r="G142" s="628">
        <f t="shared" si="39"/>
        <v>104</v>
      </c>
      <c r="H142" s="629" t="b">
        <f t="shared" si="40"/>
        <v>0</v>
      </c>
      <c r="I142" s="630" t="s">
        <v>594</v>
      </c>
      <c r="J142" s="627" t="s">
        <v>27</v>
      </c>
      <c r="K142" s="631" t="str">
        <f>+IFERROR(VLOOKUP(J142,Listas!$A$108:$B$114,2,FALSE),"Alerta: Seleccione la celda en la comumna B con el nombre del proyecto")</f>
        <v>3-3-1-15-03-25-1107-158</v>
      </c>
      <c r="L142" s="632" t="s">
        <v>618</v>
      </c>
      <c r="M142" s="633" t="s">
        <v>702</v>
      </c>
      <c r="N142" s="634" t="str">
        <f t="shared" si="41"/>
        <v xml:space="preserve">(Cód. 104) Prestar servicios profesionales al Instituto Distrital de Patrimonio Cultural para apoyar las actividades de implementación del proyecto de apropiación social del Patrimonio Cultural Inmaterial "Patrimonios Locales".  </v>
      </c>
      <c r="O142" s="635">
        <v>43615</v>
      </c>
      <c r="P142" s="636">
        <f>IFERROR(VLOOKUP(W142,'Estimación CRP'!$D$21:$E$30,2,FALSE),0)</f>
        <v>10</v>
      </c>
      <c r="Q142" s="637">
        <f>IF(O142="No aplica","No aplica",WORKDAY.INTL(O142,P142,1,'Estimación CRP'!A328:A344))</f>
        <v>43629</v>
      </c>
      <c r="R142" s="636">
        <f t="shared" si="42"/>
        <v>6</v>
      </c>
      <c r="S142" s="636">
        <f t="shared" si="43"/>
        <v>5</v>
      </c>
      <c r="T142" s="636">
        <f t="shared" si="44"/>
        <v>5</v>
      </c>
      <c r="U142" s="712">
        <v>3</v>
      </c>
      <c r="V142" s="638">
        <v>1</v>
      </c>
      <c r="W142" s="639" t="s">
        <v>274</v>
      </c>
      <c r="X142" s="640" t="str">
        <f>IFERROR(VLOOKUP(W142,Listas!$A$60:$B$73,2,FALSE),"Alerta: Seleccione primero Modalidad de selección")</f>
        <v>CCE-16</v>
      </c>
      <c r="Y142" s="641">
        <v>0</v>
      </c>
      <c r="Z142" s="641" t="s">
        <v>346</v>
      </c>
      <c r="AA142" s="641" t="s">
        <v>1178</v>
      </c>
      <c r="AB142" s="642">
        <f t="shared" si="45"/>
        <v>8400000</v>
      </c>
      <c r="AC142" s="642">
        <f t="shared" si="46"/>
        <v>8400000</v>
      </c>
      <c r="AD142" s="641">
        <v>0</v>
      </c>
      <c r="AE142" s="643">
        <v>0</v>
      </c>
      <c r="AF142" s="639" t="s">
        <v>276</v>
      </c>
      <c r="AG142" s="639" t="s">
        <v>277</v>
      </c>
      <c r="AH142" s="639" t="s">
        <v>284</v>
      </c>
      <c r="AI142" s="626" t="str">
        <f>IFERROR(VLOOKUP(AH142,Listas!$A$77:$C$83,2,FALSE),"Alerta: Seleccione primero el responsable")</f>
        <v>3550800</v>
      </c>
      <c r="AJ142" s="640" t="str">
        <f>IFERROR(VLOOKUP(AH142,Listas!$A$77:$C$83,3,FALSE),"Alerta: Seleccione primero el responsable")</f>
        <v>margarita.castaneda@idpc.gov.co</v>
      </c>
      <c r="AK142" s="640" t="str">
        <f>IF(J142="Funcionamiento Gastos Generales","No aplica",IF(J142="Funcionamiento Servicios Personales indirectos","No aplica",IFERROR(VLOOKUP(J142,Listas!$A$127:$E$139,3,FALSE),"Alerta: Seleccione la celda en la comumna B con el nombre del proyecto")))</f>
        <v>ME20181107</v>
      </c>
      <c r="AL142" s="640" t="str">
        <f>IF(J142="Funcionamiento Gastos Generales","No aplica",IF(J142="Funcionamiento Servicios Personales","No aplica",IFERROR(VLOOKUP(J142,Listas!$A$220:$D$224,2,FALSE),"Alerta: Seleccione la celda en la comumna B con el nombre del proyecto")))</f>
        <v>COMP1107</v>
      </c>
      <c r="AM142" s="640" t="str">
        <f>IF(J142="Funcionamiento Gastos Generales","No aplica",IF(J142="Funcionamiento Servicios Personales","No aplica",IFERROR(VLOOKUP(J142,Listas!$A$220:$D$224,3,FALSE),"Alerta: Seleccione la celda en la comumna B con el nombre del proyecto")))</f>
        <v>CONC1107</v>
      </c>
      <c r="AN142" s="633" t="s">
        <v>1046</v>
      </c>
      <c r="AO142" s="633" t="s">
        <v>54</v>
      </c>
      <c r="AP142" s="634" t="str">
        <f>IFERROR(VLOOKUP(J142,Listas!$A$182:$E$215,5,FALSE),"Alerta: Seleccione la celda en la comumna B con el nombre del proyecto")</f>
        <v>13. Oferta cultural para la valoración y divulgación del patrimonio material e  inmaterial de la ciud</v>
      </c>
      <c r="AQ142" s="634" t="str">
        <f>IF(J142="Funcionamiento Gastos Generales","No aplica",IF(J142="Funcionamiento Servicios Personales","No aplica",IFERROR(VLOOKUP(J142,Listas!$A$220:$D$224,4,FALSE),"Alerta: Seleccione la celda en la comumna B con el nombre del proyecto")))</f>
        <v>FONT1107</v>
      </c>
      <c r="AR142" s="633" t="s">
        <v>198</v>
      </c>
      <c r="AS142" s="634" t="str">
        <f>IFERROR(VLOOKUP(AU142,Listas!$E$85:$L$105,7,FALSE),"Alerta: Seleccione la celda en la comumna AI con el concepto de gasto")</f>
        <v>03-RECURSO HUMANO</v>
      </c>
      <c r="AT142" s="634" t="str">
        <f>IFERROR(VLOOKUP(AU142,Listas!$E$85:$L$105,8,FALSE),"Alerta: Seleccione la celda en la comumna AI con el concepto de gasto")</f>
        <v>01-DIVULGACION, ASISTENCIA TECNICA Y CAPACITACION DE LA POBLACION</v>
      </c>
      <c r="AU142" s="633" t="s">
        <v>232</v>
      </c>
      <c r="AV142" s="634">
        <f>IFERROR(VLOOKUP(AU142,Listas!$E$85:$F$105,2,FALSE),"Alerta: Seleccione el Concepto de Gasto primero")</f>
        <v>0</v>
      </c>
      <c r="AW142" s="644">
        <v>8400000</v>
      </c>
      <c r="AX142" s="645"/>
      <c r="AY142" s="645"/>
      <c r="AZ142" s="645"/>
      <c r="BA142" s="646">
        <f t="shared" si="47"/>
        <v>8400000</v>
      </c>
      <c r="BB142" s="647"/>
      <c r="BC142" s="648"/>
      <c r="BD142" s="649"/>
      <c r="BE142" s="647"/>
      <c r="BF142" s="644"/>
      <c r="BG142" s="646">
        <f t="shared" si="48"/>
        <v>8400000</v>
      </c>
      <c r="BH142" s="650"/>
      <c r="BI142" s="647"/>
      <c r="BJ142" s="644"/>
      <c r="BK142" s="646">
        <f t="shared" si="49"/>
        <v>0</v>
      </c>
      <c r="BL142" s="651"/>
      <c r="BM142" s="652">
        <f t="shared" si="50"/>
        <v>1</v>
      </c>
      <c r="BN142" s="628"/>
      <c r="BO142" s="670"/>
      <c r="BP142" s="644"/>
      <c r="BQ142" s="644"/>
      <c r="BR142" s="644"/>
      <c r="BS142" s="644"/>
      <c r="BT142" s="644"/>
      <c r="BU142" s="644"/>
      <c r="BV142" s="644"/>
      <c r="BW142" s="644"/>
      <c r="BX142" s="644"/>
      <c r="BY142" s="644"/>
      <c r="BZ142" s="644"/>
      <c r="CA142" s="644"/>
      <c r="CB142" s="646">
        <f t="shared" si="51"/>
        <v>0</v>
      </c>
      <c r="CC142" s="646">
        <f t="shared" si="52"/>
        <v>0</v>
      </c>
      <c r="CD142" s="614"/>
    </row>
    <row r="143" spans="1:82" s="561" customFormat="1" ht="61.5" customHeight="1">
      <c r="A143" s="625" t="str">
        <f t="shared" si="34"/>
        <v>1107-158-FONT1107-03-01-0066-Museo de Bogotá en operación</v>
      </c>
      <c r="B143" s="626" t="str">
        <f t="shared" si="35"/>
        <v>1107-158-FONT1107-03-01-0066</v>
      </c>
      <c r="C143" s="626" t="str">
        <f t="shared" si="36"/>
        <v>1107-158-FONT1107-Museo de Bogotá en operación</v>
      </c>
      <c r="D143" s="626" t="str">
        <f t="shared" si="37"/>
        <v>1107-158-12-Otros Distrito-03-01-0066</v>
      </c>
      <c r="E143" s="626" t="str">
        <f t="shared" si="38"/>
        <v>Museo de Bogotá en operación-12-Otros Distrito-0066-Fomento, apoyo y divulgación de eventos y expresiones artísticas, culturales y del patrimonio</v>
      </c>
      <c r="F143" s="627">
        <v>105</v>
      </c>
      <c r="G143" s="628">
        <f t="shared" si="39"/>
        <v>105</v>
      </c>
      <c r="H143" s="629" t="b">
        <f t="shared" si="40"/>
        <v>0</v>
      </c>
      <c r="I143" s="630" t="s">
        <v>594</v>
      </c>
      <c r="J143" s="627" t="s">
        <v>27</v>
      </c>
      <c r="K143" s="631" t="str">
        <f>+IFERROR(VLOOKUP(J143,Listas!$A$108:$B$114,2,FALSE),"Alerta: Seleccione la celda en la comumna B con el nombre del proyecto")</f>
        <v>3-3-1-15-03-25-1107-158</v>
      </c>
      <c r="L143" s="632">
        <v>78101801</v>
      </c>
      <c r="M143" s="633" t="s">
        <v>703</v>
      </c>
      <c r="N143" s="634" t="str">
        <f t="shared" si="41"/>
        <v>(Cód. 105) Contratar el servicio de transporte para el traslado de piezas de carácter museal o de valor patrimonial requerido para los proyectos museológicos adelantados por el Museo de Bogotá del Instituto distrital de Patrimonio Cultural.</v>
      </c>
      <c r="O143" s="635">
        <v>43511</v>
      </c>
      <c r="P143" s="636">
        <f>IFERROR(VLOOKUP(W143,'Estimación CRP'!$D$21:$E$30,2,FALSE),0)</f>
        <v>25</v>
      </c>
      <c r="Q143" s="637">
        <f>IF(O143="No aplica","No aplica",WORKDAY.INTL(O143,P143,1,'Estimación CRP'!A329:A345))</f>
        <v>43546</v>
      </c>
      <c r="R143" s="636">
        <f t="shared" si="42"/>
        <v>3</v>
      </c>
      <c r="S143" s="636">
        <f t="shared" si="43"/>
        <v>2</v>
      </c>
      <c r="T143" s="636">
        <f t="shared" si="44"/>
        <v>2</v>
      </c>
      <c r="U143" s="712">
        <v>11</v>
      </c>
      <c r="V143" s="638">
        <v>1</v>
      </c>
      <c r="W143" s="639" t="s">
        <v>267</v>
      </c>
      <c r="X143" s="640" t="str">
        <f>IFERROR(VLOOKUP(W143,Listas!$A$60:$B$73,2,FALSE),"Alerta: Seleccione primero Modalidad de selección")</f>
        <v>CCE-10</v>
      </c>
      <c r="Y143" s="641">
        <v>0</v>
      </c>
      <c r="Z143" s="641" t="s">
        <v>1179</v>
      </c>
      <c r="AA143" s="641" t="s">
        <v>1180</v>
      </c>
      <c r="AB143" s="642">
        <f t="shared" si="45"/>
        <v>8000000</v>
      </c>
      <c r="AC143" s="642">
        <f t="shared" si="46"/>
        <v>8000000</v>
      </c>
      <c r="AD143" s="641">
        <v>0</v>
      </c>
      <c r="AE143" s="643">
        <v>0</v>
      </c>
      <c r="AF143" s="639" t="s">
        <v>276</v>
      </c>
      <c r="AG143" s="639" t="s">
        <v>277</v>
      </c>
      <c r="AH143" s="639" t="s">
        <v>284</v>
      </c>
      <c r="AI143" s="626" t="str">
        <f>IFERROR(VLOOKUP(AH143,Listas!$A$77:$C$83,2,FALSE),"Alerta: Seleccione primero el responsable")</f>
        <v>3550800</v>
      </c>
      <c r="AJ143" s="640" t="str">
        <f>IFERROR(VLOOKUP(AH143,Listas!$A$77:$C$83,3,FALSE),"Alerta: Seleccione primero el responsable")</f>
        <v>margarita.castaneda@idpc.gov.co</v>
      </c>
      <c r="AK143" s="640" t="str">
        <f>IF(J143="Funcionamiento Gastos Generales","No aplica",IF(J143="Funcionamiento Servicios Personales indirectos","No aplica",IFERROR(VLOOKUP(J143,Listas!$A$127:$E$139,3,FALSE),"Alerta: Seleccione la celda en la comumna B con el nombre del proyecto")))</f>
        <v>ME20181107</v>
      </c>
      <c r="AL143" s="640" t="str">
        <f>IF(J143="Funcionamiento Gastos Generales","No aplica",IF(J143="Funcionamiento Servicios Personales","No aplica",IFERROR(VLOOKUP(J143,Listas!$A$220:$D$224,2,FALSE),"Alerta: Seleccione la celda en la comumna B con el nombre del proyecto")))</f>
        <v>COMP1107</v>
      </c>
      <c r="AM143" s="640" t="str">
        <f>IF(J143="Funcionamiento Gastos Generales","No aplica",IF(J143="Funcionamiento Servicios Personales","No aplica",IFERROR(VLOOKUP(J143,Listas!$A$220:$D$224,3,FALSE),"Alerta: Seleccione la celda en la comumna B con el nombre del proyecto")))</f>
        <v>CONC1107</v>
      </c>
      <c r="AN143" s="633" t="s">
        <v>1047</v>
      </c>
      <c r="AO143" s="633" t="s">
        <v>53</v>
      </c>
      <c r="AP143" s="634" t="str">
        <f>IFERROR(VLOOKUP(J143,Listas!$A$182:$E$215,5,FALSE),"Alerta: Seleccione la celda en la comumna B con el nombre del proyecto")</f>
        <v>13. Oferta cultural para la valoración y divulgación del patrimonio material e  inmaterial de la ciud</v>
      </c>
      <c r="AQ143" s="634" t="str">
        <f>IF(J143="Funcionamiento Gastos Generales","No aplica",IF(J143="Funcionamiento Servicios Personales","No aplica",IFERROR(VLOOKUP(J143,Listas!$A$220:$D$224,4,FALSE),"Alerta: Seleccione la celda en la comumna B con el nombre del proyecto")))</f>
        <v>FONT1107</v>
      </c>
      <c r="AR143" s="633" t="s">
        <v>198</v>
      </c>
      <c r="AS143" s="634" t="str">
        <f>IFERROR(VLOOKUP(AU143,Listas!$E$85:$L$105,7,FALSE),"Alerta: Seleccione la celda en la comumna AI con el concepto de gasto")</f>
        <v>03-RECURSO HUMANO</v>
      </c>
      <c r="AT143" s="634" t="str">
        <f>IFERROR(VLOOKUP(AU143,Listas!$E$85:$L$105,8,FALSE),"Alerta: Seleccione la celda en la comumna AI con el concepto de gasto")</f>
        <v>01-DIVULGACION, ASISTENCIA TECNICA Y CAPACITACION DE LA POBLACION</v>
      </c>
      <c r="AU143" s="633" t="s">
        <v>232</v>
      </c>
      <c r="AV143" s="634">
        <f>IFERROR(VLOOKUP(AU143,Listas!$E$85:$F$105,2,FALSE),"Alerta: Seleccione el Concepto de Gasto primero")</f>
        <v>0</v>
      </c>
      <c r="AW143" s="644">
        <v>8000000</v>
      </c>
      <c r="AX143" s="645"/>
      <c r="AY143" s="645"/>
      <c r="AZ143" s="645"/>
      <c r="BA143" s="646">
        <f t="shared" si="47"/>
        <v>8000000</v>
      </c>
      <c r="BB143" s="647"/>
      <c r="BC143" s="648"/>
      <c r="BD143" s="649"/>
      <c r="BE143" s="647"/>
      <c r="BF143" s="644"/>
      <c r="BG143" s="646">
        <f t="shared" si="48"/>
        <v>8000000</v>
      </c>
      <c r="BH143" s="650"/>
      <c r="BI143" s="647"/>
      <c r="BJ143" s="644"/>
      <c r="BK143" s="646">
        <f t="shared" si="49"/>
        <v>0</v>
      </c>
      <c r="BL143" s="651"/>
      <c r="BM143" s="652">
        <f t="shared" si="50"/>
        <v>1</v>
      </c>
      <c r="BN143" s="628"/>
      <c r="BO143" s="670"/>
      <c r="BP143" s="644"/>
      <c r="BQ143" s="644"/>
      <c r="BR143" s="644"/>
      <c r="BS143" s="644"/>
      <c r="BT143" s="644"/>
      <c r="BU143" s="644"/>
      <c r="BV143" s="644"/>
      <c r="BW143" s="644"/>
      <c r="BX143" s="644"/>
      <c r="BY143" s="644"/>
      <c r="BZ143" s="644"/>
      <c r="CA143" s="644"/>
      <c r="CB143" s="646">
        <f t="shared" si="51"/>
        <v>0</v>
      </c>
      <c r="CC143" s="646">
        <f t="shared" si="52"/>
        <v>0</v>
      </c>
      <c r="CD143" s="614"/>
    </row>
    <row r="144" spans="1:82" s="561" customFormat="1" ht="61.5" customHeight="1">
      <c r="A144" s="625" t="str">
        <f t="shared" si="34"/>
        <v>1107-158-FONT1107-03-01-0066-Museo de Bogotá en operación</v>
      </c>
      <c r="B144" s="626" t="str">
        <f t="shared" si="35"/>
        <v>1107-158-FONT1107-03-01-0066</v>
      </c>
      <c r="C144" s="626" t="str">
        <f t="shared" si="36"/>
        <v>1107-158-FONT1107-Museo de Bogotá en operación</v>
      </c>
      <c r="D144" s="626" t="str">
        <f t="shared" si="37"/>
        <v>1107-158-12-Otros Distrito-03-01-0066</v>
      </c>
      <c r="E144" s="626" t="str">
        <f t="shared" si="38"/>
        <v>Museo de Bogotá en operación-12-Otros Distrito-0066-Fomento, apoyo y divulgación de eventos y expresiones artísticas, culturales y del patrimonio</v>
      </c>
      <c r="F144" s="627">
        <v>106</v>
      </c>
      <c r="G144" s="628">
        <f t="shared" si="39"/>
        <v>106</v>
      </c>
      <c r="H144" s="629" t="b">
        <f t="shared" si="40"/>
        <v>0</v>
      </c>
      <c r="I144" s="630" t="s">
        <v>594</v>
      </c>
      <c r="J144" s="627" t="s">
        <v>27</v>
      </c>
      <c r="K144" s="631" t="str">
        <f>+IFERROR(VLOOKUP(J144,Listas!$A$108:$B$114,2,FALSE),"Alerta: Seleccione la celda en la comumna B con el nombre del proyecto")</f>
        <v>3-3-1-15-03-25-1107-158</v>
      </c>
      <c r="L144" s="632" t="s">
        <v>618</v>
      </c>
      <c r="M144" s="633" t="s">
        <v>704</v>
      </c>
      <c r="N144" s="634" t="str">
        <f t="shared" si="41"/>
        <v>(Cód. 106) Prestar servicios al Instituto Distrital de Patrimonio Cultural para llevar a cabo el proceso de desarme, traslado y armado del tranvía de mulas, pieza museográfica central de la sala: "Sobre rieles, el tranvía en Bogotá" del Museo de Bogotá.</v>
      </c>
      <c r="O144" s="635">
        <v>43516</v>
      </c>
      <c r="P144" s="636">
        <f>IFERROR(VLOOKUP(W144,'Estimación CRP'!$D$21:$E$30,2,FALSE),0)</f>
        <v>10</v>
      </c>
      <c r="Q144" s="637">
        <f>IF(O144="No aplica","No aplica",WORKDAY.INTL(O144,P144,1,'Estimación CRP'!A330:A346))</f>
        <v>43530</v>
      </c>
      <c r="R144" s="636">
        <f t="shared" si="42"/>
        <v>3</v>
      </c>
      <c r="S144" s="636">
        <f t="shared" si="43"/>
        <v>2</v>
      </c>
      <c r="T144" s="636">
        <f t="shared" si="44"/>
        <v>2</v>
      </c>
      <c r="U144" s="712">
        <v>4</v>
      </c>
      <c r="V144" s="638">
        <v>1</v>
      </c>
      <c r="W144" s="639" t="s">
        <v>269</v>
      </c>
      <c r="X144" s="640" t="str">
        <f>IFERROR(VLOOKUP(W144,Listas!$A$60:$B$73,2,FALSE),"Alerta: Seleccione primero Modalidad de selección")</f>
        <v>CCE-16</v>
      </c>
      <c r="Y144" s="641">
        <v>0</v>
      </c>
      <c r="Z144" s="641" t="s">
        <v>346</v>
      </c>
      <c r="AA144" s="641" t="s">
        <v>1181</v>
      </c>
      <c r="AB144" s="642">
        <f t="shared" si="45"/>
        <v>40000000</v>
      </c>
      <c r="AC144" s="642">
        <f t="shared" si="46"/>
        <v>40000000</v>
      </c>
      <c r="AD144" s="641">
        <v>0</v>
      </c>
      <c r="AE144" s="643">
        <v>0</v>
      </c>
      <c r="AF144" s="639" t="s">
        <v>276</v>
      </c>
      <c r="AG144" s="639" t="s">
        <v>277</v>
      </c>
      <c r="AH144" s="639" t="s">
        <v>284</v>
      </c>
      <c r="AI144" s="626" t="str">
        <f>IFERROR(VLOOKUP(AH144,Listas!$A$77:$C$83,2,FALSE),"Alerta: Seleccione primero el responsable")</f>
        <v>3550800</v>
      </c>
      <c r="AJ144" s="640" t="str">
        <f>IFERROR(VLOOKUP(AH144,Listas!$A$77:$C$83,3,FALSE),"Alerta: Seleccione primero el responsable")</f>
        <v>margarita.castaneda@idpc.gov.co</v>
      </c>
      <c r="AK144" s="640" t="str">
        <f>IF(J144="Funcionamiento Gastos Generales","No aplica",IF(J144="Funcionamiento Servicios Personales indirectos","No aplica",IFERROR(VLOOKUP(J144,Listas!$A$127:$E$139,3,FALSE),"Alerta: Seleccione la celda en la comumna B con el nombre del proyecto")))</f>
        <v>ME20181107</v>
      </c>
      <c r="AL144" s="640" t="str">
        <f>IF(J144="Funcionamiento Gastos Generales","No aplica",IF(J144="Funcionamiento Servicios Personales","No aplica",IFERROR(VLOOKUP(J144,Listas!$A$220:$D$224,2,FALSE),"Alerta: Seleccione la celda en la comumna B con el nombre del proyecto")))</f>
        <v>COMP1107</v>
      </c>
      <c r="AM144" s="640" t="str">
        <f>IF(J144="Funcionamiento Gastos Generales","No aplica",IF(J144="Funcionamiento Servicios Personales","No aplica",IFERROR(VLOOKUP(J144,Listas!$A$220:$D$224,3,FALSE),"Alerta: Seleccione la celda en la comumna B con el nombre del proyecto")))</f>
        <v>CONC1107</v>
      </c>
      <c r="AN144" s="633" t="s">
        <v>1047</v>
      </c>
      <c r="AO144" s="633" t="s">
        <v>53</v>
      </c>
      <c r="AP144" s="634" t="str">
        <f>IFERROR(VLOOKUP(J144,Listas!$A$182:$E$215,5,FALSE),"Alerta: Seleccione la celda en la comumna B con el nombre del proyecto")</f>
        <v>13. Oferta cultural para la valoración y divulgación del patrimonio material e  inmaterial de la ciud</v>
      </c>
      <c r="AQ144" s="634" t="str">
        <f>IF(J144="Funcionamiento Gastos Generales","No aplica",IF(J144="Funcionamiento Servicios Personales","No aplica",IFERROR(VLOOKUP(J144,Listas!$A$220:$D$224,4,FALSE),"Alerta: Seleccione la celda en la comumna B con el nombre del proyecto")))</f>
        <v>FONT1107</v>
      </c>
      <c r="AR144" s="633" t="s">
        <v>198</v>
      </c>
      <c r="AS144" s="634" t="str">
        <f>IFERROR(VLOOKUP(AU144,Listas!$E$85:$L$105,7,FALSE),"Alerta: Seleccione la celda en la comumna AI con el concepto de gasto")</f>
        <v>03-RECURSO HUMANO</v>
      </c>
      <c r="AT144" s="634" t="str">
        <f>IFERROR(VLOOKUP(AU144,Listas!$E$85:$L$105,8,FALSE),"Alerta: Seleccione la celda en la comumna AI con el concepto de gasto")</f>
        <v>01-DIVULGACION, ASISTENCIA TECNICA Y CAPACITACION DE LA POBLACION</v>
      </c>
      <c r="AU144" s="633" t="s">
        <v>232</v>
      </c>
      <c r="AV144" s="634">
        <f>IFERROR(VLOOKUP(AU144,Listas!$E$85:$F$105,2,FALSE),"Alerta: Seleccione el Concepto de Gasto primero")</f>
        <v>0</v>
      </c>
      <c r="AW144" s="644">
        <v>40000000</v>
      </c>
      <c r="AX144" s="645"/>
      <c r="AY144" s="645"/>
      <c r="AZ144" s="645"/>
      <c r="BA144" s="646">
        <f t="shared" si="47"/>
        <v>40000000</v>
      </c>
      <c r="BB144" s="647"/>
      <c r="BC144" s="648"/>
      <c r="BD144" s="649"/>
      <c r="BE144" s="647"/>
      <c r="BF144" s="644"/>
      <c r="BG144" s="646">
        <f t="shared" si="48"/>
        <v>40000000</v>
      </c>
      <c r="BH144" s="650"/>
      <c r="BI144" s="647"/>
      <c r="BJ144" s="644"/>
      <c r="BK144" s="646">
        <f t="shared" si="49"/>
        <v>0</v>
      </c>
      <c r="BL144" s="651"/>
      <c r="BM144" s="652">
        <f t="shared" si="50"/>
        <v>1</v>
      </c>
      <c r="BN144" s="628"/>
      <c r="BO144" s="670"/>
      <c r="BP144" s="644"/>
      <c r="BQ144" s="644"/>
      <c r="BR144" s="644"/>
      <c r="BS144" s="644"/>
      <c r="BT144" s="644"/>
      <c r="BU144" s="644"/>
      <c r="BV144" s="644"/>
      <c r="BW144" s="644"/>
      <c r="BX144" s="644"/>
      <c r="BY144" s="644"/>
      <c r="BZ144" s="644"/>
      <c r="CA144" s="644"/>
      <c r="CB144" s="646">
        <f t="shared" si="51"/>
        <v>0</v>
      </c>
      <c r="CC144" s="646">
        <f t="shared" si="52"/>
        <v>0</v>
      </c>
      <c r="CD144" s="614"/>
    </row>
    <row r="145" spans="1:82" s="561" customFormat="1" ht="61.5" customHeight="1">
      <c r="A145" s="625" t="str">
        <f t="shared" si="34"/>
        <v>1107-158-FONT1107-03-01-0066-Museo de Bogotá en operación</v>
      </c>
      <c r="B145" s="626" t="str">
        <f t="shared" si="35"/>
        <v>1107-158-FONT1107-03-01-0066</v>
      </c>
      <c r="C145" s="626" t="str">
        <f t="shared" si="36"/>
        <v>1107-158-FONT1107-Museo de Bogotá en operación</v>
      </c>
      <c r="D145" s="626" t="str">
        <f t="shared" si="37"/>
        <v>1107-158-12-Otros Distrito-03-01-0066</v>
      </c>
      <c r="E145" s="626" t="str">
        <f t="shared" si="38"/>
        <v>Museo de Bogotá en operación-12-Otros Distrito-0066-Fomento, apoyo y divulgación de eventos y expresiones artísticas, culturales y del patrimonio</v>
      </c>
      <c r="F145" s="627">
        <v>107</v>
      </c>
      <c r="G145" s="628">
        <f t="shared" si="39"/>
        <v>107</v>
      </c>
      <c r="H145" s="629" t="b">
        <f t="shared" si="40"/>
        <v>0</v>
      </c>
      <c r="I145" s="630" t="s">
        <v>594</v>
      </c>
      <c r="J145" s="627" t="s">
        <v>27</v>
      </c>
      <c r="K145" s="631" t="str">
        <f>+IFERROR(VLOOKUP(J145,Listas!$A$108:$B$114,2,FALSE),"Alerta: Seleccione la celda en la comumna B con el nombre del proyecto")</f>
        <v>3-3-1-15-03-25-1107-158</v>
      </c>
      <c r="L145" s="632" t="s">
        <v>705</v>
      </c>
      <c r="M145" s="633" t="s">
        <v>706</v>
      </c>
      <c r="N145" s="634" t="str">
        <f t="shared" si="41"/>
        <v>(Cód. 107) Prestación de los servicios de vigilancia y seguridad privada, en la modalidad de vigilancia fija armada, con medios técnicos y tecnológicos, a los bienes muebles e inmuebles que conforman el patrimonio de la entidad y de los cuales es o llegare a ser legalmente responsable.</v>
      </c>
      <c r="O145" s="635">
        <v>43539</v>
      </c>
      <c r="P145" s="636">
        <f>IFERROR(VLOOKUP(W145,'Estimación CRP'!$D$21:$E$30,2,FALSE),0)</f>
        <v>50</v>
      </c>
      <c r="Q145" s="637">
        <f>IF(O145="No aplica","No aplica",WORKDAY.INTL(O145,P145,1,'Estimación CRP'!A331:A347))</f>
        <v>43609</v>
      </c>
      <c r="R145" s="636">
        <f t="shared" si="42"/>
        <v>5</v>
      </c>
      <c r="S145" s="636">
        <f t="shared" si="43"/>
        <v>3</v>
      </c>
      <c r="T145" s="636">
        <f t="shared" si="44"/>
        <v>3</v>
      </c>
      <c r="U145" s="712">
        <v>7</v>
      </c>
      <c r="V145" s="638">
        <v>1</v>
      </c>
      <c r="W145" s="639" t="s">
        <v>258</v>
      </c>
      <c r="X145" s="640" t="str">
        <f>IFERROR(VLOOKUP(W145,Listas!$A$60:$B$73,2,FALSE),"Alerta: Seleccione primero Modalidad de selección")</f>
        <v>CCE-02</v>
      </c>
      <c r="Y145" s="641">
        <v>0</v>
      </c>
      <c r="Z145" s="641" t="s">
        <v>1182</v>
      </c>
      <c r="AA145" s="641" t="s">
        <v>1182</v>
      </c>
      <c r="AB145" s="642">
        <f t="shared" si="45"/>
        <v>30000000</v>
      </c>
      <c r="AC145" s="642">
        <f t="shared" si="46"/>
        <v>30000000</v>
      </c>
      <c r="AD145" s="641">
        <v>0</v>
      </c>
      <c r="AE145" s="643">
        <v>0</v>
      </c>
      <c r="AF145" s="639" t="s">
        <v>276</v>
      </c>
      <c r="AG145" s="639" t="s">
        <v>277</v>
      </c>
      <c r="AH145" s="639" t="s">
        <v>284</v>
      </c>
      <c r="AI145" s="626" t="str">
        <f>IFERROR(VLOOKUP(AH145,Listas!$A$77:$C$83,2,FALSE),"Alerta: Seleccione primero el responsable")</f>
        <v>3550800</v>
      </c>
      <c r="AJ145" s="640" t="str">
        <f>IFERROR(VLOOKUP(AH145,Listas!$A$77:$C$83,3,FALSE),"Alerta: Seleccione primero el responsable")</f>
        <v>margarita.castaneda@idpc.gov.co</v>
      </c>
      <c r="AK145" s="640" t="str">
        <f>IF(J145="Funcionamiento Gastos Generales","No aplica",IF(J145="Funcionamiento Servicios Personales indirectos","No aplica",IFERROR(VLOOKUP(J145,Listas!$A$127:$E$139,3,FALSE),"Alerta: Seleccione la celda en la comumna B con el nombre del proyecto")))</f>
        <v>ME20181107</v>
      </c>
      <c r="AL145" s="640" t="str">
        <f>IF(J145="Funcionamiento Gastos Generales","No aplica",IF(J145="Funcionamiento Servicios Personales","No aplica",IFERROR(VLOOKUP(J145,Listas!$A$220:$D$224,2,FALSE),"Alerta: Seleccione la celda en la comumna B con el nombre del proyecto")))</f>
        <v>COMP1107</v>
      </c>
      <c r="AM145" s="640" t="str">
        <f>IF(J145="Funcionamiento Gastos Generales","No aplica",IF(J145="Funcionamiento Servicios Personales","No aplica",IFERROR(VLOOKUP(J145,Listas!$A$220:$D$224,3,FALSE),"Alerta: Seleccione la celda en la comumna B con el nombre del proyecto")))</f>
        <v>CONC1107</v>
      </c>
      <c r="AN145" s="633" t="s">
        <v>1047</v>
      </c>
      <c r="AO145" s="633" t="s">
        <v>53</v>
      </c>
      <c r="AP145" s="634" t="str">
        <f>IFERROR(VLOOKUP(J145,Listas!$A$182:$E$215,5,FALSE),"Alerta: Seleccione la celda en la comumna B con el nombre del proyecto")</f>
        <v>13. Oferta cultural para la valoración y divulgación del patrimonio material e  inmaterial de la ciud</v>
      </c>
      <c r="AQ145" s="634" t="str">
        <f>IF(J145="Funcionamiento Gastos Generales","No aplica",IF(J145="Funcionamiento Servicios Personales","No aplica",IFERROR(VLOOKUP(J145,Listas!$A$220:$D$224,4,FALSE),"Alerta: Seleccione la celda en la comumna B con el nombre del proyecto")))</f>
        <v>FONT1107</v>
      </c>
      <c r="AR145" s="633" t="s">
        <v>198</v>
      </c>
      <c r="AS145" s="634" t="str">
        <f>IFERROR(VLOOKUP(AU145,Listas!$E$85:$L$105,7,FALSE),"Alerta: Seleccione la celda en la comumna AI con el concepto de gasto")</f>
        <v>03-RECURSO HUMANO</v>
      </c>
      <c r="AT145" s="634" t="str">
        <f>IFERROR(VLOOKUP(AU145,Listas!$E$85:$L$105,8,FALSE),"Alerta: Seleccione la celda en la comumna AI con el concepto de gasto")</f>
        <v>01-DIVULGACION, ASISTENCIA TECNICA Y CAPACITACION DE LA POBLACION</v>
      </c>
      <c r="AU145" s="633" t="s">
        <v>232</v>
      </c>
      <c r="AV145" s="634">
        <f>IFERROR(VLOOKUP(AU145,Listas!$E$85:$F$105,2,FALSE),"Alerta: Seleccione el Concepto de Gasto primero")</f>
        <v>0</v>
      </c>
      <c r="AW145" s="644">
        <v>30000000</v>
      </c>
      <c r="AX145" s="645"/>
      <c r="AY145" s="645"/>
      <c r="AZ145" s="645"/>
      <c r="BA145" s="646">
        <f t="shared" si="47"/>
        <v>30000000</v>
      </c>
      <c r="BB145" s="647"/>
      <c r="BC145" s="648"/>
      <c r="BD145" s="649"/>
      <c r="BE145" s="647"/>
      <c r="BF145" s="644"/>
      <c r="BG145" s="646">
        <f t="shared" si="48"/>
        <v>30000000</v>
      </c>
      <c r="BH145" s="650"/>
      <c r="BI145" s="647"/>
      <c r="BJ145" s="644"/>
      <c r="BK145" s="646">
        <f t="shared" si="49"/>
        <v>0</v>
      </c>
      <c r="BL145" s="651"/>
      <c r="BM145" s="652">
        <f t="shared" si="50"/>
        <v>1</v>
      </c>
      <c r="BN145" s="628"/>
      <c r="BO145" s="670"/>
      <c r="BP145" s="644"/>
      <c r="BQ145" s="644"/>
      <c r="BR145" s="644"/>
      <c r="BS145" s="644"/>
      <c r="BT145" s="644"/>
      <c r="BU145" s="644"/>
      <c r="BV145" s="644"/>
      <c r="BW145" s="644"/>
      <c r="BX145" s="644"/>
      <c r="BY145" s="644"/>
      <c r="BZ145" s="644"/>
      <c r="CA145" s="644"/>
      <c r="CB145" s="646">
        <f t="shared" si="51"/>
        <v>0</v>
      </c>
      <c r="CC145" s="646">
        <f t="shared" si="52"/>
        <v>0</v>
      </c>
      <c r="CD145" s="614"/>
    </row>
    <row r="146" spans="1:82" s="561" customFormat="1" ht="61.5" customHeight="1">
      <c r="A146" s="625" t="str">
        <f t="shared" si="34"/>
        <v>1107-158-FONT1107-03-01-0066-Activación del patrimonio</v>
      </c>
      <c r="B146" s="626" t="str">
        <f t="shared" si="35"/>
        <v>1107-158-FONT1107-03-01-0066</v>
      </c>
      <c r="C146" s="626" t="str">
        <f t="shared" si="36"/>
        <v>1107-158-FONT1107-Activación del patrimonio</v>
      </c>
      <c r="D146" s="626" t="str">
        <f t="shared" si="37"/>
        <v>1107-158-12-Otros Distrito-03-01-0066</v>
      </c>
      <c r="E146" s="626" t="str">
        <f t="shared" si="38"/>
        <v>Activación del patrimonio-12-Otros Distrito-0066-Fomento, apoyo y divulgación de eventos y expresiones artísticas, culturales y del patrimonio</v>
      </c>
      <c r="F146" s="627">
        <v>108</v>
      </c>
      <c r="G146" s="628">
        <f t="shared" si="39"/>
        <v>108</v>
      </c>
      <c r="H146" s="629" t="b">
        <f t="shared" si="40"/>
        <v>0</v>
      </c>
      <c r="I146" s="630" t="s">
        <v>594</v>
      </c>
      <c r="J146" s="627" t="s">
        <v>27</v>
      </c>
      <c r="K146" s="631" t="str">
        <f>+IFERROR(VLOOKUP(J146,Listas!$A$108:$B$114,2,FALSE),"Alerta: Seleccione la celda en la comumna B con el nombre del proyecto")</f>
        <v>3-3-1-15-03-25-1107-158</v>
      </c>
      <c r="L146" s="632" t="s">
        <v>618</v>
      </c>
      <c r="M146" s="633" t="s">
        <v>700</v>
      </c>
      <c r="N146" s="634" t="str">
        <f t="shared" si="41"/>
        <v>(Cód. 108) Prestar servicios de apoyo a la gestión al Instituto Distrital de Patrimonio Cultural como guía de los recorridos urbanos realizados en el marco de la estrategia de apropiación social del patrimonio cultural.</v>
      </c>
      <c r="O146" s="635">
        <v>43480</v>
      </c>
      <c r="P146" s="636">
        <f>IFERROR(VLOOKUP(W146,'Estimación CRP'!$D$21:$E$30,2,FALSE),0)</f>
        <v>10</v>
      </c>
      <c r="Q146" s="637">
        <f>IF(O146="No aplica","No aplica",WORKDAY.INTL(O146,P146,1,'Estimación CRP'!A332:A348))</f>
        <v>43494</v>
      </c>
      <c r="R146" s="636">
        <f t="shared" si="42"/>
        <v>1</v>
      </c>
      <c r="S146" s="636">
        <f t="shared" si="43"/>
        <v>1</v>
      </c>
      <c r="T146" s="636">
        <f t="shared" si="44"/>
        <v>1</v>
      </c>
      <c r="U146" s="712">
        <v>10</v>
      </c>
      <c r="V146" s="638">
        <v>1</v>
      </c>
      <c r="W146" s="639" t="s">
        <v>274</v>
      </c>
      <c r="X146" s="640" t="str">
        <f>IFERROR(VLOOKUP(W146,Listas!$A$60:$B$73,2,FALSE),"Alerta: Seleccione primero Modalidad de selección")</f>
        <v>CCE-16</v>
      </c>
      <c r="Y146" s="641">
        <v>0</v>
      </c>
      <c r="Z146" s="641" t="s">
        <v>346</v>
      </c>
      <c r="AA146" s="641" t="s">
        <v>1183</v>
      </c>
      <c r="AB146" s="642">
        <f t="shared" si="45"/>
        <v>15000000</v>
      </c>
      <c r="AC146" s="642">
        <f t="shared" si="46"/>
        <v>15000000</v>
      </c>
      <c r="AD146" s="641">
        <v>0</v>
      </c>
      <c r="AE146" s="643">
        <v>0</v>
      </c>
      <c r="AF146" s="639" t="s">
        <v>276</v>
      </c>
      <c r="AG146" s="639" t="s">
        <v>277</v>
      </c>
      <c r="AH146" s="639" t="s">
        <v>284</v>
      </c>
      <c r="AI146" s="626" t="str">
        <f>IFERROR(VLOOKUP(AH146,Listas!$A$77:$C$83,2,FALSE),"Alerta: Seleccione primero el responsable")</f>
        <v>3550800</v>
      </c>
      <c r="AJ146" s="640" t="str">
        <f>IFERROR(VLOOKUP(AH146,Listas!$A$77:$C$83,3,FALSE),"Alerta: Seleccione primero el responsable")</f>
        <v>margarita.castaneda@idpc.gov.co</v>
      </c>
      <c r="AK146" s="640" t="str">
        <f>IF(J146="Funcionamiento Gastos Generales","No aplica",IF(J146="Funcionamiento Servicios Personales indirectos","No aplica",IFERROR(VLOOKUP(J146,Listas!$A$127:$E$139,3,FALSE),"Alerta: Seleccione la celda en la comumna B con el nombre del proyecto")))</f>
        <v>ME20181107</v>
      </c>
      <c r="AL146" s="640" t="str">
        <f>IF(J146="Funcionamiento Gastos Generales","No aplica",IF(J146="Funcionamiento Servicios Personales","No aplica",IFERROR(VLOOKUP(J146,Listas!$A$220:$D$224,2,FALSE),"Alerta: Seleccione la celda en la comumna B con el nombre del proyecto")))</f>
        <v>COMP1107</v>
      </c>
      <c r="AM146" s="640" t="str">
        <f>IF(J146="Funcionamiento Gastos Generales","No aplica",IF(J146="Funcionamiento Servicios Personales","No aplica",IFERROR(VLOOKUP(J146,Listas!$A$220:$D$224,3,FALSE),"Alerta: Seleccione la celda en la comumna B con el nombre del proyecto")))</f>
        <v>CONC1107</v>
      </c>
      <c r="AN146" s="633" t="s">
        <v>1046</v>
      </c>
      <c r="AO146" s="633" t="s">
        <v>54</v>
      </c>
      <c r="AP146" s="634" t="str">
        <f>IFERROR(VLOOKUP(J146,Listas!$A$182:$E$215,5,FALSE),"Alerta: Seleccione la celda en la comumna B con el nombre del proyecto")</f>
        <v>13. Oferta cultural para la valoración y divulgación del patrimonio material e  inmaterial de la ciud</v>
      </c>
      <c r="AQ146" s="634" t="str">
        <f>IF(J146="Funcionamiento Gastos Generales","No aplica",IF(J146="Funcionamiento Servicios Personales","No aplica",IFERROR(VLOOKUP(J146,Listas!$A$220:$D$224,4,FALSE),"Alerta: Seleccione la celda en la comumna B con el nombre del proyecto")))</f>
        <v>FONT1107</v>
      </c>
      <c r="AR146" s="633" t="s">
        <v>198</v>
      </c>
      <c r="AS146" s="634" t="str">
        <f>IFERROR(VLOOKUP(AU146,Listas!$E$85:$L$105,7,FALSE),"Alerta: Seleccione la celda en la comumna AI con el concepto de gasto")</f>
        <v>03-RECURSO HUMANO</v>
      </c>
      <c r="AT146" s="634" t="str">
        <f>IFERROR(VLOOKUP(AU146,Listas!$E$85:$L$105,8,FALSE),"Alerta: Seleccione la celda en la comumna AI con el concepto de gasto")</f>
        <v>01-DIVULGACION, ASISTENCIA TECNICA Y CAPACITACION DE LA POBLACION</v>
      </c>
      <c r="AU146" s="633" t="s">
        <v>232</v>
      </c>
      <c r="AV146" s="634">
        <f>IFERROR(VLOOKUP(AU146,Listas!$E$85:$F$105,2,FALSE),"Alerta: Seleccione el Concepto de Gasto primero")</f>
        <v>0</v>
      </c>
      <c r="AW146" s="644">
        <v>15000000</v>
      </c>
      <c r="AX146" s="645"/>
      <c r="AY146" s="645"/>
      <c r="AZ146" s="645"/>
      <c r="BA146" s="646">
        <f t="shared" si="47"/>
        <v>15000000</v>
      </c>
      <c r="BB146" s="647"/>
      <c r="BC146" s="648"/>
      <c r="BD146" s="649"/>
      <c r="BE146" s="647"/>
      <c r="BF146" s="644"/>
      <c r="BG146" s="646">
        <f t="shared" si="48"/>
        <v>15000000</v>
      </c>
      <c r="BH146" s="650"/>
      <c r="BI146" s="647"/>
      <c r="BJ146" s="644"/>
      <c r="BK146" s="646">
        <f t="shared" si="49"/>
        <v>0</v>
      </c>
      <c r="BL146" s="651"/>
      <c r="BM146" s="652">
        <f t="shared" si="50"/>
        <v>1</v>
      </c>
      <c r="BN146" s="628"/>
      <c r="BO146" s="670"/>
      <c r="BP146" s="644"/>
      <c r="BQ146" s="644"/>
      <c r="BR146" s="644"/>
      <c r="BS146" s="644"/>
      <c r="BT146" s="644"/>
      <c r="BU146" s="644"/>
      <c r="BV146" s="644"/>
      <c r="BW146" s="644"/>
      <c r="BX146" s="644"/>
      <c r="BY146" s="644"/>
      <c r="BZ146" s="644"/>
      <c r="CA146" s="644"/>
      <c r="CB146" s="646">
        <f t="shared" si="51"/>
        <v>0</v>
      </c>
      <c r="CC146" s="646">
        <f t="shared" si="52"/>
        <v>0</v>
      </c>
      <c r="CD146" s="614"/>
    </row>
    <row r="147" spans="1:82" s="561" customFormat="1" ht="61.5" customHeight="1">
      <c r="A147" s="625" t="str">
        <f t="shared" si="34"/>
        <v>1107-158-FONT1107-03-01-0066-Activación del patrimonio</v>
      </c>
      <c r="B147" s="626" t="str">
        <f t="shared" si="35"/>
        <v>1107-158-FONT1107-03-01-0066</v>
      </c>
      <c r="C147" s="626" t="str">
        <f t="shared" si="36"/>
        <v>1107-158-FONT1107-Activación del patrimonio</v>
      </c>
      <c r="D147" s="626" t="str">
        <f t="shared" si="37"/>
        <v>1107-158-12-Otros Distrito-03-01-0066</v>
      </c>
      <c r="E147" s="626" t="str">
        <f t="shared" si="38"/>
        <v>Activación del patrimonio-12-Otros Distrito-0066-Fomento, apoyo y divulgación de eventos y expresiones artísticas, culturales y del patrimonio</v>
      </c>
      <c r="F147" s="627">
        <v>109</v>
      </c>
      <c r="G147" s="628">
        <f t="shared" si="39"/>
        <v>109</v>
      </c>
      <c r="H147" s="629" t="b">
        <f t="shared" si="40"/>
        <v>0</v>
      </c>
      <c r="I147" s="630" t="s">
        <v>594</v>
      </c>
      <c r="J147" s="627" t="s">
        <v>27</v>
      </c>
      <c r="K147" s="631" t="str">
        <f>+IFERROR(VLOOKUP(J147,Listas!$A$108:$B$114,2,FALSE),"Alerta: Seleccione la celda en la comumna B con el nombre del proyecto")</f>
        <v>3-3-1-15-03-25-1107-158</v>
      </c>
      <c r="L147" s="632" t="s">
        <v>618</v>
      </c>
      <c r="M147" s="633" t="s">
        <v>707</v>
      </c>
      <c r="N147" s="634" t="str">
        <f t="shared" si="41"/>
        <v>(Cód. 109) Prestar servicios profesionales al Instituto Distrital de Patrimonio Cultural para orientar la ejecución de los proyectos editoriales y de investigación desarrollados en el marco de la estrategia de apropiación social del patrimonio cultural.</v>
      </c>
      <c r="O147" s="635">
        <v>43480</v>
      </c>
      <c r="P147" s="636">
        <f>IFERROR(VLOOKUP(W147,'Estimación CRP'!$D$21:$E$30,2,FALSE),0)</f>
        <v>10</v>
      </c>
      <c r="Q147" s="637">
        <f>IF(O147="No aplica","No aplica",WORKDAY.INTL(O147,P147,1,'Estimación CRP'!A333:A349))</f>
        <v>43494</v>
      </c>
      <c r="R147" s="636">
        <f t="shared" si="42"/>
        <v>1</v>
      </c>
      <c r="S147" s="636">
        <f t="shared" si="43"/>
        <v>1</v>
      </c>
      <c r="T147" s="636">
        <f t="shared" si="44"/>
        <v>1</v>
      </c>
      <c r="U147" s="712">
        <v>11</v>
      </c>
      <c r="V147" s="638">
        <v>1</v>
      </c>
      <c r="W147" s="639" t="s">
        <v>274</v>
      </c>
      <c r="X147" s="640" t="str">
        <f>IFERROR(VLOOKUP(W147,Listas!$A$60:$B$73,2,FALSE),"Alerta: Seleccione primero Modalidad de selección")</f>
        <v>CCE-16</v>
      </c>
      <c r="Y147" s="641">
        <v>0</v>
      </c>
      <c r="Z147" s="641" t="s">
        <v>346</v>
      </c>
      <c r="AA147" s="641" t="s">
        <v>1184</v>
      </c>
      <c r="AB147" s="642">
        <f t="shared" si="45"/>
        <v>88000000</v>
      </c>
      <c r="AC147" s="642">
        <f t="shared" si="46"/>
        <v>88000000</v>
      </c>
      <c r="AD147" s="641">
        <v>0</v>
      </c>
      <c r="AE147" s="643">
        <v>0</v>
      </c>
      <c r="AF147" s="639" t="s">
        <v>276</v>
      </c>
      <c r="AG147" s="639" t="s">
        <v>277</v>
      </c>
      <c r="AH147" s="639" t="s">
        <v>284</v>
      </c>
      <c r="AI147" s="626" t="str">
        <f>IFERROR(VLOOKUP(AH147,Listas!$A$77:$C$83,2,FALSE),"Alerta: Seleccione primero el responsable")</f>
        <v>3550800</v>
      </c>
      <c r="AJ147" s="640" t="str">
        <f>IFERROR(VLOOKUP(AH147,Listas!$A$77:$C$83,3,FALSE),"Alerta: Seleccione primero el responsable")</f>
        <v>margarita.castaneda@idpc.gov.co</v>
      </c>
      <c r="AK147" s="640" t="str">
        <f>IF(J147="Funcionamiento Gastos Generales","No aplica",IF(J147="Funcionamiento Servicios Personales indirectos","No aplica",IFERROR(VLOOKUP(J147,Listas!$A$127:$E$139,3,FALSE),"Alerta: Seleccione la celda en la comumna B con el nombre del proyecto")))</f>
        <v>ME20181107</v>
      </c>
      <c r="AL147" s="640" t="str">
        <f>IF(J147="Funcionamiento Gastos Generales","No aplica",IF(J147="Funcionamiento Servicios Personales","No aplica",IFERROR(VLOOKUP(J147,Listas!$A$220:$D$224,2,FALSE),"Alerta: Seleccione la celda en la comumna B con el nombre del proyecto")))</f>
        <v>COMP1107</v>
      </c>
      <c r="AM147" s="640" t="str">
        <f>IF(J147="Funcionamiento Gastos Generales","No aplica",IF(J147="Funcionamiento Servicios Personales","No aplica",IFERROR(VLOOKUP(J147,Listas!$A$220:$D$224,3,FALSE),"Alerta: Seleccione la celda en la comumna B con el nombre del proyecto")))</f>
        <v>CONC1107</v>
      </c>
      <c r="AN147" s="633" t="s">
        <v>1046</v>
      </c>
      <c r="AO147" s="633" t="s">
        <v>54</v>
      </c>
      <c r="AP147" s="634" t="str">
        <f>IFERROR(VLOOKUP(J147,Listas!$A$182:$E$215,5,FALSE),"Alerta: Seleccione la celda en la comumna B con el nombre del proyecto")</f>
        <v>13. Oferta cultural para la valoración y divulgación del patrimonio material e  inmaterial de la ciud</v>
      </c>
      <c r="AQ147" s="634" t="str">
        <f>IF(J147="Funcionamiento Gastos Generales","No aplica",IF(J147="Funcionamiento Servicios Personales","No aplica",IFERROR(VLOOKUP(J147,Listas!$A$220:$D$224,4,FALSE),"Alerta: Seleccione la celda en la comumna B con el nombre del proyecto")))</f>
        <v>FONT1107</v>
      </c>
      <c r="AR147" s="633" t="s">
        <v>198</v>
      </c>
      <c r="AS147" s="634" t="str">
        <f>IFERROR(VLOOKUP(AU147,Listas!$E$85:$L$105,7,FALSE),"Alerta: Seleccione la celda en la comumna AI con el concepto de gasto")</f>
        <v>03-RECURSO HUMANO</v>
      </c>
      <c r="AT147" s="634" t="str">
        <f>IFERROR(VLOOKUP(AU147,Listas!$E$85:$L$105,8,FALSE),"Alerta: Seleccione la celda en la comumna AI con el concepto de gasto")</f>
        <v>01-DIVULGACION, ASISTENCIA TECNICA Y CAPACITACION DE LA POBLACION</v>
      </c>
      <c r="AU147" s="633" t="s">
        <v>232</v>
      </c>
      <c r="AV147" s="634">
        <f>IFERROR(VLOOKUP(AU147,Listas!$E$85:$F$105,2,FALSE),"Alerta: Seleccione el Concepto de Gasto primero")</f>
        <v>0</v>
      </c>
      <c r="AW147" s="644">
        <v>88000000</v>
      </c>
      <c r="AX147" s="645"/>
      <c r="AY147" s="645"/>
      <c r="AZ147" s="645"/>
      <c r="BA147" s="646">
        <f t="shared" si="47"/>
        <v>88000000</v>
      </c>
      <c r="BB147" s="647"/>
      <c r="BC147" s="648"/>
      <c r="BD147" s="649"/>
      <c r="BE147" s="647"/>
      <c r="BF147" s="644"/>
      <c r="BG147" s="646">
        <f t="shared" si="48"/>
        <v>88000000</v>
      </c>
      <c r="BH147" s="650"/>
      <c r="BI147" s="647"/>
      <c r="BJ147" s="644"/>
      <c r="BK147" s="646">
        <f t="shared" si="49"/>
        <v>0</v>
      </c>
      <c r="BL147" s="651"/>
      <c r="BM147" s="652">
        <f t="shared" si="50"/>
        <v>1</v>
      </c>
      <c r="BN147" s="628"/>
      <c r="BO147" s="670"/>
      <c r="BP147" s="644"/>
      <c r="BQ147" s="644"/>
      <c r="BR147" s="644"/>
      <c r="BS147" s="644"/>
      <c r="BT147" s="644"/>
      <c r="BU147" s="644"/>
      <c r="BV147" s="644"/>
      <c r="BW147" s="644"/>
      <c r="BX147" s="644"/>
      <c r="BY147" s="644"/>
      <c r="BZ147" s="644"/>
      <c r="CA147" s="644"/>
      <c r="CB147" s="646">
        <f t="shared" si="51"/>
        <v>0</v>
      </c>
      <c r="CC147" s="646">
        <f t="shared" si="52"/>
        <v>0</v>
      </c>
      <c r="CD147" s="614"/>
    </row>
    <row r="148" spans="1:82" s="561" customFormat="1" ht="61.5" customHeight="1">
      <c r="A148" s="625" t="str">
        <f t="shared" si="34"/>
        <v>1107-158-FONT1107-03-01-0066-Activación del patrimonio</v>
      </c>
      <c r="B148" s="626" t="str">
        <f t="shared" si="35"/>
        <v>1107-158-FONT1107-03-01-0066</v>
      </c>
      <c r="C148" s="626" t="str">
        <f t="shared" si="36"/>
        <v>1107-158-FONT1107-Activación del patrimonio</v>
      </c>
      <c r="D148" s="626" t="str">
        <f t="shared" si="37"/>
        <v>1107-158-12-Otros Distrito-03-01-0066</v>
      </c>
      <c r="E148" s="626" t="str">
        <f t="shared" si="38"/>
        <v>Activación del patrimonio-12-Otros Distrito-0066-Fomento, apoyo y divulgación de eventos y expresiones artísticas, culturales y del patrimonio</v>
      </c>
      <c r="F148" s="627">
        <v>110</v>
      </c>
      <c r="G148" s="628">
        <f t="shared" si="39"/>
        <v>110</v>
      </c>
      <c r="H148" s="629" t="b">
        <f t="shared" si="40"/>
        <v>0</v>
      </c>
      <c r="I148" s="630" t="s">
        <v>594</v>
      </c>
      <c r="J148" s="627" t="s">
        <v>27</v>
      </c>
      <c r="K148" s="631" t="str">
        <f>+IFERROR(VLOOKUP(J148,Listas!$A$108:$B$114,2,FALSE),"Alerta: Seleccione la celda en la comumna B con el nombre del proyecto")</f>
        <v>3-3-1-15-03-25-1107-158</v>
      </c>
      <c r="L148" s="632" t="s">
        <v>618</v>
      </c>
      <c r="M148" s="633" t="s">
        <v>708</v>
      </c>
      <c r="N148" s="634" t="str">
        <f t="shared" si="41"/>
        <v>(Cód. 110) Prestar servicios profesionales al Instituto Distrital de Patrimonio Cultural para apoyar las actividades relacionadas con el diseño gráfico y diagramación de las publicaciones y proyectos editoriales adelantados en el marco de la estrategia de apropiación social del patrimonio cultural.</v>
      </c>
      <c r="O148" s="635">
        <v>43480</v>
      </c>
      <c r="P148" s="636">
        <f>IFERROR(VLOOKUP(W148,'Estimación CRP'!$D$21:$E$30,2,FALSE),0)</f>
        <v>10</v>
      </c>
      <c r="Q148" s="637">
        <f>IF(O148="No aplica","No aplica",WORKDAY.INTL(O148,P148,1,'Estimación CRP'!A334:A350))</f>
        <v>43494</v>
      </c>
      <c r="R148" s="636">
        <f t="shared" si="42"/>
        <v>1</v>
      </c>
      <c r="S148" s="636">
        <f t="shared" si="43"/>
        <v>1</v>
      </c>
      <c r="T148" s="636">
        <f t="shared" si="44"/>
        <v>1</v>
      </c>
      <c r="U148" s="712">
        <v>11</v>
      </c>
      <c r="V148" s="638">
        <v>1</v>
      </c>
      <c r="W148" s="639" t="s">
        <v>274</v>
      </c>
      <c r="X148" s="640" t="str">
        <f>IFERROR(VLOOKUP(W148,Listas!$A$60:$B$73,2,FALSE),"Alerta: Seleccione primero Modalidad de selección")</f>
        <v>CCE-16</v>
      </c>
      <c r="Y148" s="641">
        <v>0</v>
      </c>
      <c r="Z148" s="641" t="s">
        <v>346</v>
      </c>
      <c r="AA148" s="641" t="s">
        <v>1185</v>
      </c>
      <c r="AB148" s="642">
        <f t="shared" si="45"/>
        <v>72820176</v>
      </c>
      <c r="AC148" s="642">
        <f t="shared" si="46"/>
        <v>72820176</v>
      </c>
      <c r="AD148" s="641">
        <v>0</v>
      </c>
      <c r="AE148" s="643">
        <v>0</v>
      </c>
      <c r="AF148" s="639" t="s">
        <v>276</v>
      </c>
      <c r="AG148" s="639" t="s">
        <v>277</v>
      </c>
      <c r="AH148" s="639" t="s">
        <v>284</v>
      </c>
      <c r="AI148" s="626" t="str">
        <f>IFERROR(VLOOKUP(AH148,Listas!$A$77:$C$83,2,FALSE),"Alerta: Seleccione primero el responsable")</f>
        <v>3550800</v>
      </c>
      <c r="AJ148" s="640" t="str">
        <f>IFERROR(VLOOKUP(AH148,Listas!$A$77:$C$83,3,FALSE),"Alerta: Seleccione primero el responsable")</f>
        <v>margarita.castaneda@idpc.gov.co</v>
      </c>
      <c r="AK148" s="640" t="str">
        <f>IF(J148="Funcionamiento Gastos Generales","No aplica",IF(J148="Funcionamiento Servicios Personales indirectos","No aplica",IFERROR(VLOOKUP(J148,Listas!$A$127:$E$139,3,FALSE),"Alerta: Seleccione la celda en la comumna B con el nombre del proyecto")))</f>
        <v>ME20181107</v>
      </c>
      <c r="AL148" s="640" t="str">
        <f>IF(J148="Funcionamiento Gastos Generales","No aplica",IF(J148="Funcionamiento Servicios Personales","No aplica",IFERROR(VLOOKUP(J148,Listas!$A$220:$D$224,2,FALSE),"Alerta: Seleccione la celda en la comumna B con el nombre del proyecto")))</f>
        <v>COMP1107</v>
      </c>
      <c r="AM148" s="640" t="str">
        <f>IF(J148="Funcionamiento Gastos Generales","No aplica",IF(J148="Funcionamiento Servicios Personales","No aplica",IFERROR(VLOOKUP(J148,Listas!$A$220:$D$224,3,FALSE),"Alerta: Seleccione la celda en la comumna B con el nombre del proyecto")))</f>
        <v>CONC1107</v>
      </c>
      <c r="AN148" s="633" t="s">
        <v>1046</v>
      </c>
      <c r="AO148" s="633" t="s">
        <v>54</v>
      </c>
      <c r="AP148" s="634" t="str">
        <f>IFERROR(VLOOKUP(J148,Listas!$A$182:$E$215,5,FALSE),"Alerta: Seleccione la celda en la comumna B con el nombre del proyecto")</f>
        <v>13. Oferta cultural para la valoración y divulgación del patrimonio material e  inmaterial de la ciud</v>
      </c>
      <c r="AQ148" s="634" t="str">
        <f>IF(J148="Funcionamiento Gastos Generales","No aplica",IF(J148="Funcionamiento Servicios Personales","No aplica",IFERROR(VLOOKUP(J148,Listas!$A$220:$D$224,4,FALSE),"Alerta: Seleccione la celda en la comumna B con el nombre del proyecto")))</f>
        <v>FONT1107</v>
      </c>
      <c r="AR148" s="633" t="s">
        <v>198</v>
      </c>
      <c r="AS148" s="634" t="str">
        <f>IFERROR(VLOOKUP(AU148,Listas!$E$85:$L$105,7,FALSE),"Alerta: Seleccione la celda en la comumna AI con el concepto de gasto")</f>
        <v>03-RECURSO HUMANO</v>
      </c>
      <c r="AT148" s="634" t="str">
        <f>IFERROR(VLOOKUP(AU148,Listas!$E$85:$L$105,8,FALSE),"Alerta: Seleccione la celda en la comumna AI con el concepto de gasto")</f>
        <v>01-DIVULGACION, ASISTENCIA TECNICA Y CAPACITACION DE LA POBLACION</v>
      </c>
      <c r="AU148" s="633" t="s">
        <v>232</v>
      </c>
      <c r="AV148" s="634">
        <f>IFERROR(VLOOKUP(AU148,Listas!$E$85:$F$105,2,FALSE),"Alerta: Seleccione el Concepto de Gasto primero")</f>
        <v>0</v>
      </c>
      <c r="AW148" s="644">
        <v>72820176</v>
      </c>
      <c r="AX148" s="645"/>
      <c r="AY148" s="645"/>
      <c r="AZ148" s="645"/>
      <c r="BA148" s="646">
        <f t="shared" si="47"/>
        <v>72820176</v>
      </c>
      <c r="BB148" s="647"/>
      <c r="BC148" s="648"/>
      <c r="BD148" s="649"/>
      <c r="BE148" s="647"/>
      <c r="BF148" s="644"/>
      <c r="BG148" s="646">
        <f t="shared" si="48"/>
        <v>72820176</v>
      </c>
      <c r="BH148" s="650"/>
      <c r="BI148" s="647"/>
      <c r="BJ148" s="644"/>
      <c r="BK148" s="646">
        <f t="shared" si="49"/>
        <v>0</v>
      </c>
      <c r="BL148" s="651"/>
      <c r="BM148" s="652">
        <f t="shared" si="50"/>
        <v>1</v>
      </c>
      <c r="BN148" s="628"/>
      <c r="BO148" s="670"/>
      <c r="BP148" s="644"/>
      <c r="BQ148" s="644"/>
      <c r="BR148" s="644"/>
      <c r="BS148" s="644"/>
      <c r="BT148" s="644"/>
      <c r="BU148" s="644"/>
      <c r="BV148" s="644"/>
      <c r="BW148" s="644"/>
      <c r="BX148" s="644"/>
      <c r="BY148" s="644"/>
      <c r="BZ148" s="644"/>
      <c r="CA148" s="644"/>
      <c r="CB148" s="646">
        <f t="shared" si="51"/>
        <v>0</v>
      </c>
      <c r="CC148" s="646">
        <f t="shared" si="52"/>
        <v>0</v>
      </c>
      <c r="CD148" s="614"/>
    </row>
    <row r="149" spans="1:82" s="561" customFormat="1" ht="61.5" customHeight="1">
      <c r="A149" s="625" t="str">
        <f t="shared" si="34"/>
        <v>1107-158-FONT1107-03-01-0066-Activación del patrimonio</v>
      </c>
      <c r="B149" s="626" t="str">
        <f t="shared" si="35"/>
        <v>1107-158-FONT1107-03-01-0066</v>
      </c>
      <c r="C149" s="626" t="str">
        <f t="shared" si="36"/>
        <v>1107-158-FONT1107-Activación del patrimonio</v>
      </c>
      <c r="D149" s="626" t="str">
        <f t="shared" si="37"/>
        <v>1107-158-12-Otros Distrito-03-01-0066</v>
      </c>
      <c r="E149" s="626" t="str">
        <f t="shared" si="38"/>
        <v>Activación del patrimonio-12-Otros Distrito-0066-Fomento, apoyo y divulgación de eventos y expresiones artísticas, culturales y del patrimonio</v>
      </c>
      <c r="F149" s="627">
        <v>111</v>
      </c>
      <c r="G149" s="628">
        <f t="shared" si="39"/>
        <v>111</v>
      </c>
      <c r="H149" s="629" t="b">
        <f t="shared" si="40"/>
        <v>0</v>
      </c>
      <c r="I149" s="630" t="s">
        <v>594</v>
      </c>
      <c r="J149" s="627" t="s">
        <v>27</v>
      </c>
      <c r="K149" s="631" t="str">
        <f>+IFERROR(VLOOKUP(J149,Listas!$A$108:$B$114,2,FALSE),"Alerta: Seleccione la celda en la comumna B con el nombre del proyecto")</f>
        <v>3-3-1-15-03-25-1107-158</v>
      </c>
      <c r="L149" s="632" t="s">
        <v>618</v>
      </c>
      <c r="M149" s="633" t="s">
        <v>709</v>
      </c>
      <c r="N149" s="634" t="str">
        <f t="shared" si="41"/>
        <v>(Cód. 111) Prestar servicios profesionales al Instituto Distrital de Patrimonio Cultural para acompañar el desarrollo de publicaciones generadas en el marco de la estrategia de apropiación social del patrimonio cultural.</v>
      </c>
      <c r="O149" s="635">
        <v>43480</v>
      </c>
      <c r="P149" s="636">
        <f>IFERROR(VLOOKUP(W149,'Estimación CRP'!$D$21:$E$30,2,FALSE),0)</f>
        <v>10</v>
      </c>
      <c r="Q149" s="637">
        <f>IF(O149="No aplica","No aplica",WORKDAY.INTL(O149,P149,1,'Estimación CRP'!A335:A351))</f>
        <v>43494</v>
      </c>
      <c r="R149" s="636">
        <f t="shared" si="42"/>
        <v>1</v>
      </c>
      <c r="S149" s="636">
        <f t="shared" si="43"/>
        <v>1</v>
      </c>
      <c r="T149" s="636">
        <f t="shared" si="44"/>
        <v>1</v>
      </c>
      <c r="U149" s="712">
        <v>11</v>
      </c>
      <c r="V149" s="638">
        <v>1</v>
      </c>
      <c r="W149" s="639" t="s">
        <v>274</v>
      </c>
      <c r="X149" s="640" t="str">
        <f>IFERROR(VLOOKUP(W149,Listas!$A$60:$B$73,2,FALSE),"Alerta: Seleccione primero Modalidad de selección")</f>
        <v>CCE-16</v>
      </c>
      <c r="Y149" s="641">
        <v>0</v>
      </c>
      <c r="Z149" s="641" t="s">
        <v>346</v>
      </c>
      <c r="AA149" s="641" t="s">
        <v>1186</v>
      </c>
      <c r="AB149" s="642">
        <f t="shared" si="45"/>
        <v>77000000</v>
      </c>
      <c r="AC149" s="642">
        <f t="shared" si="46"/>
        <v>77000000</v>
      </c>
      <c r="AD149" s="641">
        <v>0</v>
      </c>
      <c r="AE149" s="643">
        <v>0</v>
      </c>
      <c r="AF149" s="639" t="s">
        <v>276</v>
      </c>
      <c r="AG149" s="639" t="s">
        <v>277</v>
      </c>
      <c r="AH149" s="639" t="s">
        <v>284</v>
      </c>
      <c r="AI149" s="626" t="str">
        <f>IFERROR(VLOOKUP(AH149,Listas!$A$77:$C$83,2,FALSE),"Alerta: Seleccione primero el responsable")</f>
        <v>3550800</v>
      </c>
      <c r="AJ149" s="640" t="str">
        <f>IFERROR(VLOOKUP(AH149,Listas!$A$77:$C$83,3,FALSE),"Alerta: Seleccione primero el responsable")</f>
        <v>margarita.castaneda@idpc.gov.co</v>
      </c>
      <c r="AK149" s="640" t="str">
        <f>IF(J149="Funcionamiento Gastos Generales","No aplica",IF(J149="Funcionamiento Servicios Personales indirectos","No aplica",IFERROR(VLOOKUP(J149,Listas!$A$127:$E$139,3,FALSE),"Alerta: Seleccione la celda en la comumna B con el nombre del proyecto")))</f>
        <v>ME20181107</v>
      </c>
      <c r="AL149" s="640" t="str">
        <f>IF(J149="Funcionamiento Gastos Generales","No aplica",IF(J149="Funcionamiento Servicios Personales","No aplica",IFERROR(VLOOKUP(J149,Listas!$A$220:$D$224,2,FALSE),"Alerta: Seleccione la celda en la comumna B con el nombre del proyecto")))</f>
        <v>COMP1107</v>
      </c>
      <c r="AM149" s="640" t="str">
        <f>IF(J149="Funcionamiento Gastos Generales","No aplica",IF(J149="Funcionamiento Servicios Personales","No aplica",IFERROR(VLOOKUP(J149,Listas!$A$220:$D$224,3,FALSE),"Alerta: Seleccione la celda en la comumna B con el nombre del proyecto")))</f>
        <v>CONC1107</v>
      </c>
      <c r="AN149" s="633" t="s">
        <v>1046</v>
      </c>
      <c r="AO149" s="633" t="s">
        <v>54</v>
      </c>
      <c r="AP149" s="634" t="str">
        <f>IFERROR(VLOOKUP(J149,Listas!$A$182:$E$215,5,FALSE),"Alerta: Seleccione la celda en la comumna B con el nombre del proyecto")</f>
        <v>13. Oferta cultural para la valoración y divulgación del patrimonio material e  inmaterial de la ciud</v>
      </c>
      <c r="AQ149" s="634" t="str">
        <f>IF(J149="Funcionamiento Gastos Generales","No aplica",IF(J149="Funcionamiento Servicios Personales","No aplica",IFERROR(VLOOKUP(J149,Listas!$A$220:$D$224,4,FALSE),"Alerta: Seleccione la celda en la comumna B con el nombre del proyecto")))</f>
        <v>FONT1107</v>
      </c>
      <c r="AR149" s="633" t="s">
        <v>198</v>
      </c>
      <c r="AS149" s="634" t="str">
        <f>IFERROR(VLOOKUP(AU149,Listas!$E$85:$L$105,7,FALSE),"Alerta: Seleccione la celda en la comumna AI con el concepto de gasto")</f>
        <v>03-RECURSO HUMANO</v>
      </c>
      <c r="AT149" s="634" t="str">
        <f>IFERROR(VLOOKUP(AU149,Listas!$E$85:$L$105,8,FALSE),"Alerta: Seleccione la celda en la comumna AI con el concepto de gasto")</f>
        <v>01-DIVULGACION, ASISTENCIA TECNICA Y CAPACITACION DE LA POBLACION</v>
      </c>
      <c r="AU149" s="633" t="s">
        <v>232</v>
      </c>
      <c r="AV149" s="634">
        <f>IFERROR(VLOOKUP(AU149,Listas!$E$85:$F$105,2,FALSE),"Alerta: Seleccione el Concepto de Gasto primero")</f>
        <v>0</v>
      </c>
      <c r="AW149" s="644">
        <v>77000000</v>
      </c>
      <c r="AX149" s="645"/>
      <c r="AY149" s="645"/>
      <c r="AZ149" s="645"/>
      <c r="BA149" s="646">
        <f t="shared" si="47"/>
        <v>77000000</v>
      </c>
      <c r="BB149" s="647"/>
      <c r="BC149" s="648"/>
      <c r="BD149" s="649"/>
      <c r="BE149" s="647"/>
      <c r="BF149" s="644"/>
      <c r="BG149" s="646">
        <f t="shared" si="48"/>
        <v>77000000</v>
      </c>
      <c r="BH149" s="650"/>
      <c r="BI149" s="647"/>
      <c r="BJ149" s="644"/>
      <c r="BK149" s="646">
        <f t="shared" si="49"/>
        <v>0</v>
      </c>
      <c r="BL149" s="651"/>
      <c r="BM149" s="652">
        <f t="shared" si="50"/>
        <v>1</v>
      </c>
      <c r="BN149" s="628"/>
      <c r="BO149" s="670"/>
      <c r="BP149" s="644"/>
      <c r="BQ149" s="644"/>
      <c r="BR149" s="644"/>
      <c r="BS149" s="644"/>
      <c r="BT149" s="644"/>
      <c r="BU149" s="644"/>
      <c r="BV149" s="644"/>
      <c r="BW149" s="644"/>
      <c r="BX149" s="644"/>
      <c r="BY149" s="644"/>
      <c r="BZ149" s="644"/>
      <c r="CA149" s="644"/>
      <c r="CB149" s="646">
        <f t="shared" si="51"/>
        <v>0</v>
      </c>
      <c r="CC149" s="646">
        <f t="shared" si="52"/>
        <v>0</v>
      </c>
      <c r="CD149" s="614"/>
    </row>
    <row r="150" spans="1:82" s="561" customFormat="1" ht="61.5" customHeight="1">
      <c r="A150" s="625" t="str">
        <f t="shared" si="34"/>
        <v>1107-158-FONT1107-03-01-0066-Museo de Bogotá en operación</v>
      </c>
      <c r="B150" s="626" t="str">
        <f t="shared" si="35"/>
        <v>1107-158-FONT1107-03-01-0066</v>
      </c>
      <c r="C150" s="626" t="str">
        <f t="shared" si="36"/>
        <v>1107-158-FONT1107-Museo de Bogotá en operación</v>
      </c>
      <c r="D150" s="626" t="str">
        <f t="shared" si="37"/>
        <v>1107-158-147-Otros Recursos del balance de destinación específica-03-01-0066</v>
      </c>
      <c r="E150" s="626" t="str">
        <f t="shared" si="38"/>
        <v>Museo de Bogotá en operación-147-Otros Recursos del balance de destinación específica-0066-Fomento, apoyo y divulgación de eventos y expresiones artísticas, culturales y del patrimonio</v>
      </c>
      <c r="F150" s="627" t="s">
        <v>346</v>
      </c>
      <c r="G150" s="628" t="str">
        <f t="shared" si="39"/>
        <v>N.A.</v>
      </c>
      <c r="H150" s="629" t="b">
        <f t="shared" si="40"/>
        <v>0</v>
      </c>
      <c r="I150" s="630" t="s">
        <v>595</v>
      </c>
      <c r="J150" s="627" t="s">
        <v>27</v>
      </c>
      <c r="K150" s="631" t="str">
        <f>+IFERROR(VLOOKUP(J150,Listas!$A$108:$B$114,2,FALSE),"Alerta: Seleccione la celda en la comumna B con el nombre del proyecto")</f>
        <v>3-3-1-15-03-25-1107-158</v>
      </c>
      <c r="L150" s="632" t="s">
        <v>346</v>
      </c>
      <c r="M150" s="633" t="s">
        <v>710</v>
      </c>
      <c r="N150" s="634" t="str">
        <f t="shared" si="41"/>
        <v>(Cód. N.A.) SALDO DEL COMPONENTE MUSEO EN OPERACIÓN</v>
      </c>
      <c r="O150" s="635">
        <v>43600</v>
      </c>
      <c r="P150" s="636">
        <f>IFERROR(VLOOKUP(W150,'Estimación CRP'!$D$21:$E$30,2,FALSE),0)</f>
        <v>0</v>
      </c>
      <c r="Q150" s="637">
        <f>IF(O150="No aplica","No aplica",WORKDAY.INTL(O150,P150,1,'Estimación CRP'!A336:A352))</f>
        <v>43600</v>
      </c>
      <c r="R150" s="636">
        <f t="shared" si="42"/>
        <v>5</v>
      </c>
      <c r="S150" s="636">
        <f t="shared" si="43"/>
        <v>5</v>
      </c>
      <c r="T150" s="636">
        <f t="shared" si="44"/>
        <v>5</v>
      </c>
      <c r="U150" s="638"/>
      <c r="V150" s="638"/>
      <c r="W150" s="639" t="s">
        <v>351</v>
      </c>
      <c r="X150" s="640" t="str">
        <f>IFERROR(VLOOKUP(W150,Listas!$A$60:$B$73,2,FALSE),"Alerta: Seleccione primero Modalidad de selección")</f>
        <v>No aplica</v>
      </c>
      <c r="Y150" s="641">
        <v>0</v>
      </c>
      <c r="Z150" s="641" t="s">
        <v>346</v>
      </c>
      <c r="AA150" s="641"/>
      <c r="AB150" s="642">
        <f t="shared" si="45"/>
        <v>40000000</v>
      </c>
      <c r="AC150" s="642">
        <f t="shared" si="46"/>
        <v>40000000</v>
      </c>
      <c r="AD150" s="641">
        <v>0</v>
      </c>
      <c r="AE150" s="643">
        <v>0</v>
      </c>
      <c r="AF150" s="639" t="s">
        <v>276</v>
      </c>
      <c r="AG150" s="639" t="s">
        <v>277</v>
      </c>
      <c r="AH150" s="639" t="s">
        <v>284</v>
      </c>
      <c r="AI150" s="626" t="str">
        <f>IFERROR(VLOOKUP(AH150,Listas!$A$77:$C$83,2,FALSE),"Alerta: Seleccione primero el responsable")</f>
        <v>3550800</v>
      </c>
      <c r="AJ150" s="640" t="str">
        <f>IFERROR(VLOOKUP(AH150,Listas!$A$77:$C$83,3,FALSE),"Alerta: Seleccione primero el responsable")</f>
        <v>margarita.castaneda@idpc.gov.co</v>
      </c>
      <c r="AK150" s="640" t="str">
        <f>IF(J150="Funcionamiento Gastos Generales","No aplica",IF(J150="Funcionamiento Servicios Personales indirectos","No aplica",IFERROR(VLOOKUP(J150,Listas!$A$127:$E$139,3,FALSE),"Alerta: Seleccione la celda en la comumna B con el nombre del proyecto")))</f>
        <v>ME20181107</v>
      </c>
      <c r="AL150" s="640" t="str">
        <f>IF(J150="Funcionamiento Gastos Generales","No aplica",IF(J150="Funcionamiento Servicios Personales","No aplica",IFERROR(VLOOKUP(J150,Listas!$A$220:$D$224,2,FALSE),"Alerta: Seleccione la celda en la comumna B con el nombre del proyecto")))</f>
        <v>COMP1107</v>
      </c>
      <c r="AM150" s="640" t="str">
        <f>IF(J150="Funcionamiento Gastos Generales","No aplica",IF(J150="Funcionamiento Servicios Personales","No aplica",IFERROR(VLOOKUP(J150,Listas!$A$220:$D$224,3,FALSE),"Alerta: Seleccione la celda en la comumna B con el nombre del proyecto")))</f>
        <v>CONC1107</v>
      </c>
      <c r="AN150" s="633" t="s">
        <v>1047</v>
      </c>
      <c r="AO150" s="633" t="s">
        <v>53</v>
      </c>
      <c r="AP150" s="634" t="str">
        <f>IFERROR(VLOOKUP(J150,Listas!$A$182:$E$215,5,FALSE),"Alerta: Seleccione la celda en la comumna B con el nombre del proyecto")</f>
        <v>13. Oferta cultural para la valoración y divulgación del patrimonio material e  inmaterial de la ciud</v>
      </c>
      <c r="AQ150" s="634" t="str">
        <f>IF(J150="Funcionamiento Gastos Generales","No aplica",IF(J150="Funcionamiento Servicios Personales","No aplica",IFERROR(VLOOKUP(J150,Listas!$A$220:$D$224,4,FALSE),"Alerta: Seleccione la celda en la comumna B con el nombre del proyecto")))</f>
        <v>FONT1107</v>
      </c>
      <c r="AR150" s="633" t="s">
        <v>1056</v>
      </c>
      <c r="AS150" s="634" t="str">
        <f>IFERROR(VLOOKUP(AU150,Listas!$E$85:$L$105,7,FALSE),"Alerta: Seleccione la celda en la comumna AI con el concepto de gasto")</f>
        <v>03-RECURSO HUMANO</v>
      </c>
      <c r="AT150" s="634" t="str">
        <f>IFERROR(VLOOKUP(AU150,Listas!$E$85:$L$105,8,FALSE),"Alerta: Seleccione la celda en la comumna AI con el concepto de gasto")</f>
        <v>01-DIVULGACION, ASISTENCIA TECNICA Y CAPACITACION DE LA POBLACION</v>
      </c>
      <c r="AU150" s="633" t="s">
        <v>232</v>
      </c>
      <c r="AV150" s="634">
        <f>IFERROR(VLOOKUP(AU150,Listas!$E$85:$F$105,2,FALSE),"Alerta: Seleccione el Concepto de Gasto primero")</f>
        <v>0</v>
      </c>
      <c r="AW150" s="644">
        <v>40000000</v>
      </c>
      <c r="AX150" s="645"/>
      <c r="AY150" s="645"/>
      <c r="AZ150" s="645"/>
      <c r="BA150" s="646">
        <f t="shared" si="47"/>
        <v>40000000</v>
      </c>
      <c r="BB150" s="647"/>
      <c r="BC150" s="648"/>
      <c r="BD150" s="649"/>
      <c r="BE150" s="647"/>
      <c r="BF150" s="644"/>
      <c r="BG150" s="646">
        <f t="shared" si="48"/>
        <v>40000000</v>
      </c>
      <c r="BH150" s="650"/>
      <c r="BI150" s="647"/>
      <c r="BJ150" s="644"/>
      <c r="BK150" s="646">
        <f t="shared" si="49"/>
        <v>0</v>
      </c>
      <c r="BL150" s="651"/>
      <c r="BM150" s="652">
        <f t="shared" si="50"/>
        <v>1</v>
      </c>
      <c r="BN150" s="628"/>
      <c r="BO150" s="670"/>
      <c r="BP150" s="644"/>
      <c r="BQ150" s="644"/>
      <c r="BR150" s="644"/>
      <c r="BS150" s="644"/>
      <c r="BT150" s="644"/>
      <c r="BU150" s="644"/>
      <c r="BV150" s="644"/>
      <c r="BW150" s="644"/>
      <c r="BX150" s="644"/>
      <c r="BY150" s="644"/>
      <c r="BZ150" s="644"/>
      <c r="CA150" s="644"/>
      <c r="CB150" s="646">
        <f t="shared" si="51"/>
        <v>0</v>
      </c>
      <c r="CC150" s="646">
        <f t="shared" si="52"/>
        <v>0</v>
      </c>
      <c r="CD150" s="614"/>
    </row>
    <row r="151" spans="1:82" s="561" customFormat="1" ht="61.5" customHeight="1">
      <c r="A151" s="625" t="str">
        <f t="shared" si="34"/>
        <v>1107-158-FONT1107-04-01-0185-Estímulos a iniciativas de la ciudadanía en temas de patrimonio cultural</v>
      </c>
      <c r="B151" s="626" t="str">
        <f t="shared" si="35"/>
        <v>1107-158-FONT1107-04-01-0185</v>
      </c>
      <c r="C151" s="626" t="str">
        <f t="shared" si="36"/>
        <v>1107-158-FONT1107-Estímulos a iniciativas de la ciudadanía en temas de patrimonio cultural</v>
      </c>
      <c r="D151" s="626" t="str">
        <f t="shared" si="37"/>
        <v>1107-158-12-Otros Distrito-04-01-0185</v>
      </c>
      <c r="E151" s="626" t="str">
        <f t="shared" si="38"/>
        <v>Estímulos a iniciativas de la ciudadanía en temas de patrimonio cultural-12-Otros Distrito-0185-Actividades de investigación para la valoración, protección, conservación, sostenibilidad y apropiación del Patrimonio Cultural</v>
      </c>
      <c r="F151" s="627" t="s">
        <v>346</v>
      </c>
      <c r="G151" s="628" t="str">
        <f t="shared" si="39"/>
        <v>N.A.</v>
      </c>
      <c r="H151" s="629" t="b">
        <f t="shared" si="40"/>
        <v>1</v>
      </c>
      <c r="I151" s="630" t="s">
        <v>595</v>
      </c>
      <c r="J151" s="627" t="s">
        <v>27</v>
      </c>
      <c r="K151" s="631" t="str">
        <f>+IFERROR(VLOOKUP(J151,Listas!$A$108:$B$114,2,FALSE),"Alerta: Seleccione la celda en la comumna B con el nombre del proyecto")</f>
        <v>3-3-1-15-03-25-1107-158</v>
      </c>
      <c r="L151" s="632" t="s">
        <v>346</v>
      </c>
      <c r="M151" s="633" t="s">
        <v>711</v>
      </c>
      <c r="N151" s="634" t="str">
        <f t="shared" si="41"/>
        <v>(Cód. N.A.) Becas</v>
      </c>
      <c r="O151" s="635">
        <v>43600</v>
      </c>
      <c r="P151" s="636">
        <f>IFERROR(VLOOKUP(W151,'Estimación CRP'!$D$21:$E$30,2,FALSE),0)</f>
        <v>10</v>
      </c>
      <c r="Q151" s="637">
        <f>IF(O151="No aplica","No aplica",WORKDAY.INTL(O151,P151,1,'Estimación CRP'!A337:A353))</f>
        <v>43614</v>
      </c>
      <c r="R151" s="636">
        <f t="shared" si="42"/>
        <v>5</v>
      </c>
      <c r="S151" s="636">
        <f t="shared" si="43"/>
        <v>5</v>
      </c>
      <c r="T151" s="636">
        <f t="shared" si="44"/>
        <v>5</v>
      </c>
      <c r="U151" s="638">
        <v>8</v>
      </c>
      <c r="V151" s="638">
        <v>1</v>
      </c>
      <c r="W151" s="639" t="s">
        <v>269</v>
      </c>
      <c r="X151" s="640" t="str">
        <f>IFERROR(VLOOKUP(W151,Listas!$A$60:$B$73,2,FALSE),"Alerta: Seleccione primero Modalidad de selección")</f>
        <v>CCE-16</v>
      </c>
      <c r="Y151" s="641">
        <v>0</v>
      </c>
      <c r="Z151" s="641" t="s">
        <v>346</v>
      </c>
      <c r="AA151" s="641"/>
      <c r="AB151" s="642">
        <f t="shared" si="45"/>
        <v>130000000</v>
      </c>
      <c r="AC151" s="642">
        <f t="shared" si="46"/>
        <v>130000000</v>
      </c>
      <c r="AD151" s="641">
        <v>0</v>
      </c>
      <c r="AE151" s="643">
        <v>0</v>
      </c>
      <c r="AF151" s="639" t="s">
        <v>276</v>
      </c>
      <c r="AG151" s="639" t="s">
        <v>277</v>
      </c>
      <c r="AH151" s="639" t="s">
        <v>284</v>
      </c>
      <c r="AI151" s="626" t="str">
        <f>IFERROR(VLOOKUP(AH151,Listas!$A$77:$C$83,2,FALSE),"Alerta: Seleccione primero el responsable")</f>
        <v>3550800</v>
      </c>
      <c r="AJ151" s="640" t="str">
        <f>IFERROR(VLOOKUP(AH151,Listas!$A$77:$C$83,3,FALSE),"Alerta: Seleccione primero el responsable")</f>
        <v>margarita.castaneda@idpc.gov.co</v>
      </c>
      <c r="AK151" s="640" t="str">
        <f>IF(J151="Funcionamiento Gastos Generales","No aplica",IF(J151="Funcionamiento Servicios Personales indirectos","No aplica",IFERROR(VLOOKUP(J151,Listas!$A$127:$E$139,3,FALSE),"Alerta: Seleccione la celda en la comumna B con el nombre del proyecto")))</f>
        <v>ME20181107</v>
      </c>
      <c r="AL151" s="640" t="str">
        <f>IF(J151="Funcionamiento Gastos Generales","No aplica",IF(J151="Funcionamiento Servicios Personales","No aplica",IFERROR(VLOOKUP(J151,Listas!$A$220:$D$224,2,FALSE),"Alerta: Seleccione la celda en la comumna B con el nombre del proyecto")))</f>
        <v>COMP1107</v>
      </c>
      <c r="AM151" s="640" t="str">
        <f>IF(J151="Funcionamiento Gastos Generales","No aplica",IF(J151="Funcionamiento Servicios Personales","No aplica",IFERROR(VLOOKUP(J151,Listas!$A$220:$D$224,3,FALSE),"Alerta: Seleccione la celda en la comumna B con el nombre del proyecto")))</f>
        <v>CONC1107</v>
      </c>
      <c r="AN151" s="633" t="s">
        <v>1048</v>
      </c>
      <c r="AO151" s="633" t="s">
        <v>122</v>
      </c>
      <c r="AP151" s="634" t="str">
        <f>IFERROR(VLOOKUP(J151,Listas!$A$182:$E$215,5,FALSE),"Alerta: Seleccione la celda en la comumna B con el nombre del proyecto")</f>
        <v>13. Oferta cultural para la valoración y divulgación del patrimonio material e  inmaterial de la ciud</v>
      </c>
      <c r="AQ151" s="634" t="str">
        <f>IF(J151="Funcionamiento Gastos Generales","No aplica",IF(J151="Funcionamiento Servicios Personales","No aplica",IFERROR(VLOOKUP(J151,Listas!$A$220:$D$224,4,FALSE),"Alerta: Seleccione la celda en la comumna B con el nombre del proyecto")))</f>
        <v>FONT1107</v>
      </c>
      <c r="AR151" s="633" t="s">
        <v>198</v>
      </c>
      <c r="AS151" s="634" t="str">
        <f>IFERROR(VLOOKUP(AU151,Listas!$E$85:$L$105,7,FALSE),"Alerta: Seleccione la celda en la comumna AI con el concepto de gasto")</f>
        <v>04-INVESTIGACION Y ESTUDIOS</v>
      </c>
      <c r="AT151" s="634" t="str">
        <f>IFERROR(VLOOKUP(AU151,Listas!$E$85:$L$105,8,FALSE),"Alerta: Seleccione la celda en la comumna AI con el concepto de gasto")</f>
        <v>01-INVESTIGACIÓN BÁSICA APLICADA Y ESTUDIOS PROPIOS DEL SECTOR</v>
      </c>
      <c r="AU151" s="633" t="s">
        <v>201</v>
      </c>
      <c r="AV151" s="634">
        <f>IFERROR(VLOOKUP(AU151,Listas!$E$85:$F$105,2,FALSE),"Alerta: Seleccione el Concepto de Gasto primero")</f>
        <v>0</v>
      </c>
      <c r="AW151" s="644">
        <v>130000000</v>
      </c>
      <c r="AX151" s="645"/>
      <c r="AY151" s="645"/>
      <c r="AZ151" s="645"/>
      <c r="BA151" s="646">
        <f t="shared" si="47"/>
        <v>130000000</v>
      </c>
      <c r="BB151" s="647"/>
      <c r="BC151" s="648"/>
      <c r="BD151" s="649"/>
      <c r="BE151" s="647"/>
      <c r="BF151" s="644"/>
      <c r="BG151" s="646">
        <f t="shared" si="48"/>
        <v>130000000</v>
      </c>
      <c r="BH151" s="650"/>
      <c r="BI151" s="647"/>
      <c r="BJ151" s="644"/>
      <c r="BK151" s="646">
        <f t="shared" si="49"/>
        <v>0</v>
      </c>
      <c r="BL151" s="651"/>
      <c r="BM151" s="652">
        <f t="shared" si="50"/>
        <v>1</v>
      </c>
      <c r="BN151" s="628"/>
      <c r="BO151" s="670"/>
      <c r="BP151" s="644"/>
      <c r="BQ151" s="644"/>
      <c r="BR151" s="644"/>
      <c r="BS151" s="644"/>
      <c r="BT151" s="644"/>
      <c r="BU151" s="644"/>
      <c r="BV151" s="644"/>
      <c r="BW151" s="644"/>
      <c r="BX151" s="644"/>
      <c r="BY151" s="644"/>
      <c r="BZ151" s="644"/>
      <c r="CA151" s="644"/>
      <c r="CB151" s="646">
        <f t="shared" si="51"/>
        <v>0</v>
      </c>
      <c r="CC151" s="646">
        <f t="shared" si="52"/>
        <v>0</v>
      </c>
      <c r="CD151" s="614"/>
    </row>
    <row r="152" spans="1:82" s="561" customFormat="1" ht="61.5" customHeight="1">
      <c r="A152" s="625" t="str">
        <f t="shared" si="34"/>
        <v>1107-158-FONT1107-04-01-0185-Estímulos a iniciativas de la ciudadanía en temas de patrimonio cultural</v>
      </c>
      <c r="B152" s="626" t="str">
        <f t="shared" si="35"/>
        <v>1107-158-FONT1107-04-01-0185</v>
      </c>
      <c r="C152" s="626" t="str">
        <f t="shared" si="36"/>
        <v>1107-158-FONT1107-Estímulos a iniciativas de la ciudadanía en temas de patrimonio cultural</v>
      </c>
      <c r="D152" s="626" t="str">
        <f t="shared" si="37"/>
        <v>1107-158-12-Otros Distrito-04-01-0185</v>
      </c>
      <c r="E152" s="626" t="str">
        <f t="shared" si="38"/>
        <v>Estímulos a iniciativas de la ciudadanía en temas de patrimonio cultural-12-Otros Distrito-0185-Actividades de investigación para la valoración, protección, conservación, sostenibilidad y apropiación del Patrimonio Cultural</v>
      </c>
      <c r="F152" s="627" t="s">
        <v>346</v>
      </c>
      <c r="G152" s="628" t="str">
        <f t="shared" si="39"/>
        <v>N.A.</v>
      </c>
      <c r="H152" s="629" t="b">
        <f t="shared" si="40"/>
        <v>1</v>
      </c>
      <c r="I152" s="630" t="s">
        <v>595</v>
      </c>
      <c r="J152" s="627" t="s">
        <v>27</v>
      </c>
      <c r="K152" s="631" t="str">
        <f>+IFERROR(VLOOKUP(J152,Listas!$A$108:$B$114,2,FALSE),"Alerta: Seleccione la celda en la comumna B con el nombre del proyecto")</f>
        <v>3-3-1-15-03-25-1107-158</v>
      </c>
      <c r="L152" s="632" t="s">
        <v>346</v>
      </c>
      <c r="M152" s="633" t="s">
        <v>712</v>
      </c>
      <c r="N152" s="634" t="str">
        <f t="shared" si="41"/>
        <v xml:space="preserve">(Cód. N.A.) Premios </v>
      </c>
      <c r="O152" s="635">
        <v>43600</v>
      </c>
      <c r="P152" s="636">
        <f>IFERROR(VLOOKUP(W152,'Estimación CRP'!$D$21:$E$30,2,FALSE),0)</f>
        <v>10</v>
      </c>
      <c r="Q152" s="637">
        <f>IF(O152="No aplica","No aplica",WORKDAY.INTL(O152,P152,1,'Estimación CRP'!A338:A354))</f>
        <v>43614</v>
      </c>
      <c r="R152" s="636">
        <f t="shared" si="42"/>
        <v>5</v>
      </c>
      <c r="S152" s="636">
        <f t="shared" si="43"/>
        <v>5</v>
      </c>
      <c r="T152" s="636">
        <f t="shared" si="44"/>
        <v>5</v>
      </c>
      <c r="U152" s="638">
        <v>8</v>
      </c>
      <c r="V152" s="638">
        <v>1</v>
      </c>
      <c r="W152" s="639" t="s">
        <v>269</v>
      </c>
      <c r="X152" s="640" t="str">
        <f>IFERROR(VLOOKUP(W152,Listas!$A$60:$B$73,2,FALSE),"Alerta: Seleccione primero Modalidad de selección")</f>
        <v>CCE-16</v>
      </c>
      <c r="Y152" s="641">
        <v>0</v>
      </c>
      <c r="Z152" s="641" t="s">
        <v>346</v>
      </c>
      <c r="AA152" s="641"/>
      <c r="AB152" s="642">
        <f t="shared" si="45"/>
        <v>50000000</v>
      </c>
      <c r="AC152" s="642">
        <f t="shared" si="46"/>
        <v>50000000</v>
      </c>
      <c r="AD152" s="641">
        <v>0</v>
      </c>
      <c r="AE152" s="643">
        <v>0</v>
      </c>
      <c r="AF152" s="639" t="s">
        <v>276</v>
      </c>
      <c r="AG152" s="639" t="s">
        <v>277</v>
      </c>
      <c r="AH152" s="639" t="s">
        <v>284</v>
      </c>
      <c r="AI152" s="626" t="str">
        <f>IFERROR(VLOOKUP(AH152,Listas!$A$77:$C$83,2,FALSE),"Alerta: Seleccione primero el responsable")</f>
        <v>3550800</v>
      </c>
      <c r="AJ152" s="640" t="str">
        <f>IFERROR(VLOOKUP(AH152,Listas!$A$77:$C$83,3,FALSE),"Alerta: Seleccione primero el responsable")</f>
        <v>margarita.castaneda@idpc.gov.co</v>
      </c>
      <c r="AK152" s="640" t="str">
        <f>IF(J152="Funcionamiento Gastos Generales","No aplica",IF(J152="Funcionamiento Servicios Personales indirectos","No aplica",IFERROR(VLOOKUP(J152,Listas!$A$127:$E$139,3,FALSE),"Alerta: Seleccione la celda en la comumna B con el nombre del proyecto")))</f>
        <v>ME20181107</v>
      </c>
      <c r="AL152" s="640" t="str">
        <f>IF(J152="Funcionamiento Gastos Generales","No aplica",IF(J152="Funcionamiento Servicios Personales","No aplica",IFERROR(VLOOKUP(J152,Listas!$A$220:$D$224,2,FALSE),"Alerta: Seleccione la celda en la comumna B con el nombre del proyecto")))</f>
        <v>COMP1107</v>
      </c>
      <c r="AM152" s="640" t="str">
        <f>IF(J152="Funcionamiento Gastos Generales","No aplica",IF(J152="Funcionamiento Servicios Personales","No aplica",IFERROR(VLOOKUP(J152,Listas!$A$220:$D$224,3,FALSE),"Alerta: Seleccione la celda en la comumna B con el nombre del proyecto")))</f>
        <v>CONC1107</v>
      </c>
      <c r="AN152" s="633" t="s">
        <v>1048</v>
      </c>
      <c r="AO152" s="633" t="s">
        <v>122</v>
      </c>
      <c r="AP152" s="634" t="str">
        <f>IFERROR(VLOOKUP(J152,Listas!$A$182:$E$215,5,FALSE),"Alerta: Seleccione la celda en la comumna B con el nombre del proyecto")</f>
        <v>13. Oferta cultural para la valoración y divulgación del patrimonio material e  inmaterial de la ciud</v>
      </c>
      <c r="AQ152" s="634" t="str">
        <f>IF(J152="Funcionamiento Gastos Generales","No aplica",IF(J152="Funcionamiento Servicios Personales","No aplica",IFERROR(VLOOKUP(J152,Listas!$A$220:$D$224,4,FALSE),"Alerta: Seleccione la celda en la comumna B con el nombre del proyecto")))</f>
        <v>FONT1107</v>
      </c>
      <c r="AR152" s="633" t="s">
        <v>198</v>
      </c>
      <c r="AS152" s="634" t="str">
        <f>IFERROR(VLOOKUP(AU152,Listas!$E$85:$L$105,7,FALSE),"Alerta: Seleccione la celda en la comumna AI con el concepto de gasto")</f>
        <v>04-INVESTIGACION Y ESTUDIOS</v>
      </c>
      <c r="AT152" s="634" t="str">
        <f>IFERROR(VLOOKUP(AU152,Listas!$E$85:$L$105,8,FALSE),"Alerta: Seleccione la celda en la comumna AI con el concepto de gasto")</f>
        <v>01-INVESTIGACIÓN BÁSICA APLICADA Y ESTUDIOS PROPIOS DEL SECTOR</v>
      </c>
      <c r="AU152" s="633" t="s">
        <v>201</v>
      </c>
      <c r="AV152" s="634">
        <f>IFERROR(VLOOKUP(AU152,Listas!$E$85:$F$105,2,FALSE),"Alerta: Seleccione el Concepto de Gasto primero")</f>
        <v>0</v>
      </c>
      <c r="AW152" s="644">
        <v>50000000</v>
      </c>
      <c r="AX152" s="645"/>
      <c r="AY152" s="645"/>
      <c r="AZ152" s="645"/>
      <c r="BA152" s="646">
        <f t="shared" si="47"/>
        <v>50000000</v>
      </c>
      <c r="BB152" s="647"/>
      <c r="BC152" s="648"/>
      <c r="BD152" s="649"/>
      <c r="BE152" s="647"/>
      <c r="BF152" s="644"/>
      <c r="BG152" s="646">
        <f t="shared" si="48"/>
        <v>50000000</v>
      </c>
      <c r="BH152" s="650"/>
      <c r="BI152" s="647"/>
      <c r="BJ152" s="644"/>
      <c r="BK152" s="646">
        <f t="shared" si="49"/>
        <v>0</v>
      </c>
      <c r="BL152" s="651"/>
      <c r="BM152" s="652">
        <f t="shared" si="50"/>
        <v>1</v>
      </c>
      <c r="BN152" s="628"/>
      <c r="BO152" s="670"/>
      <c r="BP152" s="644"/>
      <c r="BQ152" s="644"/>
      <c r="BR152" s="644"/>
      <c r="BS152" s="644"/>
      <c r="BT152" s="644"/>
      <c r="BU152" s="644"/>
      <c r="BV152" s="644"/>
      <c r="BW152" s="644"/>
      <c r="BX152" s="644"/>
      <c r="BY152" s="644"/>
      <c r="BZ152" s="644"/>
      <c r="CA152" s="644"/>
      <c r="CB152" s="646">
        <f t="shared" si="51"/>
        <v>0</v>
      </c>
      <c r="CC152" s="646">
        <f t="shared" si="52"/>
        <v>0</v>
      </c>
      <c r="CD152" s="614"/>
    </row>
    <row r="153" spans="1:82" s="561" customFormat="1" ht="61.5" customHeight="1">
      <c r="A153" s="625" t="str">
        <f t="shared" si="34"/>
        <v>1107-158-FONT1107-04-01-0185-Estímulos a iniciativas de la ciudadanía en temas de patrimonio cultural</v>
      </c>
      <c r="B153" s="626" t="str">
        <f t="shared" si="35"/>
        <v>1107-158-FONT1107-04-01-0185</v>
      </c>
      <c r="C153" s="626" t="str">
        <f t="shared" si="36"/>
        <v>1107-158-FONT1107-Estímulos a iniciativas de la ciudadanía en temas de patrimonio cultural</v>
      </c>
      <c r="D153" s="626" t="str">
        <f t="shared" si="37"/>
        <v>1107-158-12-Otros Distrito-04-01-0185</v>
      </c>
      <c r="E153" s="626" t="str">
        <f t="shared" si="38"/>
        <v>Estímulos a iniciativas de la ciudadanía en temas de patrimonio cultural-12-Otros Distrito-0185-Actividades de investigación para la valoración, protección, conservación, sostenibilidad y apropiación del Patrimonio Cultural</v>
      </c>
      <c r="F153" s="627" t="s">
        <v>346</v>
      </c>
      <c r="G153" s="628" t="str">
        <f t="shared" si="39"/>
        <v>N.A.</v>
      </c>
      <c r="H153" s="629" t="b">
        <f t="shared" si="40"/>
        <v>1</v>
      </c>
      <c r="I153" s="630" t="s">
        <v>595</v>
      </c>
      <c r="J153" s="627" t="s">
        <v>27</v>
      </c>
      <c r="K153" s="631" t="str">
        <f>+IFERROR(VLOOKUP(J153,Listas!$A$108:$B$114,2,FALSE),"Alerta: Seleccione la celda en la comumna B con el nombre del proyecto")</f>
        <v>3-3-1-15-03-25-1107-158</v>
      </c>
      <c r="L153" s="632" t="s">
        <v>346</v>
      </c>
      <c r="M153" s="633" t="s">
        <v>713</v>
      </c>
      <c r="N153" s="634" t="str">
        <f t="shared" si="41"/>
        <v>(Cód. N.A.) Convocatoria dirigida a grupos étnicos</v>
      </c>
      <c r="O153" s="635">
        <v>43600</v>
      </c>
      <c r="P153" s="636">
        <f>IFERROR(VLOOKUP(W153,'Estimación CRP'!$D$21:$E$30,2,FALSE),0)</f>
        <v>10</v>
      </c>
      <c r="Q153" s="637">
        <f>IF(O153="No aplica","No aplica",WORKDAY.INTL(O153,P153,1,'Estimación CRP'!A339:A355))</f>
        <v>43614</v>
      </c>
      <c r="R153" s="636">
        <f t="shared" si="42"/>
        <v>5</v>
      </c>
      <c r="S153" s="636">
        <f t="shared" si="43"/>
        <v>5</v>
      </c>
      <c r="T153" s="636">
        <f t="shared" si="44"/>
        <v>5</v>
      </c>
      <c r="U153" s="638">
        <v>8</v>
      </c>
      <c r="V153" s="638">
        <v>1</v>
      </c>
      <c r="W153" s="639" t="s">
        <v>269</v>
      </c>
      <c r="X153" s="640" t="str">
        <f>IFERROR(VLOOKUP(W153,Listas!$A$60:$B$73,2,FALSE),"Alerta: Seleccione primero Modalidad de selección")</f>
        <v>CCE-16</v>
      </c>
      <c r="Y153" s="641">
        <v>0</v>
      </c>
      <c r="Z153" s="641" t="s">
        <v>346</v>
      </c>
      <c r="AA153" s="641"/>
      <c r="AB153" s="642">
        <f t="shared" si="45"/>
        <v>80000000</v>
      </c>
      <c r="AC153" s="642">
        <f t="shared" si="46"/>
        <v>80000000</v>
      </c>
      <c r="AD153" s="641">
        <v>0</v>
      </c>
      <c r="AE153" s="643">
        <v>0</v>
      </c>
      <c r="AF153" s="639" t="s">
        <v>276</v>
      </c>
      <c r="AG153" s="639" t="s">
        <v>277</v>
      </c>
      <c r="AH153" s="639" t="s">
        <v>284</v>
      </c>
      <c r="AI153" s="626" t="str">
        <f>IFERROR(VLOOKUP(AH153,Listas!$A$77:$C$83,2,FALSE),"Alerta: Seleccione primero el responsable")</f>
        <v>3550800</v>
      </c>
      <c r="AJ153" s="640" t="str">
        <f>IFERROR(VLOOKUP(AH153,Listas!$A$77:$C$83,3,FALSE),"Alerta: Seleccione primero el responsable")</f>
        <v>margarita.castaneda@idpc.gov.co</v>
      </c>
      <c r="AK153" s="640" t="str">
        <f>IF(J153="Funcionamiento Gastos Generales","No aplica",IF(J153="Funcionamiento Servicios Personales indirectos","No aplica",IFERROR(VLOOKUP(J153,Listas!$A$127:$E$139,3,FALSE),"Alerta: Seleccione la celda en la comumna B con el nombre del proyecto")))</f>
        <v>ME20181107</v>
      </c>
      <c r="AL153" s="640" t="str">
        <f>IF(J153="Funcionamiento Gastos Generales","No aplica",IF(J153="Funcionamiento Servicios Personales","No aplica",IFERROR(VLOOKUP(J153,Listas!$A$220:$D$224,2,FALSE),"Alerta: Seleccione la celda en la comumna B con el nombre del proyecto")))</f>
        <v>COMP1107</v>
      </c>
      <c r="AM153" s="640" t="str">
        <f>IF(J153="Funcionamiento Gastos Generales","No aplica",IF(J153="Funcionamiento Servicios Personales","No aplica",IFERROR(VLOOKUP(J153,Listas!$A$220:$D$224,3,FALSE),"Alerta: Seleccione la celda en la comumna B con el nombre del proyecto")))</f>
        <v>CONC1107</v>
      </c>
      <c r="AN153" s="633" t="s">
        <v>1048</v>
      </c>
      <c r="AO153" s="633" t="s">
        <v>122</v>
      </c>
      <c r="AP153" s="634" t="str">
        <f>IFERROR(VLOOKUP(J153,Listas!$A$182:$E$215,5,FALSE),"Alerta: Seleccione la celda en la comumna B con el nombre del proyecto")</f>
        <v>13. Oferta cultural para la valoración y divulgación del patrimonio material e  inmaterial de la ciud</v>
      </c>
      <c r="AQ153" s="634" t="str">
        <f>IF(J153="Funcionamiento Gastos Generales","No aplica",IF(J153="Funcionamiento Servicios Personales","No aplica",IFERROR(VLOOKUP(J153,Listas!$A$220:$D$224,4,FALSE),"Alerta: Seleccione la celda en la comumna B con el nombre del proyecto")))</f>
        <v>FONT1107</v>
      </c>
      <c r="AR153" s="633" t="s">
        <v>198</v>
      </c>
      <c r="AS153" s="634" t="str">
        <f>IFERROR(VLOOKUP(AU153,Listas!$E$85:$L$105,7,FALSE),"Alerta: Seleccione la celda en la comumna AI con el concepto de gasto")</f>
        <v>04-INVESTIGACION Y ESTUDIOS</v>
      </c>
      <c r="AT153" s="634" t="str">
        <f>IFERROR(VLOOKUP(AU153,Listas!$E$85:$L$105,8,FALSE),"Alerta: Seleccione la celda en la comumna AI con el concepto de gasto")</f>
        <v>01-INVESTIGACIÓN BÁSICA APLICADA Y ESTUDIOS PROPIOS DEL SECTOR</v>
      </c>
      <c r="AU153" s="633" t="s">
        <v>201</v>
      </c>
      <c r="AV153" s="634">
        <f>IFERROR(VLOOKUP(AU153,Listas!$E$85:$F$105,2,FALSE),"Alerta: Seleccione el Concepto de Gasto primero")</f>
        <v>0</v>
      </c>
      <c r="AW153" s="644">
        <v>80000000</v>
      </c>
      <c r="AX153" s="645"/>
      <c r="AY153" s="645"/>
      <c r="AZ153" s="645"/>
      <c r="BA153" s="646">
        <f t="shared" si="47"/>
        <v>80000000</v>
      </c>
      <c r="BB153" s="647"/>
      <c r="BC153" s="648"/>
      <c r="BD153" s="649"/>
      <c r="BE153" s="647"/>
      <c r="BF153" s="644"/>
      <c r="BG153" s="646">
        <f t="shared" si="48"/>
        <v>80000000</v>
      </c>
      <c r="BH153" s="650"/>
      <c r="BI153" s="647"/>
      <c r="BJ153" s="644"/>
      <c r="BK153" s="646">
        <f t="shared" si="49"/>
        <v>0</v>
      </c>
      <c r="BL153" s="651"/>
      <c r="BM153" s="652">
        <f t="shared" si="50"/>
        <v>1</v>
      </c>
      <c r="BN153" s="628"/>
      <c r="BO153" s="670"/>
      <c r="BP153" s="644"/>
      <c r="BQ153" s="644"/>
      <c r="BR153" s="644"/>
      <c r="BS153" s="644"/>
      <c r="BT153" s="644"/>
      <c r="BU153" s="644"/>
      <c r="BV153" s="644"/>
      <c r="BW153" s="644"/>
      <c r="BX153" s="644"/>
      <c r="BY153" s="644"/>
      <c r="BZ153" s="644"/>
      <c r="CA153" s="644"/>
      <c r="CB153" s="646">
        <f t="shared" si="51"/>
        <v>0</v>
      </c>
      <c r="CC153" s="646">
        <f t="shared" si="52"/>
        <v>0</v>
      </c>
      <c r="CD153" s="614"/>
    </row>
    <row r="154" spans="1:82" s="561" customFormat="1" ht="61.5" customHeight="1">
      <c r="A154" s="625" t="str">
        <f t="shared" si="34"/>
        <v>1107-158-FONT1107-04-01-0185-Estímulos a iniciativas de la ciudadanía en temas de patrimonio cultural</v>
      </c>
      <c r="B154" s="626" t="str">
        <f t="shared" si="35"/>
        <v>1107-158-FONT1107-04-01-0185</v>
      </c>
      <c r="C154" s="626" t="str">
        <f t="shared" si="36"/>
        <v>1107-158-FONT1107-Estímulos a iniciativas de la ciudadanía en temas de patrimonio cultural</v>
      </c>
      <c r="D154" s="626" t="str">
        <f t="shared" si="37"/>
        <v>1107-158-12-Otros Distrito-04-01-0185</v>
      </c>
      <c r="E154" s="626" t="str">
        <f t="shared" si="38"/>
        <v>Estímulos a iniciativas de la ciudadanía en temas de patrimonio cultural-12-Otros Distrito-0185-Actividades de investigación para la valoración, protección, conservación, sostenibilidad y apropiación del Patrimonio Cultural</v>
      </c>
      <c r="F154" s="627" t="s">
        <v>346</v>
      </c>
      <c r="G154" s="628" t="str">
        <f t="shared" si="39"/>
        <v>N.A.</v>
      </c>
      <c r="H154" s="629" t="b">
        <f t="shared" si="40"/>
        <v>1</v>
      </c>
      <c r="I154" s="630" t="s">
        <v>595</v>
      </c>
      <c r="J154" s="627" t="s">
        <v>27</v>
      </c>
      <c r="K154" s="631" t="str">
        <f>+IFERROR(VLOOKUP(J154,Listas!$A$108:$B$114,2,FALSE),"Alerta: Seleccione la celda en la comumna B con el nombre del proyecto")</f>
        <v>3-3-1-15-03-25-1107-158</v>
      </c>
      <c r="L154" s="632" t="s">
        <v>346</v>
      </c>
      <c r="M154" s="633" t="s">
        <v>714</v>
      </c>
      <c r="N154" s="634" t="str">
        <f t="shared" si="41"/>
        <v>(Cód. N.A.) Amparar jurados que evaluarán las propuestas del Programa Distrital de Estímulos 2019.</v>
      </c>
      <c r="O154" s="635">
        <v>43600</v>
      </c>
      <c r="P154" s="636">
        <f>IFERROR(VLOOKUP(W154,'Estimación CRP'!$D$21:$E$30,2,FALSE),0)</f>
        <v>10</v>
      </c>
      <c r="Q154" s="637">
        <f>IF(O154="No aplica","No aplica",WORKDAY.INTL(O154,P154,1,'Estimación CRP'!A340:A356))</f>
        <v>43614</v>
      </c>
      <c r="R154" s="636">
        <f t="shared" si="42"/>
        <v>5</v>
      </c>
      <c r="S154" s="636">
        <f t="shared" si="43"/>
        <v>5</v>
      </c>
      <c r="T154" s="636">
        <f t="shared" si="44"/>
        <v>5</v>
      </c>
      <c r="U154" s="638">
        <v>8</v>
      </c>
      <c r="V154" s="638">
        <v>1</v>
      </c>
      <c r="W154" s="639" t="s">
        <v>269</v>
      </c>
      <c r="X154" s="640" t="str">
        <f>IFERROR(VLOOKUP(W154,Listas!$A$60:$B$73,2,FALSE),"Alerta: Seleccione primero Modalidad de selección")</f>
        <v>CCE-16</v>
      </c>
      <c r="Y154" s="641">
        <v>0</v>
      </c>
      <c r="Z154" s="641" t="s">
        <v>346</v>
      </c>
      <c r="AA154" s="641"/>
      <c r="AB154" s="642">
        <f t="shared" si="45"/>
        <v>118445000</v>
      </c>
      <c r="AC154" s="642">
        <f t="shared" si="46"/>
        <v>118445000</v>
      </c>
      <c r="AD154" s="641">
        <v>0</v>
      </c>
      <c r="AE154" s="643">
        <v>0</v>
      </c>
      <c r="AF154" s="639" t="s">
        <v>276</v>
      </c>
      <c r="AG154" s="639" t="s">
        <v>277</v>
      </c>
      <c r="AH154" s="639" t="s">
        <v>284</v>
      </c>
      <c r="AI154" s="626" t="str">
        <f>IFERROR(VLOOKUP(AH154,Listas!$A$77:$C$83,2,FALSE),"Alerta: Seleccione primero el responsable")</f>
        <v>3550800</v>
      </c>
      <c r="AJ154" s="640" t="str">
        <f>IFERROR(VLOOKUP(AH154,Listas!$A$77:$C$83,3,FALSE),"Alerta: Seleccione primero el responsable")</f>
        <v>margarita.castaneda@idpc.gov.co</v>
      </c>
      <c r="AK154" s="640" t="str">
        <f>IF(J154="Funcionamiento Gastos Generales","No aplica",IF(J154="Funcionamiento Servicios Personales indirectos","No aplica",IFERROR(VLOOKUP(J154,Listas!$A$127:$E$139,3,FALSE),"Alerta: Seleccione la celda en la comumna B con el nombre del proyecto")))</f>
        <v>ME20181107</v>
      </c>
      <c r="AL154" s="640" t="str">
        <f>IF(J154="Funcionamiento Gastos Generales","No aplica",IF(J154="Funcionamiento Servicios Personales","No aplica",IFERROR(VLOOKUP(J154,Listas!$A$220:$D$224,2,FALSE),"Alerta: Seleccione la celda en la comumna B con el nombre del proyecto")))</f>
        <v>COMP1107</v>
      </c>
      <c r="AM154" s="640" t="str">
        <f>IF(J154="Funcionamiento Gastos Generales","No aplica",IF(J154="Funcionamiento Servicios Personales","No aplica",IFERROR(VLOOKUP(J154,Listas!$A$220:$D$224,3,FALSE),"Alerta: Seleccione la celda en la comumna B con el nombre del proyecto")))</f>
        <v>CONC1107</v>
      </c>
      <c r="AN154" s="633" t="s">
        <v>1048</v>
      </c>
      <c r="AO154" s="633" t="s">
        <v>122</v>
      </c>
      <c r="AP154" s="634" t="str">
        <f>IFERROR(VLOOKUP(J154,Listas!$A$182:$E$215,5,FALSE),"Alerta: Seleccione la celda en la comumna B con el nombre del proyecto")</f>
        <v>13. Oferta cultural para la valoración y divulgación del patrimonio material e  inmaterial de la ciud</v>
      </c>
      <c r="AQ154" s="634" t="str">
        <f>IF(J154="Funcionamiento Gastos Generales","No aplica",IF(J154="Funcionamiento Servicios Personales","No aplica",IFERROR(VLOOKUP(J154,Listas!$A$220:$D$224,4,FALSE),"Alerta: Seleccione la celda en la comumna B con el nombre del proyecto")))</f>
        <v>FONT1107</v>
      </c>
      <c r="AR154" s="633" t="s">
        <v>198</v>
      </c>
      <c r="AS154" s="634" t="str">
        <f>IFERROR(VLOOKUP(AU154,Listas!$E$85:$L$105,7,FALSE),"Alerta: Seleccione la celda en la comumna AI con el concepto de gasto")</f>
        <v>04-INVESTIGACION Y ESTUDIOS</v>
      </c>
      <c r="AT154" s="634" t="str">
        <f>IFERROR(VLOOKUP(AU154,Listas!$E$85:$L$105,8,FALSE),"Alerta: Seleccione la celda en la comumna AI con el concepto de gasto")</f>
        <v>01-INVESTIGACIÓN BÁSICA APLICADA Y ESTUDIOS PROPIOS DEL SECTOR</v>
      </c>
      <c r="AU154" s="633" t="s">
        <v>201</v>
      </c>
      <c r="AV154" s="634">
        <f>IFERROR(VLOOKUP(AU154,Listas!$E$85:$F$105,2,FALSE),"Alerta: Seleccione el Concepto de Gasto primero")</f>
        <v>0</v>
      </c>
      <c r="AW154" s="644">
        <v>118445000</v>
      </c>
      <c r="AX154" s="645"/>
      <c r="AY154" s="645"/>
      <c r="AZ154" s="645"/>
      <c r="BA154" s="646">
        <f t="shared" si="47"/>
        <v>118445000</v>
      </c>
      <c r="BB154" s="647"/>
      <c r="BC154" s="648"/>
      <c r="BD154" s="649"/>
      <c r="BE154" s="647"/>
      <c r="BF154" s="644"/>
      <c r="BG154" s="646">
        <f t="shared" si="48"/>
        <v>118445000</v>
      </c>
      <c r="BH154" s="650"/>
      <c r="BI154" s="647"/>
      <c r="BJ154" s="644"/>
      <c r="BK154" s="646">
        <f t="shared" si="49"/>
        <v>0</v>
      </c>
      <c r="BL154" s="651"/>
      <c r="BM154" s="652">
        <f t="shared" si="50"/>
        <v>1</v>
      </c>
      <c r="BN154" s="628"/>
      <c r="BO154" s="670"/>
      <c r="BP154" s="644"/>
      <c r="BQ154" s="644"/>
      <c r="BR154" s="644"/>
      <c r="BS154" s="644"/>
      <c r="BT154" s="644"/>
      <c r="BU154" s="644"/>
      <c r="BV154" s="644"/>
      <c r="BW154" s="644"/>
      <c r="BX154" s="644"/>
      <c r="BY154" s="644"/>
      <c r="BZ154" s="644"/>
      <c r="CA154" s="644"/>
      <c r="CB154" s="646">
        <f t="shared" si="51"/>
        <v>0</v>
      </c>
      <c r="CC154" s="646">
        <f t="shared" si="52"/>
        <v>0</v>
      </c>
      <c r="CD154" s="614"/>
    </row>
    <row r="155" spans="1:82" s="561" customFormat="1" ht="61.5" customHeight="1">
      <c r="A155" s="625" t="str">
        <f t="shared" si="34"/>
        <v>1107-158-FONT1107-04-01-0185-Estímulos a iniciativas de la ciudadanía en temas de patrimonio cultural</v>
      </c>
      <c r="B155" s="626" t="str">
        <f t="shared" si="35"/>
        <v>1107-158-FONT1107-04-01-0185</v>
      </c>
      <c r="C155" s="626" t="str">
        <f t="shared" si="36"/>
        <v>1107-158-FONT1107-Estímulos a iniciativas de la ciudadanía en temas de patrimonio cultural</v>
      </c>
      <c r="D155" s="626" t="str">
        <f t="shared" si="37"/>
        <v>1107-158-12-Otros Distrito-04-01-0185</v>
      </c>
      <c r="E155" s="626" t="str">
        <f t="shared" si="38"/>
        <v>Estímulos a iniciativas de la ciudadanía en temas de patrimonio cultural-12-Otros Distrito-0185-Actividades de investigación para la valoración, protección, conservación, sostenibilidad y apropiación del Patrimonio Cultural</v>
      </c>
      <c r="F155" s="627" t="s">
        <v>346</v>
      </c>
      <c r="G155" s="628" t="str">
        <f t="shared" si="39"/>
        <v>N.A.</v>
      </c>
      <c r="H155" s="629" t="b">
        <f t="shared" si="40"/>
        <v>1</v>
      </c>
      <c r="I155" s="630" t="s">
        <v>595</v>
      </c>
      <c r="J155" s="627" t="s">
        <v>27</v>
      </c>
      <c r="K155" s="631" t="str">
        <f>+IFERROR(VLOOKUP(J155,Listas!$A$108:$B$114,2,FALSE),"Alerta: Seleccione la celda en la comumna B con el nombre del proyecto")</f>
        <v>3-3-1-15-03-25-1107-158</v>
      </c>
      <c r="L155" s="632" t="s">
        <v>346</v>
      </c>
      <c r="M155" s="633" t="s">
        <v>715</v>
      </c>
      <c r="N155" s="634" t="str">
        <f t="shared" si="41"/>
        <v>(Cód. N.A.) Programa Distrital de Apoyos Concertados - 2019</v>
      </c>
      <c r="O155" s="635">
        <v>43600</v>
      </c>
      <c r="P155" s="636">
        <f>IFERROR(VLOOKUP(W155,'Estimación CRP'!$D$21:$E$30,2,FALSE),0)</f>
        <v>10</v>
      </c>
      <c r="Q155" s="637">
        <f>IF(O155="No aplica","No aplica",WORKDAY.INTL(O155,P155,1,'Estimación CRP'!A341:A357))</f>
        <v>43614</v>
      </c>
      <c r="R155" s="636">
        <f t="shared" si="42"/>
        <v>5</v>
      </c>
      <c r="S155" s="636">
        <f t="shared" si="43"/>
        <v>5</v>
      </c>
      <c r="T155" s="636">
        <f t="shared" si="44"/>
        <v>5</v>
      </c>
      <c r="U155" s="638">
        <v>8</v>
      </c>
      <c r="V155" s="638">
        <v>1</v>
      </c>
      <c r="W155" s="639" t="s">
        <v>269</v>
      </c>
      <c r="X155" s="640" t="str">
        <f>IFERROR(VLOOKUP(W155,Listas!$A$60:$B$73,2,FALSE),"Alerta: Seleccione primero Modalidad de selección")</f>
        <v>CCE-16</v>
      </c>
      <c r="Y155" s="641">
        <v>0</v>
      </c>
      <c r="Z155" s="641" t="s">
        <v>346</v>
      </c>
      <c r="AA155" s="641"/>
      <c r="AB155" s="642">
        <f t="shared" si="45"/>
        <v>116870000</v>
      </c>
      <c r="AC155" s="642">
        <f t="shared" si="46"/>
        <v>116870000</v>
      </c>
      <c r="AD155" s="641">
        <v>0</v>
      </c>
      <c r="AE155" s="643">
        <v>0</v>
      </c>
      <c r="AF155" s="639" t="s">
        <v>276</v>
      </c>
      <c r="AG155" s="639" t="s">
        <v>277</v>
      </c>
      <c r="AH155" s="639" t="s">
        <v>284</v>
      </c>
      <c r="AI155" s="626" t="str">
        <f>IFERROR(VLOOKUP(AH155,Listas!$A$77:$C$83,2,FALSE),"Alerta: Seleccione primero el responsable")</f>
        <v>3550800</v>
      </c>
      <c r="AJ155" s="640" t="str">
        <f>IFERROR(VLOOKUP(AH155,Listas!$A$77:$C$83,3,FALSE),"Alerta: Seleccione primero el responsable")</f>
        <v>margarita.castaneda@idpc.gov.co</v>
      </c>
      <c r="AK155" s="640" t="str">
        <f>IF(J155="Funcionamiento Gastos Generales","No aplica",IF(J155="Funcionamiento Servicios Personales indirectos","No aplica",IFERROR(VLOOKUP(J155,Listas!$A$127:$E$139,3,FALSE),"Alerta: Seleccione la celda en la comumna B con el nombre del proyecto")))</f>
        <v>ME20181107</v>
      </c>
      <c r="AL155" s="640" t="str">
        <f>IF(J155="Funcionamiento Gastos Generales","No aplica",IF(J155="Funcionamiento Servicios Personales","No aplica",IFERROR(VLOOKUP(J155,Listas!$A$220:$D$224,2,FALSE),"Alerta: Seleccione la celda en la comumna B con el nombre del proyecto")))</f>
        <v>COMP1107</v>
      </c>
      <c r="AM155" s="640" t="str">
        <f>IF(J155="Funcionamiento Gastos Generales","No aplica",IF(J155="Funcionamiento Servicios Personales","No aplica",IFERROR(VLOOKUP(J155,Listas!$A$220:$D$224,3,FALSE),"Alerta: Seleccione la celda en la comumna B con el nombre del proyecto")))</f>
        <v>CONC1107</v>
      </c>
      <c r="AN155" s="633" t="s">
        <v>1048</v>
      </c>
      <c r="AO155" s="633" t="s">
        <v>122</v>
      </c>
      <c r="AP155" s="634" t="str">
        <f>IFERROR(VLOOKUP(J155,Listas!$A$182:$E$215,5,FALSE),"Alerta: Seleccione la celda en la comumna B con el nombre del proyecto")</f>
        <v>13. Oferta cultural para la valoración y divulgación del patrimonio material e  inmaterial de la ciud</v>
      </c>
      <c r="AQ155" s="634" t="str">
        <f>IF(J155="Funcionamiento Gastos Generales","No aplica",IF(J155="Funcionamiento Servicios Personales","No aplica",IFERROR(VLOOKUP(J155,Listas!$A$220:$D$224,4,FALSE),"Alerta: Seleccione la celda en la comumna B con el nombre del proyecto")))</f>
        <v>FONT1107</v>
      </c>
      <c r="AR155" s="633" t="s">
        <v>198</v>
      </c>
      <c r="AS155" s="634" t="str">
        <f>IFERROR(VLOOKUP(AU155,Listas!$E$85:$L$105,7,FALSE),"Alerta: Seleccione la celda en la comumna AI con el concepto de gasto")</f>
        <v>04-INVESTIGACION Y ESTUDIOS</v>
      </c>
      <c r="AT155" s="634" t="str">
        <f>IFERROR(VLOOKUP(AU155,Listas!$E$85:$L$105,8,FALSE),"Alerta: Seleccione la celda en la comumna AI con el concepto de gasto")</f>
        <v>01-INVESTIGACIÓN BÁSICA APLICADA Y ESTUDIOS PROPIOS DEL SECTOR</v>
      </c>
      <c r="AU155" s="633" t="s">
        <v>201</v>
      </c>
      <c r="AV155" s="634">
        <f>IFERROR(VLOOKUP(AU155,Listas!$E$85:$F$105,2,FALSE),"Alerta: Seleccione el Concepto de Gasto primero")</f>
        <v>0</v>
      </c>
      <c r="AW155" s="644">
        <v>116870000</v>
      </c>
      <c r="AX155" s="645"/>
      <c r="AY155" s="645"/>
      <c r="AZ155" s="645"/>
      <c r="BA155" s="646">
        <f t="shared" si="47"/>
        <v>116870000</v>
      </c>
      <c r="BB155" s="647"/>
      <c r="BC155" s="648"/>
      <c r="BD155" s="649"/>
      <c r="BE155" s="647"/>
      <c r="BF155" s="644"/>
      <c r="BG155" s="646">
        <f t="shared" si="48"/>
        <v>116870000</v>
      </c>
      <c r="BH155" s="650"/>
      <c r="BI155" s="647"/>
      <c r="BJ155" s="644"/>
      <c r="BK155" s="646">
        <f t="shared" si="49"/>
        <v>0</v>
      </c>
      <c r="BL155" s="651"/>
      <c r="BM155" s="652">
        <f t="shared" si="50"/>
        <v>1</v>
      </c>
      <c r="BN155" s="628"/>
      <c r="BO155" s="670"/>
      <c r="BP155" s="644"/>
      <c r="BQ155" s="644"/>
      <c r="BR155" s="644"/>
      <c r="BS155" s="644"/>
      <c r="BT155" s="644"/>
      <c r="BU155" s="644"/>
      <c r="BV155" s="644"/>
      <c r="BW155" s="644"/>
      <c r="BX155" s="644"/>
      <c r="BY155" s="644"/>
      <c r="BZ155" s="644"/>
      <c r="CA155" s="644"/>
      <c r="CB155" s="646">
        <f t="shared" si="51"/>
        <v>0</v>
      </c>
      <c r="CC155" s="646">
        <f t="shared" si="52"/>
        <v>0</v>
      </c>
      <c r="CD155" s="614"/>
    </row>
    <row r="156" spans="1:82" s="561" customFormat="1" ht="61.5" customHeight="1">
      <c r="A156" s="625" t="str">
        <f t="shared" si="34"/>
        <v>1107-158-FONT1107-03-01-0066-Museo de Bogotá en operación</v>
      </c>
      <c r="B156" s="626" t="str">
        <f t="shared" si="35"/>
        <v>1107-158-FONT1107-03-01-0066</v>
      </c>
      <c r="C156" s="626" t="str">
        <f t="shared" si="36"/>
        <v>1107-158-FONT1107-Museo de Bogotá en operación</v>
      </c>
      <c r="D156" s="626" t="str">
        <f t="shared" si="37"/>
        <v>1107-158-12-Otros Distrito-03-01-0066</v>
      </c>
      <c r="E156" s="626" t="str">
        <f t="shared" si="38"/>
        <v>Museo de Bogotá en operación-12-Otros Distrito-0066-Fomento, apoyo y divulgación de eventos y expresiones artísticas, culturales y del patrimonio</v>
      </c>
      <c r="F156" s="627">
        <v>112</v>
      </c>
      <c r="G156" s="628">
        <f t="shared" si="39"/>
        <v>112</v>
      </c>
      <c r="H156" s="629" t="b">
        <f t="shared" si="40"/>
        <v>0</v>
      </c>
      <c r="I156" s="630" t="s">
        <v>594</v>
      </c>
      <c r="J156" s="627" t="s">
        <v>27</v>
      </c>
      <c r="K156" s="631" t="str">
        <f>+IFERROR(VLOOKUP(J156,Listas!$A$108:$B$114,2,FALSE),"Alerta: Seleccione la celda en la comumna B con el nombre del proyecto")</f>
        <v>3-3-1-15-03-25-1107-158</v>
      </c>
      <c r="L156" s="632" t="s">
        <v>716</v>
      </c>
      <c r="M156" s="633" t="s">
        <v>717</v>
      </c>
      <c r="N156" s="634" t="str">
        <f t="shared" si="41"/>
        <v>(Cód. 112) Contratar el mantenimiento de equipos de medición ambiental de propiedad del Instituto Distrital de Patrimonio Cultural.</v>
      </c>
      <c r="O156" s="635">
        <v>43485</v>
      </c>
      <c r="P156" s="636">
        <f>IFERROR(VLOOKUP(W156,'Estimación CRP'!$D$21:$E$30,2,FALSE),0)</f>
        <v>10</v>
      </c>
      <c r="Q156" s="637">
        <f>IF(O156="No aplica","No aplica",WORKDAY.INTL(O156,P156,1,'Estimación CRP'!A342:A358))</f>
        <v>43497</v>
      </c>
      <c r="R156" s="636">
        <f t="shared" si="42"/>
        <v>2</v>
      </c>
      <c r="S156" s="636">
        <f t="shared" si="43"/>
        <v>1</v>
      </c>
      <c r="T156" s="636">
        <f t="shared" si="44"/>
        <v>1</v>
      </c>
      <c r="U156" s="712">
        <v>10</v>
      </c>
      <c r="V156" s="638">
        <v>1</v>
      </c>
      <c r="W156" s="639" t="s">
        <v>269</v>
      </c>
      <c r="X156" s="640" t="str">
        <f>IFERROR(VLOOKUP(W156,Listas!$A$60:$B$73,2,FALSE),"Alerta: Seleccione primero Modalidad de selección")</f>
        <v>CCE-16</v>
      </c>
      <c r="Y156" s="641">
        <v>0</v>
      </c>
      <c r="Z156" s="641" t="s">
        <v>1109</v>
      </c>
      <c r="AA156" s="641"/>
      <c r="AB156" s="642">
        <f t="shared" si="45"/>
        <v>9000000</v>
      </c>
      <c r="AC156" s="642">
        <f t="shared" si="46"/>
        <v>9000000</v>
      </c>
      <c r="AD156" s="641">
        <v>0</v>
      </c>
      <c r="AE156" s="643">
        <v>0</v>
      </c>
      <c r="AF156" s="639" t="s">
        <v>276</v>
      </c>
      <c r="AG156" s="639" t="s">
        <v>277</v>
      </c>
      <c r="AH156" s="639" t="s">
        <v>284</v>
      </c>
      <c r="AI156" s="626" t="str">
        <f>IFERROR(VLOOKUP(AH156,Listas!$A$77:$C$83,2,FALSE),"Alerta: Seleccione primero el responsable")</f>
        <v>3550800</v>
      </c>
      <c r="AJ156" s="640" t="str">
        <f>IFERROR(VLOOKUP(AH156,Listas!$A$77:$C$83,3,FALSE),"Alerta: Seleccione primero el responsable")</f>
        <v>margarita.castaneda@idpc.gov.co</v>
      </c>
      <c r="AK156" s="640" t="str">
        <f>IF(J156="Funcionamiento Gastos Generales","No aplica",IF(J156="Funcionamiento Servicios Personales indirectos","No aplica",IFERROR(VLOOKUP(J156,Listas!$A$127:$E$139,3,FALSE),"Alerta: Seleccione la celda en la comumna B con el nombre del proyecto")))</f>
        <v>ME20181107</v>
      </c>
      <c r="AL156" s="640" t="str">
        <f>IF(J156="Funcionamiento Gastos Generales","No aplica",IF(J156="Funcionamiento Servicios Personales","No aplica",IFERROR(VLOOKUP(J156,Listas!$A$220:$D$224,2,FALSE),"Alerta: Seleccione la celda en la comumna B con el nombre del proyecto")))</f>
        <v>COMP1107</v>
      </c>
      <c r="AM156" s="640" t="str">
        <f>IF(J156="Funcionamiento Gastos Generales","No aplica",IF(J156="Funcionamiento Servicios Personales","No aplica",IFERROR(VLOOKUP(J156,Listas!$A$220:$D$224,3,FALSE),"Alerta: Seleccione la celda en la comumna B con el nombre del proyecto")))</f>
        <v>CONC1107</v>
      </c>
      <c r="AN156" s="633" t="s">
        <v>1047</v>
      </c>
      <c r="AO156" s="633" t="s">
        <v>53</v>
      </c>
      <c r="AP156" s="634" t="str">
        <f>IFERROR(VLOOKUP(J156,Listas!$A$182:$E$215,5,FALSE),"Alerta: Seleccione la celda en la comumna B con el nombre del proyecto")</f>
        <v>13. Oferta cultural para la valoración y divulgación del patrimonio material e  inmaterial de la ciud</v>
      </c>
      <c r="AQ156" s="634" t="str">
        <f>IF(J156="Funcionamiento Gastos Generales","No aplica",IF(J156="Funcionamiento Servicios Personales","No aplica",IFERROR(VLOOKUP(J156,Listas!$A$220:$D$224,4,FALSE),"Alerta: Seleccione la celda en la comumna B con el nombre del proyecto")))</f>
        <v>FONT1107</v>
      </c>
      <c r="AR156" s="633" t="s">
        <v>198</v>
      </c>
      <c r="AS156" s="634" t="str">
        <f>IFERROR(VLOOKUP(AU156,Listas!$E$85:$L$105,7,FALSE),"Alerta: Seleccione la celda en la comumna AI con el concepto de gasto")</f>
        <v>03-RECURSO HUMANO</v>
      </c>
      <c r="AT156" s="634" t="str">
        <f>IFERROR(VLOOKUP(AU156,Listas!$E$85:$L$105,8,FALSE),"Alerta: Seleccione la celda en la comumna AI con el concepto de gasto")</f>
        <v>01-DIVULGACION, ASISTENCIA TECNICA Y CAPACITACION DE LA POBLACION</v>
      </c>
      <c r="AU156" s="633" t="s">
        <v>232</v>
      </c>
      <c r="AV156" s="634">
        <f>IFERROR(VLOOKUP(AU156,Listas!$E$85:$F$105,2,FALSE),"Alerta: Seleccione el Concepto de Gasto primero")</f>
        <v>0</v>
      </c>
      <c r="AW156" s="644">
        <v>9000000</v>
      </c>
      <c r="AX156" s="645"/>
      <c r="AY156" s="645"/>
      <c r="AZ156" s="645"/>
      <c r="BA156" s="646">
        <f t="shared" si="47"/>
        <v>9000000</v>
      </c>
      <c r="BB156" s="647"/>
      <c r="BC156" s="648"/>
      <c r="BD156" s="649"/>
      <c r="BE156" s="647"/>
      <c r="BF156" s="644"/>
      <c r="BG156" s="646">
        <f t="shared" si="48"/>
        <v>9000000</v>
      </c>
      <c r="BH156" s="650"/>
      <c r="BI156" s="647"/>
      <c r="BJ156" s="644"/>
      <c r="BK156" s="646">
        <f t="shared" si="49"/>
        <v>0</v>
      </c>
      <c r="BL156" s="651"/>
      <c r="BM156" s="652">
        <f t="shared" si="50"/>
        <v>1</v>
      </c>
      <c r="BN156" s="628"/>
      <c r="BO156" s="670"/>
      <c r="BP156" s="644"/>
      <c r="BQ156" s="644"/>
      <c r="BR156" s="644"/>
      <c r="BS156" s="644"/>
      <c r="BT156" s="644"/>
      <c r="BU156" s="644"/>
      <c r="BV156" s="644"/>
      <c r="BW156" s="644"/>
      <c r="BX156" s="644"/>
      <c r="BY156" s="644"/>
      <c r="BZ156" s="644"/>
      <c r="CA156" s="644"/>
      <c r="CB156" s="646">
        <f t="shared" si="51"/>
        <v>0</v>
      </c>
      <c r="CC156" s="646">
        <f t="shared" si="52"/>
        <v>0</v>
      </c>
      <c r="CD156" s="614"/>
    </row>
    <row r="157" spans="1:82" s="561" customFormat="1" ht="61.5" customHeight="1">
      <c r="A157" s="625" t="str">
        <f t="shared" si="34"/>
        <v>1110-185-FONT1110-05-02-0020-Personal de apoyo transversal a la gestión institucional</v>
      </c>
      <c r="B157" s="626" t="str">
        <f t="shared" si="35"/>
        <v>1110-185-FONT1110-05-02-0020</v>
      </c>
      <c r="C157" s="626" t="str">
        <f t="shared" si="36"/>
        <v>1110-185-FONT1110-Personal de apoyo transversal a la gestión institucional</v>
      </c>
      <c r="D157" s="626" t="str">
        <f t="shared" si="37"/>
        <v>1110-185-12-Otros Distrito-05-02-0020</v>
      </c>
      <c r="E157" s="626" t="str">
        <f t="shared" si="38"/>
        <v>Personal de apoyo transversal a la gestión institucional-12-Otros Distrito-0020-Personal contratado para las actividades propias de los procesos de mejoramiento de gestión de la entidad</v>
      </c>
      <c r="F157" s="627">
        <v>113</v>
      </c>
      <c r="G157" s="628">
        <f t="shared" si="39"/>
        <v>113</v>
      </c>
      <c r="H157" s="629" t="b">
        <f t="shared" si="40"/>
        <v>0</v>
      </c>
      <c r="I157" s="630" t="s">
        <v>594</v>
      </c>
      <c r="J157" s="627" t="s">
        <v>178</v>
      </c>
      <c r="K157" s="631" t="str">
        <f>+IFERROR(VLOOKUP(J157,Listas!$A$108:$B$114,2,FALSE),"Alerta: Seleccione la celda en la comumna B con el nombre del proyecto")</f>
        <v>3-3-1-15-07-42-1110-185</v>
      </c>
      <c r="L157" s="632">
        <v>80111600</v>
      </c>
      <c r="M157" s="633" t="s">
        <v>718</v>
      </c>
      <c r="N157" s="634" t="str">
        <f t="shared" si="41"/>
        <v>(Cód. 113) Prestar servicios profesionales jurídicos al Instituto Distrital de Patrimonio Cultural, para adelantar acciones jurídicas y de seguimiento contractual y administrativo relacionadas con los procesos liderados por la Subdirección General o quien haga sus veces.</v>
      </c>
      <c r="O157" s="635">
        <v>43480</v>
      </c>
      <c r="P157" s="636">
        <f>IFERROR(VLOOKUP(W157,'Estimación CRP'!$D$21:$E$30,2,FALSE),0)</f>
        <v>10</v>
      </c>
      <c r="Q157" s="637">
        <f>IF(O157="No aplica","No aplica",WORKDAY.INTL(O157,P157,1,'Estimación CRP'!A343:A359))</f>
        <v>43494</v>
      </c>
      <c r="R157" s="636">
        <f t="shared" si="42"/>
        <v>1</v>
      </c>
      <c r="S157" s="636">
        <f t="shared" si="43"/>
        <v>1</v>
      </c>
      <c r="T157" s="636">
        <f t="shared" si="44"/>
        <v>1</v>
      </c>
      <c r="U157" s="712">
        <v>11</v>
      </c>
      <c r="V157" s="638">
        <v>1</v>
      </c>
      <c r="W157" s="639" t="s">
        <v>274</v>
      </c>
      <c r="X157" s="640" t="str">
        <f>IFERROR(VLOOKUP(W157,Listas!$A$60:$B$73,2,FALSE),"Alerta: Seleccione primero Modalidad de selección")</f>
        <v>CCE-16</v>
      </c>
      <c r="Y157" s="641">
        <v>0</v>
      </c>
      <c r="Z157" s="641" t="s">
        <v>346</v>
      </c>
      <c r="AA157" s="641" t="s">
        <v>1187</v>
      </c>
      <c r="AB157" s="642">
        <f t="shared" si="45"/>
        <v>68200000</v>
      </c>
      <c r="AC157" s="642">
        <f t="shared" si="46"/>
        <v>68200000</v>
      </c>
      <c r="AD157" s="641">
        <v>0</v>
      </c>
      <c r="AE157" s="643">
        <v>0</v>
      </c>
      <c r="AF157" s="639" t="s">
        <v>276</v>
      </c>
      <c r="AG157" s="639" t="s">
        <v>277</v>
      </c>
      <c r="AH157" s="639" t="s">
        <v>285</v>
      </c>
      <c r="AI157" s="626" t="str">
        <f>IFERROR(VLOOKUP(AH157,Listas!$A$77:$C$83,2,FALSE),"Alerta: Seleccione primero el responsable")</f>
        <v>3550800</v>
      </c>
      <c r="AJ157" s="640" t="str">
        <f>IFERROR(VLOOKUP(AH157,Listas!$A$77:$C$83,3,FALSE),"Alerta: Seleccione primero el responsable")</f>
        <v>maria.villamil@idpc.gov.co</v>
      </c>
      <c r="AK157" s="640" t="str">
        <f>IF(J157="Funcionamiento Gastos Generales","No aplica",IF(J157="Funcionamiento Servicios Personales indirectos","No aplica",IFERROR(VLOOKUP(J157,Listas!$A$127:$E$139,3,FALSE),"Alerta: Seleccione la celda en la comumna B con el nombre del proyecto")))</f>
        <v>ME20181110</v>
      </c>
      <c r="AL157" s="640" t="str">
        <f>IF(J157="Funcionamiento Gastos Generales","No aplica",IF(J157="Funcionamiento Servicios Personales","No aplica",IFERROR(VLOOKUP(J157,Listas!$A$220:$D$224,2,FALSE),"Alerta: Seleccione la celda en la comumna B con el nombre del proyecto")))</f>
        <v>COMP1110</v>
      </c>
      <c r="AM157" s="640" t="str">
        <f>IF(J157="Funcionamiento Gastos Generales","No aplica",IF(J157="Funcionamiento Servicios Personales","No aplica",IFERROR(VLOOKUP(J157,Listas!$A$220:$D$224,3,FALSE),"Alerta: Seleccione la celda en la comumna B con el nombre del proyecto")))</f>
        <v>CONC1110</v>
      </c>
      <c r="AN157" s="633" t="s">
        <v>789</v>
      </c>
      <c r="AO157" s="633" t="s">
        <v>124</v>
      </c>
      <c r="AP157" s="634" t="str">
        <f>IFERROR(VLOOKUP(J157,Listas!$A$182:$E$215,5,FALSE),"Alerta: Seleccione la celda en la comumna B con el nombre del proyecto")</f>
        <v>10. Procesos articulados dentro del sistema integrado de gestión.</v>
      </c>
      <c r="AQ157" s="634" t="str">
        <f>IF(J157="Funcionamiento Gastos Generales","No aplica",IF(J157="Funcionamiento Servicios Personales","No aplica",IFERROR(VLOOKUP(J157,Listas!$A$220:$D$224,4,FALSE),"Alerta: Seleccione la celda en la comumna B con el nombre del proyecto")))</f>
        <v>FONT1110</v>
      </c>
      <c r="AR157" s="633" t="s">
        <v>198</v>
      </c>
      <c r="AS157" s="634" t="str">
        <f>IFERROR(VLOOKUP(AU157,Listas!$E$85:$L$105,7,FALSE),"Alerta: Seleccione la celda en la comumna AI con el concepto de gasto")</f>
        <v>05-ADMINISTRACION INSTITUCIONAL</v>
      </c>
      <c r="AT157" s="634" t="str">
        <f>IFERROR(VLOOKUP(AU157,Listas!$E$85:$L$105,8,FALSE),"Alerta: Seleccione la celda en la comumna AI con el concepto de gasto")</f>
        <v>02-ADMINISTRACIÓN, CONTROL Y ORGANIZACIÓN INSTITUCIONAL PARA APOYO A LA GESTIÓN DEL DISTRITO</v>
      </c>
      <c r="AU157" s="633" t="s">
        <v>243</v>
      </c>
      <c r="AV157" s="634">
        <f>IFERROR(VLOOKUP(AU157,Listas!$E$85:$F$105,2,FALSE),"Alerta: Seleccione el Concepto de Gasto primero")</f>
        <v>0</v>
      </c>
      <c r="AW157" s="644">
        <v>68200000</v>
      </c>
      <c r="AX157" s="645"/>
      <c r="AY157" s="645"/>
      <c r="AZ157" s="645"/>
      <c r="BA157" s="646">
        <f t="shared" si="47"/>
        <v>68200000</v>
      </c>
      <c r="BB157" s="647"/>
      <c r="BC157" s="648"/>
      <c r="BD157" s="649"/>
      <c r="BE157" s="647"/>
      <c r="BF157" s="644"/>
      <c r="BG157" s="646">
        <f t="shared" si="48"/>
        <v>68200000</v>
      </c>
      <c r="BH157" s="650"/>
      <c r="BI157" s="647"/>
      <c r="BJ157" s="644"/>
      <c r="BK157" s="646">
        <f t="shared" si="49"/>
        <v>0</v>
      </c>
      <c r="BL157" s="651"/>
      <c r="BM157" s="652">
        <f t="shared" si="50"/>
        <v>1</v>
      </c>
      <c r="BN157" s="628"/>
      <c r="BO157" s="670"/>
      <c r="BP157" s="644"/>
      <c r="BQ157" s="644"/>
      <c r="BR157" s="644"/>
      <c r="BS157" s="644"/>
      <c r="BT157" s="644"/>
      <c r="BU157" s="644"/>
      <c r="BV157" s="644"/>
      <c r="BW157" s="644"/>
      <c r="BX157" s="644"/>
      <c r="BY157" s="644"/>
      <c r="BZ157" s="644"/>
      <c r="CA157" s="644"/>
      <c r="CB157" s="646">
        <f t="shared" si="51"/>
        <v>0</v>
      </c>
      <c r="CC157" s="646">
        <f t="shared" si="52"/>
        <v>0</v>
      </c>
      <c r="CD157" s="614"/>
    </row>
    <row r="158" spans="1:82" s="561" customFormat="1" ht="61.5" customHeight="1">
      <c r="A158" s="625" t="str">
        <f t="shared" si="34"/>
        <v>1110-185-FONT1110-05-02-0020-Personal de apoyo transversal a la gestión institucional</v>
      </c>
      <c r="B158" s="626" t="str">
        <f t="shared" si="35"/>
        <v>1110-185-FONT1110-05-02-0020</v>
      </c>
      <c r="C158" s="626" t="str">
        <f t="shared" si="36"/>
        <v>1110-185-FONT1110-Personal de apoyo transversal a la gestión institucional</v>
      </c>
      <c r="D158" s="626" t="str">
        <f t="shared" si="37"/>
        <v>1110-185-12-Otros Distrito-05-02-0020</v>
      </c>
      <c r="E158" s="626" t="str">
        <f t="shared" si="38"/>
        <v>Personal de apoyo transversal a la gestión institucional-12-Otros Distrito-0020-Personal contratado para las actividades propias de los procesos de mejoramiento de gestión de la entidad</v>
      </c>
      <c r="F158" s="627">
        <v>114</v>
      </c>
      <c r="G158" s="628">
        <f t="shared" si="39"/>
        <v>114</v>
      </c>
      <c r="H158" s="629" t="b">
        <f t="shared" si="40"/>
        <v>0</v>
      </c>
      <c r="I158" s="630" t="s">
        <v>594</v>
      </c>
      <c r="J158" s="627" t="s">
        <v>178</v>
      </c>
      <c r="K158" s="631" t="str">
        <f>+IFERROR(VLOOKUP(J158,Listas!$A$108:$B$114,2,FALSE),"Alerta: Seleccione la celda en la comumna B con el nombre del proyecto")</f>
        <v>3-3-1-15-07-42-1110-185</v>
      </c>
      <c r="L158" s="632">
        <v>80111600</v>
      </c>
      <c r="M158" s="633" t="s">
        <v>719</v>
      </c>
      <c r="N158" s="634" t="str">
        <f t="shared" si="41"/>
        <v>(Cód. 114) Prestar servicios de apoyo a la gestión al Instituto Distrital de Patrimonio Cultural en las actividades administrativas de la Dirección General de la entidad.</v>
      </c>
      <c r="O158" s="635">
        <v>43480</v>
      </c>
      <c r="P158" s="636">
        <f>IFERROR(VLOOKUP(W158,'Estimación CRP'!$D$21:$E$30,2,FALSE),0)</f>
        <v>10</v>
      </c>
      <c r="Q158" s="637">
        <f>IF(O158="No aplica","No aplica",WORKDAY.INTL(O158,P158,1,'Estimación CRP'!A344:A360))</f>
        <v>43494</v>
      </c>
      <c r="R158" s="636">
        <f t="shared" si="42"/>
        <v>1</v>
      </c>
      <c r="S158" s="636">
        <f t="shared" si="43"/>
        <v>1</v>
      </c>
      <c r="T158" s="636">
        <f t="shared" si="44"/>
        <v>1</v>
      </c>
      <c r="U158" s="712">
        <v>11</v>
      </c>
      <c r="V158" s="638">
        <v>1</v>
      </c>
      <c r="W158" s="639" t="s">
        <v>274</v>
      </c>
      <c r="X158" s="640" t="str">
        <f>IFERROR(VLOOKUP(W158,Listas!$A$60:$B$73,2,FALSE),"Alerta: Seleccione primero Modalidad de selección")</f>
        <v>CCE-16</v>
      </c>
      <c r="Y158" s="641">
        <v>0</v>
      </c>
      <c r="Z158" s="641" t="s">
        <v>346</v>
      </c>
      <c r="AA158" s="641" t="s">
        <v>1188</v>
      </c>
      <c r="AB158" s="642">
        <f t="shared" si="45"/>
        <v>36190000</v>
      </c>
      <c r="AC158" s="642">
        <f t="shared" si="46"/>
        <v>36190000</v>
      </c>
      <c r="AD158" s="641">
        <v>0</v>
      </c>
      <c r="AE158" s="643">
        <v>0</v>
      </c>
      <c r="AF158" s="639" t="s">
        <v>276</v>
      </c>
      <c r="AG158" s="639" t="s">
        <v>277</v>
      </c>
      <c r="AH158" s="639" t="s">
        <v>1040</v>
      </c>
      <c r="AI158" s="626" t="str">
        <f>IFERROR(VLOOKUP(AH158,Listas!$A$77:$C$83,2,FALSE),"Alerta: Seleccione primero el responsable")</f>
        <v>3550800</v>
      </c>
      <c r="AJ158" s="640" t="str">
        <f>IFERROR(VLOOKUP(AH158,Listas!$A$77:$C$83,3,FALSE),"Alerta: Seleccione primero el responsable")</f>
        <v>juan.acosta@idpc.gov.co</v>
      </c>
      <c r="AK158" s="640" t="str">
        <f>IF(J158="Funcionamiento Gastos Generales","No aplica",IF(J158="Funcionamiento Servicios Personales indirectos","No aplica",IFERROR(VLOOKUP(J158,Listas!$A$127:$E$139,3,FALSE),"Alerta: Seleccione la celda en la comumna B con el nombre del proyecto")))</f>
        <v>ME20181110</v>
      </c>
      <c r="AL158" s="640" t="str">
        <f>IF(J158="Funcionamiento Gastos Generales","No aplica",IF(J158="Funcionamiento Servicios Personales","No aplica",IFERROR(VLOOKUP(J158,Listas!$A$220:$D$224,2,FALSE),"Alerta: Seleccione la celda en la comumna B con el nombre del proyecto")))</f>
        <v>COMP1110</v>
      </c>
      <c r="AM158" s="640" t="str">
        <f>IF(J158="Funcionamiento Gastos Generales","No aplica",IF(J158="Funcionamiento Servicios Personales","No aplica",IFERROR(VLOOKUP(J158,Listas!$A$220:$D$224,3,FALSE),"Alerta: Seleccione la celda en la comumna B con el nombre del proyecto")))</f>
        <v>CONC1110</v>
      </c>
      <c r="AN158" s="633" t="s">
        <v>789</v>
      </c>
      <c r="AO158" s="633" t="s">
        <v>124</v>
      </c>
      <c r="AP158" s="634" t="str">
        <f>IFERROR(VLOOKUP(J158,Listas!$A$182:$E$215,5,FALSE),"Alerta: Seleccione la celda en la comumna B con el nombre del proyecto")</f>
        <v>10. Procesos articulados dentro del sistema integrado de gestión.</v>
      </c>
      <c r="AQ158" s="634" t="str">
        <f>IF(J158="Funcionamiento Gastos Generales","No aplica",IF(J158="Funcionamiento Servicios Personales","No aplica",IFERROR(VLOOKUP(J158,Listas!$A$220:$D$224,4,FALSE),"Alerta: Seleccione la celda en la comumna B con el nombre del proyecto")))</f>
        <v>FONT1110</v>
      </c>
      <c r="AR158" s="633" t="s">
        <v>198</v>
      </c>
      <c r="AS158" s="634" t="str">
        <f>IFERROR(VLOOKUP(AU158,Listas!$E$85:$L$105,7,FALSE),"Alerta: Seleccione la celda en la comumna AI con el concepto de gasto")</f>
        <v>05-ADMINISTRACION INSTITUCIONAL</v>
      </c>
      <c r="AT158" s="634" t="str">
        <f>IFERROR(VLOOKUP(AU158,Listas!$E$85:$L$105,8,FALSE),"Alerta: Seleccione la celda en la comumna AI con el concepto de gasto")</f>
        <v>02-ADMINISTRACIÓN, CONTROL Y ORGANIZACIÓN INSTITUCIONAL PARA APOYO A LA GESTIÓN DEL DISTRITO</v>
      </c>
      <c r="AU158" s="633" t="s">
        <v>243</v>
      </c>
      <c r="AV158" s="634">
        <f>IFERROR(VLOOKUP(AU158,Listas!$E$85:$F$105,2,FALSE),"Alerta: Seleccione el Concepto de Gasto primero")</f>
        <v>0</v>
      </c>
      <c r="AW158" s="644">
        <v>36190000</v>
      </c>
      <c r="AX158" s="645"/>
      <c r="AY158" s="645"/>
      <c r="AZ158" s="645"/>
      <c r="BA158" s="646">
        <f t="shared" si="47"/>
        <v>36190000</v>
      </c>
      <c r="BB158" s="647"/>
      <c r="BC158" s="648"/>
      <c r="BD158" s="649"/>
      <c r="BE158" s="647"/>
      <c r="BF158" s="644"/>
      <c r="BG158" s="646">
        <f t="shared" si="48"/>
        <v>36190000</v>
      </c>
      <c r="BH158" s="650"/>
      <c r="BI158" s="647"/>
      <c r="BJ158" s="644"/>
      <c r="BK158" s="646">
        <f t="shared" si="49"/>
        <v>0</v>
      </c>
      <c r="BL158" s="651"/>
      <c r="BM158" s="652">
        <f t="shared" si="50"/>
        <v>1</v>
      </c>
      <c r="BN158" s="628"/>
      <c r="BO158" s="670"/>
      <c r="BP158" s="644"/>
      <c r="BQ158" s="644"/>
      <c r="BR158" s="644"/>
      <c r="BS158" s="644"/>
      <c r="BT158" s="644"/>
      <c r="BU158" s="644"/>
      <c r="BV158" s="644"/>
      <c r="BW158" s="644"/>
      <c r="BX158" s="644"/>
      <c r="BY158" s="644"/>
      <c r="BZ158" s="644"/>
      <c r="CA158" s="644"/>
      <c r="CB158" s="646">
        <f t="shared" si="51"/>
        <v>0</v>
      </c>
      <c r="CC158" s="646">
        <f t="shared" si="52"/>
        <v>0</v>
      </c>
      <c r="CD158" s="614"/>
    </row>
    <row r="159" spans="1:82" s="561" customFormat="1" ht="61.5" customHeight="1">
      <c r="A159" s="625" t="str">
        <f t="shared" si="34"/>
        <v>1110-185-FONT1110-05-02-0020-Personal de apoyo transversal a la gestión institucional</v>
      </c>
      <c r="B159" s="626" t="str">
        <f t="shared" si="35"/>
        <v>1110-185-FONT1110-05-02-0020</v>
      </c>
      <c r="C159" s="626" t="str">
        <f t="shared" si="36"/>
        <v>1110-185-FONT1110-Personal de apoyo transversal a la gestión institucional</v>
      </c>
      <c r="D159" s="626" t="str">
        <f t="shared" si="37"/>
        <v>1110-185-12-Otros Distrito-05-02-0020</v>
      </c>
      <c r="E159" s="626" t="str">
        <f t="shared" si="38"/>
        <v>Personal de apoyo transversal a la gestión institucional-12-Otros Distrito-0020-Personal contratado para las actividades propias de los procesos de mejoramiento de gestión de la entidad</v>
      </c>
      <c r="F159" s="627">
        <v>115</v>
      </c>
      <c r="G159" s="628">
        <f t="shared" si="39"/>
        <v>115</v>
      </c>
      <c r="H159" s="629" t="b">
        <f t="shared" si="40"/>
        <v>0</v>
      </c>
      <c r="I159" s="630" t="s">
        <v>594</v>
      </c>
      <c r="J159" s="627" t="s">
        <v>178</v>
      </c>
      <c r="K159" s="631" t="str">
        <f>+IFERROR(VLOOKUP(J159,Listas!$A$108:$B$114,2,FALSE),"Alerta: Seleccione la celda en la comumna B con el nombre del proyecto")</f>
        <v>3-3-1-15-07-42-1110-185</v>
      </c>
      <c r="L159" s="632">
        <v>80111600</v>
      </c>
      <c r="M159" s="633" t="s">
        <v>720</v>
      </c>
      <c r="N159" s="634" t="str">
        <f t="shared" si="41"/>
        <v>(Cód. 115) Prestar servicios profesionales especializados a la Dirección General del Instituto Distrital de Patrimonio Cultural, relacionados con el acompañamiento de las acciones estratégicas de mejoramiento y seguimiento institucional, para el normal funcionamiento de la entidad.</v>
      </c>
      <c r="O159" s="635">
        <v>43480</v>
      </c>
      <c r="P159" s="636">
        <f>IFERROR(VLOOKUP(W159,'Estimación CRP'!$D$21:$E$30,2,FALSE),0)</f>
        <v>10</v>
      </c>
      <c r="Q159" s="637">
        <f>IF(O159="No aplica","No aplica",WORKDAY.INTL(O159,P159,1,'Estimación CRP'!A345:A361))</f>
        <v>43494</v>
      </c>
      <c r="R159" s="636">
        <f t="shared" si="42"/>
        <v>1</v>
      </c>
      <c r="S159" s="636">
        <f t="shared" si="43"/>
        <v>1</v>
      </c>
      <c r="T159" s="636">
        <f t="shared" si="44"/>
        <v>1</v>
      </c>
      <c r="U159" s="712">
        <v>11</v>
      </c>
      <c r="V159" s="638">
        <v>1</v>
      </c>
      <c r="W159" s="639" t="s">
        <v>274</v>
      </c>
      <c r="X159" s="640" t="str">
        <f>IFERROR(VLOOKUP(W159,Listas!$A$60:$B$73,2,FALSE),"Alerta: Seleccione primero Modalidad de selección")</f>
        <v>CCE-16</v>
      </c>
      <c r="Y159" s="641">
        <v>0</v>
      </c>
      <c r="Z159" s="641" t="s">
        <v>346</v>
      </c>
      <c r="AA159" s="641" t="s">
        <v>1189</v>
      </c>
      <c r="AB159" s="642">
        <f t="shared" si="45"/>
        <v>94820000</v>
      </c>
      <c r="AC159" s="642">
        <f t="shared" si="46"/>
        <v>94820000</v>
      </c>
      <c r="AD159" s="641">
        <v>0</v>
      </c>
      <c r="AE159" s="643">
        <v>0</v>
      </c>
      <c r="AF159" s="639" t="s">
        <v>276</v>
      </c>
      <c r="AG159" s="639" t="s">
        <v>277</v>
      </c>
      <c r="AH159" s="639" t="s">
        <v>1040</v>
      </c>
      <c r="AI159" s="626" t="str">
        <f>IFERROR(VLOOKUP(AH159,Listas!$A$77:$C$83,2,FALSE),"Alerta: Seleccione primero el responsable")</f>
        <v>3550800</v>
      </c>
      <c r="AJ159" s="640" t="str">
        <f>IFERROR(VLOOKUP(AH159,Listas!$A$77:$C$83,3,FALSE),"Alerta: Seleccione primero el responsable")</f>
        <v>juan.acosta@idpc.gov.co</v>
      </c>
      <c r="AK159" s="640" t="str">
        <f>IF(J159="Funcionamiento Gastos Generales","No aplica",IF(J159="Funcionamiento Servicios Personales indirectos","No aplica",IFERROR(VLOOKUP(J159,Listas!$A$127:$E$139,3,FALSE),"Alerta: Seleccione la celda en la comumna B con el nombre del proyecto")))</f>
        <v>ME20181110</v>
      </c>
      <c r="AL159" s="640" t="str">
        <f>IF(J159="Funcionamiento Gastos Generales","No aplica",IF(J159="Funcionamiento Servicios Personales","No aplica",IFERROR(VLOOKUP(J159,Listas!$A$220:$D$224,2,FALSE),"Alerta: Seleccione la celda en la comumna B con el nombre del proyecto")))</f>
        <v>COMP1110</v>
      </c>
      <c r="AM159" s="640" t="str">
        <f>IF(J159="Funcionamiento Gastos Generales","No aplica",IF(J159="Funcionamiento Servicios Personales","No aplica",IFERROR(VLOOKUP(J159,Listas!$A$220:$D$224,3,FALSE),"Alerta: Seleccione la celda en la comumna B con el nombre del proyecto")))</f>
        <v>CONC1110</v>
      </c>
      <c r="AN159" s="633" t="s">
        <v>789</v>
      </c>
      <c r="AO159" s="633" t="s">
        <v>124</v>
      </c>
      <c r="AP159" s="634" t="str">
        <f>IFERROR(VLOOKUP(J159,Listas!$A$182:$E$215,5,FALSE),"Alerta: Seleccione la celda en la comumna B con el nombre del proyecto")</f>
        <v>10. Procesos articulados dentro del sistema integrado de gestión.</v>
      </c>
      <c r="AQ159" s="634" t="str">
        <f>IF(J159="Funcionamiento Gastos Generales","No aplica",IF(J159="Funcionamiento Servicios Personales","No aplica",IFERROR(VLOOKUP(J159,Listas!$A$220:$D$224,4,FALSE),"Alerta: Seleccione la celda en la comumna B con el nombre del proyecto")))</f>
        <v>FONT1110</v>
      </c>
      <c r="AR159" s="633" t="s">
        <v>198</v>
      </c>
      <c r="AS159" s="634" t="str">
        <f>IFERROR(VLOOKUP(AU159,Listas!$E$85:$L$105,7,FALSE),"Alerta: Seleccione la celda en la comumna AI con el concepto de gasto")</f>
        <v>05-ADMINISTRACION INSTITUCIONAL</v>
      </c>
      <c r="AT159" s="634" t="str">
        <f>IFERROR(VLOOKUP(AU159,Listas!$E$85:$L$105,8,FALSE),"Alerta: Seleccione la celda en la comumna AI con el concepto de gasto")</f>
        <v>02-ADMINISTRACIÓN, CONTROL Y ORGANIZACIÓN INSTITUCIONAL PARA APOYO A LA GESTIÓN DEL DISTRITO</v>
      </c>
      <c r="AU159" s="633" t="s">
        <v>243</v>
      </c>
      <c r="AV159" s="634">
        <f>IFERROR(VLOOKUP(AU159,Listas!$E$85:$F$105,2,FALSE),"Alerta: Seleccione el Concepto de Gasto primero")</f>
        <v>0</v>
      </c>
      <c r="AW159" s="644">
        <v>94820000</v>
      </c>
      <c r="AX159" s="645"/>
      <c r="AY159" s="645"/>
      <c r="AZ159" s="645"/>
      <c r="BA159" s="646">
        <f t="shared" si="47"/>
        <v>94820000</v>
      </c>
      <c r="BB159" s="647"/>
      <c r="BC159" s="648"/>
      <c r="BD159" s="649"/>
      <c r="BE159" s="647"/>
      <c r="BF159" s="644"/>
      <c r="BG159" s="646">
        <f t="shared" si="48"/>
        <v>94820000</v>
      </c>
      <c r="BH159" s="650"/>
      <c r="BI159" s="647"/>
      <c r="BJ159" s="644"/>
      <c r="BK159" s="646">
        <f t="shared" si="49"/>
        <v>0</v>
      </c>
      <c r="BL159" s="651"/>
      <c r="BM159" s="652">
        <f t="shared" si="50"/>
        <v>1</v>
      </c>
      <c r="BN159" s="628"/>
      <c r="BO159" s="670"/>
      <c r="BP159" s="644"/>
      <c r="BQ159" s="644"/>
      <c r="BR159" s="644"/>
      <c r="BS159" s="644"/>
      <c r="BT159" s="644"/>
      <c r="BU159" s="644"/>
      <c r="BV159" s="644"/>
      <c r="BW159" s="644"/>
      <c r="BX159" s="644"/>
      <c r="BY159" s="644"/>
      <c r="BZ159" s="644"/>
      <c r="CA159" s="644"/>
      <c r="CB159" s="646">
        <f t="shared" si="51"/>
        <v>0</v>
      </c>
      <c r="CC159" s="646">
        <f t="shared" si="52"/>
        <v>0</v>
      </c>
      <c r="CD159" s="614"/>
    </row>
    <row r="160" spans="1:82" s="561" customFormat="1" ht="61.5" customHeight="1">
      <c r="A160" s="625" t="str">
        <f t="shared" ref="A160:A223" si="53">+CONCATENATE(B160,"-",AO160)</f>
        <v>1110-185-FONT1110-05-02-0020-Personal de apoyo transversal a la gestión institucional</v>
      </c>
      <c r="B160" s="626" t="str">
        <f t="shared" ref="B160:B223" si="54">CONCATENATE(RIGHT(K160,8),"-",AQ160,"-",LEFT(AS160,2),"-",LEFT(AT160,2),"-",LEFT(AU160,4))</f>
        <v>1110-185-FONT1110-05-02-0020</v>
      </c>
      <c r="C160" s="626" t="str">
        <f t="shared" ref="C160:C223" si="55">+CONCATENATE(RIGHT(K160,8),"-",AQ160,"-",AO160)</f>
        <v>1110-185-FONT1110-Personal de apoyo transversal a la gestión institucional</v>
      </c>
      <c r="D160" s="626" t="str">
        <f t="shared" ref="D160:D223" si="56">+CONCATENATE(RIGHT(K160,8),"-",AR160,"-",LEFT(AS160,2),"-",LEFT(AT160,2),"-",LEFT(AU160,4))</f>
        <v>1110-185-12-Otros Distrito-05-02-0020</v>
      </c>
      <c r="E160" s="626" t="str">
        <f t="shared" si="38"/>
        <v>Personal de apoyo transversal a la gestión institucional-12-Otros Distrito-0020-Personal contratado para las actividades propias de los procesos de mejoramiento de gestión de la entidad</v>
      </c>
      <c r="F160" s="627">
        <v>116</v>
      </c>
      <c r="G160" s="628">
        <f t="shared" si="39"/>
        <v>116</v>
      </c>
      <c r="H160" s="629" t="b">
        <f t="shared" si="40"/>
        <v>0</v>
      </c>
      <c r="I160" s="630" t="s">
        <v>594</v>
      </c>
      <c r="J160" s="627" t="s">
        <v>178</v>
      </c>
      <c r="K160" s="631" t="str">
        <f>+IFERROR(VLOOKUP(J160,Listas!$A$108:$B$114,2,FALSE),"Alerta: Seleccione la celda en la comumna B con el nombre del proyecto")</f>
        <v>3-3-1-15-07-42-1110-185</v>
      </c>
      <c r="L160" s="632">
        <v>80111600</v>
      </c>
      <c r="M160" s="633" t="s">
        <v>721</v>
      </c>
      <c r="N160" s="634" t="str">
        <f t="shared" si="41"/>
        <v xml:space="preserve">(Cód. 116) Prestar servicios de apoyo a la gestión al Instituto Distrital de Patrimonio Cultural para apoyar las actividades logisticas de divulgación, participación ciudadana y control social. </v>
      </c>
      <c r="O160" s="635">
        <v>43480</v>
      </c>
      <c r="P160" s="636">
        <f>IFERROR(VLOOKUP(W160,'Estimación CRP'!$D$21:$E$30,2,FALSE),0)</f>
        <v>10</v>
      </c>
      <c r="Q160" s="637">
        <f>IF(O160="No aplica","No aplica",WORKDAY.INTL(O160,P160,1,'Estimación CRP'!A346:A362))</f>
        <v>43494</v>
      </c>
      <c r="R160" s="636">
        <f t="shared" si="42"/>
        <v>1</v>
      </c>
      <c r="S160" s="636">
        <f t="shared" si="43"/>
        <v>1</v>
      </c>
      <c r="T160" s="636">
        <f t="shared" si="44"/>
        <v>1</v>
      </c>
      <c r="U160" s="712">
        <v>3</v>
      </c>
      <c r="V160" s="638">
        <v>1</v>
      </c>
      <c r="W160" s="639" t="s">
        <v>274</v>
      </c>
      <c r="X160" s="640" t="str">
        <f>IFERROR(VLOOKUP(W160,Listas!$A$60:$B$73,2,FALSE),"Alerta: Seleccione primero Modalidad de selección")</f>
        <v>CCE-16</v>
      </c>
      <c r="Y160" s="641">
        <v>0</v>
      </c>
      <c r="Z160" s="641" t="s">
        <v>346</v>
      </c>
      <c r="AA160" s="641" t="s">
        <v>1190</v>
      </c>
      <c r="AB160" s="642">
        <f t="shared" si="45"/>
        <v>6180000</v>
      </c>
      <c r="AC160" s="642">
        <f t="shared" si="46"/>
        <v>6180000</v>
      </c>
      <c r="AD160" s="641">
        <v>0</v>
      </c>
      <c r="AE160" s="643">
        <v>0</v>
      </c>
      <c r="AF160" s="639" t="s">
        <v>276</v>
      </c>
      <c r="AG160" s="639" t="s">
        <v>277</v>
      </c>
      <c r="AH160" s="639" t="s">
        <v>285</v>
      </c>
      <c r="AI160" s="626" t="str">
        <f>IFERROR(VLOOKUP(AH160,Listas!$A$77:$C$83,2,FALSE),"Alerta: Seleccione primero el responsable")</f>
        <v>3550800</v>
      </c>
      <c r="AJ160" s="640" t="str">
        <f>IFERROR(VLOOKUP(AH160,Listas!$A$77:$C$83,3,FALSE),"Alerta: Seleccione primero el responsable")</f>
        <v>maria.villamil@idpc.gov.co</v>
      </c>
      <c r="AK160" s="640" t="str">
        <f>IF(J160="Funcionamiento Gastos Generales","No aplica",IF(J160="Funcionamiento Servicios Personales indirectos","No aplica",IFERROR(VLOOKUP(J160,Listas!$A$127:$E$139,3,FALSE),"Alerta: Seleccione la celda en la comumna B con el nombre del proyecto")))</f>
        <v>ME20181110</v>
      </c>
      <c r="AL160" s="640" t="str">
        <f>IF(J160="Funcionamiento Gastos Generales","No aplica",IF(J160="Funcionamiento Servicios Personales","No aplica",IFERROR(VLOOKUP(J160,Listas!$A$220:$D$224,2,FALSE),"Alerta: Seleccione la celda en la comumna B con el nombre del proyecto")))</f>
        <v>COMP1110</v>
      </c>
      <c r="AM160" s="640" t="str">
        <f>IF(J160="Funcionamiento Gastos Generales","No aplica",IF(J160="Funcionamiento Servicios Personales","No aplica",IFERROR(VLOOKUP(J160,Listas!$A$220:$D$224,3,FALSE),"Alerta: Seleccione la celda en la comumna B con el nombre del proyecto")))</f>
        <v>CONC1110</v>
      </c>
      <c r="AN160" s="633" t="s">
        <v>789</v>
      </c>
      <c r="AO160" s="633" t="s">
        <v>124</v>
      </c>
      <c r="AP160" s="634" t="str">
        <f>IFERROR(VLOOKUP(J160,Listas!$A$182:$E$215,5,FALSE),"Alerta: Seleccione la celda en la comumna B con el nombre del proyecto")</f>
        <v>10. Procesos articulados dentro del sistema integrado de gestión.</v>
      </c>
      <c r="AQ160" s="634" t="str">
        <f>IF(J160="Funcionamiento Gastos Generales","No aplica",IF(J160="Funcionamiento Servicios Personales","No aplica",IFERROR(VLOOKUP(J160,Listas!$A$220:$D$224,4,FALSE),"Alerta: Seleccione la celda en la comumna B con el nombre del proyecto")))</f>
        <v>FONT1110</v>
      </c>
      <c r="AR160" s="633" t="s">
        <v>198</v>
      </c>
      <c r="AS160" s="634" t="str">
        <f>IFERROR(VLOOKUP(AU160,Listas!$E$85:$L$105,7,FALSE),"Alerta: Seleccione la celda en la comumna AI con el concepto de gasto")</f>
        <v>05-ADMINISTRACION INSTITUCIONAL</v>
      </c>
      <c r="AT160" s="634" t="str">
        <f>IFERROR(VLOOKUP(AU160,Listas!$E$85:$L$105,8,FALSE),"Alerta: Seleccione la celda en la comumna AI con el concepto de gasto")</f>
        <v>02-ADMINISTRACIÓN, CONTROL Y ORGANIZACIÓN INSTITUCIONAL PARA APOYO A LA GESTIÓN DEL DISTRITO</v>
      </c>
      <c r="AU160" s="633" t="s">
        <v>243</v>
      </c>
      <c r="AV160" s="634">
        <f>IFERROR(VLOOKUP(AU160,Listas!$E$85:$F$105,2,FALSE),"Alerta: Seleccione el Concepto de Gasto primero")</f>
        <v>0</v>
      </c>
      <c r="AW160" s="644">
        <v>6180000</v>
      </c>
      <c r="AX160" s="645"/>
      <c r="AY160" s="645"/>
      <c r="AZ160" s="645"/>
      <c r="BA160" s="646">
        <f t="shared" si="47"/>
        <v>6180000</v>
      </c>
      <c r="BB160" s="647"/>
      <c r="BC160" s="648"/>
      <c r="BD160" s="649"/>
      <c r="BE160" s="647"/>
      <c r="BF160" s="644"/>
      <c r="BG160" s="646">
        <f t="shared" si="48"/>
        <v>6180000</v>
      </c>
      <c r="BH160" s="650"/>
      <c r="BI160" s="647"/>
      <c r="BJ160" s="644"/>
      <c r="BK160" s="646">
        <f t="shared" si="49"/>
        <v>0</v>
      </c>
      <c r="BL160" s="651"/>
      <c r="BM160" s="652">
        <f t="shared" si="50"/>
        <v>1</v>
      </c>
      <c r="BN160" s="628"/>
      <c r="BO160" s="670"/>
      <c r="BP160" s="644"/>
      <c r="BQ160" s="644"/>
      <c r="BR160" s="644"/>
      <c r="BS160" s="644"/>
      <c r="BT160" s="644"/>
      <c r="BU160" s="644"/>
      <c r="BV160" s="644"/>
      <c r="BW160" s="644"/>
      <c r="BX160" s="644"/>
      <c r="BY160" s="644"/>
      <c r="BZ160" s="644"/>
      <c r="CA160" s="644"/>
      <c r="CB160" s="646">
        <f t="shared" si="51"/>
        <v>0</v>
      </c>
      <c r="CC160" s="646">
        <f t="shared" si="52"/>
        <v>0</v>
      </c>
      <c r="CD160" s="614"/>
    </row>
    <row r="161" spans="1:82" s="561" customFormat="1" ht="61.5" customHeight="1">
      <c r="A161" s="625" t="str">
        <f t="shared" si="53"/>
        <v>1110-185-FONT1110-05-02-0020-Personal de apoyo transversal a la gestión institucional</v>
      </c>
      <c r="B161" s="626" t="str">
        <f t="shared" si="54"/>
        <v>1110-185-FONT1110-05-02-0020</v>
      </c>
      <c r="C161" s="626" t="str">
        <f t="shared" si="55"/>
        <v>1110-185-FONT1110-Personal de apoyo transversal a la gestión institucional</v>
      </c>
      <c r="D161" s="626" t="str">
        <f t="shared" si="56"/>
        <v>1110-185-12-Otros Distrito-05-02-0020</v>
      </c>
      <c r="E161" s="626" t="str">
        <f t="shared" ref="E161:E224" si="57">+CONCATENATE(AO161,"-",AR161,"-",AU161)</f>
        <v>Personal de apoyo transversal a la gestión institucional-12-Otros Distrito-0020-Personal contratado para las actividades propias de los procesos de mejoramiento de gestión de la entidad</v>
      </c>
      <c r="F161" s="627">
        <v>116</v>
      </c>
      <c r="G161" s="628">
        <f t="shared" ref="G161:G224" si="58">+F161</f>
        <v>116</v>
      </c>
      <c r="H161" s="629" t="b">
        <f t="shared" ref="H161:H224" si="59">+G161=G160</f>
        <v>1</v>
      </c>
      <c r="I161" s="630" t="s">
        <v>594</v>
      </c>
      <c r="J161" s="627" t="s">
        <v>178</v>
      </c>
      <c r="K161" s="631" t="str">
        <f>+IFERROR(VLOOKUP(J161,Listas!$A$108:$B$114,2,FALSE),"Alerta: Seleccione la celda en la comumna B con el nombre del proyecto")</f>
        <v>3-3-1-15-07-42-1110-185</v>
      </c>
      <c r="L161" s="632">
        <v>80111600</v>
      </c>
      <c r="M161" s="633" t="s">
        <v>722</v>
      </c>
      <c r="N161" s="634" t="str">
        <f t="shared" ref="N161:N224" si="60">+CONCATENATE("(Cód. ",F161,") ",M161)</f>
        <v xml:space="preserve">(Cód. 116) Prestar servicios profesionales al Instituto Distrital de Patrimonio Cultural para apoyar las actividades logísticas requeridas en la implementación del modelo de participacion y control social. </v>
      </c>
      <c r="O161" s="635">
        <v>43533</v>
      </c>
      <c r="P161" s="636">
        <f>IFERROR(VLOOKUP(W161,'Estimación CRP'!$D$21:$E$30,2,FALSE),0)</f>
        <v>10</v>
      </c>
      <c r="Q161" s="637">
        <f>IF(O161="No aplica","No aplica",WORKDAY.INTL(O161,P161,1,'Estimación CRP'!A347:A363))</f>
        <v>43546</v>
      </c>
      <c r="R161" s="636">
        <f t="shared" ref="R161:R224" si="61">IF(O161="No aplica","No aplica",MONTH(Q161))</f>
        <v>3</v>
      </c>
      <c r="S161" s="636">
        <f t="shared" ref="S161:S224" si="62">IF(O161="No aplica","No aplica",MONTH(O161))</f>
        <v>3</v>
      </c>
      <c r="T161" s="636">
        <f t="shared" ref="T161:T224" si="63">IF(O161="No aplica","No aplica",S161)</f>
        <v>3</v>
      </c>
      <c r="U161" s="712">
        <v>8</v>
      </c>
      <c r="V161" s="638">
        <v>1</v>
      </c>
      <c r="W161" s="639" t="s">
        <v>274</v>
      </c>
      <c r="X161" s="640" t="str">
        <f>IFERROR(VLOOKUP(W161,Listas!$A$60:$B$73,2,FALSE),"Alerta: Seleccione primero Modalidad de selección")</f>
        <v>CCE-16</v>
      </c>
      <c r="Y161" s="641">
        <v>0</v>
      </c>
      <c r="Z161" s="641" t="s">
        <v>346</v>
      </c>
      <c r="AA161" s="641" t="s">
        <v>1190</v>
      </c>
      <c r="AB161" s="642">
        <f t="shared" ref="AB161:AB224" si="64">+BA161</f>
        <v>29600000</v>
      </c>
      <c r="AC161" s="642">
        <f t="shared" ref="AC161:AC224" si="65">+AB161</f>
        <v>29600000</v>
      </c>
      <c r="AD161" s="641">
        <v>0</v>
      </c>
      <c r="AE161" s="643">
        <v>0</v>
      </c>
      <c r="AF161" s="639" t="s">
        <v>276</v>
      </c>
      <c r="AG161" s="639" t="s">
        <v>277</v>
      </c>
      <c r="AH161" s="639" t="s">
        <v>285</v>
      </c>
      <c r="AI161" s="626" t="str">
        <f>IFERROR(VLOOKUP(AH161,Listas!$A$77:$C$83,2,FALSE),"Alerta: Seleccione primero el responsable")</f>
        <v>3550800</v>
      </c>
      <c r="AJ161" s="640" t="str">
        <f>IFERROR(VLOOKUP(AH161,Listas!$A$77:$C$83,3,FALSE),"Alerta: Seleccione primero el responsable")</f>
        <v>maria.villamil@idpc.gov.co</v>
      </c>
      <c r="AK161" s="640" t="str">
        <f>IF(J161="Funcionamiento Gastos Generales","No aplica",IF(J161="Funcionamiento Servicios Personales indirectos","No aplica",IFERROR(VLOOKUP(J161,Listas!$A$127:$E$139,3,FALSE),"Alerta: Seleccione la celda en la comumna B con el nombre del proyecto")))</f>
        <v>ME20181110</v>
      </c>
      <c r="AL161" s="640" t="str">
        <f>IF(J161="Funcionamiento Gastos Generales","No aplica",IF(J161="Funcionamiento Servicios Personales","No aplica",IFERROR(VLOOKUP(J161,Listas!$A$220:$D$224,2,FALSE),"Alerta: Seleccione la celda en la comumna B con el nombre del proyecto")))</f>
        <v>COMP1110</v>
      </c>
      <c r="AM161" s="640" t="str">
        <f>IF(J161="Funcionamiento Gastos Generales","No aplica",IF(J161="Funcionamiento Servicios Personales","No aplica",IFERROR(VLOOKUP(J161,Listas!$A$220:$D$224,3,FALSE),"Alerta: Seleccione la celda en la comumna B con el nombre del proyecto")))</f>
        <v>CONC1110</v>
      </c>
      <c r="AN161" s="633" t="s">
        <v>789</v>
      </c>
      <c r="AO161" s="633" t="s">
        <v>124</v>
      </c>
      <c r="AP161" s="634" t="str">
        <f>IFERROR(VLOOKUP(J161,Listas!$A$182:$E$215,5,FALSE),"Alerta: Seleccione la celda en la comumna B con el nombre del proyecto")</f>
        <v>10. Procesos articulados dentro del sistema integrado de gestión.</v>
      </c>
      <c r="AQ161" s="634" t="str">
        <f>IF(J161="Funcionamiento Gastos Generales","No aplica",IF(J161="Funcionamiento Servicios Personales","No aplica",IFERROR(VLOOKUP(J161,Listas!$A$220:$D$224,4,FALSE),"Alerta: Seleccione la celda en la comumna B con el nombre del proyecto")))</f>
        <v>FONT1110</v>
      </c>
      <c r="AR161" s="633" t="s">
        <v>198</v>
      </c>
      <c r="AS161" s="634" t="str">
        <f>IFERROR(VLOOKUP(AU161,Listas!$E$85:$L$105,7,FALSE),"Alerta: Seleccione la celda en la comumna AI con el concepto de gasto")</f>
        <v>05-ADMINISTRACION INSTITUCIONAL</v>
      </c>
      <c r="AT161" s="634" t="str">
        <f>IFERROR(VLOOKUP(AU161,Listas!$E$85:$L$105,8,FALSE),"Alerta: Seleccione la celda en la comumna AI con el concepto de gasto")</f>
        <v>02-ADMINISTRACIÓN, CONTROL Y ORGANIZACIÓN INSTITUCIONAL PARA APOYO A LA GESTIÓN DEL DISTRITO</v>
      </c>
      <c r="AU161" s="633" t="s">
        <v>243</v>
      </c>
      <c r="AV161" s="634">
        <f>IFERROR(VLOOKUP(AU161,Listas!$E$85:$F$105,2,FALSE),"Alerta: Seleccione el Concepto de Gasto primero")</f>
        <v>0</v>
      </c>
      <c r="AW161" s="644">
        <v>29600000</v>
      </c>
      <c r="AX161" s="645"/>
      <c r="AY161" s="645"/>
      <c r="AZ161" s="645"/>
      <c r="BA161" s="646">
        <f t="shared" ref="BA161:BA224" si="66">+AW161+AX161+AY161-AZ161</f>
        <v>29600000</v>
      </c>
      <c r="BB161" s="647"/>
      <c r="BC161" s="648"/>
      <c r="BD161" s="649"/>
      <c r="BE161" s="647"/>
      <c r="BF161" s="644"/>
      <c r="BG161" s="646">
        <f t="shared" ref="BG161:BG224" si="67">+BA161-BF161</f>
        <v>29600000</v>
      </c>
      <c r="BH161" s="650"/>
      <c r="BI161" s="647"/>
      <c r="BJ161" s="644"/>
      <c r="BK161" s="646">
        <f t="shared" ref="BK161:BK224" si="68">BF161-BJ161</f>
        <v>0</v>
      </c>
      <c r="BL161" s="651"/>
      <c r="BM161" s="652">
        <f t="shared" ref="BM161:BM224" si="69">MONTH(BL161)</f>
        <v>1</v>
      </c>
      <c r="BN161" s="628"/>
      <c r="BO161" s="670"/>
      <c r="BP161" s="644"/>
      <c r="BQ161" s="644"/>
      <c r="BR161" s="644"/>
      <c r="BS161" s="644"/>
      <c r="BT161" s="644"/>
      <c r="BU161" s="644"/>
      <c r="BV161" s="644"/>
      <c r="BW161" s="644"/>
      <c r="BX161" s="644"/>
      <c r="BY161" s="644"/>
      <c r="BZ161" s="644"/>
      <c r="CA161" s="644"/>
      <c r="CB161" s="646">
        <f t="shared" ref="CB161:CB224" si="70">+SUM(BP161:CA161)</f>
        <v>0</v>
      </c>
      <c r="CC161" s="646">
        <f t="shared" ref="CC161:CC224" si="71">BJ161-CB161</f>
        <v>0</v>
      </c>
      <c r="CD161" s="614"/>
    </row>
    <row r="162" spans="1:82" s="561" customFormat="1" ht="61.5" customHeight="1">
      <c r="A162" s="625" t="str">
        <f t="shared" si="53"/>
        <v>1110-185-FONT1110-05-02-0020-Personal de apoyo transversal a la gestión institucional</v>
      </c>
      <c r="B162" s="626" t="str">
        <f t="shared" si="54"/>
        <v>1110-185-FONT1110-05-02-0020</v>
      </c>
      <c r="C162" s="626" t="str">
        <f t="shared" si="55"/>
        <v>1110-185-FONT1110-Personal de apoyo transversal a la gestión institucional</v>
      </c>
      <c r="D162" s="626" t="str">
        <f t="shared" si="56"/>
        <v>1110-185-12-Otros Distrito-05-02-0020</v>
      </c>
      <c r="E162" s="626" t="str">
        <f t="shared" si="57"/>
        <v>Personal de apoyo transversal a la gestión institucional-12-Otros Distrito-0020-Personal contratado para las actividades propias de los procesos de mejoramiento de gestión de la entidad</v>
      </c>
      <c r="F162" s="627">
        <v>117</v>
      </c>
      <c r="G162" s="628">
        <f t="shared" si="58"/>
        <v>117</v>
      </c>
      <c r="H162" s="629" t="b">
        <f t="shared" si="59"/>
        <v>0</v>
      </c>
      <c r="I162" s="630" t="s">
        <v>594</v>
      </c>
      <c r="J162" s="627" t="s">
        <v>178</v>
      </c>
      <c r="K162" s="631" t="str">
        <f>+IFERROR(VLOOKUP(J162,Listas!$A$108:$B$114,2,FALSE),"Alerta: Seleccione la celda en la comumna B con el nombre del proyecto")</f>
        <v>3-3-1-15-07-42-1110-185</v>
      </c>
      <c r="L162" s="632">
        <v>80111600</v>
      </c>
      <c r="M162" s="633" t="s">
        <v>723</v>
      </c>
      <c r="N162" s="634" t="str">
        <f t="shared" si="60"/>
        <v>(Cód. 117) Prestar servicios profesionales al Instituto Distrital de Patrimonio Cultural en el apoyo jurídico que requiera la entidad en las etapas precontractual, contractual y post-contractual.</v>
      </c>
      <c r="O162" s="635">
        <v>43480</v>
      </c>
      <c r="P162" s="636">
        <f>IFERROR(VLOOKUP(W162,'Estimación CRP'!$D$21:$E$30,2,FALSE),0)</f>
        <v>10</v>
      </c>
      <c r="Q162" s="637">
        <f>IF(O162="No aplica","No aplica",WORKDAY.INTL(O162,P162,1,'Estimación CRP'!A348:A364))</f>
        <v>43494</v>
      </c>
      <c r="R162" s="636">
        <f t="shared" si="61"/>
        <v>1</v>
      </c>
      <c r="S162" s="636">
        <f t="shared" si="62"/>
        <v>1</v>
      </c>
      <c r="T162" s="636">
        <f t="shared" si="63"/>
        <v>1</v>
      </c>
      <c r="U162" s="712">
        <v>11</v>
      </c>
      <c r="V162" s="638">
        <v>1</v>
      </c>
      <c r="W162" s="639" t="s">
        <v>274</v>
      </c>
      <c r="X162" s="640" t="str">
        <f>IFERROR(VLOOKUP(W162,Listas!$A$60:$B$73,2,FALSE),"Alerta: Seleccione primero Modalidad de selección")</f>
        <v>CCE-16</v>
      </c>
      <c r="Y162" s="641">
        <v>0</v>
      </c>
      <c r="Z162" s="641" t="s">
        <v>346</v>
      </c>
      <c r="AA162" s="641" t="s">
        <v>1191</v>
      </c>
      <c r="AB162" s="642">
        <f t="shared" si="64"/>
        <v>60060000</v>
      </c>
      <c r="AC162" s="642">
        <f t="shared" si="65"/>
        <v>60060000</v>
      </c>
      <c r="AD162" s="641">
        <v>0</v>
      </c>
      <c r="AE162" s="643">
        <v>0</v>
      </c>
      <c r="AF162" s="639" t="s">
        <v>276</v>
      </c>
      <c r="AG162" s="639" t="s">
        <v>277</v>
      </c>
      <c r="AH162" s="639" t="s">
        <v>283</v>
      </c>
      <c r="AI162" s="626" t="str">
        <f>IFERROR(VLOOKUP(AH162,Listas!$A$77:$C$83,2,FALSE),"Alerta: Seleccione primero el responsable")</f>
        <v>3550800</v>
      </c>
      <c r="AJ162" s="640" t="str">
        <f>IFERROR(VLOOKUP(AH162,Listas!$A$77:$C$83,3,FALSE),"Alerta: Seleccione primero el responsable")</f>
        <v>juan.acosta@idpc.gov.co</v>
      </c>
      <c r="AK162" s="640" t="str">
        <f>IF(J162="Funcionamiento Gastos Generales","No aplica",IF(J162="Funcionamiento Servicios Personales indirectos","No aplica",IFERROR(VLOOKUP(J162,Listas!$A$127:$E$139,3,FALSE),"Alerta: Seleccione la celda en la comumna B con el nombre del proyecto")))</f>
        <v>ME20181110</v>
      </c>
      <c r="AL162" s="640" t="str">
        <f>IF(J162="Funcionamiento Gastos Generales","No aplica",IF(J162="Funcionamiento Servicios Personales","No aplica",IFERROR(VLOOKUP(J162,Listas!$A$220:$D$224,2,FALSE),"Alerta: Seleccione la celda en la comumna B con el nombre del proyecto")))</f>
        <v>COMP1110</v>
      </c>
      <c r="AM162" s="640" t="str">
        <f>IF(J162="Funcionamiento Gastos Generales","No aplica",IF(J162="Funcionamiento Servicios Personales","No aplica",IFERROR(VLOOKUP(J162,Listas!$A$220:$D$224,3,FALSE),"Alerta: Seleccione la celda en la comumna B con el nombre del proyecto")))</f>
        <v>CONC1110</v>
      </c>
      <c r="AN162" s="633" t="s">
        <v>789</v>
      </c>
      <c r="AO162" s="633" t="s">
        <v>124</v>
      </c>
      <c r="AP162" s="634" t="str">
        <f>IFERROR(VLOOKUP(J162,Listas!$A$182:$E$215,5,FALSE),"Alerta: Seleccione la celda en la comumna B con el nombre del proyecto")</f>
        <v>10. Procesos articulados dentro del sistema integrado de gestión.</v>
      </c>
      <c r="AQ162" s="634" t="str">
        <f>IF(J162="Funcionamiento Gastos Generales","No aplica",IF(J162="Funcionamiento Servicios Personales","No aplica",IFERROR(VLOOKUP(J162,Listas!$A$220:$D$224,4,FALSE),"Alerta: Seleccione la celda en la comumna B con el nombre del proyecto")))</f>
        <v>FONT1110</v>
      </c>
      <c r="AR162" s="633" t="s">
        <v>198</v>
      </c>
      <c r="AS162" s="634" t="str">
        <f>IFERROR(VLOOKUP(AU162,Listas!$E$85:$L$105,7,FALSE),"Alerta: Seleccione la celda en la comumna AI con el concepto de gasto")</f>
        <v>05-ADMINISTRACION INSTITUCIONAL</v>
      </c>
      <c r="AT162" s="634" t="str">
        <f>IFERROR(VLOOKUP(AU162,Listas!$E$85:$L$105,8,FALSE),"Alerta: Seleccione la celda en la comumna AI con el concepto de gasto")</f>
        <v>02-ADMINISTRACIÓN, CONTROL Y ORGANIZACIÓN INSTITUCIONAL PARA APOYO A LA GESTIÓN DEL DISTRITO</v>
      </c>
      <c r="AU162" s="633" t="s">
        <v>243</v>
      </c>
      <c r="AV162" s="634">
        <f>IFERROR(VLOOKUP(AU162,Listas!$E$85:$F$105,2,FALSE),"Alerta: Seleccione el Concepto de Gasto primero")</f>
        <v>0</v>
      </c>
      <c r="AW162" s="644">
        <v>60060000</v>
      </c>
      <c r="AX162" s="645"/>
      <c r="AY162" s="645"/>
      <c r="AZ162" s="645"/>
      <c r="BA162" s="646">
        <f t="shared" si="66"/>
        <v>60060000</v>
      </c>
      <c r="BB162" s="647"/>
      <c r="BC162" s="648"/>
      <c r="BD162" s="649"/>
      <c r="BE162" s="647"/>
      <c r="BF162" s="644"/>
      <c r="BG162" s="646">
        <f t="shared" si="67"/>
        <v>60060000</v>
      </c>
      <c r="BH162" s="650"/>
      <c r="BI162" s="647"/>
      <c r="BJ162" s="644"/>
      <c r="BK162" s="646">
        <f t="shared" si="68"/>
        <v>0</v>
      </c>
      <c r="BL162" s="651"/>
      <c r="BM162" s="652">
        <f t="shared" si="69"/>
        <v>1</v>
      </c>
      <c r="BN162" s="628"/>
      <c r="BO162" s="670"/>
      <c r="BP162" s="644"/>
      <c r="BQ162" s="644"/>
      <c r="BR162" s="644"/>
      <c r="BS162" s="644"/>
      <c r="BT162" s="644"/>
      <c r="BU162" s="644"/>
      <c r="BV162" s="644"/>
      <c r="BW162" s="644"/>
      <c r="BX162" s="644"/>
      <c r="BY162" s="644"/>
      <c r="BZ162" s="644"/>
      <c r="CA162" s="644"/>
      <c r="CB162" s="646">
        <f t="shared" si="70"/>
        <v>0</v>
      </c>
      <c r="CC162" s="646">
        <f t="shared" si="71"/>
        <v>0</v>
      </c>
      <c r="CD162" s="614"/>
    </row>
    <row r="163" spans="1:82" s="561" customFormat="1" ht="61.5" customHeight="1">
      <c r="A163" s="625" t="str">
        <f t="shared" si="53"/>
        <v>1110-185-FONT1110-05-02-0020-Personal de apoyo transversal a la gestión institucional</v>
      </c>
      <c r="B163" s="626" t="str">
        <f t="shared" si="54"/>
        <v>1110-185-FONT1110-05-02-0020</v>
      </c>
      <c r="C163" s="626" t="str">
        <f t="shared" si="55"/>
        <v>1110-185-FONT1110-Personal de apoyo transversal a la gestión institucional</v>
      </c>
      <c r="D163" s="626" t="str">
        <f t="shared" si="56"/>
        <v>1110-185-12-Otros Distrito-05-02-0020</v>
      </c>
      <c r="E163" s="626" t="str">
        <f t="shared" si="57"/>
        <v>Personal de apoyo transversal a la gestión institucional-12-Otros Distrito-0020-Personal contratado para las actividades propias de los procesos de mejoramiento de gestión de la entidad</v>
      </c>
      <c r="F163" s="627">
        <v>118</v>
      </c>
      <c r="G163" s="628">
        <f t="shared" si="58"/>
        <v>118</v>
      </c>
      <c r="H163" s="629" t="b">
        <f t="shared" si="59"/>
        <v>0</v>
      </c>
      <c r="I163" s="630" t="s">
        <v>594</v>
      </c>
      <c r="J163" s="627" t="s">
        <v>178</v>
      </c>
      <c r="K163" s="631" t="str">
        <f>+IFERROR(VLOOKUP(J163,Listas!$A$108:$B$114,2,FALSE),"Alerta: Seleccione la celda en la comumna B con el nombre del proyecto")</f>
        <v>3-3-1-15-07-42-1110-185</v>
      </c>
      <c r="L163" s="632">
        <v>80111600</v>
      </c>
      <c r="M163" s="633" t="s">
        <v>724</v>
      </c>
      <c r="N163" s="634" t="str">
        <f t="shared" si="60"/>
        <v>(Cód. 118) Prestar servicios de apoyo a la gestión al Instituto Distrital de Patrimonio Cultural, en el desarrollo de las actividades relacionadas con la liquidación de prestaciones sociales y demás temas de la gestión del talento humano de la entidad.</v>
      </c>
      <c r="O163" s="635">
        <v>43480</v>
      </c>
      <c r="P163" s="636">
        <f>IFERROR(VLOOKUP(W163,'Estimación CRP'!$D$21:$E$30,2,FALSE),0)</f>
        <v>10</v>
      </c>
      <c r="Q163" s="637">
        <f>IF(O163="No aplica","No aplica",WORKDAY.INTL(O163,P163,1,'Estimación CRP'!A349:A365))</f>
        <v>43494</v>
      </c>
      <c r="R163" s="636">
        <f t="shared" si="61"/>
        <v>1</v>
      </c>
      <c r="S163" s="636">
        <f t="shared" si="62"/>
        <v>1</v>
      </c>
      <c r="T163" s="636">
        <f t="shared" si="63"/>
        <v>1</v>
      </c>
      <c r="U163" s="712">
        <v>11</v>
      </c>
      <c r="V163" s="638">
        <v>1</v>
      </c>
      <c r="W163" s="639" t="s">
        <v>274</v>
      </c>
      <c r="X163" s="640" t="str">
        <f>IFERROR(VLOOKUP(W163,Listas!$A$60:$B$73,2,FALSE),"Alerta: Seleccione primero Modalidad de selección")</f>
        <v>CCE-16</v>
      </c>
      <c r="Y163" s="641">
        <v>0</v>
      </c>
      <c r="Z163" s="641" t="s">
        <v>346</v>
      </c>
      <c r="AA163" s="641" t="s">
        <v>1192</v>
      </c>
      <c r="AB163" s="642">
        <f t="shared" si="64"/>
        <v>38280000</v>
      </c>
      <c r="AC163" s="642">
        <f t="shared" si="65"/>
        <v>38280000</v>
      </c>
      <c r="AD163" s="641">
        <v>0</v>
      </c>
      <c r="AE163" s="643">
        <v>0</v>
      </c>
      <c r="AF163" s="639" t="s">
        <v>276</v>
      </c>
      <c r="AG163" s="639" t="s">
        <v>277</v>
      </c>
      <c r="AH163" s="639" t="s">
        <v>283</v>
      </c>
      <c r="AI163" s="626" t="str">
        <f>IFERROR(VLOOKUP(AH163,Listas!$A$77:$C$83,2,FALSE),"Alerta: Seleccione primero el responsable")</f>
        <v>3550800</v>
      </c>
      <c r="AJ163" s="640" t="str">
        <f>IFERROR(VLOOKUP(AH163,Listas!$A$77:$C$83,3,FALSE),"Alerta: Seleccione primero el responsable")</f>
        <v>juan.acosta@idpc.gov.co</v>
      </c>
      <c r="AK163" s="640" t="str">
        <f>IF(J163="Funcionamiento Gastos Generales","No aplica",IF(J163="Funcionamiento Servicios Personales indirectos","No aplica",IFERROR(VLOOKUP(J163,Listas!$A$127:$E$139,3,FALSE),"Alerta: Seleccione la celda en la comumna B con el nombre del proyecto")))</f>
        <v>ME20181110</v>
      </c>
      <c r="AL163" s="640" t="str">
        <f>IF(J163="Funcionamiento Gastos Generales","No aplica",IF(J163="Funcionamiento Servicios Personales","No aplica",IFERROR(VLOOKUP(J163,Listas!$A$220:$D$224,2,FALSE),"Alerta: Seleccione la celda en la comumna B con el nombre del proyecto")))</f>
        <v>COMP1110</v>
      </c>
      <c r="AM163" s="640" t="str">
        <f>IF(J163="Funcionamiento Gastos Generales","No aplica",IF(J163="Funcionamiento Servicios Personales","No aplica",IFERROR(VLOOKUP(J163,Listas!$A$220:$D$224,3,FALSE),"Alerta: Seleccione la celda en la comumna B con el nombre del proyecto")))</f>
        <v>CONC1110</v>
      </c>
      <c r="AN163" s="633" t="s">
        <v>789</v>
      </c>
      <c r="AO163" s="633" t="s">
        <v>124</v>
      </c>
      <c r="AP163" s="634" t="str">
        <f>IFERROR(VLOOKUP(J163,Listas!$A$182:$E$215,5,FALSE),"Alerta: Seleccione la celda en la comumna B con el nombre del proyecto")</f>
        <v>10. Procesos articulados dentro del sistema integrado de gestión.</v>
      </c>
      <c r="AQ163" s="634" t="str">
        <f>IF(J163="Funcionamiento Gastos Generales","No aplica",IF(J163="Funcionamiento Servicios Personales","No aplica",IFERROR(VLOOKUP(J163,Listas!$A$220:$D$224,4,FALSE),"Alerta: Seleccione la celda en la comumna B con el nombre del proyecto")))</f>
        <v>FONT1110</v>
      </c>
      <c r="AR163" s="633" t="s">
        <v>198</v>
      </c>
      <c r="AS163" s="634" t="str">
        <f>IFERROR(VLOOKUP(AU163,Listas!$E$85:$L$105,7,FALSE),"Alerta: Seleccione la celda en la comumna AI con el concepto de gasto")</f>
        <v>05-ADMINISTRACION INSTITUCIONAL</v>
      </c>
      <c r="AT163" s="634" t="str">
        <f>IFERROR(VLOOKUP(AU163,Listas!$E$85:$L$105,8,FALSE),"Alerta: Seleccione la celda en la comumna AI con el concepto de gasto")</f>
        <v>02-ADMINISTRACIÓN, CONTROL Y ORGANIZACIÓN INSTITUCIONAL PARA APOYO A LA GESTIÓN DEL DISTRITO</v>
      </c>
      <c r="AU163" s="633" t="s">
        <v>243</v>
      </c>
      <c r="AV163" s="634">
        <f>IFERROR(VLOOKUP(AU163,Listas!$E$85:$F$105,2,FALSE),"Alerta: Seleccione el Concepto de Gasto primero")</f>
        <v>0</v>
      </c>
      <c r="AW163" s="644">
        <v>38280000</v>
      </c>
      <c r="AX163" s="645"/>
      <c r="AY163" s="645"/>
      <c r="AZ163" s="645"/>
      <c r="BA163" s="646">
        <f t="shared" si="66"/>
        <v>38280000</v>
      </c>
      <c r="BB163" s="647"/>
      <c r="BC163" s="648"/>
      <c r="BD163" s="649"/>
      <c r="BE163" s="647"/>
      <c r="BF163" s="644"/>
      <c r="BG163" s="646">
        <f t="shared" si="67"/>
        <v>38280000</v>
      </c>
      <c r="BH163" s="650"/>
      <c r="BI163" s="647"/>
      <c r="BJ163" s="644"/>
      <c r="BK163" s="646">
        <f t="shared" si="68"/>
        <v>0</v>
      </c>
      <c r="BL163" s="651"/>
      <c r="BM163" s="652">
        <f t="shared" si="69"/>
        <v>1</v>
      </c>
      <c r="BN163" s="628"/>
      <c r="BO163" s="670"/>
      <c r="BP163" s="644"/>
      <c r="BQ163" s="644"/>
      <c r="BR163" s="644"/>
      <c r="BS163" s="644"/>
      <c r="BT163" s="644"/>
      <c r="BU163" s="644"/>
      <c r="BV163" s="644"/>
      <c r="BW163" s="644"/>
      <c r="BX163" s="644"/>
      <c r="BY163" s="644"/>
      <c r="BZ163" s="644"/>
      <c r="CA163" s="644"/>
      <c r="CB163" s="646">
        <f t="shared" si="70"/>
        <v>0</v>
      </c>
      <c r="CC163" s="646">
        <f t="shared" si="71"/>
        <v>0</v>
      </c>
      <c r="CD163" s="614"/>
    </row>
    <row r="164" spans="1:82" s="561" customFormat="1" ht="61.5" customHeight="1">
      <c r="A164" s="625" t="str">
        <f t="shared" si="53"/>
        <v>1110-185-FONT1110-05-02-0020-Personal de apoyo transversal a la gestión institucional</v>
      </c>
      <c r="B164" s="626" t="str">
        <f t="shared" si="54"/>
        <v>1110-185-FONT1110-05-02-0020</v>
      </c>
      <c r="C164" s="626" t="str">
        <f t="shared" si="55"/>
        <v>1110-185-FONT1110-Personal de apoyo transversal a la gestión institucional</v>
      </c>
      <c r="D164" s="626" t="str">
        <f t="shared" si="56"/>
        <v>1110-185-12-Otros Distrito-05-02-0020</v>
      </c>
      <c r="E164" s="626" t="str">
        <f t="shared" si="57"/>
        <v>Personal de apoyo transversal a la gestión institucional-12-Otros Distrito-0020-Personal contratado para las actividades propias de los procesos de mejoramiento de gestión de la entidad</v>
      </c>
      <c r="F164" s="627">
        <v>119</v>
      </c>
      <c r="G164" s="628">
        <f t="shared" si="58"/>
        <v>119</v>
      </c>
      <c r="H164" s="629" t="b">
        <f t="shared" si="59"/>
        <v>0</v>
      </c>
      <c r="I164" s="630" t="s">
        <v>594</v>
      </c>
      <c r="J164" s="627" t="s">
        <v>178</v>
      </c>
      <c r="K164" s="631" t="str">
        <f>+IFERROR(VLOOKUP(J164,Listas!$A$108:$B$114,2,FALSE),"Alerta: Seleccione la celda en la comumna B con el nombre del proyecto")</f>
        <v>3-3-1-15-07-42-1110-185</v>
      </c>
      <c r="L164" s="632">
        <v>80111600</v>
      </c>
      <c r="M164" s="633" t="s">
        <v>725</v>
      </c>
      <c r="N164" s="634" t="str">
        <f t="shared" si="60"/>
        <v>(Cód. 119) Prestar servicios profesionales al Instituto Distrital de Patrimonio Cultural para apoyar a la Asesoría Jurídica o quien haga sus veces, en la emisión de conceptos jurídicos, así como en la proyección y revisión de los documentos de índole jurídico que le sean asignados, y   apoyando los procesos de selección en todas las etapas de la gestión contractual, especialmente las relacionadas con la etapa post-contractual.</v>
      </c>
      <c r="O164" s="635">
        <v>43480</v>
      </c>
      <c r="P164" s="636">
        <f>IFERROR(VLOOKUP(W164,'Estimación CRP'!$D$21:$E$30,2,FALSE),0)</f>
        <v>10</v>
      </c>
      <c r="Q164" s="637">
        <f>IF(O164="No aplica","No aplica",WORKDAY.INTL(O164,P164,1,'Estimación CRP'!A350:A366))</f>
        <v>43494</v>
      </c>
      <c r="R164" s="636">
        <f t="shared" si="61"/>
        <v>1</v>
      </c>
      <c r="S164" s="636">
        <f t="shared" si="62"/>
        <v>1</v>
      </c>
      <c r="T164" s="636">
        <f t="shared" si="63"/>
        <v>1</v>
      </c>
      <c r="U164" s="712">
        <v>11</v>
      </c>
      <c r="V164" s="638">
        <v>1</v>
      </c>
      <c r="W164" s="639" t="s">
        <v>274</v>
      </c>
      <c r="X164" s="640" t="str">
        <f>IFERROR(VLOOKUP(W164,Listas!$A$60:$B$73,2,FALSE),"Alerta: Seleccione primero Modalidad de selección")</f>
        <v>CCE-16</v>
      </c>
      <c r="Y164" s="641">
        <v>0</v>
      </c>
      <c r="Z164" s="641" t="s">
        <v>346</v>
      </c>
      <c r="AA164" s="641" t="s">
        <v>1193</v>
      </c>
      <c r="AB164" s="642">
        <f t="shared" si="64"/>
        <v>74800000</v>
      </c>
      <c r="AC164" s="642">
        <f t="shared" si="65"/>
        <v>74800000</v>
      </c>
      <c r="AD164" s="641">
        <v>0</v>
      </c>
      <c r="AE164" s="643">
        <v>0</v>
      </c>
      <c r="AF164" s="639" t="s">
        <v>276</v>
      </c>
      <c r="AG164" s="639" t="s">
        <v>277</v>
      </c>
      <c r="AH164" s="639" t="s">
        <v>283</v>
      </c>
      <c r="AI164" s="626" t="str">
        <f>IFERROR(VLOOKUP(AH164,Listas!$A$77:$C$83,2,FALSE),"Alerta: Seleccione primero el responsable")</f>
        <v>3550800</v>
      </c>
      <c r="AJ164" s="640" t="str">
        <f>IFERROR(VLOOKUP(AH164,Listas!$A$77:$C$83,3,FALSE),"Alerta: Seleccione primero el responsable")</f>
        <v>juan.acosta@idpc.gov.co</v>
      </c>
      <c r="AK164" s="640" t="str">
        <f>IF(J164="Funcionamiento Gastos Generales","No aplica",IF(J164="Funcionamiento Servicios Personales indirectos","No aplica",IFERROR(VLOOKUP(J164,Listas!$A$127:$E$139,3,FALSE),"Alerta: Seleccione la celda en la comumna B con el nombre del proyecto")))</f>
        <v>ME20181110</v>
      </c>
      <c r="AL164" s="640" t="str">
        <f>IF(J164="Funcionamiento Gastos Generales","No aplica",IF(J164="Funcionamiento Servicios Personales","No aplica",IFERROR(VLOOKUP(J164,Listas!$A$220:$D$224,2,FALSE),"Alerta: Seleccione la celda en la comumna B con el nombre del proyecto")))</f>
        <v>COMP1110</v>
      </c>
      <c r="AM164" s="640" t="str">
        <f>IF(J164="Funcionamiento Gastos Generales","No aplica",IF(J164="Funcionamiento Servicios Personales","No aplica",IFERROR(VLOOKUP(J164,Listas!$A$220:$D$224,3,FALSE),"Alerta: Seleccione la celda en la comumna B con el nombre del proyecto")))</f>
        <v>CONC1110</v>
      </c>
      <c r="AN164" s="633" t="s">
        <v>789</v>
      </c>
      <c r="AO164" s="633" t="s">
        <v>124</v>
      </c>
      <c r="AP164" s="634" t="str">
        <f>IFERROR(VLOOKUP(J164,Listas!$A$182:$E$215,5,FALSE),"Alerta: Seleccione la celda en la comumna B con el nombre del proyecto")</f>
        <v>10. Procesos articulados dentro del sistema integrado de gestión.</v>
      </c>
      <c r="AQ164" s="634" t="str">
        <f>IF(J164="Funcionamiento Gastos Generales","No aplica",IF(J164="Funcionamiento Servicios Personales","No aplica",IFERROR(VLOOKUP(J164,Listas!$A$220:$D$224,4,FALSE),"Alerta: Seleccione la celda en la comumna B con el nombre del proyecto")))</f>
        <v>FONT1110</v>
      </c>
      <c r="AR164" s="633" t="s">
        <v>198</v>
      </c>
      <c r="AS164" s="634" t="str">
        <f>IFERROR(VLOOKUP(AU164,Listas!$E$85:$L$105,7,FALSE),"Alerta: Seleccione la celda en la comumna AI con el concepto de gasto")</f>
        <v>05-ADMINISTRACION INSTITUCIONAL</v>
      </c>
      <c r="AT164" s="634" t="str">
        <f>IFERROR(VLOOKUP(AU164,Listas!$E$85:$L$105,8,FALSE),"Alerta: Seleccione la celda en la comumna AI con el concepto de gasto")</f>
        <v>02-ADMINISTRACIÓN, CONTROL Y ORGANIZACIÓN INSTITUCIONAL PARA APOYO A LA GESTIÓN DEL DISTRITO</v>
      </c>
      <c r="AU164" s="633" t="s">
        <v>243</v>
      </c>
      <c r="AV164" s="634">
        <f>IFERROR(VLOOKUP(AU164,Listas!$E$85:$F$105,2,FALSE),"Alerta: Seleccione el Concepto de Gasto primero")</f>
        <v>0</v>
      </c>
      <c r="AW164" s="644">
        <v>74800000</v>
      </c>
      <c r="AX164" s="645"/>
      <c r="AY164" s="645"/>
      <c r="AZ164" s="645"/>
      <c r="BA164" s="646">
        <f t="shared" si="66"/>
        <v>74800000</v>
      </c>
      <c r="BB164" s="647"/>
      <c r="BC164" s="648"/>
      <c r="BD164" s="649"/>
      <c r="BE164" s="647"/>
      <c r="BF164" s="644"/>
      <c r="BG164" s="646">
        <f t="shared" si="67"/>
        <v>74800000</v>
      </c>
      <c r="BH164" s="650"/>
      <c r="BI164" s="647"/>
      <c r="BJ164" s="644"/>
      <c r="BK164" s="646">
        <f t="shared" si="68"/>
        <v>0</v>
      </c>
      <c r="BL164" s="651"/>
      <c r="BM164" s="652">
        <f t="shared" si="69"/>
        <v>1</v>
      </c>
      <c r="BN164" s="628"/>
      <c r="BO164" s="670"/>
      <c r="BP164" s="644"/>
      <c r="BQ164" s="644"/>
      <c r="BR164" s="644"/>
      <c r="BS164" s="644"/>
      <c r="BT164" s="644"/>
      <c r="BU164" s="644"/>
      <c r="BV164" s="644"/>
      <c r="BW164" s="644"/>
      <c r="BX164" s="644"/>
      <c r="BY164" s="644"/>
      <c r="BZ164" s="644"/>
      <c r="CA164" s="644"/>
      <c r="CB164" s="646">
        <f t="shared" si="70"/>
        <v>0</v>
      </c>
      <c r="CC164" s="646">
        <f t="shared" si="71"/>
        <v>0</v>
      </c>
      <c r="CD164" s="614"/>
    </row>
    <row r="165" spans="1:82" s="653" customFormat="1" ht="61.5" customHeight="1">
      <c r="A165" s="625" t="str">
        <f t="shared" si="53"/>
        <v>1110-185-FONT1110-05-02-0020-Fortalecimiento de los subsistemas del sistema integrado de gestión</v>
      </c>
      <c r="B165" s="626" t="str">
        <f t="shared" si="54"/>
        <v>1110-185-FONT1110-05-02-0020</v>
      </c>
      <c r="C165" s="626" t="str">
        <f t="shared" si="55"/>
        <v>1110-185-FONT1110-Fortalecimiento de los subsistemas del sistema integrado de gestión</v>
      </c>
      <c r="D165" s="626" t="str">
        <f t="shared" si="56"/>
        <v>1110-185-12-Otros Distrito-05-02-0020</v>
      </c>
      <c r="E165" s="626" t="str">
        <f t="shared" si="57"/>
        <v>Fortalecimiento de los subsistemas del sistema integrado de gestión-12-Otros Distrito-0020-Personal contratado para las actividades propias de los procesos de mejoramiento de gestión de la entidad</v>
      </c>
      <c r="F165" s="627">
        <v>120</v>
      </c>
      <c r="G165" s="628">
        <f t="shared" si="58"/>
        <v>120</v>
      </c>
      <c r="H165" s="629" t="b">
        <f t="shared" si="59"/>
        <v>0</v>
      </c>
      <c r="I165" s="630" t="s">
        <v>594</v>
      </c>
      <c r="J165" s="627" t="s">
        <v>178</v>
      </c>
      <c r="K165" s="631" t="str">
        <f>+IFERROR(VLOOKUP(J165,Listas!$A$108:$B$114,2,FALSE),"Alerta: Seleccione la celda en la comumna B con el nombre del proyecto")</f>
        <v>3-3-1-15-07-42-1110-185</v>
      </c>
      <c r="L165" s="632">
        <v>80111600</v>
      </c>
      <c r="M165" s="633" t="s">
        <v>726</v>
      </c>
      <c r="N165" s="634" t="str">
        <f t="shared" si="60"/>
        <v>(Cód. 120) Prestar servicios de apoyo a la gestión  al Instituto Distrital de Patrimonio Cultural para ejecutar las actividades relacionadas con el Programa de gestión Documental - PGD  y el Plan Institucional de Archivos PINAR.</v>
      </c>
      <c r="O165" s="635">
        <v>43480</v>
      </c>
      <c r="P165" s="636">
        <f>IFERROR(VLOOKUP(W165,'Estimación CRP'!$D$21:$E$30,2,FALSE),0)</f>
        <v>10</v>
      </c>
      <c r="Q165" s="637">
        <f>IF(O165="No aplica","No aplica",WORKDAY.INTL(O165,P165,1,'Estimación CRP'!A351:A367))</f>
        <v>43494</v>
      </c>
      <c r="R165" s="636">
        <f t="shared" si="61"/>
        <v>1</v>
      </c>
      <c r="S165" s="636">
        <f t="shared" si="62"/>
        <v>1</v>
      </c>
      <c r="T165" s="636">
        <f t="shared" si="63"/>
        <v>1</v>
      </c>
      <c r="U165" s="712">
        <v>11</v>
      </c>
      <c r="V165" s="638">
        <v>1</v>
      </c>
      <c r="W165" s="639" t="s">
        <v>274</v>
      </c>
      <c r="X165" s="640" t="str">
        <f>IFERROR(VLOOKUP(W165,Listas!$A$60:$B$73,2,FALSE),"Alerta: Seleccione primero Modalidad de selección")</f>
        <v>CCE-16</v>
      </c>
      <c r="Y165" s="641">
        <v>0</v>
      </c>
      <c r="Z165" s="641" t="s">
        <v>346</v>
      </c>
      <c r="AA165" s="641" t="s">
        <v>1194</v>
      </c>
      <c r="AB165" s="642">
        <f t="shared" si="64"/>
        <v>29700000</v>
      </c>
      <c r="AC165" s="642">
        <f t="shared" si="65"/>
        <v>29700000</v>
      </c>
      <c r="AD165" s="641">
        <v>0</v>
      </c>
      <c r="AE165" s="643">
        <v>0</v>
      </c>
      <c r="AF165" s="639" t="s">
        <v>276</v>
      </c>
      <c r="AG165" s="639" t="s">
        <v>277</v>
      </c>
      <c r="AH165" s="639" t="s">
        <v>285</v>
      </c>
      <c r="AI165" s="626" t="str">
        <f>IFERROR(VLOOKUP(AH165,Listas!$A$77:$C$83,2,FALSE),"Alerta: Seleccione primero el responsable")</f>
        <v>3550800</v>
      </c>
      <c r="AJ165" s="640" t="str">
        <f>IFERROR(VLOOKUP(AH165,Listas!$A$77:$C$83,3,FALSE),"Alerta: Seleccione primero el responsable")</f>
        <v>maria.villamil@idpc.gov.co</v>
      </c>
      <c r="AK165" s="640" t="str">
        <f>IF(J165="Funcionamiento Gastos Generales","No aplica",IF(J165="Funcionamiento Servicios Personales indirectos","No aplica",IFERROR(VLOOKUP(J165,Listas!$A$127:$E$139,3,FALSE),"Alerta: Seleccione la celda en la comumna B con el nombre del proyecto")))</f>
        <v>ME20181110</v>
      </c>
      <c r="AL165" s="640" t="str">
        <f>IF(J165="Funcionamiento Gastos Generales","No aplica",IF(J165="Funcionamiento Servicios Personales","No aplica",IFERROR(VLOOKUP(J165,Listas!$A$220:$D$224,2,FALSE),"Alerta: Seleccione la celda en la comumna B con el nombre del proyecto")))</f>
        <v>COMP1110</v>
      </c>
      <c r="AM165" s="640" t="str">
        <f>IF(J165="Funcionamiento Gastos Generales","No aplica",IF(J165="Funcionamiento Servicios Personales","No aplica",IFERROR(VLOOKUP(J165,Listas!$A$220:$D$224,3,FALSE),"Alerta: Seleccione la celda en la comumna B con el nombre del proyecto")))</f>
        <v>CONC1110</v>
      </c>
      <c r="AN165" s="633" t="s">
        <v>789</v>
      </c>
      <c r="AO165" s="633" t="s">
        <v>123</v>
      </c>
      <c r="AP165" s="634" t="str">
        <f>IFERROR(VLOOKUP(J165,Listas!$A$182:$E$215,5,FALSE),"Alerta: Seleccione la celda en la comumna B con el nombre del proyecto")</f>
        <v>10. Procesos articulados dentro del sistema integrado de gestión.</v>
      </c>
      <c r="AQ165" s="634" t="str">
        <f>IF(J165="Funcionamiento Gastos Generales","No aplica",IF(J165="Funcionamiento Servicios Personales","No aplica",IFERROR(VLOOKUP(J165,Listas!$A$220:$D$224,4,FALSE),"Alerta: Seleccione la celda en la comumna B con el nombre del proyecto")))</f>
        <v>FONT1110</v>
      </c>
      <c r="AR165" s="633" t="s">
        <v>198</v>
      </c>
      <c r="AS165" s="634" t="str">
        <f>IFERROR(VLOOKUP(AU165,Listas!$E$85:$L$105,7,FALSE),"Alerta: Seleccione la celda en la comumna AI con el concepto de gasto")</f>
        <v>05-ADMINISTRACION INSTITUCIONAL</v>
      </c>
      <c r="AT165" s="634" t="str">
        <f>IFERROR(VLOOKUP(AU165,Listas!$E$85:$L$105,8,FALSE),"Alerta: Seleccione la celda en la comumna AI con el concepto de gasto")</f>
        <v>02-ADMINISTRACIÓN, CONTROL Y ORGANIZACIÓN INSTITUCIONAL PARA APOYO A LA GESTIÓN DEL DISTRITO</v>
      </c>
      <c r="AU165" s="633" t="s">
        <v>243</v>
      </c>
      <c r="AV165" s="634">
        <f>IFERROR(VLOOKUP(AU165,Listas!$E$85:$F$105,2,FALSE),"Alerta: Seleccione el Concepto de Gasto primero")</f>
        <v>0</v>
      </c>
      <c r="AW165" s="644">
        <v>29700000</v>
      </c>
      <c r="AX165" s="645"/>
      <c r="AY165" s="645"/>
      <c r="AZ165" s="645"/>
      <c r="BA165" s="646">
        <f t="shared" si="66"/>
        <v>29700000</v>
      </c>
      <c r="BB165" s="647"/>
      <c r="BC165" s="648"/>
      <c r="BD165" s="649"/>
      <c r="BE165" s="647"/>
      <c r="BF165" s="644"/>
      <c r="BG165" s="646">
        <f t="shared" si="67"/>
        <v>29700000</v>
      </c>
      <c r="BH165" s="650"/>
      <c r="BI165" s="647"/>
      <c r="BJ165" s="644"/>
      <c r="BK165" s="646">
        <f t="shared" si="68"/>
        <v>0</v>
      </c>
      <c r="BL165" s="651"/>
      <c r="BM165" s="652">
        <f t="shared" si="69"/>
        <v>1</v>
      </c>
      <c r="BN165" s="628"/>
      <c r="BO165" s="670"/>
      <c r="BP165" s="644"/>
      <c r="BQ165" s="644"/>
      <c r="BR165" s="644"/>
      <c r="BS165" s="644"/>
      <c r="BT165" s="644"/>
      <c r="BU165" s="644"/>
      <c r="BV165" s="644"/>
      <c r="BW165" s="644"/>
      <c r="BX165" s="644"/>
      <c r="BY165" s="644"/>
      <c r="BZ165" s="644"/>
      <c r="CA165" s="644"/>
      <c r="CB165" s="646">
        <f t="shared" si="70"/>
        <v>0</v>
      </c>
      <c r="CC165" s="646">
        <f t="shared" si="71"/>
        <v>0</v>
      </c>
      <c r="CD165" s="614"/>
    </row>
    <row r="166" spans="1:82" s="561" customFormat="1" ht="61.5" customHeight="1">
      <c r="A166" s="625" t="str">
        <f t="shared" si="53"/>
        <v>1110-185-FONT1110-05-02-0020-Transparencia y atención a la ciudadanía</v>
      </c>
      <c r="B166" s="626" t="str">
        <f t="shared" si="54"/>
        <v>1110-185-FONT1110-05-02-0020</v>
      </c>
      <c r="C166" s="626" t="str">
        <f t="shared" si="55"/>
        <v>1110-185-FONT1110-Transparencia y atención a la ciudadanía</v>
      </c>
      <c r="D166" s="626" t="str">
        <f t="shared" si="56"/>
        <v>1110-185-12-Otros Distrito-05-02-0020</v>
      </c>
      <c r="E166" s="626" t="str">
        <f t="shared" si="57"/>
        <v>Transparencia y atención a la ciudadanía-12-Otros Distrito-0020-Personal contratado para las actividades propias de los procesos de mejoramiento de gestión de la entidad</v>
      </c>
      <c r="F166" s="627">
        <v>121</v>
      </c>
      <c r="G166" s="628">
        <f t="shared" si="58"/>
        <v>121</v>
      </c>
      <c r="H166" s="629" t="b">
        <f t="shared" si="59"/>
        <v>0</v>
      </c>
      <c r="I166" s="630" t="s">
        <v>594</v>
      </c>
      <c r="J166" s="627" t="s">
        <v>178</v>
      </c>
      <c r="K166" s="631" t="str">
        <f>+IFERROR(VLOOKUP(J166,Listas!$A$108:$B$114,2,FALSE),"Alerta: Seleccione la celda en la comumna B con el nombre del proyecto")</f>
        <v>3-3-1-15-07-42-1110-185</v>
      </c>
      <c r="L166" s="632">
        <v>80111600</v>
      </c>
      <c r="M166" s="633" t="s">
        <v>727</v>
      </c>
      <c r="N166" s="634" t="str">
        <f t="shared" si="60"/>
        <v>(Cód. 121) Prestar servicios profesionales al Instituto Distrital de Patrimonio Cultural apoyando la aplicación de los lineamientos enmarcados en la Ley de Transparencia  y del Derecho de Acceso a la Información Pública.</v>
      </c>
      <c r="O166" s="635">
        <v>43480</v>
      </c>
      <c r="P166" s="636">
        <f>IFERROR(VLOOKUP(W166,'Estimación CRP'!$D$21:$E$30,2,FALSE),0)</f>
        <v>10</v>
      </c>
      <c r="Q166" s="637">
        <f>IF(O166="No aplica","No aplica",WORKDAY.INTL(O166,P166,1,'Estimación CRP'!A352:A368))</f>
        <v>43494</v>
      </c>
      <c r="R166" s="636">
        <f t="shared" si="61"/>
        <v>1</v>
      </c>
      <c r="S166" s="636">
        <f t="shared" si="62"/>
        <v>1</v>
      </c>
      <c r="T166" s="636">
        <f t="shared" si="63"/>
        <v>1</v>
      </c>
      <c r="U166" s="712">
        <v>11</v>
      </c>
      <c r="V166" s="638">
        <v>1</v>
      </c>
      <c r="W166" s="639" t="s">
        <v>274</v>
      </c>
      <c r="X166" s="640" t="str">
        <f>IFERROR(VLOOKUP(W166,Listas!$A$60:$B$73,2,FALSE),"Alerta: Seleccione primero Modalidad de selección")</f>
        <v>CCE-16</v>
      </c>
      <c r="Y166" s="641">
        <v>0</v>
      </c>
      <c r="Z166" s="641" t="s">
        <v>346</v>
      </c>
      <c r="AA166" s="641" t="s">
        <v>1195</v>
      </c>
      <c r="AB166" s="642">
        <f t="shared" si="64"/>
        <v>55000000</v>
      </c>
      <c r="AC166" s="642">
        <f t="shared" si="65"/>
        <v>55000000</v>
      </c>
      <c r="AD166" s="641">
        <v>0</v>
      </c>
      <c r="AE166" s="643">
        <v>0</v>
      </c>
      <c r="AF166" s="639" t="s">
        <v>276</v>
      </c>
      <c r="AG166" s="639" t="s">
        <v>277</v>
      </c>
      <c r="AH166" s="639" t="s">
        <v>283</v>
      </c>
      <c r="AI166" s="626" t="str">
        <f>IFERROR(VLOOKUP(AH166,Listas!$A$77:$C$83,2,FALSE),"Alerta: Seleccione primero el responsable")</f>
        <v>3550800</v>
      </c>
      <c r="AJ166" s="640" t="str">
        <f>IFERROR(VLOOKUP(AH166,Listas!$A$77:$C$83,3,FALSE),"Alerta: Seleccione primero el responsable")</f>
        <v>juan.acosta@idpc.gov.co</v>
      </c>
      <c r="AK166" s="640" t="str">
        <f>IF(J166="Funcionamiento Gastos Generales","No aplica",IF(J166="Funcionamiento Servicios Personales indirectos","No aplica",IFERROR(VLOOKUP(J166,Listas!$A$127:$E$139,3,FALSE),"Alerta: Seleccione la celda en la comumna B con el nombre del proyecto")))</f>
        <v>ME20181110</v>
      </c>
      <c r="AL166" s="640" t="str">
        <f>IF(J166="Funcionamiento Gastos Generales","No aplica",IF(J166="Funcionamiento Servicios Personales","No aplica",IFERROR(VLOOKUP(J166,Listas!$A$220:$D$224,2,FALSE),"Alerta: Seleccione la celda en la comumna B con el nombre del proyecto")))</f>
        <v>COMP1110</v>
      </c>
      <c r="AM166" s="640" t="str">
        <f>IF(J166="Funcionamiento Gastos Generales","No aplica",IF(J166="Funcionamiento Servicios Personales","No aplica",IFERROR(VLOOKUP(J166,Listas!$A$220:$D$224,3,FALSE),"Alerta: Seleccione la celda en la comumna B con el nombre del proyecto")))</f>
        <v>CONC1110</v>
      </c>
      <c r="AN166" s="633" t="s">
        <v>789</v>
      </c>
      <c r="AO166" s="633" t="s">
        <v>103</v>
      </c>
      <c r="AP166" s="634" t="str">
        <f>IFERROR(VLOOKUP(J166,Listas!$A$182:$E$215,5,FALSE),"Alerta: Seleccione la celda en la comumna B con el nombre del proyecto")</f>
        <v>10. Procesos articulados dentro del sistema integrado de gestión.</v>
      </c>
      <c r="AQ166" s="634" t="str">
        <f>IF(J166="Funcionamiento Gastos Generales","No aplica",IF(J166="Funcionamiento Servicios Personales","No aplica",IFERROR(VLOOKUP(J166,Listas!$A$220:$D$224,4,FALSE),"Alerta: Seleccione la celda en la comumna B con el nombre del proyecto")))</f>
        <v>FONT1110</v>
      </c>
      <c r="AR166" s="633" t="s">
        <v>198</v>
      </c>
      <c r="AS166" s="634" t="str">
        <f>IFERROR(VLOOKUP(AU166,Listas!$E$85:$L$105,7,FALSE),"Alerta: Seleccione la celda en la comumna AI con el concepto de gasto")</f>
        <v>05-ADMINISTRACION INSTITUCIONAL</v>
      </c>
      <c r="AT166" s="634" t="str">
        <f>IFERROR(VLOOKUP(AU166,Listas!$E$85:$L$105,8,FALSE),"Alerta: Seleccione la celda en la comumna AI con el concepto de gasto")</f>
        <v>02-ADMINISTRACIÓN, CONTROL Y ORGANIZACIÓN INSTITUCIONAL PARA APOYO A LA GESTIÓN DEL DISTRITO</v>
      </c>
      <c r="AU166" s="633" t="s">
        <v>243</v>
      </c>
      <c r="AV166" s="634">
        <f>IFERROR(VLOOKUP(AU166,Listas!$E$85:$F$105,2,FALSE),"Alerta: Seleccione el Concepto de Gasto primero")</f>
        <v>0</v>
      </c>
      <c r="AW166" s="644">
        <v>55000000</v>
      </c>
      <c r="AX166" s="645"/>
      <c r="AY166" s="645"/>
      <c r="AZ166" s="645"/>
      <c r="BA166" s="646">
        <f t="shared" si="66"/>
        <v>55000000</v>
      </c>
      <c r="BB166" s="647"/>
      <c r="BC166" s="648"/>
      <c r="BD166" s="649"/>
      <c r="BE166" s="647"/>
      <c r="BF166" s="644"/>
      <c r="BG166" s="646">
        <f t="shared" si="67"/>
        <v>55000000</v>
      </c>
      <c r="BH166" s="650"/>
      <c r="BI166" s="647"/>
      <c r="BJ166" s="644"/>
      <c r="BK166" s="646">
        <f t="shared" si="68"/>
        <v>0</v>
      </c>
      <c r="BL166" s="651"/>
      <c r="BM166" s="652">
        <f t="shared" si="69"/>
        <v>1</v>
      </c>
      <c r="BN166" s="628"/>
      <c r="BO166" s="670"/>
      <c r="BP166" s="644"/>
      <c r="BQ166" s="644"/>
      <c r="BR166" s="644"/>
      <c r="BS166" s="644"/>
      <c r="BT166" s="644"/>
      <c r="BU166" s="644"/>
      <c r="BV166" s="644"/>
      <c r="BW166" s="644"/>
      <c r="BX166" s="644"/>
      <c r="BY166" s="644"/>
      <c r="BZ166" s="644"/>
      <c r="CA166" s="644"/>
      <c r="CB166" s="646">
        <f t="shared" si="70"/>
        <v>0</v>
      </c>
      <c r="CC166" s="646">
        <f t="shared" si="71"/>
        <v>0</v>
      </c>
      <c r="CD166" s="614"/>
    </row>
    <row r="167" spans="1:82" s="561" customFormat="1" ht="61.5" customHeight="1">
      <c r="A167" s="625" t="str">
        <f t="shared" si="53"/>
        <v>1110-185-FONT1110-05-02-0020-Fortalecimiento de los subsistemas del sistema integrado de gestión</v>
      </c>
      <c r="B167" s="626" t="str">
        <f t="shared" si="54"/>
        <v>1110-185-FONT1110-05-02-0020</v>
      </c>
      <c r="C167" s="626" t="str">
        <f t="shared" si="55"/>
        <v>1110-185-FONT1110-Fortalecimiento de los subsistemas del sistema integrado de gestión</v>
      </c>
      <c r="D167" s="626" t="str">
        <f t="shared" si="56"/>
        <v>1110-185-12-Otros Distrito-05-02-0020</v>
      </c>
      <c r="E167" s="626" t="str">
        <f t="shared" si="57"/>
        <v>Fortalecimiento de los subsistemas del sistema integrado de gestión-12-Otros Distrito-0020-Personal contratado para las actividades propias de los procesos de mejoramiento de gestión de la entidad</v>
      </c>
      <c r="F167" s="627">
        <v>122</v>
      </c>
      <c r="G167" s="628">
        <f t="shared" si="58"/>
        <v>122</v>
      </c>
      <c r="H167" s="629" t="b">
        <f t="shared" si="59"/>
        <v>0</v>
      </c>
      <c r="I167" s="630" t="s">
        <v>594</v>
      </c>
      <c r="J167" s="627" t="s">
        <v>178</v>
      </c>
      <c r="K167" s="631" t="str">
        <f>+IFERROR(VLOOKUP(J167,Listas!$A$108:$B$114,2,FALSE),"Alerta: Seleccione la celda en la comumna B con el nombre del proyecto")</f>
        <v>3-3-1-15-07-42-1110-185</v>
      </c>
      <c r="L167" s="632">
        <v>80111600</v>
      </c>
      <c r="M167" s="633" t="s">
        <v>728</v>
      </c>
      <c r="N167" s="634" t="str">
        <f t="shared" si="60"/>
        <v xml:space="preserve">(Cód. 122) Prestar servicios profesionales al Instituto de Patrimonio Cultural para realizar acciones de soporte relacionadas con la gestión documental de la entidad y el aplicativo ORFEO. </v>
      </c>
      <c r="O167" s="635">
        <v>43480</v>
      </c>
      <c r="P167" s="636">
        <f>IFERROR(VLOOKUP(W167,'Estimación CRP'!$D$21:$E$30,2,FALSE),0)</f>
        <v>10</v>
      </c>
      <c r="Q167" s="637">
        <f>IF(O167="No aplica","No aplica",WORKDAY.INTL(O167,P167,1,'Estimación CRP'!A353:A369))</f>
        <v>43494</v>
      </c>
      <c r="R167" s="636">
        <f t="shared" si="61"/>
        <v>1</v>
      </c>
      <c r="S167" s="636">
        <f t="shared" si="62"/>
        <v>1</v>
      </c>
      <c r="T167" s="636">
        <f t="shared" si="63"/>
        <v>1</v>
      </c>
      <c r="U167" s="712">
        <v>11</v>
      </c>
      <c r="V167" s="638">
        <v>1</v>
      </c>
      <c r="W167" s="639" t="s">
        <v>274</v>
      </c>
      <c r="X167" s="640" t="str">
        <f>IFERROR(VLOOKUP(W167,Listas!$A$60:$B$73,2,FALSE),"Alerta: Seleccione primero Modalidad de selección")</f>
        <v>CCE-16</v>
      </c>
      <c r="Y167" s="641">
        <v>0</v>
      </c>
      <c r="Z167" s="641" t="s">
        <v>346</v>
      </c>
      <c r="AA167" s="641" t="s">
        <v>1196</v>
      </c>
      <c r="AB167" s="642">
        <f t="shared" si="64"/>
        <v>40700000</v>
      </c>
      <c r="AC167" s="642">
        <f t="shared" si="65"/>
        <v>40700000</v>
      </c>
      <c r="AD167" s="641">
        <v>0</v>
      </c>
      <c r="AE167" s="643">
        <v>0</v>
      </c>
      <c r="AF167" s="639" t="s">
        <v>276</v>
      </c>
      <c r="AG167" s="639" t="s">
        <v>277</v>
      </c>
      <c r="AH167" s="639" t="s">
        <v>285</v>
      </c>
      <c r="AI167" s="626" t="str">
        <f>IFERROR(VLOOKUP(AH167,Listas!$A$77:$C$83,2,FALSE),"Alerta: Seleccione primero el responsable")</f>
        <v>3550800</v>
      </c>
      <c r="AJ167" s="640" t="str">
        <f>IFERROR(VLOOKUP(AH167,Listas!$A$77:$C$83,3,FALSE),"Alerta: Seleccione primero el responsable")</f>
        <v>maria.villamil@idpc.gov.co</v>
      </c>
      <c r="AK167" s="640" t="str">
        <f>IF(J167="Funcionamiento Gastos Generales","No aplica",IF(J167="Funcionamiento Servicios Personales indirectos","No aplica",IFERROR(VLOOKUP(J167,Listas!$A$127:$E$139,3,FALSE),"Alerta: Seleccione la celda en la comumna B con el nombre del proyecto")))</f>
        <v>ME20181110</v>
      </c>
      <c r="AL167" s="640" t="str">
        <f>IF(J167="Funcionamiento Gastos Generales","No aplica",IF(J167="Funcionamiento Servicios Personales","No aplica",IFERROR(VLOOKUP(J167,Listas!$A$220:$D$224,2,FALSE),"Alerta: Seleccione la celda en la comumna B con el nombre del proyecto")))</f>
        <v>COMP1110</v>
      </c>
      <c r="AM167" s="640" t="str">
        <f>IF(J167="Funcionamiento Gastos Generales","No aplica",IF(J167="Funcionamiento Servicios Personales","No aplica",IFERROR(VLOOKUP(J167,Listas!$A$220:$D$224,3,FALSE),"Alerta: Seleccione la celda en la comumna B con el nombre del proyecto")))</f>
        <v>CONC1110</v>
      </c>
      <c r="AN167" s="633" t="s">
        <v>789</v>
      </c>
      <c r="AO167" s="633" t="s">
        <v>123</v>
      </c>
      <c r="AP167" s="634" t="str">
        <f>IFERROR(VLOOKUP(J167,Listas!$A$182:$E$215,5,FALSE),"Alerta: Seleccione la celda en la comumna B con el nombre del proyecto")</f>
        <v>10. Procesos articulados dentro del sistema integrado de gestión.</v>
      </c>
      <c r="AQ167" s="634" t="str">
        <f>IF(J167="Funcionamiento Gastos Generales","No aplica",IF(J167="Funcionamiento Servicios Personales","No aplica",IFERROR(VLOOKUP(J167,Listas!$A$220:$D$224,4,FALSE),"Alerta: Seleccione la celda en la comumna B con el nombre del proyecto")))</f>
        <v>FONT1110</v>
      </c>
      <c r="AR167" s="633" t="s">
        <v>198</v>
      </c>
      <c r="AS167" s="634" t="str">
        <f>IFERROR(VLOOKUP(AU167,Listas!$E$85:$L$105,7,FALSE),"Alerta: Seleccione la celda en la comumna AI con el concepto de gasto")</f>
        <v>05-ADMINISTRACION INSTITUCIONAL</v>
      </c>
      <c r="AT167" s="634" t="str">
        <f>IFERROR(VLOOKUP(AU167,Listas!$E$85:$L$105,8,FALSE),"Alerta: Seleccione la celda en la comumna AI con el concepto de gasto")</f>
        <v>02-ADMINISTRACIÓN, CONTROL Y ORGANIZACIÓN INSTITUCIONAL PARA APOYO A LA GESTIÓN DEL DISTRITO</v>
      </c>
      <c r="AU167" s="633" t="s">
        <v>243</v>
      </c>
      <c r="AV167" s="634">
        <f>IFERROR(VLOOKUP(AU167,Listas!$E$85:$F$105,2,FALSE),"Alerta: Seleccione el Concepto de Gasto primero")</f>
        <v>0</v>
      </c>
      <c r="AW167" s="644">
        <v>40700000</v>
      </c>
      <c r="AX167" s="645"/>
      <c r="AY167" s="645"/>
      <c r="AZ167" s="645"/>
      <c r="BA167" s="646">
        <f t="shared" si="66"/>
        <v>40700000</v>
      </c>
      <c r="BB167" s="647"/>
      <c r="BC167" s="648"/>
      <c r="BD167" s="649"/>
      <c r="BE167" s="647"/>
      <c r="BF167" s="644"/>
      <c r="BG167" s="646">
        <f t="shared" si="67"/>
        <v>40700000</v>
      </c>
      <c r="BH167" s="650"/>
      <c r="BI167" s="647"/>
      <c r="BJ167" s="644"/>
      <c r="BK167" s="646">
        <f t="shared" si="68"/>
        <v>0</v>
      </c>
      <c r="BL167" s="651"/>
      <c r="BM167" s="652">
        <f t="shared" si="69"/>
        <v>1</v>
      </c>
      <c r="BN167" s="628"/>
      <c r="BO167" s="670"/>
      <c r="BP167" s="644"/>
      <c r="BQ167" s="644"/>
      <c r="BR167" s="644"/>
      <c r="BS167" s="644"/>
      <c r="BT167" s="644"/>
      <c r="BU167" s="644"/>
      <c r="BV167" s="644"/>
      <c r="BW167" s="644"/>
      <c r="BX167" s="644"/>
      <c r="BY167" s="644"/>
      <c r="BZ167" s="644"/>
      <c r="CA167" s="644"/>
      <c r="CB167" s="646">
        <f t="shared" si="70"/>
        <v>0</v>
      </c>
      <c r="CC167" s="646">
        <f t="shared" si="71"/>
        <v>0</v>
      </c>
      <c r="CD167" s="614"/>
    </row>
    <row r="168" spans="1:82" s="561" customFormat="1" ht="61.5" customHeight="1">
      <c r="A168" s="625" t="str">
        <f t="shared" si="53"/>
        <v>1110-185-FONT1110-05-02-0020-Desarrollar actividades de comunicación e información</v>
      </c>
      <c r="B168" s="626" t="str">
        <f t="shared" si="54"/>
        <v>1110-185-FONT1110-05-02-0020</v>
      </c>
      <c r="C168" s="626" t="str">
        <f t="shared" si="55"/>
        <v>1110-185-FONT1110-Desarrollar actividades de comunicación e información</v>
      </c>
      <c r="D168" s="626" t="str">
        <f t="shared" si="56"/>
        <v>1110-185-12-Otros Distrito-05-02-0020</v>
      </c>
      <c r="E168" s="626" t="str">
        <f t="shared" si="57"/>
        <v>Desarrollar actividades de comunicación e información-12-Otros Distrito-0020-Personal contratado para las actividades propias de los procesos de mejoramiento de gestión de la entidad</v>
      </c>
      <c r="F168" s="627">
        <v>123</v>
      </c>
      <c r="G168" s="628">
        <f t="shared" si="58"/>
        <v>123</v>
      </c>
      <c r="H168" s="629" t="b">
        <f t="shared" si="59"/>
        <v>0</v>
      </c>
      <c r="I168" s="630" t="s">
        <v>594</v>
      </c>
      <c r="J168" s="627" t="s">
        <v>178</v>
      </c>
      <c r="K168" s="631" t="str">
        <f>+IFERROR(VLOOKUP(J168,Listas!$A$108:$B$114,2,FALSE),"Alerta: Seleccione la celda en la comumna B con el nombre del proyecto")</f>
        <v>3-3-1-15-07-42-1110-185</v>
      </c>
      <c r="L168" s="632">
        <v>80111600</v>
      </c>
      <c r="M168" s="633" t="s">
        <v>729</v>
      </c>
      <c r="N168" s="634" t="str">
        <f t="shared" si="60"/>
        <v>(Cód. 123) Prestar servicios profesionales al Instituto Distrital de Patrimonio Cultural en las actividades de soporte técnico y los trámites precontractuales para la adquisición de bienes y servicios relacionados con el sistema de información y tecnología de la entidad.</v>
      </c>
      <c r="O168" s="635">
        <v>43480</v>
      </c>
      <c r="P168" s="636">
        <f>IFERROR(VLOOKUP(W168,'Estimación CRP'!$D$21:$E$30,2,FALSE),0)</f>
        <v>10</v>
      </c>
      <c r="Q168" s="637">
        <f>IF(O168="No aplica","No aplica",WORKDAY.INTL(O168,P168,1,'Estimación CRP'!A354:A370))</f>
        <v>43494</v>
      </c>
      <c r="R168" s="636">
        <f t="shared" si="61"/>
        <v>1</v>
      </c>
      <c r="S168" s="636">
        <f t="shared" si="62"/>
        <v>1</v>
      </c>
      <c r="T168" s="636">
        <f t="shared" si="63"/>
        <v>1</v>
      </c>
      <c r="U168" s="712">
        <v>11</v>
      </c>
      <c r="V168" s="638">
        <v>1</v>
      </c>
      <c r="W168" s="639" t="s">
        <v>274</v>
      </c>
      <c r="X168" s="640" t="str">
        <f>IFERROR(VLOOKUP(W168,Listas!$A$60:$B$73,2,FALSE),"Alerta: Seleccione primero Modalidad de selección")</f>
        <v>CCE-16</v>
      </c>
      <c r="Y168" s="641">
        <v>0</v>
      </c>
      <c r="Z168" s="641" t="s">
        <v>346</v>
      </c>
      <c r="AA168" s="641" t="s">
        <v>1197</v>
      </c>
      <c r="AB168" s="642">
        <f t="shared" si="64"/>
        <v>45320000</v>
      </c>
      <c r="AC168" s="642">
        <f t="shared" si="65"/>
        <v>45320000</v>
      </c>
      <c r="AD168" s="641">
        <v>0</v>
      </c>
      <c r="AE168" s="643">
        <v>0</v>
      </c>
      <c r="AF168" s="639" t="s">
        <v>276</v>
      </c>
      <c r="AG168" s="639" t="s">
        <v>277</v>
      </c>
      <c r="AH168" s="639" t="s">
        <v>283</v>
      </c>
      <c r="AI168" s="626" t="str">
        <f>IFERROR(VLOOKUP(AH168,Listas!$A$77:$C$83,2,FALSE),"Alerta: Seleccione primero el responsable")</f>
        <v>3550800</v>
      </c>
      <c r="AJ168" s="640" t="str">
        <f>IFERROR(VLOOKUP(AH168,Listas!$A$77:$C$83,3,FALSE),"Alerta: Seleccione primero el responsable")</f>
        <v>juan.acosta@idpc.gov.co</v>
      </c>
      <c r="AK168" s="640" t="str">
        <f>IF(J168="Funcionamiento Gastos Generales","No aplica",IF(J168="Funcionamiento Servicios Personales indirectos","No aplica",IFERROR(VLOOKUP(J168,Listas!$A$127:$E$139,3,FALSE),"Alerta: Seleccione la celda en la comumna B con el nombre del proyecto")))</f>
        <v>ME20181110</v>
      </c>
      <c r="AL168" s="640" t="str">
        <f>IF(J168="Funcionamiento Gastos Generales","No aplica",IF(J168="Funcionamiento Servicios Personales","No aplica",IFERROR(VLOOKUP(J168,Listas!$A$220:$D$224,2,FALSE),"Alerta: Seleccione la celda en la comumna B con el nombre del proyecto")))</f>
        <v>COMP1110</v>
      </c>
      <c r="AM168" s="640" t="str">
        <f>IF(J168="Funcionamiento Gastos Generales","No aplica",IF(J168="Funcionamiento Servicios Personales","No aplica",IFERROR(VLOOKUP(J168,Listas!$A$220:$D$224,3,FALSE),"Alerta: Seleccione la celda en la comumna B con el nombre del proyecto")))</f>
        <v>CONC1110</v>
      </c>
      <c r="AN168" s="633" t="s">
        <v>789</v>
      </c>
      <c r="AO168" s="633" t="s">
        <v>125</v>
      </c>
      <c r="AP168" s="634" t="str">
        <f>IFERROR(VLOOKUP(J168,Listas!$A$182:$E$215,5,FALSE),"Alerta: Seleccione la celda en la comumna B con el nombre del proyecto")</f>
        <v>10. Procesos articulados dentro del sistema integrado de gestión.</v>
      </c>
      <c r="AQ168" s="634" t="str">
        <f>IF(J168="Funcionamiento Gastos Generales","No aplica",IF(J168="Funcionamiento Servicios Personales","No aplica",IFERROR(VLOOKUP(J168,Listas!$A$220:$D$224,4,FALSE),"Alerta: Seleccione la celda en la comumna B con el nombre del proyecto")))</f>
        <v>FONT1110</v>
      </c>
      <c r="AR168" s="633" t="s">
        <v>198</v>
      </c>
      <c r="AS168" s="634" t="str">
        <f>IFERROR(VLOOKUP(AU168,Listas!$E$85:$L$105,7,FALSE),"Alerta: Seleccione la celda en la comumna AI con el concepto de gasto")</f>
        <v>05-ADMINISTRACION INSTITUCIONAL</v>
      </c>
      <c r="AT168" s="634" t="str">
        <f>IFERROR(VLOOKUP(AU168,Listas!$E$85:$L$105,8,FALSE),"Alerta: Seleccione la celda en la comumna AI con el concepto de gasto")</f>
        <v>02-ADMINISTRACIÓN, CONTROL Y ORGANIZACIÓN INSTITUCIONAL PARA APOYO A LA GESTIÓN DEL DISTRITO</v>
      </c>
      <c r="AU168" s="633" t="s">
        <v>243</v>
      </c>
      <c r="AV168" s="634">
        <f>IFERROR(VLOOKUP(AU168,Listas!$E$85:$F$105,2,FALSE),"Alerta: Seleccione el Concepto de Gasto primero")</f>
        <v>0</v>
      </c>
      <c r="AW168" s="644">
        <v>45320000</v>
      </c>
      <c r="AX168" s="645"/>
      <c r="AY168" s="645"/>
      <c r="AZ168" s="645"/>
      <c r="BA168" s="646">
        <f t="shared" si="66"/>
        <v>45320000</v>
      </c>
      <c r="BB168" s="647"/>
      <c r="BC168" s="648"/>
      <c r="BD168" s="649"/>
      <c r="BE168" s="647"/>
      <c r="BF168" s="644"/>
      <c r="BG168" s="646">
        <f t="shared" si="67"/>
        <v>45320000</v>
      </c>
      <c r="BH168" s="650"/>
      <c r="BI168" s="647"/>
      <c r="BJ168" s="644"/>
      <c r="BK168" s="646">
        <f t="shared" si="68"/>
        <v>0</v>
      </c>
      <c r="BL168" s="651"/>
      <c r="BM168" s="652">
        <f t="shared" si="69"/>
        <v>1</v>
      </c>
      <c r="BN168" s="628"/>
      <c r="BO168" s="670"/>
      <c r="BP168" s="644"/>
      <c r="BQ168" s="644"/>
      <c r="BR168" s="644"/>
      <c r="BS168" s="644"/>
      <c r="BT168" s="644"/>
      <c r="BU168" s="644"/>
      <c r="BV168" s="644"/>
      <c r="BW168" s="644"/>
      <c r="BX168" s="644"/>
      <c r="BY168" s="644"/>
      <c r="BZ168" s="644"/>
      <c r="CA168" s="644"/>
      <c r="CB168" s="646">
        <f t="shared" si="70"/>
        <v>0</v>
      </c>
      <c r="CC168" s="646">
        <f t="shared" si="71"/>
        <v>0</v>
      </c>
      <c r="CD168" s="614"/>
    </row>
    <row r="169" spans="1:82" s="653" customFormat="1" ht="61.5" customHeight="1">
      <c r="A169" s="625" t="str">
        <f t="shared" si="53"/>
        <v>1110-185-FONT1110-05-02-0020-Personal de apoyo transversal a la gestión institucional</v>
      </c>
      <c r="B169" s="626" t="str">
        <f t="shared" si="54"/>
        <v>1110-185-FONT1110-05-02-0020</v>
      </c>
      <c r="C169" s="626" t="str">
        <f t="shared" si="55"/>
        <v>1110-185-FONT1110-Personal de apoyo transversal a la gestión institucional</v>
      </c>
      <c r="D169" s="626" t="str">
        <f t="shared" si="56"/>
        <v>1110-185-12-Otros Distrito-05-02-0020</v>
      </c>
      <c r="E169" s="626" t="str">
        <f t="shared" si="57"/>
        <v>Personal de apoyo transversal a la gestión institucional-12-Otros Distrito-0020-Personal contratado para las actividades propias de los procesos de mejoramiento de gestión de la entidad</v>
      </c>
      <c r="F169" s="627">
        <v>124</v>
      </c>
      <c r="G169" s="628">
        <f t="shared" si="58"/>
        <v>124</v>
      </c>
      <c r="H169" s="629" t="b">
        <f t="shared" si="59"/>
        <v>0</v>
      </c>
      <c r="I169" s="630" t="s">
        <v>594</v>
      </c>
      <c r="J169" s="627" t="s">
        <v>178</v>
      </c>
      <c r="K169" s="631" t="str">
        <f>+IFERROR(VLOOKUP(J169,Listas!$A$108:$B$114,2,FALSE),"Alerta: Seleccione la celda en la comumna B con el nombre del proyecto")</f>
        <v>3-3-1-15-07-42-1110-185</v>
      </c>
      <c r="L169" s="632">
        <v>80111600</v>
      </c>
      <c r="M169" s="633" t="s">
        <v>730</v>
      </c>
      <c r="N169" s="634" t="str">
        <f t="shared" si="60"/>
        <v>(Cód. 124) Prestar servicios de profesionales al Instituto Distrital de Patrimonio Cultural en las actividades relacionadas con la publicación y seguimiento de la actividad contractual en los portales de contratación.</v>
      </c>
      <c r="O169" s="635">
        <v>43480</v>
      </c>
      <c r="P169" s="636">
        <f>IFERROR(VLOOKUP(W169,'Estimación CRP'!$D$21:$E$30,2,FALSE),0)</f>
        <v>10</v>
      </c>
      <c r="Q169" s="637">
        <f>IF(O169="No aplica","No aplica",WORKDAY.INTL(O169,P169,1,'Estimación CRP'!A355:A371))</f>
        <v>43494</v>
      </c>
      <c r="R169" s="636">
        <f t="shared" si="61"/>
        <v>1</v>
      </c>
      <c r="S169" s="636">
        <f t="shared" si="62"/>
        <v>1</v>
      </c>
      <c r="T169" s="636">
        <f t="shared" si="63"/>
        <v>1</v>
      </c>
      <c r="U169" s="712">
        <v>11</v>
      </c>
      <c r="V169" s="638">
        <v>1</v>
      </c>
      <c r="W169" s="639" t="s">
        <v>274</v>
      </c>
      <c r="X169" s="640" t="str">
        <f>IFERROR(VLOOKUP(W169,Listas!$A$60:$B$73,2,FALSE),"Alerta: Seleccione primero Modalidad de selección")</f>
        <v>CCE-16</v>
      </c>
      <c r="Y169" s="641">
        <v>0</v>
      </c>
      <c r="Z169" s="641" t="s">
        <v>346</v>
      </c>
      <c r="AA169" s="641" t="s">
        <v>1198</v>
      </c>
      <c r="AB169" s="642">
        <f t="shared" si="64"/>
        <v>40700000</v>
      </c>
      <c r="AC169" s="642">
        <f t="shared" si="65"/>
        <v>40700000</v>
      </c>
      <c r="AD169" s="641">
        <v>0</v>
      </c>
      <c r="AE169" s="643">
        <v>0</v>
      </c>
      <c r="AF169" s="639" t="s">
        <v>276</v>
      </c>
      <c r="AG169" s="639" t="s">
        <v>277</v>
      </c>
      <c r="AH169" s="639" t="s">
        <v>283</v>
      </c>
      <c r="AI169" s="626" t="str">
        <f>IFERROR(VLOOKUP(AH169,Listas!$A$77:$C$83,2,FALSE),"Alerta: Seleccione primero el responsable")</f>
        <v>3550800</v>
      </c>
      <c r="AJ169" s="640" t="str">
        <f>IFERROR(VLOOKUP(AH169,Listas!$A$77:$C$83,3,FALSE),"Alerta: Seleccione primero el responsable")</f>
        <v>juan.acosta@idpc.gov.co</v>
      </c>
      <c r="AK169" s="640" t="str">
        <f>IF(J169="Funcionamiento Gastos Generales","No aplica",IF(J169="Funcionamiento Servicios Personales indirectos","No aplica",IFERROR(VLOOKUP(J169,Listas!$A$127:$E$139,3,FALSE),"Alerta: Seleccione la celda en la comumna B con el nombre del proyecto")))</f>
        <v>ME20181110</v>
      </c>
      <c r="AL169" s="640" t="str">
        <f>IF(J169="Funcionamiento Gastos Generales","No aplica",IF(J169="Funcionamiento Servicios Personales","No aplica",IFERROR(VLOOKUP(J169,Listas!$A$220:$D$224,2,FALSE),"Alerta: Seleccione la celda en la comumna B con el nombre del proyecto")))</f>
        <v>COMP1110</v>
      </c>
      <c r="AM169" s="640" t="str">
        <f>IF(J169="Funcionamiento Gastos Generales","No aplica",IF(J169="Funcionamiento Servicios Personales","No aplica",IFERROR(VLOOKUP(J169,Listas!$A$220:$D$224,3,FALSE),"Alerta: Seleccione la celda en la comumna B con el nombre del proyecto")))</f>
        <v>CONC1110</v>
      </c>
      <c r="AN169" s="633" t="s">
        <v>789</v>
      </c>
      <c r="AO169" s="633" t="s">
        <v>124</v>
      </c>
      <c r="AP169" s="634" t="str">
        <f>IFERROR(VLOOKUP(J169,Listas!$A$182:$E$215,5,FALSE),"Alerta: Seleccione la celda en la comumna B con el nombre del proyecto")</f>
        <v>10. Procesos articulados dentro del sistema integrado de gestión.</v>
      </c>
      <c r="AQ169" s="634" t="str">
        <f>IF(J169="Funcionamiento Gastos Generales","No aplica",IF(J169="Funcionamiento Servicios Personales","No aplica",IFERROR(VLOOKUP(J169,Listas!$A$220:$D$224,4,FALSE),"Alerta: Seleccione la celda en la comumna B con el nombre del proyecto")))</f>
        <v>FONT1110</v>
      </c>
      <c r="AR169" s="633" t="s">
        <v>198</v>
      </c>
      <c r="AS169" s="634" t="str">
        <f>IFERROR(VLOOKUP(AU169,Listas!$E$85:$L$105,7,FALSE),"Alerta: Seleccione la celda en la comumna AI con el concepto de gasto")</f>
        <v>05-ADMINISTRACION INSTITUCIONAL</v>
      </c>
      <c r="AT169" s="634" t="str">
        <f>IFERROR(VLOOKUP(AU169,Listas!$E$85:$L$105,8,FALSE),"Alerta: Seleccione la celda en la comumna AI con el concepto de gasto")</f>
        <v>02-ADMINISTRACIÓN, CONTROL Y ORGANIZACIÓN INSTITUCIONAL PARA APOYO A LA GESTIÓN DEL DISTRITO</v>
      </c>
      <c r="AU169" s="633" t="s">
        <v>243</v>
      </c>
      <c r="AV169" s="634">
        <f>IFERROR(VLOOKUP(AU169,Listas!$E$85:$F$105,2,FALSE),"Alerta: Seleccione el Concepto de Gasto primero")</f>
        <v>0</v>
      </c>
      <c r="AW169" s="644">
        <v>40700000</v>
      </c>
      <c r="AX169" s="645"/>
      <c r="AY169" s="645"/>
      <c r="AZ169" s="645"/>
      <c r="BA169" s="646">
        <f t="shared" si="66"/>
        <v>40700000</v>
      </c>
      <c r="BB169" s="647"/>
      <c r="BC169" s="648"/>
      <c r="BD169" s="649"/>
      <c r="BE169" s="647"/>
      <c r="BF169" s="644"/>
      <c r="BG169" s="646">
        <f t="shared" si="67"/>
        <v>40700000</v>
      </c>
      <c r="BH169" s="650"/>
      <c r="BI169" s="647"/>
      <c r="BJ169" s="644"/>
      <c r="BK169" s="646">
        <f t="shared" si="68"/>
        <v>0</v>
      </c>
      <c r="BL169" s="651"/>
      <c r="BM169" s="652">
        <f t="shared" si="69"/>
        <v>1</v>
      </c>
      <c r="BN169" s="628"/>
      <c r="BO169" s="670"/>
      <c r="BP169" s="644"/>
      <c r="BQ169" s="644"/>
      <c r="BR169" s="644"/>
      <c r="BS169" s="644"/>
      <c r="BT169" s="644"/>
      <c r="BU169" s="644"/>
      <c r="BV169" s="644"/>
      <c r="BW169" s="644"/>
      <c r="BX169" s="644"/>
      <c r="BY169" s="644"/>
      <c r="BZ169" s="644"/>
      <c r="CA169" s="644"/>
      <c r="CB169" s="646">
        <f t="shared" si="70"/>
        <v>0</v>
      </c>
      <c r="CC169" s="646">
        <f t="shared" si="71"/>
        <v>0</v>
      </c>
      <c r="CD169" s="614"/>
    </row>
    <row r="170" spans="1:82" s="561" customFormat="1" ht="61.5" customHeight="1">
      <c r="A170" s="625" t="str">
        <f t="shared" si="53"/>
        <v>1110-185-FONT1110-01-03-0020-Administración y mantenimiento de escenarios culturales</v>
      </c>
      <c r="B170" s="626" t="str">
        <f t="shared" si="54"/>
        <v>1110-185-FONT1110-01-03-0020</v>
      </c>
      <c r="C170" s="626" t="str">
        <f t="shared" si="55"/>
        <v>1110-185-FONT1110-Administración y mantenimiento de escenarios culturales</v>
      </c>
      <c r="D170" s="626" t="str">
        <f t="shared" si="56"/>
        <v>1110-185-12-Otros Distrito-01-03-0020</v>
      </c>
      <c r="E170" s="626" t="str">
        <f t="shared" si="57"/>
        <v>Administración y mantenimiento de escenarios culturales-12-Otros Distrito-0020-Mantenimiento y mejoramiento de la infraestructura cultural</v>
      </c>
      <c r="F170" s="627">
        <v>125</v>
      </c>
      <c r="G170" s="628">
        <f t="shared" si="58"/>
        <v>125</v>
      </c>
      <c r="H170" s="629" t="b">
        <f t="shared" si="59"/>
        <v>0</v>
      </c>
      <c r="I170" s="630" t="s">
        <v>594</v>
      </c>
      <c r="J170" s="627" t="s">
        <v>178</v>
      </c>
      <c r="K170" s="631" t="str">
        <f>+IFERROR(VLOOKUP(J170,Listas!$A$108:$B$114,2,FALSE),"Alerta: Seleccione la celda en la comumna B con el nombre del proyecto")</f>
        <v>3-3-1-15-07-42-1110-185</v>
      </c>
      <c r="L170" s="632" t="s">
        <v>690</v>
      </c>
      <c r="M170" s="633" t="s">
        <v>691</v>
      </c>
      <c r="N170" s="634" t="str">
        <f t="shared" si="60"/>
        <v>(Cód. 125) Contratar la prestación del servicio integral de aseo, cafetería y fumigación, incluidos los insumos, para las sedes del Instituto Distrital de Patrimonio Cultural.</v>
      </c>
      <c r="O170" s="635">
        <v>43501</v>
      </c>
      <c r="P170" s="636">
        <f>IFERROR(VLOOKUP(W170,'Estimación CRP'!$D$21:$E$30,2,FALSE),0)</f>
        <v>10</v>
      </c>
      <c r="Q170" s="637">
        <f>IF(O170="No aplica","No aplica",WORKDAY.INTL(O170,P170,1,'Estimación CRP'!A356:A372))</f>
        <v>43515</v>
      </c>
      <c r="R170" s="636">
        <f t="shared" si="61"/>
        <v>2</v>
      </c>
      <c r="S170" s="636">
        <f t="shared" si="62"/>
        <v>2</v>
      </c>
      <c r="T170" s="636">
        <f t="shared" si="63"/>
        <v>2</v>
      </c>
      <c r="U170" s="712">
        <v>10</v>
      </c>
      <c r="V170" s="638">
        <v>1</v>
      </c>
      <c r="W170" s="639" t="s">
        <v>349</v>
      </c>
      <c r="X170" s="640" t="str">
        <f>IFERROR(VLOOKUP(W170,Listas!$A$60:$B$73,2,FALSE),"Alerta: Seleccione primero Modalidad de selección")</f>
        <v>CCE-99</v>
      </c>
      <c r="Y170" s="641">
        <v>0</v>
      </c>
      <c r="Z170" s="641" t="s">
        <v>1163</v>
      </c>
      <c r="AA170" s="641" t="s">
        <v>1199</v>
      </c>
      <c r="AB170" s="642">
        <f t="shared" si="64"/>
        <v>170000000</v>
      </c>
      <c r="AC170" s="642">
        <f t="shared" si="65"/>
        <v>170000000</v>
      </c>
      <c r="AD170" s="641">
        <v>0</v>
      </c>
      <c r="AE170" s="643">
        <v>0</v>
      </c>
      <c r="AF170" s="639" t="s">
        <v>276</v>
      </c>
      <c r="AG170" s="639" t="s">
        <v>277</v>
      </c>
      <c r="AH170" s="639" t="s">
        <v>283</v>
      </c>
      <c r="AI170" s="626" t="str">
        <f>IFERROR(VLOOKUP(AH170,Listas!$A$77:$C$83,2,FALSE),"Alerta: Seleccione primero el responsable")</f>
        <v>3550800</v>
      </c>
      <c r="AJ170" s="640" t="str">
        <f>IFERROR(VLOOKUP(AH170,Listas!$A$77:$C$83,3,FALSE),"Alerta: Seleccione primero el responsable")</f>
        <v>juan.acosta@idpc.gov.co</v>
      </c>
      <c r="AK170" s="640" t="str">
        <f>IF(J170="Funcionamiento Gastos Generales","No aplica",IF(J170="Funcionamiento Servicios Personales indirectos","No aplica",IFERROR(VLOOKUP(J170,Listas!$A$127:$E$139,3,FALSE),"Alerta: Seleccione la celda en la comumna B con el nombre del proyecto")))</f>
        <v>ME20181110</v>
      </c>
      <c r="AL170" s="640" t="str">
        <f>IF(J170="Funcionamiento Gastos Generales","No aplica",IF(J170="Funcionamiento Servicios Personales","No aplica",IFERROR(VLOOKUP(J170,Listas!$A$220:$D$224,2,FALSE),"Alerta: Seleccione la celda en la comumna B con el nombre del proyecto")))</f>
        <v>COMP1110</v>
      </c>
      <c r="AM170" s="640" t="str">
        <f>IF(J170="Funcionamiento Gastos Generales","No aplica",IF(J170="Funcionamiento Servicios Personales","No aplica",IFERROR(VLOOKUP(J170,Listas!$A$220:$D$224,3,FALSE),"Alerta: Seleccione la celda en la comumna B con el nombre del proyecto")))</f>
        <v>CONC1110</v>
      </c>
      <c r="AN170" s="633" t="s">
        <v>1049</v>
      </c>
      <c r="AO170" s="633" t="s">
        <v>1055</v>
      </c>
      <c r="AP170" s="634" t="str">
        <f>IFERROR(VLOOKUP(J170,Listas!$A$182:$E$215,5,FALSE),"Alerta: Seleccione la celda en la comumna B con el nombre del proyecto")</f>
        <v>10. Procesos articulados dentro del sistema integrado de gestión.</v>
      </c>
      <c r="AQ170" s="634" t="str">
        <f>IF(J170="Funcionamiento Gastos Generales","No aplica",IF(J170="Funcionamiento Servicios Personales","No aplica",IFERROR(VLOOKUP(J170,Listas!$A$220:$D$224,4,FALSE),"Alerta: Seleccione la celda en la comumna B con el nombre del proyecto")))</f>
        <v>FONT1110</v>
      </c>
      <c r="AR170" s="633" t="s">
        <v>198</v>
      </c>
      <c r="AS170" s="634" t="str">
        <f>IFERROR(VLOOKUP(AU170,Listas!$E$85:$L$105,7,FALSE),"Alerta: Seleccione la celda en la comumna AI con el concepto de gasto")</f>
        <v>01-INFRAESTRUCTURA</v>
      </c>
      <c r="AT170" s="634" t="str">
        <f>IFERROR(VLOOKUP(AU170,Listas!$E$85:$L$105,8,FALSE),"Alerta: Seleccione la celda en la comumna AI con el concepto de gasto")</f>
        <v>03-MEJORAMIENTO Y MANTENIMIENTO DE INFRAESTRUCTURA PROPIA DEL SECTOR</v>
      </c>
      <c r="AU170" s="633" t="s">
        <v>235</v>
      </c>
      <c r="AV170" s="634">
        <f>IFERROR(VLOOKUP(AU170,Listas!$E$85:$F$105,2,FALSE),"Alerta: Seleccione el Concepto de Gasto primero")</f>
        <v>1</v>
      </c>
      <c r="AW170" s="644">
        <v>170000000</v>
      </c>
      <c r="AX170" s="645"/>
      <c r="AY170" s="645"/>
      <c r="AZ170" s="645"/>
      <c r="BA170" s="646">
        <f t="shared" si="66"/>
        <v>170000000</v>
      </c>
      <c r="BB170" s="647"/>
      <c r="BC170" s="648"/>
      <c r="BD170" s="649"/>
      <c r="BE170" s="647"/>
      <c r="BF170" s="644"/>
      <c r="BG170" s="646">
        <f t="shared" si="67"/>
        <v>170000000</v>
      </c>
      <c r="BH170" s="650"/>
      <c r="BI170" s="647"/>
      <c r="BJ170" s="644"/>
      <c r="BK170" s="646">
        <f t="shared" si="68"/>
        <v>0</v>
      </c>
      <c r="BL170" s="651"/>
      <c r="BM170" s="652">
        <f t="shared" si="69"/>
        <v>1</v>
      </c>
      <c r="BN170" s="628"/>
      <c r="BO170" s="670"/>
      <c r="BP170" s="644"/>
      <c r="BQ170" s="644"/>
      <c r="BR170" s="644"/>
      <c r="BS170" s="644"/>
      <c r="BT170" s="644"/>
      <c r="BU170" s="644"/>
      <c r="BV170" s="644"/>
      <c r="BW170" s="644"/>
      <c r="BX170" s="644"/>
      <c r="BY170" s="644"/>
      <c r="BZ170" s="644"/>
      <c r="CA170" s="644"/>
      <c r="CB170" s="646">
        <f t="shared" si="70"/>
        <v>0</v>
      </c>
      <c r="CC170" s="646">
        <f t="shared" si="71"/>
        <v>0</v>
      </c>
      <c r="CD170" s="614"/>
    </row>
    <row r="171" spans="1:82" s="561" customFormat="1" ht="61.5" customHeight="1">
      <c r="A171" s="625" t="str">
        <f t="shared" si="53"/>
        <v>1110-185-FONT1110-05-02-0020-Transparencia y atención a la ciudadanía</v>
      </c>
      <c r="B171" s="626" t="str">
        <f t="shared" si="54"/>
        <v>1110-185-FONT1110-05-02-0020</v>
      </c>
      <c r="C171" s="626" t="str">
        <f t="shared" si="55"/>
        <v>1110-185-FONT1110-Transparencia y atención a la ciudadanía</v>
      </c>
      <c r="D171" s="626" t="str">
        <f t="shared" si="56"/>
        <v>1110-185-12-Otros Distrito-05-02-0020</v>
      </c>
      <c r="E171" s="626" t="str">
        <f t="shared" si="57"/>
        <v>Transparencia y atención a la ciudadanía-12-Otros Distrito-0020-Personal contratado para las actividades propias de los procesos de mejoramiento de gestión de la entidad</v>
      </c>
      <c r="F171" s="627">
        <v>126</v>
      </c>
      <c r="G171" s="628">
        <f t="shared" si="58"/>
        <v>126</v>
      </c>
      <c r="H171" s="629" t="b">
        <f t="shared" si="59"/>
        <v>0</v>
      </c>
      <c r="I171" s="630" t="s">
        <v>594</v>
      </c>
      <c r="J171" s="627" t="s">
        <v>178</v>
      </c>
      <c r="K171" s="631" t="str">
        <f>+IFERROR(VLOOKUP(J171,Listas!$A$108:$B$114,2,FALSE),"Alerta: Seleccione la celda en la comumna B con el nombre del proyecto")</f>
        <v>3-3-1-15-07-42-1110-185</v>
      </c>
      <c r="L171" s="632">
        <v>80111600</v>
      </c>
      <c r="M171" s="633" t="s">
        <v>731</v>
      </c>
      <c r="N171" s="634" t="str">
        <f t="shared" si="60"/>
        <v>(Cód. 126) Prestar servicios de apoyo a la gestión al Instituto Distrital de Patrimonio Cultural brindando atención al público en temas relacionados con los trámites de solicitudes requeridas a la entidad.</v>
      </c>
      <c r="O171" s="635">
        <v>43480</v>
      </c>
      <c r="P171" s="636">
        <f>IFERROR(VLOOKUP(W171,'Estimación CRP'!$D$21:$E$30,2,FALSE),0)</f>
        <v>10</v>
      </c>
      <c r="Q171" s="637">
        <f>IF(O171="No aplica","No aplica",WORKDAY.INTL(O171,P171,1,'Estimación CRP'!A357:A373))</f>
        <v>43494</v>
      </c>
      <c r="R171" s="636">
        <f t="shared" si="61"/>
        <v>1</v>
      </c>
      <c r="S171" s="636">
        <f t="shared" si="62"/>
        <v>1</v>
      </c>
      <c r="T171" s="636">
        <f t="shared" si="63"/>
        <v>1</v>
      </c>
      <c r="U171" s="712">
        <v>11</v>
      </c>
      <c r="V171" s="638">
        <v>1</v>
      </c>
      <c r="W171" s="639" t="s">
        <v>274</v>
      </c>
      <c r="X171" s="640" t="str">
        <f>IFERROR(VLOOKUP(W171,Listas!$A$60:$B$73,2,FALSE),"Alerta: Seleccione primero Modalidad de selección")</f>
        <v>CCE-16</v>
      </c>
      <c r="Y171" s="641">
        <v>0</v>
      </c>
      <c r="Z171" s="641" t="s">
        <v>346</v>
      </c>
      <c r="AA171" s="641" t="s">
        <v>1200</v>
      </c>
      <c r="AB171" s="642">
        <f t="shared" si="64"/>
        <v>30800000</v>
      </c>
      <c r="AC171" s="642">
        <f t="shared" si="65"/>
        <v>30800000</v>
      </c>
      <c r="AD171" s="641">
        <v>0</v>
      </c>
      <c r="AE171" s="643">
        <v>0</v>
      </c>
      <c r="AF171" s="639" t="s">
        <v>276</v>
      </c>
      <c r="AG171" s="639" t="s">
        <v>277</v>
      </c>
      <c r="AH171" s="639" t="s">
        <v>283</v>
      </c>
      <c r="AI171" s="626" t="str">
        <f>IFERROR(VLOOKUP(AH171,Listas!$A$77:$C$83,2,FALSE),"Alerta: Seleccione primero el responsable")</f>
        <v>3550800</v>
      </c>
      <c r="AJ171" s="640" t="str">
        <f>IFERROR(VLOOKUP(AH171,Listas!$A$77:$C$83,3,FALSE),"Alerta: Seleccione primero el responsable")</f>
        <v>juan.acosta@idpc.gov.co</v>
      </c>
      <c r="AK171" s="640" t="str">
        <f>IF(J171="Funcionamiento Gastos Generales","No aplica",IF(J171="Funcionamiento Servicios Personales indirectos","No aplica",IFERROR(VLOOKUP(J171,Listas!$A$127:$E$139,3,FALSE),"Alerta: Seleccione la celda en la comumna B con el nombre del proyecto")))</f>
        <v>ME20181110</v>
      </c>
      <c r="AL171" s="640" t="str">
        <f>IF(J171="Funcionamiento Gastos Generales","No aplica",IF(J171="Funcionamiento Servicios Personales","No aplica",IFERROR(VLOOKUP(J171,Listas!$A$220:$D$224,2,FALSE),"Alerta: Seleccione la celda en la comumna B con el nombre del proyecto")))</f>
        <v>COMP1110</v>
      </c>
      <c r="AM171" s="640" t="str">
        <f>IF(J171="Funcionamiento Gastos Generales","No aplica",IF(J171="Funcionamiento Servicios Personales","No aplica",IFERROR(VLOOKUP(J171,Listas!$A$220:$D$224,3,FALSE),"Alerta: Seleccione la celda en la comumna B con el nombre del proyecto")))</f>
        <v>CONC1110</v>
      </c>
      <c r="AN171" s="633" t="s">
        <v>789</v>
      </c>
      <c r="AO171" s="633" t="s">
        <v>103</v>
      </c>
      <c r="AP171" s="634" t="str">
        <f>IFERROR(VLOOKUP(J171,Listas!$A$182:$E$215,5,FALSE),"Alerta: Seleccione la celda en la comumna B con el nombre del proyecto")</f>
        <v>10. Procesos articulados dentro del sistema integrado de gestión.</v>
      </c>
      <c r="AQ171" s="634" t="str">
        <f>IF(J171="Funcionamiento Gastos Generales","No aplica",IF(J171="Funcionamiento Servicios Personales","No aplica",IFERROR(VLOOKUP(J171,Listas!$A$220:$D$224,4,FALSE),"Alerta: Seleccione la celda en la comumna B con el nombre del proyecto")))</f>
        <v>FONT1110</v>
      </c>
      <c r="AR171" s="633" t="s">
        <v>198</v>
      </c>
      <c r="AS171" s="634" t="str">
        <f>IFERROR(VLOOKUP(AU171,Listas!$E$85:$L$105,7,FALSE),"Alerta: Seleccione la celda en la comumna AI con el concepto de gasto")</f>
        <v>05-ADMINISTRACION INSTITUCIONAL</v>
      </c>
      <c r="AT171" s="634" t="str">
        <f>IFERROR(VLOOKUP(AU171,Listas!$E$85:$L$105,8,FALSE),"Alerta: Seleccione la celda en la comumna AI con el concepto de gasto")</f>
        <v>02-ADMINISTRACIÓN, CONTROL Y ORGANIZACIÓN INSTITUCIONAL PARA APOYO A LA GESTIÓN DEL DISTRITO</v>
      </c>
      <c r="AU171" s="633" t="s">
        <v>243</v>
      </c>
      <c r="AV171" s="634">
        <f>IFERROR(VLOOKUP(AU171,Listas!$E$85:$F$105,2,FALSE),"Alerta: Seleccione el Concepto de Gasto primero")</f>
        <v>0</v>
      </c>
      <c r="AW171" s="644">
        <v>30800000</v>
      </c>
      <c r="AX171" s="645"/>
      <c r="AY171" s="645"/>
      <c r="AZ171" s="645"/>
      <c r="BA171" s="646">
        <f t="shared" si="66"/>
        <v>30800000</v>
      </c>
      <c r="BB171" s="647"/>
      <c r="BC171" s="648"/>
      <c r="BD171" s="649"/>
      <c r="BE171" s="647"/>
      <c r="BF171" s="644"/>
      <c r="BG171" s="646">
        <f t="shared" si="67"/>
        <v>30800000</v>
      </c>
      <c r="BH171" s="650"/>
      <c r="BI171" s="647"/>
      <c r="BJ171" s="644"/>
      <c r="BK171" s="646">
        <f t="shared" si="68"/>
        <v>0</v>
      </c>
      <c r="BL171" s="651"/>
      <c r="BM171" s="652">
        <f t="shared" si="69"/>
        <v>1</v>
      </c>
      <c r="BN171" s="628"/>
      <c r="BO171" s="670"/>
      <c r="BP171" s="644"/>
      <c r="BQ171" s="644"/>
      <c r="BR171" s="644"/>
      <c r="BS171" s="644"/>
      <c r="BT171" s="644"/>
      <c r="BU171" s="644"/>
      <c r="BV171" s="644"/>
      <c r="BW171" s="644"/>
      <c r="BX171" s="644"/>
      <c r="BY171" s="644"/>
      <c r="BZ171" s="644"/>
      <c r="CA171" s="644"/>
      <c r="CB171" s="646">
        <f t="shared" si="70"/>
        <v>0</v>
      </c>
      <c r="CC171" s="646">
        <f t="shared" si="71"/>
        <v>0</v>
      </c>
      <c r="CD171" s="614"/>
    </row>
    <row r="172" spans="1:82" s="561" customFormat="1" ht="61.5" customHeight="1">
      <c r="A172" s="625" t="str">
        <f t="shared" si="53"/>
        <v>1110-185-FONT1110-05-02-0020-Transparencia y atención a la ciudadanía</v>
      </c>
      <c r="B172" s="626" t="str">
        <f t="shared" si="54"/>
        <v>1110-185-FONT1110-05-02-0020</v>
      </c>
      <c r="C172" s="626" t="str">
        <f t="shared" si="55"/>
        <v>1110-185-FONT1110-Transparencia y atención a la ciudadanía</v>
      </c>
      <c r="D172" s="626" t="str">
        <f t="shared" si="56"/>
        <v>1110-185-12-Otros Distrito-05-02-0020</v>
      </c>
      <c r="E172" s="626" t="str">
        <f t="shared" si="57"/>
        <v>Transparencia y atención a la ciudadanía-12-Otros Distrito-0020-Personal contratado para las actividades propias de los procesos de mejoramiento de gestión de la entidad</v>
      </c>
      <c r="F172" s="627">
        <v>127</v>
      </c>
      <c r="G172" s="628">
        <f t="shared" si="58"/>
        <v>127</v>
      </c>
      <c r="H172" s="629" t="b">
        <f t="shared" si="59"/>
        <v>0</v>
      </c>
      <c r="I172" s="630" t="s">
        <v>594</v>
      </c>
      <c r="J172" s="627" t="s">
        <v>178</v>
      </c>
      <c r="K172" s="631" t="str">
        <f>+IFERROR(VLOOKUP(J172,Listas!$A$108:$B$114,2,FALSE),"Alerta: Seleccione la celda en la comumna B con el nombre del proyecto")</f>
        <v>3-3-1-15-07-42-1110-185</v>
      </c>
      <c r="L172" s="632">
        <v>80111600</v>
      </c>
      <c r="M172" s="633" t="s">
        <v>732</v>
      </c>
      <c r="N172" s="634" t="str">
        <f t="shared" si="60"/>
        <v>(Cód. 127) Prestar servicios profesionales al Instituto Distrital de Patrimonio Cultural apoyando la aplicación de la Política Pública Distrital de Servicio a la Ciudadanía y la implementación del Modelo de atención a la ciudadanía de la entidad.</v>
      </c>
      <c r="O172" s="635">
        <v>43480</v>
      </c>
      <c r="P172" s="636">
        <f>IFERROR(VLOOKUP(W172,'Estimación CRP'!$D$21:$E$30,2,FALSE),0)</f>
        <v>10</v>
      </c>
      <c r="Q172" s="637">
        <f>IF(O172="No aplica","No aplica",WORKDAY.INTL(O172,P172,1,'Estimación CRP'!A358:A374))</f>
        <v>43494</v>
      </c>
      <c r="R172" s="636">
        <f t="shared" si="61"/>
        <v>1</v>
      </c>
      <c r="S172" s="636">
        <f t="shared" si="62"/>
        <v>1</v>
      </c>
      <c r="T172" s="636">
        <f t="shared" si="63"/>
        <v>1</v>
      </c>
      <c r="U172" s="712">
        <v>11</v>
      </c>
      <c r="V172" s="638">
        <v>1</v>
      </c>
      <c r="W172" s="639" t="s">
        <v>274</v>
      </c>
      <c r="X172" s="640" t="str">
        <f>IFERROR(VLOOKUP(W172,Listas!$A$60:$B$73,2,FALSE),"Alerta: Seleccione primero Modalidad de selección")</f>
        <v>CCE-16</v>
      </c>
      <c r="Y172" s="641">
        <v>0</v>
      </c>
      <c r="Z172" s="641" t="s">
        <v>346</v>
      </c>
      <c r="AA172" s="641" t="s">
        <v>1201</v>
      </c>
      <c r="AB172" s="642">
        <f t="shared" si="64"/>
        <v>40700000</v>
      </c>
      <c r="AC172" s="642">
        <f t="shared" si="65"/>
        <v>40700000</v>
      </c>
      <c r="AD172" s="641">
        <v>0</v>
      </c>
      <c r="AE172" s="643">
        <v>0</v>
      </c>
      <c r="AF172" s="639" t="s">
        <v>276</v>
      </c>
      <c r="AG172" s="639" t="s">
        <v>277</v>
      </c>
      <c r="AH172" s="639" t="s">
        <v>283</v>
      </c>
      <c r="AI172" s="626" t="str">
        <f>IFERROR(VLOOKUP(AH172,Listas!$A$77:$C$83,2,FALSE),"Alerta: Seleccione primero el responsable")</f>
        <v>3550800</v>
      </c>
      <c r="AJ172" s="640" t="str">
        <f>IFERROR(VLOOKUP(AH172,Listas!$A$77:$C$83,3,FALSE),"Alerta: Seleccione primero el responsable")</f>
        <v>juan.acosta@idpc.gov.co</v>
      </c>
      <c r="AK172" s="640" t="str">
        <f>IF(J172="Funcionamiento Gastos Generales","No aplica",IF(J172="Funcionamiento Servicios Personales indirectos","No aplica",IFERROR(VLOOKUP(J172,Listas!$A$127:$E$139,3,FALSE),"Alerta: Seleccione la celda en la comumna B con el nombre del proyecto")))</f>
        <v>ME20181110</v>
      </c>
      <c r="AL172" s="640" t="str">
        <f>IF(J172="Funcionamiento Gastos Generales","No aplica",IF(J172="Funcionamiento Servicios Personales","No aplica",IFERROR(VLOOKUP(J172,Listas!$A$220:$D$224,2,FALSE),"Alerta: Seleccione la celda en la comumna B con el nombre del proyecto")))</f>
        <v>COMP1110</v>
      </c>
      <c r="AM172" s="640" t="str">
        <f>IF(J172="Funcionamiento Gastos Generales","No aplica",IF(J172="Funcionamiento Servicios Personales","No aplica",IFERROR(VLOOKUP(J172,Listas!$A$220:$D$224,3,FALSE),"Alerta: Seleccione la celda en la comumna B con el nombre del proyecto")))</f>
        <v>CONC1110</v>
      </c>
      <c r="AN172" s="633" t="s">
        <v>789</v>
      </c>
      <c r="AO172" s="633" t="s">
        <v>103</v>
      </c>
      <c r="AP172" s="634" t="str">
        <f>IFERROR(VLOOKUP(J172,Listas!$A$182:$E$215,5,FALSE),"Alerta: Seleccione la celda en la comumna B con el nombre del proyecto")</f>
        <v>10. Procesos articulados dentro del sistema integrado de gestión.</v>
      </c>
      <c r="AQ172" s="634" t="str">
        <f>IF(J172="Funcionamiento Gastos Generales","No aplica",IF(J172="Funcionamiento Servicios Personales","No aplica",IFERROR(VLOOKUP(J172,Listas!$A$220:$D$224,4,FALSE),"Alerta: Seleccione la celda en la comumna B con el nombre del proyecto")))</f>
        <v>FONT1110</v>
      </c>
      <c r="AR172" s="633" t="s">
        <v>198</v>
      </c>
      <c r="AS172" s="634" t="str">
        <f>IFERROR(VLOOKUP(AU172,Listas!$E$85:$L$105,7,FALSE),"Alerta: Seleccione la celda en la comumna AI con el concepto de gasto")</f>
        <v>05-ADMINISTRACION INSTITUCIONAL</v>
      </c>
      <c r="AT172" s="634" t="str">
        <f>IFERROR(VLOOKUP(AU172,Listas!$E$85:$L$105,8,FALSE),"Alerta: Seleccione la celda en la comumna AI con el concepto de gasto")</f>
        <v>02-ADMINISTRACIÓN, CONTROL Y ORGANIZACIÓN INSTITUCIONAL PARA APOYO A LA GESTIÓN DEL DISTRITO</v>
      </c>
      <c r="AU172" s="633" t="s">
        <v>243</v>
      </c>
      <c r="AV172" s="634">
        <f>IFERROR(VLOOKUP(AU172,Listas!$E$85:$F$105,2,FALSE),"Alerta: Seleccione el Concepto de Gasto primero")</f>
        <v>0</v>
      </c>
      <c r="AW172" s="644">
        <v>40700000</v>
      </c>
      <c r="AX172" s="645"/>
      <c r="AY172" s="645"/>
      <c r="AZ172" s="645"/>
      <c r="BA172" s="646">
        <f t="shared" si="66"/>
        <v>40700000</v>
      </c>
      <c r="BB172" s="647"/>
      <c r="BC172" s="648"/>
      <c r="BD172" s="649"/>
      <c r="BE172" s="647"/>
      <c r="BF172" s="644"/>
      <c r="BG172" s="646">
        <f t="shared" si="67"/>
        <v>40700000</v>
      </c>
      <c r="BH172" s="650"/>
      <c r="BI172" s="647"/>
      <c r="BJ172" s="644"/>
      <c r="BK172" s="646">
        <f t="shared" si="68"/>
        <v>0</v>
      </c>
      <c r="BL172" s="651"/>
      <c r="BM172" s="652">
        <f t="shared" si="69"/>
        <v>1</v>
      </c>
      <c r="BN172" s="628"/>
      <c r="BO172" s="670"/>
      <c r="BP172" s="644"/>
      <c r="BQ172" s="644"/>
      <c r="BR172" s="644"/>
      <c r="BS172" s="644"/>
      <c r="BT172" s="644"/>
      <c r="BU172" s="644"/>
      <c r="BV172" s="644"/>
      <c r="BW172" s="644"/>
      <c r="BX172" s="644"/>
      <c r="BY172" s="644"/>
      <c r="BZ172" s="644"/>
      <c r="CA172" s="644"/>
      <c r="CB172" s="646">
        <f t="shared" si="70"/>
        <v>0</v>
      </c>
      <c r="CC172" s="646">
        <f t="shared" si="71"/>
        <v>0</v>
      </c>
      <c r="CD172" s="614"/>
    </row>
    <row r="173" spans="1:82" s="561" customFormat="1" ht="61.5" customHeight="1">
      <c r="A173" s="625" t="str">
        <f t="shared" si="53"/>
        <v>1110-185-FONT1110-05-02-0020-Personal de apoyo transversal a la gestión institucional</v>
      </c>
      <c r="B173" s="626" t="str">
        <f t="shared" si="54"/>
        <v>1110-185-FONT1110-05-02-0020</v>
      </c>
      <c r="C173" s="626" t="str">
        <f t="shared" si="55"/>
        <v>1110-185-FONT1110-Personal de apoyo transversal a la gestión institucional</v>
      </c>
      <c r="D173" s="626" t="str">
        <f t="shared" si="56"/>
        <v>1110-185-12-Otros Distrito-05-02-0020</v>
      </c>
      <c r="E173" s="626" t="str">
        <f t="shared" si="57"/>
        <v>Personal de apoyo transversal a la gestión institucional-12-Otros Distrito-0020-Personal contratado para las actividades propias de los procesos de mejoramiento de gestión de la entidad</v>
      </c>
      <c r="F173" s="627">
        <v>128</v>
      </c>
      <c r="G173" s="628">
        <f t="shared" si="58"/>
        <v>128</v>
      </c>
      <c r="H173" s="629" t="b">
        <f t="shared" si="59"/>
        <v>0</v>
      </c>
      <c r="I173" s="630" t="s">
        <v>594</v>
      </c>
      <c r="J173" s="627" t="s">
        <v>178</v>
      </c>
      <c r="K173" s="631" t="str">
        <f>+IFERROR(VLOOKUP(J173,Listas!$A$108:$B$114,2,FALSE),"Alerta: Seleccione la celda en la comumna B con el nombre del proyecto")</f>
        <v>3-3-1-15-07-42-1110-185</v>
      </c>
      <c r="L173" s="632">
        <v>80111600</v>
      </c>
      <c r="M173" s="633" t="s">
        <v>733</v>
      </c>
      <c r="N173" s="634" t="str">
        <f t="shared" si="60"/>
        <v>(Cód. 128) Prestar servicios de apoyo a la gestión al Instituto Distrital de Patrimonio Cultural en la realización de las actividades de comunicación de la Subdirección de Gestión Corporativa.</v>
      </c>
      <c r="O173" s="635">
        <v>43480</v>
      </c>
      <c r="P173" s="636">
        <f>IFERROR(VLOOKUP(W173,'Estimación CRP'!$D$21:$E$30,2,FALSE),0)</f>
        <v>10</v>
      </c>
      <c r="Q173" s="637">
        <f>IF(O173="No aplica","No aplica",WORKDAY.INTL(O173,P173,1,'Estimación CRP'!A359:A375))</f>
        <v>43494</v>
      </c>
      <c r="R173" s="636">
        <f t="shared" si="61"/>
        <v>1</v>
      </c>
      <c r="S173" s="636">
        <f t="shared" si="62"/>
        <v>1</v>
      </c>
      <c r="T173" s="636">
        <f t="shared" si="63"/>
        <v>1</v>
      </c>
      <c r="U173" s="712">
        <v>11</v>
      </c>
      <c r="V173" s="638">
        <v>1</v>
      </c>
      <c r="W173" s="639" t="s">
        <v>274</v>
      </c>
      <c r="X173" s="640" t="str">
        <f>IFERROR(VLOOKUP(W173,Listas!$A$60:$B$73,2,FALSE),"Alerta: Seleccione primero Modalidad de selección")</f>
        <v>CCE-16</v>
      </c>
      <c r="Y173" s="641">
        <v>0</v>
      </c>
      <c r="Z173" s="641" t="s">
        <v>346</v>
      </c>
      <c r="AA173" s="641" t="s">
        <v>1202</v>
      </c>
      <c r="AB173" s="642">
        <f t="shared" si="64"/>
        <v>29480000</v>
      </c>
      <c r="AC173" s="642">
        <f t="shared" si="65"/>
        <v>29480000</v>
      </c>
      <c r="AD173" s="641">
        <v>0</v>
      </c>
      <c r="AE173" s="643">
        <v>0</v>
      </c>
      <c r="AF173" s="639" t="s">
        <v>276</v>
      </c>
      <c r="AG173" s="639" t="s">
        <v>277</v>
      </c>
      <c r="AH173" s="639" t="s">
        <v>283</v>
      </c>
      <c r="AI173" s="626" t="str">
        <f>IFERROR(VLOOKUP(AH173,Listas!$A$77:$C$83,2,FALSE),"Alerta: Seleccione primero el responsable")</f>
        <v>3550800</v>
      </c>
      <c r="AJ173" s="640" t="str">
        <f>IFERROR(VLOOKUP(AH173,Listas!$A$77:$C$83,3,FALSE),"Alerta: Seleccione primero el responsable")</f>
        <v>juan.acosta@idpc.gov.co</v>
      </c>
      <c r="AK173" s="640" t="str">
        <f>IF(J173="Funcionamiento Gastos Generales","No aplica",IF(J173="Funcionamiento Servicios Personales indirectos","No aplica",IFERROR(VLOOKUP(J173,Listas!$A$127:$E$139,3,FALSE),"Alerta: Seleccione la celda en la comumna B con el nombre del proyecto")))</f>
        <v>ME20181110</v>
      </c>
      <c r="AL173" s="640" t="str">
        <f>IF(J173="Funcionamiento Gastos Generales","No aplica",IF(J173="Funcionamiento Servicios Personales","No aplica",IFERROR(VLOOKUP(J173,Listas!$A$220:$D$224,2,FALSE),"Alerta: Seleccione la celda en la comumna B con el nombre del proyecto")))</f>
        <v>COMP1110</v>
      </c>
      <c r="AM173" s="640" t="str">
        <f>IF(J173="Funcionamiento Gastos Generales","No aplica",IF(J173="Funcionamiento Servicios Personales","No aplica",IFERROR(VLOOKUP(J173,Listas!$A$220:$D$224,3,FALSE),"Alerta: Seleccione la celda en la comumna B con el nombre del proyecto")))</f>
        <v>CONC1110</v>
      </c>
      <c r="AN173" s="633" t="s">
        <v>789</v>
      </c>
      <c r="AO173" s="633" t="s">
        <v>124</v>
      </c>
      <c r="AP173" s="634" t="str">
        <f>IFERROR(VLOOKUP(J173,Listas!$A$182:$E$215,5,FALSE),"Alerta: Seleccione la celda en la comumna B con el nombre del proyecto")</f>
        <v>10. Procesos articulados dentro del sistema integrado de gestión.</v>
      </c>
      <c r="AQ173" s="634" t="str">
        <f>IF(J173="Funcionamiento Gastos Generales","No aplica",IF(J173="Funcionamiento Servicios Personales","No aplica",IFERROR(VLOOKUP(J173,Listas!$A$220:$D$224,4,FALSE),"Alerta: Seleccione la celda en la comumna B con el nombre del proyecto")))</f>
        <v>FONT1110</v>
      </c>
      <c r="AR173" s="633" t="s">
        <v>198</v>
      </c>
      <c r="AS173" s="634" t="str">
        <f>IFERROR(VLOOKUP(AU173,Listas!$E$85:$L$105,7,FALSE),"Alerta: Seleccione la celda en la comumna AI con el concepto de gasto")</f>
        <v>05-ADMINISTRACION INSTITUCIONAL</v>
      </c>
      <c r="AT173" s="634" t="str">
        <f>IFERROR(VLOOKUP(AU173,Listas!$E$85:$L$105,8,FALSE),"Alerta: Seleccione la celda en la comumna AI con el concepto de gasto")</f>
        <v>02-ADMINISTRACIÓN, CONTROL Y ORGANIZACIÓN INSTITUCIONAL PARA APOYO A LA GESTIÓN DEL DISTRITO</v>
      </c>
      <c r="AU173" s="633" t="s">
        <v>243</v>
      </c>
      <c r="AV173" s="634">
        <f>IFERROR(VLOOKUP(AU173,Listas!$E$85:$F$105,2,FALSE),"Alerta: Seleccione el Concepto de Gasto primero")</f>
        <v>0</v>
      </c>
      <c r="AW173" s="644">
        <v>29480000</v>
      </c>
      <c r="AX173" s="645"/>
      <c r="AY173" s="645"/>
      <c r="AZ173" s="645"/>
      <c r="BA173" s="646">
        <f t="shared" si="66"/>
        <v>29480000</v>
      </c>
      <c r="BB173" s="647"/>
      <c r="BC173" s="648"/>
      <c r="BD173" s="649"/>
      <c r="BE173" s="647"/>
      <c r="BF173" s="644"/>
      <c r="BG173" s="646">
        <f t="shared" si="67"/>
        <v>29480000</v>
      </c>
      <c r="BH173" s="650"/>
      <c r="BI173" s="647"/>
      <c r="BJ173" s="644"/>
      <c r="BK173" s="646">
        <f t="shared" si="68"/>
        <v>0</v>
      </c>
      <c r="BL173" s="651"/>
      <c r="BM173" s="652">
        <f t="shared" si="69"/>
        <v>1</v>
      </c>
      <c r="BN173" s="628"/>
      <c r="BO173" s="670"/>
      <c r="BP173" s="644"/>
      <c r="BQ173" s="644"/>
      <c r="BR173" s="644"/>
      <c r="BS173" s="644"/>
      <c r="BT173" s="644"/>
      <c r="BU173" s="644"/>
      <c r="BV173" s="644"/>
      <c r="BW173" s="644"/>
      <c r="BX173" s="644"/>
      <c r="BY173" s="644"/>
      <c r="BZ173" s="644"/>
      <c r="CA173" s="644"/>
      <c r="CB173" s="646">
        <f t="shared" si="70"/>
        <v>0</v>
      </c>
      <c r="CC173" s="646">
        <f t="shared" si="71"/>
        <v>0</v>
      </c>
      <c r="CD173" s="614"/>
    </row>
    <row r="174" spans="1:82" s="561" customFormat="1" ht="61.5" customHeight="1">
      <c r="A174" s="625" t="str">
        <f t="shared" si="53"/>
        <v>1110-185-FONT1110-05-02-0020-Fortalecimiento de los subsistemas del sistema integrado de gestión</v>
      </c>
      <c r="B174" s="626" t="str">
        <f t="shared" si="54"/>
        <v>1110-185-FONT1110-05-02-0020</v>
      </c>
      <c r="C174" s="626" t="str">
        <f t="shared" si="55"/>
        <v>1110-185-FONT1110-Fortalecimiento de los subsistemas del sistema integrado de gestión</v>
      </c>
      <c r="D174" s="626" t="str">
        <f t="shared" si="56"/>
        <v>1110-185-12-Otros Distrito-05-02-0020</v>
      </c>
      <c r="E174" s="626" t="str">
        <f t="shared" si="57"/>
        <v>Fortalecimiento de los subsistemas del sistema integrado de gestión-12-Otros Distrito-0020-Personal contratado para las actividades propias de los procesos de mejoramiento de gestión de la entidad</v>
      </c>
      <c r="F174" s="627">
        <v>129</v>
      </c>
      <c r="G174" s="628">
        <f t="shared" si="58"/>
        <v>129</v>
      </c>
      <c r="H174" s="629" t="b">
        <f t="shared" si="59"/>
        <v>0</v>
      </c>
      <c r="I174" s="630" t="s">
        <v>594</v>
      </c>
      <c r="J174" s="627" t="s">
        <v>178</v>
      </c>
      <c r="K174" s="631" t="str">
        <f>+IFERROR(VLOOKUP(J174,Listas!$A$108:$B$114,2,FALSE),"Alerta: Seleccione la celda en la comumna B con el nombre del proyecto")</f>
        <v>3-3-1-15-07-42-1110-185</v>
      </c>
      <c r="L174" s="632">
        <v>80111600</v>
      </c>
      <c r="M174" s="633" t="s">
        <v>734</v>
      </c>
      <c r="N174" s="634" t="str">
        <f t="shared" si="60"/>
        <v>(Cód. 129) Prestar servicios profesionales al Instituto Distrital de Patrimonio Cultural para apoyar la implementación de políticas y acciones para el mantenimiento y mejora del Sistema Integrado de Gestión en el marco del Modelo Integrado de Planeación y Gestión - MIPG.</v>
      </c>
      <c r="O174" s="635">
        <v>43480</v>
      </c>
      <c r="P174" s="636">
        <f>IFERROR(VLOOKUP(W174,'Estimación CRP'!$D$21:$E$30,2,FALSE),0)</f>
        <v>10</v>
      </c>
      <c r="Q174" s="637">
        <f>IF(O174="No aplica","No aplica",WORKDAY.INTL(O174,P174,1,'Estimación CRP'!A360:A376))</f>
        <v>43494</v>
      </c>
      <c r="R174" s="636">
        <f t="shared" si="61"/>
        <v>1</v>
      </c>
      <c r="S174" s="636">
        <f t="shared" si="62"/>
        <v>1</v>
      </c>
      <c r="T174" s="636">
        <f t="shared" si="63"/>
        <v>1</v>
      </c>
      <c r="U174" s="712">
        <v>3</v>
      </c>
      <c r="V174" s="638">
        <v>1</v>
      </c>
      <c r="W174" s="639" t="s">
        <v>274</v>
      </c>
      <c r="X174" s="640" t="str">
        <f>IFERROR(VLOOKUP(W174,Listas!$A$60:$B$73,2,FALSE),"Alerta: Seleccione primero Modalidad de selección")</f>
        <v>CCE-16</v>
      </c>
      <c r="Y174" s="641">
        <v>0</v>
      </c>
      <c r="Z174" s="641" t="s">
        <v>346</v>
      </c>
      <c r="AA174" s="641" t="s">
        <v>1203</v>
      </c>
      <c r="AB174" s="642">
        <f t="shared" si="64"/>
        <v>14640000</v>
      </c>
      <c r="AC174" s="642">
        <f t="shared" si="65"/>
        <v>14640000</v>
      </c>
      <c r="AD174" s="641">
        <v>0</v>
      </c>
      <c r="AE174" s="643">
        <v>0</v>
      </c>
      <c r="AF174" s="639" t="s">
        <v>276</v>
      </c>
      <c r="AG174" s="639" t="s">
        <v>277</v>
      </c>
      <c r="AH174" s="639" t="s">
        <v>285</v>
      </c>
      <c r="AI174" s="626" t="str">
        <f>IFERROR(VLOOKUP(AH174,Listas!$A$77:$C$83,2,FALSE),"Alerta: Seleccione primero el responsable")</f>
        <v>3550800</v>
      </c>
      <c r="AJ174" s="640" t="str">
        <f>IFERROR(VLOOKUP(AH174,Listas!$A$77:$C$83,3,FALSE),"Alerta: Seleccione primero el responsable")</f>
        <v>maria.villamil@idpc.gov.co</v>
      </c>
      <c r="AK174" s="640" t="str">
        <f>IF(J174="Funcionamiento Gastos Generales","No aplica",IF(J174="Funcionamiento Servicios Personales indirectos","No aplica",IFERROR(VLOOKUP(J174,Listas!$A$127:$E$139,3,FALSE),"Alerta: Seleccione la celda en la comumna B con el nombre del proyecto")))</f>
        <v>ME20181110</v>
      </c>
      <c r="AL174" s="640" t="str">
        <f>IF(J174="Funcionamiento Gastos Generales","No aplica",IF(J174="Funcionamiento Servicios Personales","No aplica",IFERROR(VLOOKUP(J174,Listas!$A$220:$D$224,2,FALSE),"Alerta: Seleccione la celda en la comumna B con el nombre del proyecto")))</f>
        <v>COMP1110</v>
      </c>
      <c r="AM174" s="640" t="str">
        <f>IF(J174="Funcionamiento Gastos Generales","No aplica",IF(J174="Funcionamiento Servicios Personales","No aplica",IFERROR(VLOOKUP(J174,Listas!$A$220:$D$224,3,FALSE),"Alerta: Seleccione la celda en la comumna B con el nombre del proyecto")))</f>
        <v>CONC1110</v>
      </c>
      <c r="AN174" s="633" t="s">
        <v>789</v>
      </c>
      <c r="AO174" s="633" t="s">
        <v>123</v>
      </c>
      <c r="AP174" s="634" t="str">
        <f>IFERROR(VLOOKUP(J174,Listas!$A$182:$E$215,5,FALSE),"Alerta: Seleccione la celda en la comumna B con el nombre del proyecto")</f>
        <v>10. Procesos articulados dentro del sistema integrado de gestión.</v>
      </c>
      <c r="AQ174" s="634" t="str">
        <f>IF(J174="Funcionamiento Gastos Generales","No aplica",IF(J174="Funcionamiento Servicios Personales","No aplica",IFERROR(VLOOKUP(J174,Listas!$A$220:$D$224,4,FALSE),"Alerta: Seleccione la celda en la comumna B con el nombre del proyecto")))</f>
        <v>FONT1110</v>
      </c>
      <c r="AR174" s="633" t="s">
        <v>198</v>
      </c>
      <c r="AS174" s="634" t="str">
        <f>IFERROR(VLOOKUP(AU174,Listas!$E$85:$L$105,7,FALSE),"Alerta: Seleccione la celda en la comumna AI con el concepto de gasto")</f>
        <v>05-ADMINISTRACION INSTITUCIONAL</v>
      </c>
      <c r="AT174" s="634" t="str">
        <f>IFERROR(VLOOKUP(AU174,Listas!$E$85:$L$105,8,FALSE),"Alerta: Seleccione la celda en la comumna AI con el concepto de gasto")</f>
        <v>02-ADMINISTRACIÓN, CONTROL Y ORGANIZACIÓN INSTITUCIONAL PARA APOYO A LA GESTIÓN DEL DISTRITO</v>
      </c>
      <c r="AU174" s="633" t="s">
        <v>243</v>
      </c>
      <c r="AV174" s="634">
        <f>IFERROR(VLOOKUP(AU174,Listas!$E$85:$F$105,2,FALSE),"Alerta: Seleccione el Concepto de Gasto primero")</f>
        <v>0</v>
      </c>
      <c r="AW174" s="644">
        <v>14640000</v>
      </c>
      <c r="AX174" s="645"/>
      <c r="AY174" s="645"/>
      <c r="AZ174" s="645"/>
      <c r="BA174" s="646">
        <f t="shared" si="66"/>
        <v>14640000</v>
      </c>
      <c r="BB174" s="647"/>
      <c r="BC174" s="648"/>
      <c r="BD174" s="649"/>
      <c r="BE174" s="647"/>
      <c r="BF174" s="644"/>
      <c r="BG174" s="646">
        <f t="shared" si="67"/>
        <v>14640000</v>
      </c>
      <c r="BH174" s="650"/>
      <c r="BI174" s="647"/>
      <c r="BJ174" s="644"/>
      <c r="BK174" s="646">
        <f t="shared" si="68"/>
        <v>0</v>
      </c>
      <c r="BL174" s="651"/>
      <c r="BM174" s="652">
        <f t="shared" si="69"/>
        <v>1</v>
      </c>
      <c r="BN174" s="628"/>
      <c r="BO174" s="670"/>
      <c r="BP174" s="644"/>
      <c r="BQ174" s="644"/>
      <c r="BR174" s="644"/>
      <c r="BS174" s="644"/>
      <c r="BT174" s="644"/>
      <c r="BU174" s="644"/>
      <c r="BV174" s="644"/>
      <c r="BW174" s="644"/>
      <c r="BX174" s="644"/>
      <c r="BY174" s="644"/>
      <c r="BZ174" s="644"/>
      <c r="CA174" s="644"/>
      <c r="CB174" s="646">
        <f t="shared" si="70"/>
        <v>0</v>
      </c>
      <c r="CC174" s="646">
        <f t="shared" si="71"/>
        <v>0</v>
      </c>
      <c r="CD174" s="614"/>
    </row>
    <row r="175" spans="1:82" s="561" customFormat="1" ht="61.5" customHeight="1">
      <c r="A175" s="625" t="str">
        <f t="shared" si="53"/>
        <v>1110-185-FONT1110-05-02-0020-Fortalecimiento de los subsistemas del sistema integrado de gestión</v>
      </c>
      <c r="B175" s="626" t="str">
        <f t="shared" si="54"/>
        <v>1110-185-FONT1110-05-02-0020</v>
      </c>
      <c r="C175" s="626" t="str">
        <f t="shared" si="55"/>
        <v>1110-185-FONT1110-Fortalecimiento de los subsistemas del sistema integrado de gestión</v>
      </c>
      <c r="D175" s="626" t="str">
        <f t="shared" si="56"/>
        <v>1110-185-12-Otros Distrito-05-02-0020</v>
      </c>
      <c r="E175" s="626" t="str">
        <f t="shared" si="57"/>
        <v>Fortalecimiento de los subsistemas del sistema integrado de gestión-12-Otros Distrito-0020-Personal contratado para las actividades propias de los procesos de mejoramiento de gestión de la entidad</v>
      </c>
      <c r="F175" s="627">
        <v>130</v>
      </c>
      <c r="G175" s="628">
        <f t="shared" si="58"/>
        <v>130</v>
      </c>
      <c r="H175" s="629" t="b">
        <f t="shared" si="59"/>
        <v>0</v>
      </c>
      <c r="I175" s="630" t="s">
        <v>594</v>
      </c>
      <c r="J175" s="627" t="s">
        <v>178</v>
      </c>
      <c r="K175" s="631" t="str">
        <f>+IFERROR(VLOOKUP(J175,Listas!$A$108:$B$114,2,FALSE),"Alerta: Seleccione la celda en la comumna B con el nombre del proyecto")</f>
        <v>3-3-1-15-07-42-1110-185</v>
      </c>
      <c r="L175" s="632">
        <v>80111600</v>
      </c>
      <c r="M175" s="633" t="s">
        <v>734</v>
      </c>
      <c r="N175" s="634" t="str">
        <f t="shared" si="60"/>
        <v>(Cód. 130) Prestar servicios profesionales al Instituto Distrital de Patrimonio Cultural para apoyar la implementación de políticas y acciones para el mantenimiento y mejora del Sistema Integrado de Gestión en el marco del Modelo Integrado de Planeación y Gestión - MIPG.</v>
      </c>
      <c r="O175" s="635">
        <v>43533</v>
      </c>
      <c r="P175" s="636">
        <f>IFERROR(VLOOKUP(W175,'Estimación CRP'!$D$21:$E$30,2,FALSE),0)</f>
        <v>10</v>
      </c>
      <c r="Q175" s="637">
        <f>IF(O175="No aplica","No aplica",WORKDAY.INTL(O175,P175,1,'Estimación CRP'!A361:A377))</f>
        <v>43546</v>
      </c>
      <c r="R175" s="636">
        <f t="shared" si="61"/>
        <v>3</v>
      </c>
      <c r="S175" s="636">
        <f t="shared" si="62"/>
        <v>3</v>
      </c>
      <c r="T175" s="636">
        <f t="shared" si="63"/>
        <v>3</v>
      </c>
      <c r="U175" s="712">
        <v>8</v>
      </c>
      <c r="V175" s="638">
        <v>1</v>
      </c>
      <c r="W175" s="639" t="s">
        <v>274</v>
      </c>
      <c r="X175" s="640" t="str">
        <f>IFERROR(VLOOKUP(W175,Listas!$A$60:$B$73,2,FALSE),"Alerta: Seleccione primero Modalidad de selección")</f>
        <v>CCE-16</v>
      </c>
      <c r="Y175" s="641">
        <v>0</v>
      </c>
      <c r="Z175" s="641" t="s">
        <v>346</v>
      </c>
      <c r="AA175" s="641" t="s">
        <v>1203</v>
      </c>
      <c r="AB175" s="642">
        <f t="shared" si="64"/>
        <v>39040000</v>
      </c>
      <c r="AC175" s="642">
        <f t="shared" si="65"/>
        <v>39040000</v>
      </c>
      <c r="AD175" s="641">
        <v>0</v>
      </c>
      <c r="AE175" s="643">
        <v>0</v>
      </c>
      <c r="AF175" s="639" t="s">
        <v>276</v>
      </c>
      <c r="AG175" s="639" t="s">
        <v>277</v>
      </c>
      <c r="AH175" s="639" t="s">
        <v>285</v>
      </c>
      <c r="AI175" s="626" t="str">
        <f>IFERROR(VLOOKUP(AH175,Listas!$A$77:$C$83,2,FALSE),"Alerta: Seleccione primero el responsable")</f>
        <v>3550800</v>
      </c>
      <c r="AJ175" s="640" t="str">
        <f>IFERROR(VLOOKUP(AH175,Listas!$A$77:$C$83,3,FALSE),"Alerta: Seleccione primero el responsable")</f>
        <v>maria.villamil@idpc.gov.co</v>
      </c>
      <c r="AK175" s="640" t="str">
        <f>IF(J175="Funcionamiento Gastos Generales","No aplica",IF(J175="Funcionamiento Servicios Personales indirectos","No aplica",IFERROR(VLOOKUP(J175,Listas!$A$127:$E$139,3,FALSE),"Alerta: Seleccione la celda en la comumna B con el nombre del proyecto")))</f>
        <v>ME20181110</v>
      </c>
      <c r="AL175" s="640" t="str">
        <f>IF(J175="Funcionamiento Gastos Generales","No aplica",IF(J175="Funcionamiento Servicios Personales","No aplica",IFERROR(VLOOKUP(J175,Listas!$A$220:$D$224,2,FALSE),"Alerta: Seleccione la celda en la comumna B con el nombre del proyecto")))</f>
        <v>COMP1110</v>
      </c>
      <c r="AM175" s="640" t="str">
        <f>IF(J175="Funcionamiento Gastos Generales","No aplica",IF(J175="Funcionamiento Servicios Personales","No aplica",IFERROR(VLOOKUP(J175,Listas!$A$220:$D$224,3,FALSE),"Alerta: Seleccione la celda en la comumna B con el nombre del proyecto")))</f>
        <v>CONC1110</v>
      </c>
      <c r="AN175" s="633" t="s">
        <v>789</v>
      </c>
      <c r="AO175" s="633" t="s">
        <v>123</v>
      </c>
      <c r="AP175" s="634" t="str">
        <f>IFERROR(VLOOKUP(J175,Listas!$A$182:$E$215,5,FALSE),"Alerta: Seleccione la celda en la comumna B con el nombre del proyecto")</f>
        <v>10. Procesos articulados dentro del sistema integrado de gestión.</v>
      </c>
      <c r="AQ175" s="634" t="str">
        <f>IF(J175="Funcionamiento Gastos Generales","No aplica",IF(J175="Funcionamiento Servicios Personales","No aplica",IFERROR(VLOOKUP(J175,Listas!$A$220:$D$224,4,FALSE),"Alerta: Seleccione la celda en la comumna B con el nombre del proyecto")))</f>
        <v>FONT1110</v>
      </c>
      <c r="AR175" s="633" t="s">
        <v>198</v>
      </c>
      <c r="AS175" s="634" t="str">
        <f>IFERROR(VLOOKUP(AU175,Listas!$E$85:$L$105,7,FALSE),"Alerta: Seleccione la celda en la comumna AI con el concepto de gasto")</f>
        <v>05-ADMINISTRACION INSTITUCIONAL</v>
      </c>
      <c r="AT175" s="634" t="str">
        <f>IFERROR(VLOOKUP(AU175,Listas!$E$85:$L$105,8,FALSE),"Alerta: Seleccione la celda en la comumna AI con el concepto de gasto")</f>
        <v>02-ADMINISTRACIÓN, CONTROL Y ORGANIZACIÓN INSTITUCIONAL PARA APOYO A LA GESTIÓN DEL DISTRITO</v>
      </c>
      <c r="AU175" s="633" t="s">
        <v>243</v>
      </c>
      <c r="AV175" s="634">
        <f>IFERROR(VLOOKUP(AU175,Listas!$E$85:$F$105,2,FALSE),"Alerta: Seleccione el Concepto de Gasto primero")</f>
        <v>0</v>
      </c>
      <c r="AW175" s="644">
        <v>39040000</v>
      </c>
      <c r="AX175" s="645"/>
      <c r="AY175" s="645"/>
      <c r="AZ175" s="645"/>
      <c r="BA175" s="646">
        <f t="shared" si="66"/>
        <v>39040000</v>
      </c>
      <c r="BB175" s="647"/>
      <c r="BC175" s="648"/>
      <c r="BD175" s="649"/>
      <c r="BE175" s="647"/>
      <c r="BF175" s="644"/>
      <c r="BG175" s="646">
        <f t="shared" si="67"/>
        <v>39040000</v>
      </c>
      <c r="BH175" s="650"/>
      <c r="BI175" s="647"/>
      <c r="BJ175" s="644"/>
      <c r="BK175" s="646">
        <f t="shared" si="68"/>
        <v>0</v>
      </c>
      <c r="BL175" s="651"/>
      <c r="BM175" s="652">
        <f t="shared" si="69"/>
        <v>1</v>
      </c>
      <c r="BN175" s="628"/>
      <c r="BO175" s="670"/>
      <c r="BP175" s="644"/>
      <c r="BQ175" s="644"/>
      <c r="BR175" s="644"/>
      <c r="BS175" s="644"/>
      <c r="BT175" s="644"/>
      <c r="BU175" s="644"/>
      <c r="BV175" s="644"/>
      <c r="BW175" s="644"/>
      <c r="BX175" s="644"/>
      <c r="BY175" s="644"/>
      <c r="BZ175" s="644"/>
      <c r="CA175" s="644"/>
      <c r="CB175" s="646">
        <f t="shared" si="70"/>
        <v>0</v>
      </c>
      <c r="CC175" s="646">
        <f t="shared" si="71"/>
        <v>0</v>
      </c>
      <c r="CD175" s="614"/>
    </row>
    <row r="176" spans="1:82" s="561" customFormat="1" ht="61.5" customHeight="1">
      <c r="A176" s="625" t="str">
        <f t="shared" si="53"/>
        <v>1110-185-FONT1110-05-02-0020-Desarrollar actividades de comunicación e información</v>
      </c>
      <c r="B176" s="626" t="str">
        <f t="shared" si="54"/>
        <v>1110-185-FONT1110-05-02-0020</v>
      </c>
      <c r="C176" s="626" t="str">
        <f t="shared" si="55"/>
        <v>1110-185-FONT1110-Desarrollar actividades de comunicación e información</v>
      </c>
      <c r="D176" s="626" t="str">
        <f t="shared" si="56"/>
        <v>1110-185-12-Otros Distrito-05-02-0020</v>
      </c>
      <c r="E176" s="626" t="str">
        <f t="shared" si="57"/>
        <v>Desarrollar actividades de comunicación e información-12-Otros Distrito-0020-Personal contratado para las actividades propias de los procesos de mejoramiento de gestión de la entidad</v>
      </c>
      <c r="F176" s="627">
        <v>131</v>
      </c>
      <c r="G176" s="628">
        <f t="shared" si="58"/>
        <v>131</v>
      </c>
      <c r="H176" s="629" t="b">
        <f t="shared" si="59"/>
        <v>0</v>
      </c>
      <c r="I176" s="630" t="s">
        <v>594</v>
      </c>
      <c r="J176" s="627" t="s">
        <v>178</v>
      </c>
      <c r="K176" s="631" t="str">
        <f>+IFERROR(VLOOKUP(J176,Listas!$A$108:$B$114,2,FALSE),"Alerta: Seleccione la celda en la comumna B con el nombre del proyecto")</f>
        <v>3-3-1-15-07-42-1110-185</v>
      </c>
      <c r="L176" s="632">
        <v>80111600</v>
      </c>
      <c r="M176" s="633" t="s">
        <v>735</v>
      </c>
      <c r="N176" s="634" t="str">
        <f t="shared" si="60"/>
        <v xml:space="preserve">(Cód. 131) Prestar servicios profesionales al Instituto Distrital de Patrimonio Cultural para apoyar las actividades relacionadas con la adquisición, actualización y mantenimiento de los sistemas de información e infraestructura tecnológica y las acciones de fortalecimiento e implementación de la estrategia de Gobierno en Línea. </v>
      </c>
      <c r="O176" s="635">
        <v>43480</v>
      </c>
      <c r="P176" s="636">
        <f>IFERROR(VLOOKUP(W176,'Estimación CRP'!$D$21:$E$30,2,FALSE),0)</f>
        <v>10</v>
      </c>
      <c r="Q176" s="637">
        <f>IF(O176="No aplica","No aplica",WORKDAY.INTL(O176,P176,1,'Estimación CRP'!A362:A378))</f>
        <v>43494</v>
      </c>
      <c r="R176" s="636">
        <f t="shared" si="61"/>
        <v>1</v>
      </c>
      <c r="S176" s="636">
        <f t="shared" si="62"/>
        <v>1</v>
      </c>
      <c r="T176" s="636">
        <f t="shared" si="63"/>
        <v>1</v>
      </c>
      <c r="U176" s="712">
        <v>11</v>
      </c>
      <c r="V176" s="638">
        <v>1</v>
      </c>
      <c r="W176" s="639" t="s">
        <v>274</v>
      </c>
      <c r="X176" s="640" t="str">
        <f>IFERROR(VLOOKUP(W176,Listas!$A$60:$B$73,2,FALSE),"Alerta: Seleccione primero Modalidad de selección")</f>
        <v>CCE-16</v>
      </c>
      <c r="Y176" s="641">
        <v>0</v>
      </c>
      <c r="Z176" s="641" t="s">
        <v>346</v>
      </c>
      <c r="AA176" s="641" t="s">
        <v>1204</v>
      </c>
      <c r="AB176" s="642">
        <f t="shared" si="64"/>
        <v>62370000</v>
      </c>
      <c r="AC176" s="642">
        <f t="shared" si="65"/>
        <v>62370000</v>
      </c>
      <c r="AD176" s="641">
        <v>0</v>
      </c>
      <c r="AE176" s="643">
        <v>0</v>
      </c>
      <c r="AF176" s="639" t="s">
        <v>276</v>
      </c>
      <c r="AG176" s="639" t="s">
        <v>277</v>
      </c>
      <c r="AH176" s="639" t="s">
        <v>283</v>
      </c>
      <c r="AI176" s="626" t="str">
        <f>IFERROR(VLOOKUP(AH176,Listas!$A$77:$C$83,2,FALSE),"Alerta: Seleccione primero el responsable")</f>
        <v>3550800</v>
      </c>
      <c r="AJ176" s="640" t="str">
        <f>IFERROR(VLOOKUP(AH176,Listas!$A$77:$C$83,3,FALSE),"Alerta: Seleccione primero el responsable")</f>
        <v>juan.acosta@idpc.gov.co</v>
      </c>
      <c r="AK176" s="640" t="str">
        <f>IF(J176="Funcionamiento Gastos Generales","No aplica",IF(J176="Funcionamiento Servicios Personales indirectos","No aplica",IFERROR(VLOOKUP(J176,Listas!$A$127:$E$139,3,FALSE),"Alerta: Seleccione la celda en la comumna B con el nombre del proyecto")))</f>
        <v>ME20181110</v>
      </c>
      <c r="AL176" s="640" t="str">
        <f>IF(J176="Funcionamiento Gastos Generales","No aplica",IF(J176="Funcionamiento Servicios Personales","No aplica",IFERROR(VLOOKUP(J176,Listas!$A$220:$D$224,2,FALSE),"Alerta: Seleccione la celda en la comumna B con el nombre del proyecto")))</f>
        <v>COMP1110</v>
      </c>
      <c r="AM176" s="640" t="str">
        <f>IF(J176="Funcionamiento Gastos Generales","No aplica",IF(J176="Funcionamiento Servicios Personales","No aplica",IFERROR(VLOOKUP(J176,Listas!$A$220:$D$224,3,FALSE),"Alerta: Seleccione la celda en la comumna B con el nombre del proyecto")))</f>
        <v>CONC1110</v>
      </c>
      <c r="AN176" s="633" t="s">
        <v>789</v>
      </c>
      <c r="AO176" s="633" t="s">
        <v>125</v>
      </c>
      <c r="AP176" s="634" t="str">
        <f>IFERROR(VLOOKUP(J176,Listas!$A$182:$E$215,5,FALSE),"Alerta: Seleccione la celda en la comumna B con el nombre del proyecto")</f>
        <v>10. Procesos articulados dentro del sistema integrado de gestión.</v>
      </c>
      <c r="AQ176" s="634" t="str">
        <f>IF(J176="Funcionamiento Gastos Generales","No aplica",IF(J176="Funcionamiento Servicios Personales","No aplica",IFERROR(VLOOKUP(J176,Listas!$A$220:$D$224,4,FALSE),"Alerta: Seleccione la celda en la comumna B con el nombre del proyecto")))</f>
        <v>FONT1110</v>
      </c>
      <c r="AR176" s="633" t="s">
        <v>198</v>
      </c>
      <c r="AS176" s="634" t="str">
        <f>IFERROR(VLOOKUP(AU176,Listas!$E$85:$L$105,7,FALSE),"Alerta: Seleccione la celda en la comumna AI con el concepto de gasto")</f>
        <v>05-ADMINISTRACION INSTITUCIONAL</v>
      </c>
      <c r="AT176" s="634" t="str">
        <f>IFERROR(VLOOKUP(AU176,Listas!$E$85:$L$105,8,FALSE),"Alerta: Seleccione la celda en la comumna AI con el concepto de gasto")</f>
        <v>02-ADMINISTRACIÓN, CONTROL Y ORGANIZACIÓN INSTITUCIONAL PARA APOYO A LA GESTIÓN DEL DISTRITO</v>
      </c>
      <c r="AU176" s="633" t="s">
        <v>243</v>
      </c>
      <c r="AV176" s="634">
        <f>IFERROR(VLOOKUP(AU176,Listas!$E$85:$F$105,2,FALSE),"Alerta: Seleccione el Concepto de Gasto primero")</f>
        <v>0</v>
      </c>
      <c r="AW176" s="644">
        <v>62370000</v>
      </c>
      <c r="AX176" s="645"/>
      <c r="AY176" s="645"/>
      <c r="AZ176" s="645"/>
      <c r="BA176" s="646">
        <f t="shared" si="66"/>
        <v>62370000</v>
      </c>
      <c r="BB176" s="647"/>
      <c r="BC176" s="648"/>
      <c r="BD176" s="649"/>
      <c r="BE176" s="647"/>
      <c r="BF176" s="644"/>
      <c r="BG176" s="646">
        <f t="shared" si="67"/>
        <v>62370000</v>
      </c>
      <c r="BH176" s="650"/>
      <c r="BI176" s="647"/>
      <c r="BJ176" s="644"/>
      <c r="BK176" s="646">
        <f t="shared" si="68"/>
        <v>0</v>
      </c>
      <c r="BL176" s="651"/>
      <c r="BM176" s="652">
        <f t="shared" si="69"/>
        <v>1</v>
      </c>
      <c r="BN176" s="628"/>
      <c r="BO176" s="670"/>
      <c r="BP176" s="644"/>
      <c r="BQ176" s="644"/>
      <c r="BR176" s="644"/>
      <c r="BS176" s="644"/>
      <c r="BT176" s="644"/>
      <c r="BU176" s="644"/>
      <c r="BV176" s="644"/>
      <c r="BW176" s="644"/>
      <c r="BX176" s="644"/>
      <c r="BY176" s="644"/>
      <c r="BZ176" s="644"/>
      <c r="CA176" s="644"/>
      <c r="CB176" s="646">
        <f t="shared" si="70"/>
        <v>0</v>
      </c>
      <c r="CC176" s="646">
        <f t="shared" si="71"/>
        <v>0</v>
      </c>
      <c r="CD176" s="614"/>
    </row>
    <row r="177" spans="1:82" s="561" customFormat="1" ht="61.5" customHeight="1">
      <c r="A177" s="625" t="str">
        <f t="shared" si="53"/>
        <v>1110-185-FONT1110-02-03-0114-Adquisición de equipos, materiales y suministros</v>
      </c>
      <c r="B177" s="626" t="str">
        <f t="shared" si="54"/>
        <v>1110-185-FONT1110-02-03-0114</v>
      </c>
      <c r="C177" s="626" t="str">
        <f t="shared" si="55"/>
        <v>1110-185-FONT1110-Adquisición de equipos, materiales y suministros</v>
      </c>
      <c r="D177" s="626" t="str">
        <f t="shared" si="56"/>
        <v>1110-185-12-Otros Distrito-02-03-0114</v>
      </c>
      <c r="E177" s="626" t="str">
        <f t="shared" si="57"/>
        <v>Adquisición de equipos, materiales y suministros-12-Otros Distrito-0114-Adquisición de Equipos, materiales, suministros</v>
      </c>
      <c r="F177" s="627">
        <v>132</v>
      </c>
      <c r="G177" s="628">
        <f t="shared" si="58"/>
        <v>132</v>
      </c>
      <c r="H177" s="629" t="b">
        <f t="shared" si="59"/>
        <v>0</v>
      </c>
      <c r="I177" s="630" t="s">
        <v>594</v>
      </c>
      <c r="J177" s="627" t="s">
        <v>178</v>
      </c>
      <c r="K177" s="631" t="str">
        <f>+IFERROR(VLOOKUP(J177,Listas!$A$108:$B$114,2,FALSE),"Alerta: Seleccione la celda en la comumna B con el nombre del proyecto")</f>
        <v>3-3-1-15-07-42-1110-185</v>
      </c>
      <c r="L177" s="632" t="s">
        <v>610</v>
      </c>
      <c r="M177" s="633" t="s">
        <v>611</v>
      </c>
      <c r="N177" s="634" t="str">
        <f t="shared" si="60"/>
        <v>(Cód. 132) Suministro de papelería, elementos de oficina, útiles escolares y material fungible requeridos para el desarrollo administrativo y misional del Instituto Distrital de Patrimonio Cultural.</v>
      </c>
      <c r="O177" s="635">
        <v>43539</v>
      </c>
      <c r="P177" s="636">
        <f>IFERROR(VLOOKUP(W177,'Estimación CRP'!$D$21:$E$30,2,FALSE),0)</f>
        <v>45</v>
      </c>
      <c r="Q177" s="637">
        <f>IF(O177="No aplica","No aplica",WORKDAY.INTL(O177,P177,1,'Estimación CRP'!A363:A379))</f>
        <v>43602</v>
      </c>
      <c r="R177" s="636">
        <f t="shared" si="61"/>
        <v>5</v>
      </c>
      <c r="S177" s="636">
        <f t="shared" si="62"/>
        <v>3</v>
      </c>
      <c r="T177" s="636">
        <f t="shared" si="63"/>
        <v>3</v>
      </c>
      <c r="U177" s="712">
        <v>10</v>
      </c>
      <c r="V177" s="638">
        <v>1</v>
      </c>
      <c r="W177" s="639" t="s">
        <v>347</v>
      </c>
      <c r="X177" s="640" t="str">
        <f>IFERROR(VLOOKUP(W177,Listas!$A$60:$B$73,2,FALSE),"Alerta: Seleccione primero Modalidad de selección")</f>
        <v>CCE-07</v>
      </c>
      <c r="Y177" s="641">
        <v>0</v>
      </c>
      <c r="Z177" s="641" t="s">
        <v>1078</v>
      </c>
      <c r="AA177" s="641" t="s">
        <v>1205</v>
      </c>
      <c r="AB177" s="642">
        <f t="shared" si="64"/>
        <v>6000000</v>
      </c>
      <c r="AC177" s="642">
        <f t="shared" si="65"/>
        <v>6000000</v>
      </c>
      <c r="AD177" s="641">
        <v>0</v>
      </c>
      <c r="AE177" s="643">
        <v>0</v>
      </c>
      <c r="AF177" s="639" t="s">
        <v>276</v>
      </c>
      <c r="AG177" s="639" t="s">
        <v>277</v>
      </c>
      <c r="AH177" s="639" t="s">
        <v>285</v>
      </c>
      <c r="AI177" s="626" t="str">
        <f>IFERROR(VLOOKUP(AH177,Listas!$A$77:$C$83,2,FALSE),"Alerta: Seleccione primero el responsable")</f>
        <v>3550800</v>
      </c>
      <c r="AJ177" s="640" t="str">
        <f>IFERROR(VLOOKUP(AH177,Listas!$A$77:$C$83,3,FALSE),"Alerta: Seleccione primero el responsable")</f>
        <v>maria.villamil@idpc.gov.co</v>
      </c>
      <c r="AK177" s="640" t="str">
        <f>IF(J177="Funcionamiento Gastos Generales","No aplica",IF(J177="Funcionamiento Servicios Personales indirectos","No aplica",IFERROR(VLOOKUP(J177,Listas!$A$127:$E$139,3,FALSE),"Alerta: Seleccione la celda en la comumna B con el nombre del proyecto")))</f>
        <v>ME20181110</v>
      </c>
      <c r="AL177" s="640" t="str">
        <f>IF(J177="Funcionamiento Gastos Generales","No aplica",IF(J177="Funcionamiento Servicios Personales","No aplica",IFERROR(VLOOKUP(J177,Listas!$A$220:$D$224,2,FALSE),"Alerta: Seleccione la celda en la comumna B con el nombre del proyecto")))</f>
        <v>COMP1110</v>
      </c>
      <c r="AM177" s="640" t="str">
        <f>IF(J177="Funcionamiento Gastos Generales","No aplica",IF(J177="Funcionamiento Servicios Personales","No aplica",IFERROR(VLOOKUP(J177,Listas!$A$220:$D$224,3,FALSE),"Alerta: Seleccione la celda en la comumna B con el nombre del proyecto")))</f>
        <v>CONC1110</v>
      </c>
      <c r="AN177" s="633" t="s">
        <v>789</v>
      </c>
      <c r="AO177" s="633" t="s">
        <v>104</v>
      </c>
      <c r="AP177" s="634" t="str">
        <f>IFERROR(VLOOKUP(J177,Listas!$A$182:$E$215,5,FALSE),"Alerta: Seleccione la celda en la comumna B con el nombre del proyecto")</f>
        <v>10. Procesos articulados dentro del sistema integrado de gestión.</v>
      </c>
      <c r="AQ177" s="634" t="str">
        <f>IF(J177="Funcionamiento Gastos Generales","No aplica",IF(J177="Funcionamiento Servicios Personales","No aplica",IFERROR(VLOOKUP(J177,Listas!$A$220:$D$224,4,FALSE),"Alerta: Seleccione la celda en la comumna B con el nombre del proyecto")))</f>
        <v>FONT1110</v>
      </c>
      <c r="AR177" s="633" t="s">
        <v>198</v>
      </c>
      <c r="AS177" s="634" t="str">
        <f>IFERROR(VLOOKUP(AU177,Listas!$E$85:$L$105,7,FALSE),"Alerta: Seleccione la celda en la comumna AI con el concepto de gasto")</f>
        <v>02-DOTACION</v>
      </c>
      <c r="AT177" s="634" t="str">
        <f>IFERROR(VLOOKUP(AU177,Listas!$E$85:$L$105,8,FALSE),"Alerta: Seleccione la celda en la comumna AI con el concepto de gasto")</f>
        <v>03-ADQUISICIÓN DE EQUIPOS, MATERIALES, SUMINISTROS Y SERVICIOS ADMISTRATIVOS</v>
      </c>
      <c r="AU177" s="633" t="s">
        <v>239</v>
      </c>
      <c r="AV177" s="634">
        <f>IFERROR(VLOOKUP(AU177,Listas!$E$85:$F$105,2,FALSE),"Alerta: Seleccione el Concepto de Gasto primero")</f>
        <v>0</v>
      </c>
      <c r="AW177" s="644">
        <v>6000000</v>
      </c>
      <c r="AX177" s="645"/>
      <c r="AY177" s="645"/>
      <c r="AZ177" s="645"/>
      <c r="BA177" s="646">
        <f t="shared" si="66"/>
        <v>6000000</v>
      </c>
      <c r="BB177" s="647"/>
      <c r="BC177" s="648"/>
      <c r="BD177" s="649"/>
      <c r="BE177" s="647"/>
      <c r="BF177" s="644"/>
      <c r="BG177" s="646">
        <f t="shared" si="67"/>
        <v>6000000</v>
      </c>
      <c r="BH177" s="650"/>
      <c r="BI177" s="647"/>
      <c r="BJ177" s="644"/>
      <c r="BK177" s="646">
        <f t="shared" si="68"/>
        <v>0</v>
      </c>
      <c r="BL177" s="651"/>
      <c r="BM177" s="652">
        <f t="shared" si="69"/>
        <v>1</v>
      </c>
      <c r="BN177" s="628"/>
      <c r="BO177" s="670"/>
      <c r="BP177" s="644"/>
      <c r="BQ177" s="644"/>
      <c r="BR177" s="644"/>
      <c r="BS177" s="644"/>
      <c r="BT177" s="644"/>
      <c r="BU177" s="644"/>
      <c r="BV177" s="644"/>
      <c r="BW177" s="644"/>
      <c r="BX177" s="644"/>
      <c r="BY177" s="644"/>
      <c r="BZ177" s="644"/>
      <c r="CA177" s="644"/>
      <c r="CB177" s="646">
        <f t="shared" si="70"/>
        <v>0</v>
      </c>
      <c r="CC177" s="646">
        <f t="shared" si="71"/>
        <v>0</v>
      </c>
      <c r="CD177" s="614"/>
    </row>
    <row r="178" spans="1:82" s="561" customFormat="1" ht="61.5" customHeight="1">
      <c r="A178" s="625" t="str">
        <f t="shared" si="53"/>
        <v>1110-185-FONT1110-05-02-0020-Transparencia y atención a la ciudadanía</v>
      </c>
      <c r="B178" s="626" t="str">
        <f t="shared" si="54"/>
        <v>1110-185-FONT1110-05-02-0020</v>
      </c>
      <c r="C178" s="626" t="str">
        <f t="shared" si="55"/>
        <v>1110-185-FONT1110-Transparencia y atención a la ciudadanía</v>
      </c>
      <c r="D178" s="626" t="str">
        <f t="shared" si="56"/>
        <v>1110-185-12-Otros Distrito-05-02-0020</v>
      </c>
      <c r="E178" s="626" t="str">
        <f t="shared" si="57"/>
        <v>Transparencia y atención a la ciudadanía-12-Otros Distrito-0020-Personal contratado para las actividades propias de los procesos de mejoramiento de gestión de la entidad</v>
      </c>
      <c r="F178" s="627">
        <v>133</v>
      </c>
      <c r="G178" s="628">
        <f t="shared" si="58"/>
        <v>133</v>
      </c>
      <c r="H178" s="629" t="b">
        <f t="shared" si="59"/>
        <v>0</v>
      </c>
      <c r="I178" s="630" t="s">
        <v>594</v>
      </c>
      <c r="J178" s="627" t="s">
        <v>178</v>
      </c>
      <c r="K178" s="631" t="str">
        <f>+IFERROR(VLOOKUP(J178,Listas!$A$108:$B$114,2,FALSE),"Alerta: Seleccione la celda en la comumna B con el nombre del proyecto")</f>
        <v>3-3-1-15-07-42-1110-185</v>
      </c>
      <c r="L178" s="632">
        <v>80111600</v>
      </c>
      <c r="M178" s="633" t="s">
        <v>736</v>
      </c>
      <c r="N178" s="634" t="str">
        <f t="shared" si="60"/>
        <v>(Cód. 133) Prestar servicios profesionales al Instituto Distrital de Patrimonio Cultural orientando la implementación de la Ley de Transparencia y del Derecho de Acceso a la Información Pública y la Política Pública Distrital de Servicio a la Ciudadanía.</v>
      </c>
      <c r="O178" s="635">
        <v>43480</v>
      </c>
      <c r="P178" s="636">
        <f>IFERROR(VLOOKUP(W178,'Estimación CRP'!$D$21:$E$30,2,FALSE),0)</f>
        <v>10</v>
      </c>
      <c r="Q178" s="637">
        <f>IF(O178="No aplica","No aplica",WORKDAY.INTL(O178,P178,1,'Estimación CRP'!A364:A380))</f>
        <v>43494</v>
      </c>
      <c r="R178" s="636">
        <f t="shared" si="61"/>
        <v>1</v>
      </c>
      <c r="S178" s="636">
        <f t="shared" si="62"/>
        <v>1</v>
      </c>
      <c r="T178" s="636">
        <f t="shared" si="63"/>
        <v>1</v>
      </c>
      <c r="U178" s="712">
        <v>11</v>
      </c>
      <c r="V178" s="638">
        <v>1</v>
      </c>
      <c r="W178" s="639" t="s">
        <v>274</v>
      </c>
      <c r="X178" s="640" t="str">
        <f>IFERROR(VLOOKUP(W178,Listas!$A$60:$B$73,2,FALSE),"Alerta: Seleccione primero Modalidad de selección")</f>
        <v>CCE-16</v>
      </c>
      <c r="Y178" s="641">
        <v>0</v>
      </c>
      <c r="Z178" s="641" t="s">
        <v>346</v>
      </c>
      <c r="AA178" s="641" t="s">
        <v>1206</v>
      </c>
      <c r="AB178" s="642">
        <f t="shared" si="64"/>
        <v>94820000</v>
      </c>
      <c r="AC178" s="642">
        <f t="shared" si="65"/>
        <v>94820000</v>
      </c>
      <c r="AD178" s="641">
        <v>0</v>
      </c>
      <c r="AE178" s="643">
        <v>0</v>
      </c>
      <c r="AF178" s="639" t="s">
        <v>276</v>
      </c>
      <c r="AG178" s="639" t="s">
        <v>277</v>
      </c>
      <c r="AH178" s="639" t="s">
        <v>283</v>
      </c>
      <c r="AI178" s="626" t="str">
        <f>IFERROR(VLOOKUP(AH178,Listas!$A$77:$C$83,2,FALSE),"Alerta: Seleccione primero el responsable")</f>
        <v>3550800</v>
      </c>
      <c r="AJ178" s="640" t="str">
        <f>IFERROR(VLOOKUP(AH178,Listas!$A$77:$C$83,3,FALSE),"Alerta: Seleccione primero el responsable")</f>
        <v>juan.acosta@idpc.gov.co</v>
      </c>
      <c r="AK178" s="640" t="str">
        <f>IF(J178="Funcionamiento Gastos Generales","No aplica",IF(J178="Funcionamiento Servicios Personales indirectos","No aplica",IFERROR(VLOOKUP(J178,Listas!$A$127:$E$139,3,FALSE),"Alerta: Seleccione la celda en la comumna B con el nombre del proyecto")))</f>
        <v>ME20181110</v>
      </c>
      <c r="AL178" s="640" t="str">
        <f>IF(J178="Funcionamiento Gastos Generales","No aplica",IF(J178="Funcionamiento Servicios Personales","No aplica",IFERROR(VLOOKUP(J178,Listas!$A$220:$D$224,2,FALSE),"Alerta: Seleccione la celda en la comumna B con el nombre del proyecto")))</f>
        <v>COMP1110</v>
      </c>
      <c r="AM178" s="640" t="str">
        <f>IF(J178="Funcionamiento Gastos Generales","No aplica",IF(J178="Funcionamiento Servicios Personales","No aplica",IFERROR(VLOOKUP(J178,Listas!$A$220:$D$224,3,FALSE),"Alerta: Seleccione la celda en la comumna B con el nombre del proyecto")))</f>
        <v>CONC1110</v>
      </c>
      <c r="AN178" s="633" t="s">
        <v>789</v>
      </c>
      <c r="AO178" s="633" t="s">
        <v>103</v>
      </c>
      <c r="AP178" s="634" t="str">
        <f>IFERROR(VLOOKUP(J178,Listas!$A$182:$E$215,5,FALSE),"Alerta: Seleccione la celda en la comumna B con el nombre del proyecto")</f>
        <v>10. Procesos articulados dentro del sistema integrado de gestión.</v>
      </c>
      <c r="AQ178" s="634" t="str">
        <f>IF(J178="Funcionamiento Gastos Generales","No aplica",IF(J178="Funcionamiento Servicios Personales","No aplica",IFERROR(VLOOKUP(J178,Listas!$A$220:$D$224,4,FALSE),"Alerta: Seleccione la celda en la comumna B con el nombre del proyecto")))</f>
        <v>FONT1110</v>
      </c>
      <c r="AR178" s="633" t="s">
        <v>198</v>
      </c>
      <c r="AS178" s="634" t="str">
        <f>IFERROR(VLOOKUP(AU178,Listas!$E$85:$L$105,7,FALSE),"Alerta: Seleccione la celda en la comumna AI con el concepto de gasto")</f>
        <v>05-ADMINISTRACION INSTITUCIONAL</v>
      </c>
      <c r="AT178" s="634" t="str">
        <f>IFERROR(VLOOKUP(AU178,Listas!$E$85:$L$105,8,FALSE),"Alerta: Seleccione la celda en la comumna AI con el concepto de gasto")</f>
        <v>02-ADMINISTRACIÓN, CONTROL Y ORGANIZACIÓN INSTITUCIONAL PARA APOYO A LA GESTIÓN DEL DISTRITO</v>
      </c>
      <c r="AU178" s="633" t="s">
        <v>243</v>
      </c>
      <c r="AV178" s="634">
        <f>IFERROR(VLOOKUP(AU178,Listas!$E$85:$F$105,2,FALSE),"Alerta: Seleccione el Concepto de Gasto primero")</f>
        <v>0</v>
      </c>
      <c r="AW178" s="644">
        <v>94820000</v>
      </c>
      <c r="AX178" s="645"/>
      <c r="AY178" s="645"/>
      <c r="AZ178" s="645"/>
      <c r="BA178" s="646">
        <f t="shared" si="66"/>
        <v>94820000</v>
      </c>
      <c r="BB178" s="647"/>
      <c r="BC178" s="648"/>
      <c r="BD178" s="649"/>
      <c r="BE178" s="647"/>
      <c r="BF178" s="644"/>
      <c r="BG178" s="646">
        <f t="shared" si="67"/>
        <v>94820000</v>
      </c>
      <c r="BH178" s="650"/>
      <c r="BI178" s="647"/>
      <c r="BJ178" s="644"/>
      <c r="BK178" s="646">
        <f t="shared" si="68"/>
        <v>0</v>
      </c>
      <c r="BL178" s="651"/>
      <c r="BM178" s="652">
        <f t="shared" si="69"/>
        <v>1</v>
      </c>
      <c r="BN178" s="628"/>
      <c r="BO178" s="670"/>
      <c r="BP178" s="644"/>
      <c r="BQ178" s="644"/>
      <c r="BR178" s="644"/>
      <c r="BS178" s="644"/>
      <c r="BT178" s="644"/>
      <c r="BU178" s="644"/>
      <c r="BV178" s="644"/>
      <c r="BW178" s="644"/>
      <c r="BX178" s="644"/>
      <c r="BY178" s="644"/>
      <c r="BZ178" s="644"/>
      <c r="CA178" s="644"/>
      <c r="CB178" s="646">
        <f t="shared" si="70"/>
        <v>0</v>
      </c>
      <c r="CC178" s="646">
        <f t="shared" si="71"/>
        <v>0</v>
      </c>
      <c r="CD178" s="614"/>
    </row>
    <row r="179" spans="1:82" s="561" customFormat="1" ht="61.5" customHeight="1">
      <c r="A179" s="625" t="str">
        <f t="shared" si="53"/>
        <v>1110-185-FONT1110-05-02-0020-Fortalecimiento de los subsistemas del sistema integrado de gestión</v>
      </c>
      <c r="B179" s="626" t="str">
        <f t="shared" si="54"/>
        <v>1110-185-FONT1110-05-02-0020</v>
      </c>
      <c r="C179" s="626" t="str">
        <f t="shared" si="55"/>
        <v>1110-185-FONT1110-Fortalecimiento de los subsistemas del sistema integrado de gestión</v>
      </c>
      <c r="D179" s="626" t="str">
        <f t="shared" si="56"/>
        <v>1110-185-12-Otros Distrito-05-02-0020</v>
      </c>
      <c r="E179" s="626" t="str">
        <f t="shared" si="57"/>
        <v>Fortalecimiento de los subsistemas del sistema integrado de gestión-12-Otros Distrito-0020-Personal contratado para las actividades propias de los procesos de mejoramiento de gestión de la entidad</v>
      </c>
      <c r="F179" s="627">
        <v>134</v>
      </c>
      <c r="G179" s="628">
        <f t="shared" si="58"/>
        <v>134</v>
      </c>
      <c r="H179" s="629" t="b">
        <f t="shared" si="59"/>
        <v>0</v>
      </c>
      <c r="I179" s="630" t="s">
        <v>594</v>
      </c>
      <c r="J179" s="627" t="s">
        <v>178</v>
      </c>
      <c r="K179" s="631" t="str">
        <f>+IFERROR(VLOOKUP(J179,Listas!$A$108:$B$114,2,FALSE),"Alerta: Seleccione la celda en la comumna B con el nombre del proyecto")</f>
        <v>3-3-1-15-07-42-1110-185</v>
      </c>
      <c r="L179" s="632">
        <v>80111600</v>
      </c>
      <c r="M179" s="633" t="s">
        <v>737</v>
      </c>
      <c r="N179" s="634" t="str">
        <f t="shared" si="60"/>
        <v>(Cód. 134) Prestar servicios profesionales al Instituto Distrital de Patrimonio Cultural para dar lineamientos y orientación en la implementación, sostenibilidad y mejora del Sistema Integrado de Gestión en el marco del Modelo Integrado de Planeación y Gestión - MIPG.</v>
      </c>
      <c r="O179" s="635">
        <v>43480</v>
      </c>
      <c r="P179" s="636">
        <f>IFERROR(VLOOKUP(W179,'Estimación CRP'!$D$21:$E$30,2,FALSE),0)</f>
        <v>10</v>
      </c>
      <c r="Q179" s="637">
        <f>IF(O179="No aplica","No aplica",WORKDAY.INTL(O179,P179,1,'Estimación CRP'!A365:A381))</f>
        <v>43494</v>
      </c>
      <c r="R179" s="636">
        <f t="shared" si="61"/>
        <v>1</v>
      </c>
      <c r="S179" s="636">
        <f t="shared" si="62"/>
        <v>1</v>
      </c>
      <c r="T179" s="636">
        <f t="shared" si="63"/>
        <v>1</v>
      </c>
      <c r="U179" s="712">
        <v>11</v>
      </c>
      <c r="V179" s="638">
        <v>1</v>
      </c>
      <c r="W179" s="639" t="s">
        <v>274</v>
      </c>
      <c r="X179" s="640" t="str">
        <f>IFERROR(VLOOKUP(W179,Listas!$A$60:$B$73,2,FALSE),"Alerta: Seleccione primero Modalidad de selección")</f>
        <v>CCE-16</v>
      </c>
      <c r="Y179" s="641">
        <v>0</v>
      </c>
      <c r="Z179" s="641" t="s">
        <v>346</v>
      </c>
      <c r="AA179" s="641" t="s">
        <v>1207</v>
      </c>
      <c r="AB179" s="642">
        <f t="shared" si="64"/>
        <v>77000000</v>
      </c>
      <c r="AC179" s="642">
        <f t="shared" si="65"/>
        <v>77000000</v>
      </c>
      <c r="AD179" s="641">
        <v>0</v>
      </c>
      <c r="AE179" s="643">
        <v>0</v>
      </c>
      <c r="AF179" s="639" t="s">
        <v>276</v>
      </c>
      <c r="AG179" s="639" t="s">
        <v>277</v>
      </c>
      <c r="AH179" s="639" t="s">
        <v>285</v>
      </c>
      <c r="AI179" s="626" t="str">
        <f>IFERROR(VLOOKUP(AH179,Listas!$A$77:$C$83,2,FALSE),"Alerta: Seleccione primero el responsable")</f>
        <v>3550800</v>
      </c>
      <c r="AJ179" s="640" t="str">
        <f>IFERROR(VLOOKUP(AH179,Listas!$A$77:$C$83,3,FALSE),"Alerta: Seleccione primero el responsable")</f>
        <v>maria.villamil@idpc.gov.co</v>
      </c>
      <c r="AK179" s="640" t="str">
        <f>IF(J179="Funcionamiento Gastos Generales","No aplica",IF(J179="Funcionamiento Servicios Personales indirectos","No aplica",IFERROR(VLOOKUP(J179,Listas!$A$127:$E$139,3,FALSE),"Alerta: Seleccione la celda en la comumna B con el nombre del proyecto")))</f>
        <v>ME20181110</v>
      </c>
      <c r="AL179" s="640" t="str">
        <f>IF(J179="Funcionamiento Gastos Generales","No aplica",IF(J179="Funcionamiento Servicios Personales","No aplica",IFERROR(VLOOKUP(J179,Listas!$A$220:$D$224,2,FALSE),"Alerta: Seleccione la celda en la comumna B con el nombre del proyecto")))</f>
        <v>COMP1110</v>
      </c>
      <c r="AM179" s="640" t="str">
        <f>IF(J179="Funcionamiento Gastos Generales","No aplica",IF(J179="Funcionamiento Servicios Personales","No aplica",IFERROR(VLOOKUP(J179,Listas!$A$220:$D$224,3,FALSE),"Alerta: Seleccione la celda en la comumna B con el nombre del proyecto")))</f>
        <v>CONC1110</v>
      </c>
      <c r="AN179" s="633" t="s">
        <v>789</v>
      </c>
      <c r="AO179" s="633" t="s">
        <v>123</v>
      </c>
      <c r="AP179" s="634" t="str">
        <f>IFERROR(VLOOKUP(J179,Listas!$A$182:$E$215,5,FALSE),"Alerta: Seleccione la celda en la comumna B con el nombre del proyecto")</f>
        <v>10. Procesos articulados dentro del sistema integrado de gestión.</v>
      </c>
      <c r="AQ179" s="634" t="str">
        <f>IF(J179="Funcionamiento Gastos Generales","No aplica",IF(J179="Funcionamiento Servicios Personales","No aplica",IFERROR(VLOOKUP(J179,Listas!$A$220:$D$224,4,FALSE),"Alerta: Seleccione la celda en la comumna B con el nombre del proyecto")))</f>
        <v>FONT1110</v>
      </c>
      <c r="AR179" s="633" t="s">
        <v>198</v>
      </c>
      <c r="AS179" s="634" t="str">
        <f>IFERROR(VLOOKUP(AU179,Listas!$E$85:$L$105,7,FALSE),"Alerta: Seleccione la celda en la comumna AI con el concepto de gasto")</f>
        <v>05-ADMINISTRACION INSTITUCIONAL</v>
      </c>
      <c r="AT179" s="634" t="str">
        <f>IFERROR(VLOOKUP(AU179,Listas!$E$85:$L$105,8,FALSE),"Alerta: Seleccione la celda en la comumna AI con el concepto de gasto")</f>
        <v>02-ADMINISTRACIÓN, CONTROL Y ORGANIZACIÓN INSTITUCIONAL PARA APOYO A LA GESTIÓN DEL DISTRITO</v>
      </c>
      <c r="AU179" s="633" t="s">
        <v>243</v>
      </c>
      <c r="AV179" s="634">
        <f>IFERROR(VLOOKUP(AU179,Listas!$E$85:$F$105,2,FALSE),"Alerta: Seleccione el Concepto de Gasto primero")</f>
        <v>0</v>
      </c>
      <c r="AW179" s="644">
        <v>77000000</v>
      </c>
      <c r="AX179" s="645"/>
      <c r="AY179" s="645"/>
      <c r="AZ179" s="645"/>
      <c r="BA179" s="646">
        <f t="shared" si="66"/>
        <v>77000000</v>
      </c>
      <c r="BB179" s="647"/>
      <c r="BC179" s="648"/>
      <c r="BD179" s="649"/>
      <c r="BE179" s="647"/>
      <c r="BF179" s="644"/>
      <c r="BG179" s="646">
        <f t="shared" si="67"/>
        <v>77000000</v>
      </c>
      <c r="BH179" s="650"/>
      <c r="BI179" s="647"/>
      <c r="BJ179" s="644"/>
      <c r="BK179" s="646">
        <f t="shared" si="68"/>
        <v>0</v>
      </c>
      <c r="BL179" s="651"/>
      <c r="BM179" s="652">
        <f t="shared" si="69"/>
        <v>1</v>
      </c>
      <c r="BN179" s="628"/>
      <c r="BO179" s="670"/>
      <c r="BP179" s="644"/>
      <c r="BQ179" s="644"/>
      <c r="BR179" s="644"/>
      <c r="BS179" s="644"/>
      <c r="BT179" s="644"/>
      <c r="BU179" s="644"/>
      <c r="BV179" s="644"/>
      <c r="BW179" s="644"/>
      <c r="BX179" s="644"/>
      <c r="BY179" s="644"/>
      <c r="BZ179" s="644"/>
      <c r="CA179" s="644"/>
      <c r="CB179" s="646">
        <f t="shared" si="70"/>
        <v>0</v>
      </c>
      <c r="CC179" s="646">
        <f t="shared" si="71"/>
        <v>0</v>
      </c>
      <c r="CD179" s="614"/>
    </row>
    <row r="180" spans="1:82" s="561" customFormat="1" ht="61.5" customHeight="1">
      <c r="A180" s="625" t="str">
        <f t="shared" si="53"/>
        <v>1110-185-FONT1110-05-02-0020-Transparencia y atención a la ciudadanía</v>
      </c>
      <c r="B180" s="626" t="str">
        <f t="shared" si="54"/>
        <v>1110-185-FONT1110-05-02-0020</v>
      </c>
      <c r="C180" s="626" t="str">
        <f t="shared" si="55"/>
        <v>1110-185-FONT1110-Transparencia y atención a la ciudadanía</v>
      </c>
      <c r="D180" s="626" t="str">
        <f t="shared" si="56"/>
        <v>1110-185-12-Otros Distrito-05-02-0020</v>
      </c>
      <c r="E180" s="626" t="str">
        <f t="shared" si="57"/>
        <v>Transparencia y atención a la ciudadanía-12-Otros Distrito-0020-Personal contratado para las actividades propias de los procesos de mejoramiento de gestión de la entidad</v>
      </c>
      <c r="F180" s="627">
        <v>135</v>
      </c>
      <c r="G180" s="628">
        <f t="shared" si="58"/>
        <v>135</v>
      </c>
      <c r="H180" s="629" t="b">
        <f t="shared" si="59"/>
        <v>0</v>
      </c>
      <c r="I180" s="630" t="s">
        <v>594</v>
      </c>
      <c r="J180" s="627" t="s">
        <v>178</v>
      </c>
      <c r="K180" s="631" t="str">
        <f>+IFERROR(VLOOKUP(J180,Listas!$A$108:$B$114,2,FALSE),"Alerta: Seleccione la celda en la comumna B con el nombre del proyecto")</f>
        <v>3-3-1-15-07-42-1110-185</v>
      </c>
      <c r="L180" s="632">
        <v>80111600</v>
      </c>
      <c r="M180" s="633" t="s">
        <v>738</v>
      </c>
      <c r="N180" s="634" t="str">
        <f t="shared" si="60"/>
        <v>(Cód. 135) Prestar servicios profesionales al Instituto Distrital de Patrimonio Cultural para apoyar las actividades relacionadas con el SDQS y la atención de PQRS de la entidad.</v>
      </c>
      <c r="O180" s="635">
        <v>43480</v>
      </c>
      <c r="P180" s="636">
        <f>IFERROR(VLOOKUP(W180,'Estimación CRP'!$D$21:$E$30,2,FALSE),0)</f>
        <v>10</v>
      </c>
      <c r="Q180" s="637">
        <f>IF(O180="No aplica","No aplica",WORKDAY.INTL(O180,P180,1,'Estimación CRP'!A366:A382))</f>
        <v>43494</v>
      </c>
      <c r="R180" s="636">
        <f t="shared" si="61"/>
        <v>1</v>
      </c>
      <c r="S180" s="636">
        <f t="shared" si="62"/>
        <v>1</v>
      </c>
      <c r="T180" s="636">
        <f t="shared" si="63"/>
        <v>1</v>
      </c>
      <c r="U180" s="712">
        <v>10</v>
      </c>
      <c r="V180" s="638">
        <v>1</v>
      </c>
      <c r="W180" s="639" t="s">
        <v>274</v>
      </c>
      <c r="X180" s="640" t="str">
        <f>IFERROR(VLOOKUP(W180,Listas!$A$60:$B$73,2,FALSE),"Alerta: Seleccione primero Modalidad de selección")</f>
        <v>CCE-16</v>
      </c>
      <c r="Y180" s="641">
        <v>0</v>
      </c>
      <c r="Z180" s="641" t="s">
        <v>346</v>
      </c>
      <c r="AA180" s="641" t="s">
        <v>1208</v>
      </c>
      <c r="AB180" s="642">
        <f t="shared" si="64"/>
        <v>46500000</v>
      </c>
      <c r="AC180" s="642">
        <f t="shared" si="65"/>
        <v>46500000</v>
      </c>
      <c r="AD180" s="641">
        <v>0</v>
      </c>
      <c r="AE180" s="643">
        <v>0</v>
      </c>
      <c r="AF180" s="639" t="s">
        <v>276</v>
      </c>
      <c r="AG180" s="639" t="s">
        <v>277</v>
      </c>
      <c r="AH180" s="639" t="s">
        <v>283</v>
      </c>
      <c r="AI180" s="626" t="str">
        <f>IFERROR(VLOOKUP(AH180,Listas!$A$77:$C$83,2,FALSE),"Alerta: Seleccione primero el responsable")</f>
        <v>3550800</v>
      </c>
      <c r="AJ180" s="640" t="str">
        <f>IFERROR(VLOOKUP(AH180,Listas!$A$77:$C$83,3,FALSE),"Alerta: Seleccione primero el responsable")</f>
        <v>juan.acosta@idpc.gov.co</v>
      </c>
      <c r="AK180" s="640" t="str">
        <f>IF(J180="Funcionamiento Gastos Generales","No aplica",IF(J180="Funcionamiento Servicios Personales indirectos","No aplica",IFERROR(VLOOKUP(J180,Listas!$A$127:$E$139,3,FALSE),"Alerta: Seleccione la celda en la comumna B con el nombre del proyecto")))</f>
        <v>ME20181110</v>
      </c>
      <c r="AL180" s="640" t="str">
        <f>IF(J180="Funcionamiento Gastos Generales","No aplica",IF(J180="Funcionamiento Servicios Personales","No aplica",IFERROR(VLOOKUP(J180,Listas!$A$220:$D$224,2,FALSE),"Alerta: Seleccione la celda en la comumna B con el nombre del proyecto")))</f>
        <v>COMP1110</v>
      </c>
      <c r="AM180" s="640" t="str">
        <f>IF(J180="Funcionamiento Gastos Generales","No aplica",IF(J180="Funcionamiento Servicios Personales","No aplica",IFERROR(VLOOKUP(J180,Listas!$A$220:$D$224,3,FALSE),"Alerta: Seleccione la celda en la comumna B con el nombre del proyecto")))</f>
        <v>CONC1110</v>
      </c>
      <c r="AN180" s="633" t="s">
        <v>789</v>
      </c>
      <c r="AO180" s="633" t="s">
        <v>103</v>
      </c>
      <c r="AP180" s="634" t="str">
        <f>IFERROR(VLOOKUP(J180,Listas!$A$182:$E$215,5,FALSE),"Alerta: Seleccione la celda en la comumna B con el nombre del proyecto")</f>
        <v>10. Procesos articulados dentro del sistema integrado de gestión.</v>
      </c>
      <c r="AQ180" s="634" t="str">
        <f>IF(J180="Funcionamiento Gastos Generales","No aplica",IF(J180="Funcionamiento Servicios Personales","No aplica",IFERROR(VLOOKUP(J180,Listas!$A$220:$D$224,4,FALSE),"Alerta: Seleccione la celda en la comumna B con el nombre del proyecto")))</f>
        <v>FONT1110</v>
      </c>
      <c r="AR180" s="633" t="s">
        <v>198</v>
      </c>
      <c r="AS180" s="634" t="str">
        <f>IFERROR(VLOOKUP(AU180,Listas!$E$85:$L$105,7,FALSE),"Alerta: Seleccione la celda en la comumna AI con el concepto de gasto")</f>
        <v>05-ADMINISTRACION INSTITUCIONAL</v>
      </c>
      <c r="AT180" s="634" t="str">
        <f>IFERROR(VLOOKUP(AU180,Listas!$E$85:$L$105,8,FALSE),"Alerta: Seleccione la celda en la comumna AI con el concepto de gasto")</f>
        <v>02-ADMINISTRACIÓN, CONTROL Y ORGANIZACIÓN INSTITUCIONAL PARA APOYO A LA GESTIÓN DEL DISTRITO</v>
      </c>
      <c r="AU180" s="633" t="s">
        <v>243</v>
      </c>
      <c r="AV180" s="634">
        <f>IFERROR(VLOOKUP(AU180,Listas!$E$85:$F$105,2,FALSE),"Alerta: Seleccione el Concepto de Gasto primero")</f>
        <v>0</v>
      </c>
      <c r="AW180" s="644">
        <v>46500000</v>
      </c>
      <c r="AX180" s="645"/>
      <c r="AY180" s="645"/>
      <c r="AZ180" s="645"/>
      <c r="BA180" s="646">
        <f t="shared" si="66"/>
        <v>46500000</v>
      </c>
      <c r="BB180" s="647"/>
      <c r="BC180" s="648"/>
      <c r="BD180" s="649"/>
      <c r="BE180" s="647"/>
      <c r="BF180" s="644"/>
      <c r="BG180" s="646">
        <f t="shared" si="67"/>
        <v>46500000</v>
      </c>
      <c r="BH180" s="650"/>
      <c r="BI180" s="647"/>
      <c r="BJ180" s="644"/>
      <c r="BK180" s="646">
        <f t="shared" si="68"/>
        <v>0</v>
      </c>
      <c r="BL180" s="651"/>
      <c r="BM180" s="652">
        <f t="shared" si="69"/>
        <v>1</v>
      </c>
      <c r="BN180" s="628"/>
      <c r="BO180" s="670"/>
      <c r="BP180" s="644"/>
      <c r="BQ180" s="644"/>
      <c r="BR180" s="644"/>
      <c r="BS180" s="644"/>
      <c r="BT180" s="644"/>
      <c r="BU180" s="644"/>
      <c r="BV180" s="644"/>
      <c r="BW180" s="644"/>
      <c r="BX180" s="644"/>
      <c r="BY180" s="644"/>
      <c r="BZ180" s="644"/>
      <c r="CA180" s="644"/>
      <c r="CB180" s="646">
        <f t="shared" si="70"/>
        <v>0</v>
      </c>
      <c r="CC180" s="646">
        <f t="shared" si="71"/>
        <v>0</v>
      </c>
      <c r="CD180" s="614"/>
    </row>
    <row r="181" spans="1:82" s="561" customFormat="1" ht="61.5" customHeight="1">
      <c r="A181" s="625" t="str">
        <f t="shared" si="53"/>
        <v>1110-185-FONT1110-02-03-0114-Adquisición de equipos, materiales y suministros</v>
      </c>
      <c r="B181" s="626" t="str">
        <f t="shared" si="54"/>
        <v>1110-185-FONT1110-02-03-0114</v>
      </c>
      <c r="C181" s="626" t="str">
        <f t="shared" si="55"/>
        <v>1110-185-FONT1110-Adquisición de equipos, materiales y suministros</v>
      </c>
      <c r="D181" s="626" t="str">
        <f t="shared" si="56"/>
        <v>1110-185-12-Otros Distrito-02-03-0114</v>
      </c>
      <c r="E181" s="626" t="str">
        <f t="shared" si="57"/>
        <v>Adquisición de equipos, materiales y suministros-12-Otros Distrito-0114-Adquisición de Equipos, materiales, suministros</v>
      </c>
      <c r="F181" s="627">
        <v>136</v>
      </c>
      <c r="G181" s="628">
        <f t="shared" si="58"/>
        <v>136</v>
      </c>
      <c r="H181" s="629" t="b">
        <f t="shared" si="59"/>
        <v>0</v>
      </c>
      <c r="I181" s="630" t="s">
        <v>594</v>
      </c>
      <c r="J181" s="627" t="s">
        <v>178</v>
      </c>
      <c r="K181" s="631" t="str">
        <f>+IFERROR(VLOOKUP(J181,Listas!$A$108:$B$114,2,FALSE),"Alerta: Seleccione la celda en la comumna B con el nombre del proyecto")</f>
        <v>3-3-1-15-07-42-1110-185</v>
      </c>
      <c r="L181" s="632" t="s">
        <v>739</v>
      </c>
      <c r="M181" s="633" t="s">
        <v>740</v>
      </c>
      <c r="N181" s="634" t="str">
        <f t="shared" si="60"/>
        <v>(Cód. 136) Compra de estantes rodantes para las cajas de archivo  requeridas para la organización del archivo de gestión  del Instituto Distrital de Patrimonio Cultural</v>
      </c>
      <c r="O181" s="635">
        <v>43483</v>
      </c>
      <c r="P181" s="636">
        <f>IFERROR(VLOOKUP(W181,'Estimación CRP'!$D$21:$E$30,2,FALSE),0)</f>
        <v>45</v>
      </c>
      <c r="Q181" s="637">
        <f>IF(O181="No aplica","No aplica",WORKDAY.INTL(O181,P181,1,'Estimación CRP'!A367:A383))</f>
        <v>43546</v>
      </c>
      <c r="R181" s="636">
        <f t="shared" si="61"/>
        <v>3</v>
      </c>
      <c r="S181" s="636">
        <f t="shared" si="62"/>
        <v>1</v>
      </c>
      <c r="T181" s="636">
        <f t="shared" si="63"/>
        <v>1</v>
      </c>
      <c r="U181" s="712">
        <v>1</v>
      </c>
      <c r="V181" s="638">
        <v>1</v>
      </c>
      <c r="W181" s="639" t="s">
        <v>347</v>
      </c>
      <c r="X181" s="640" t="str">
        <f>IFERROR(VLOOKUP(W181,Listas!$A$60:$B$73,2,FALSE),"Alerta: Seleccione primero Modalidad de selección")</f>
        <v>CCE-07</v>
      </c>
      <c r="Y181" s="641">
        <v>0</v>
      </c>
      <c r="Z181" s="641" t="s">
        <v>346</v>
      </c>
      <c r="AA181" s="641" t="s">
        <v>1209</v>
      </c>
      <c r="AB181" s="642">
        <f t="shared" si="64"/>
        <v>50000000</v>
      </c>
      <c r="AC181" s="642">
        <f t="shared" si="65"/>
        <v>50000000</v>
      </c>
      <c r="AD181" s="641">
        <v>0</v>
      </c>
      <c r="AE181" s="643">
        <v>0</v>
      </c>
      <c r="AF181" s="639" t="s">
        <v>276</v>
      </c>
      <c r="AG181" s="639" t="s">
        <v>277</v>
      </c>
      <c r="AH181" s="639" t="s">
        <v>285</v>
      </c>
      <c r="AI181" s="626" t="str">
        <f>IFERROR(VLOOKUP(AH181,Listas!$A$77:$C$83,2,FALSE),"Alerta: Seleccione primero el responsable")</f>
        <v>3550800</v>
      </c>
      <c r="AJ181" s="640" t="str">
        <f>IFERROR(VLOOKUP(AH181,Listas!$A$77:$C$83,3,FALSE),"Alerta: Seleccione primero el responsable")</f>
        <v>maria.villamil@idpc.gov.co</v>
      </c>
      <c r="AK181" s="640" t="str">
        <f>IF(J181="Funcionamiento Gastos Generales","No aplica",IF(J181="Funcionamiento Servicios Personales indirectos","No aplica",IFERROR(VLOOKUP(J181,Listas!$A$127:$E$139,3,FALSE),"Alerta: Seleccione la celda en la comumna B con el nombre del proyecto")))</f>
        <v>ME20181110</v>
      </c>
      <c r="AL181" s="640" t="str">
        <f>IF(J181="Funcionamiento Gastos Generales","No aplica",IF(J181="Funcionamiento Servicios Personales","No aplica",IFERROR(VLOOKUP(J181,Listas!$A$220:$D$224,2,FALSE),"Alerta: Seleccione la celda en la comumna B con el nombre del proyecto")))</f>
        <v>COMP1110</v>
      </c>
      <c r="AM181" s="640" t="str">
        <f>IF(J181="Funcionamiento Gastos Generales","No aplica",IF(J181="Funcionamiento Servicios Personales","No aplica",IFERROR(VLOOKUP(J181,Listas!$A$220:$D$224,3,FALSE),"Alerta: Seleccione la celda en la comumna B con el nombre del proyecto")))</f>
        <v>CONC1110</v>
      </c>
      <c r="AN181" s="633" t="s">
        <v>1049</v>
      </c>
      <c r="AO181" s="633" t="s">
        <v>104</v>
      </c>
      <c r="AP181" s="634" t="str">
        <f>IFERROR(VLOOKUP(J181,Listas!$A$182:$E$215,5,FALSE),"Alerta: Seleccione la celda en la comumna B con el nombre del proyecto")</f>
        <v>10. Procesos articulados dentro del sistema integrado de gestión.</v>
      </c>
      <c r="AQ181" s="634" t="str">
        <f>IF(J181="Funcionamiento Gastos Generales","No aplica",IF(J181="Funcionamiento Servicios Personales","No aplica",IFERROR(VLOOKUP(J181,Listas!$A$220:$D$224,4,FALSE),"Alerta: Seleccione la celda en la comumna B con el nombre del proyecto")))</f>
        <v>FONT1110</v>
      </c>
      <c r="AR181" s="633" t="s">
        <v>198</v>
      </c>
      <c r="AS181" s="634" t="str">
        <f>IFERROR(VLOOKUP(AU181,Listas!$E$85:$L$105,7,FALSE),"Alerta: Seleccione la celda en la comumna AI con el concepto de gasto")</f>
        <v>02-DOTACION</v>
      </c>
      <c r="AT181" s="634" t="str">
        <f>IFERROR(VLOOKUP(AU181,Listas!$E$85:$L$105,8,FALSE),"Alerta: Seleccione la celda en la comumna AI con el concepto de gasto")</f>
        <v>03-ADQUISICIÓN DE EQUIPOS, MATERIALES, SUMINISTROS Y SERVICIOS ADMISTRATIVOS</v>
      </c>
      <c r="AU181" s="633" t="s">
        <v>239</v>
      </c>
      <c r="AV181" s="634">
        <f>IFERROR(VLOOKUP(AU181,Listas!$E$85:$F$105,2,FALSE),"Alerta: Seleccione el Concepto de Gasto primero")</f>
        <v>0</v>
      </c>
      <c r="AW181" s="644">
        <v>50000000</v>
      </c>
      <c r="AX181" s="645"/>
      <c r="AY181" s="645"/>
      <c r="AZ181" s="645"/>
      <c r="BA181" s="646">
        <f t="shared" si="66"/>
        <v>50000000</v>
      </c>
      <c r="BB181" s="647"/>
      <c r="BC181" s="648"/>
      <c r="BD181" s="649"/>
      <c r="BE181" s="647"/>
      <c r="BF181" s="644"/>
      <c r="BG181" s="646">
        <f t="shared" si="67"/>
        <v>50000000</v>
      </c>
      <c r="BH181" s="650"/>
      <c r="BI181" s="647"/>
      <c r="BJ181" s="644"/>
      <c r="BK181" s="646">
        <f t="shared" si="68"/>
        <v>0</v>
      </c>
      <c r="BL181" s="651"/>
      <c r="BM181" s="652">
        <f t="shared" si="69"/>
        <v>1</v>
      </c>
      <c r="BN181" s="628"/>
      <c r="BO181" s="670"/>
      <c r="BP181" s="644"/>
      <c r="BQ181" s="644"/>
      <c r="BR181" s="644"/>
      <c r="BS181" s="644"/>
      <c r="BT181" s="644"/>
      <c r="BU181" s="644"/>
      <c r="BV181" s="644"/>
      <c r="BW181" s="644"/>
      <c r="BX181" s="644"/>
      <c r="BY181" s="644"/>
      <c r="BZ181" s="644"/>
      <c r="CA181" s="644"/>
      <c r="CB181" s="646">
        <f t="shared" si="70"/>
        <v>0</v>
      </c>
      <c r="CC181" s="646">
        <f t="shared" si="71"/>
        <v>0</v>
      </c>
      <c r="CD181" s="614"/>
    </row>
    <row r="182" spans="1:82" s="561" customFormat="1" ht="61.5" customHeight="1">
      <c r="A182" s="625" t="str">
        <f t="shared" si="53"/>
        <v>1110-185-FONT1110-05-02-0020-Fortalecimiento de los subsistemas del sistema integrado de gestión</v>
      </c>
      <c r="B182" s="626" t="str">
        <f t="shared" si="54"/>
        <v>1110-185-FONT1110-05-02-0020</v>
      </c>
      <c r="C182" s="626" t="str">
        <f t="shared" si="55"/>
        <v>1110-185-FONT1110-Fortalecimiento de los subsistemas del sistema integrado de gestión</v>
      </c>
      <c r="D182" s="626" t="str">
        <f t="shared" si="56"/>
        <v>1110-185-12-Otros Distrito-05-02-0020</v>
      </c>
      <c r="E182" s="626" t="str">
        <f t="shared" si="57"/>
        <v>Fortalecimiento de los subsistemas del sistema integrado de gestión-12-Otros Distrito-0020-Personal contratado para las actividades propias de los procesos de mejoramiento de gestión de la entidad</v>
      </c>
      <c r="F182" s="627">
        <v>137</v>
      </c>
      <c r="G182" s="628">
        <f t="shared" si="58"/>
        <v>137</v>
      </c>
      <c r="H182" s="629" t="b">
        <f t="shared" si="59"/>
        <v>0</v>
      </c>
      <c r="I182" s="630" t="s">
        <v>594</v>
      </c>
      <c r="J182" s="627" t="s">
        <v>178</v>
      </c>
      <c r="K182" s="631" t="str">
        <f>+IFERROR(VLOOKUP(J182,Listas!$A$108:$B$114,2,FALSE),"Alerta: Seleccione la celda en la comumna B con el nombre del proyecto")</f>
        <v>3-3-1-15-07-42-1110-185</v>
      </c>
      <c r="L182" s="632">
        <v>80111600</v>
      </c>
      <c r="M182" s="633" t="s">
        <v>741</v>
      </c>
      <c r="N182" s="634" t="str">
        <f t="shared" si="60"/>
        <v>(Cód. 137) Prestar servicios profesionales al Instituto Distrital de Patrimonio Cultural para la ejecución de las actividades relacionados con el Sistema Integrado de Conservación  en concordancia con la normatividad vigente.</v>
      </c>
      <c r="O182" s="635">
        <v>43480</v>
      </c>
      <c r="P182" s="636">
        <f>IFERROR(VLOOKUP(W182,'Estimación CRP'!$D$21:$E$30,2,FALSE),0)</f>
        <v>10</v>
      </c>
      <c r="Q182" s="637">
        <f>IF(O182="No aplica","No aplica",WORKDAY.INTL(O182,P182,1,'Estimación CRP'!A368:A384))</f>
        <v>43494</v>
      </c>
      <c r="R182" s="636">
        <f t="shared" si="61"/>
        <v>1</v>
      </c>
      <c r="S182" s="636">
        <f t="shared" si="62"/>
        <v>1</v>
      </c>
      <c r="T182" s="636">
        <f t="shared" si="63"/>
        <v>1</v>
      </c>
      <c r="U182" s="712">
        <v>7</v>
      </c>
      <c r="V182" s="638">
        <v>1</v>
      </c>
      <c r="W182" s="639" t="s">
        <v>274</v>
      </c>
      <c r="X182" s="640" t="str">
        <f>IFERROR(VLOOKUP(W182,Listas!$A$60:$B$73,2,FALSE),"Alerta: Seleccione primero Modalidad de selección")</f>
        <v>CCE-16</v>
      </c>
      <c r="Y182" s="641">
        <v>0</v>
      </c>
      <c r="Z182" s="641" t="s">
        <v>346</v>
      </c>
      <c r="AA182" s="641" t="s">
        <v>1210</v>
      </c>
      <c r="AB182" s="642">
        <f t="shared" si="64"/>
        <v>32480000</v>
      </c>
      <c r="AC182" s="642">
        <f t="shared" si="65"/>
        <v>32480000</v>
      </c>
      <c r="AD182" s="641">
        <v>0</v>
      </c>
      <c r="AE182" s="643">
        <v>0</v>
      </c>
      <c r="AF182" s="639" t="s">
        <v>276</v>
      </c>
      <c r="AG182" s="639" t="s">
        <v>277</v>
      </c>
      <c r="AH182" s="639" t="s">
        <v>285</v>
      </c>
      <c r="AI182" s="626" t="str">
        <f>IFERROR(VLOOKUP(AH182,Listas!$A$77:$C$83,2,FALSE),"Alerta: Seleccione primero el responsable")</f>
        <v>3550800</v>
      </c>
      <c r="AJ182" s="640" t="str">
        <f>IFERROR(VLOOKUP(AH182,Listas!$A$77:$C$83,3,FALSE),"Alerta: Seleccione primero el responsable")</f>
        <v>maria.villamil@idpc.gov.co</v>
      </c>
      <c r="AK182" s="640" t="str">
        <f>IF(J182="Funcionamiento Gastos Generales","No aplica",IF(J182="Funcionamiento Servicios Personales indirectos","No aplica",IFERROR(VLOOKUP(J182,Listas!$A$127:$E$139,3,FALSE),"Alerta: Seleccione la celda en la comumna B con el nombre del proyecto")))</f>
        <v>ME20181110</v>
      </c>
      <c r="AL182" s="640" t="str">
        <f>IF(J182="Funcionamiento Gastos Generales","No aplica",IF(J182="Funcionamiento Servicios Personales","No aplica",IFERROR(VLOOKUP(J182,Listas!$A$220:$D$224,2,FALSE),"Alerta: Seleccione la celda en la comumna B con el nombre del proyecto")))</f>
        <v>COMP1110</v>
      </c>
      <c r="AM182" s="640" t="str">
        <f>IF(J182="Funcionamiento Gastos Generales","No aplica",IF(J182="Funcionamiento Servicios Personales","No aplica",IFERROR(VLOOKUP(J182,Listas!$A$220:$D$224,3,FALSE),"Alerta: Seleccione la celda en la comumna B con el nombre del proyecto")))</f>
        <v>CONC1110</v>
      </c>
      <c r="AN182" s="633" t="s">
        <v>789</v>
      </c>
      <c r="AO182" s="633" t="s">
        <v>123</v>
      </c>
      <c r="AP182" s="634" t="str">
        <f>IFERROR(VLOOKUP(J182,Listas!$A$182:$E$215,5,FALSE),"Alerta: Seleccione la celda en la comumna B con el nombre del proyecto")</f>
        <v>10. Procesos articulados dentro del sistema integrado de gestión.</v>
      </c>
      <c r="AQ182" s="634" t="str">
        <f>IF(J182="Funcionamiento Gastos Generales","No aplica",IF(J182="Funcionamiento Servicios Personales","No aplica",IFERROR(VLOOKUP(J182,Listas!$A$220:$D$224,4,FALSE),"Alerta: Seleccione la celda en la comumna B con el nombre del proyecto")))</f>
        <v>FONT1110</v>
      </c>
      <c r="AR182" s="633" t="s">
        <v>198</v>
      </c>
      <c r="AS182" s="634" t="str">
        <f>IFERROR(VLOOKUP(AU182,Listas!$E$85:$L$105,7,FALSE),"Alerta: Seleccione la celda en la comumna AI con el concepto de gasto")</f>
        <v>05-ADMINISTRACION INSTITUCIONAL</v>
      </c>
      <c r="AT182" s="634" t="str">
        <f>IFERROR(VLOOKUP(AU182,Listas!$E$85:$L$105,8,FALSE),"Alerta: Seleccione la celda en la comumna AI con el concepto de gasto")</f>
        <v>02-ADMINISTRACIÓN, CONTROL Y ORGANIZACIÓN INSTITUCIONAL PARA APOYO A LA GESTIÓN DEL DISTRITO</v>
      </c>
      <c r="AU182" s="633" t="s">
        <v>243</v>
      </c>
      <c r="AV182" s="634">
        <f>IFERROR(VLOOKUP(AU182,Listas!$E$85:$F$105,2,FALSE),"Alerta: Seleccione el Concepto de Gasto primero")</f>
        <v>0</v>
      </c>
      <c r="AW182" s="644">
        <v>32480000</v>
      </c>
      <c r="AX182" s="645"/>
      <c r="AY182" s="645"/>
      <c r="AZ182" s="645"/>
      <c r="BA182" s="646">
        <f t="shared" si="66"/>
        <v>32480000</v>
      </c>
      <c r="BB182" s="647"/>
      <c r="BC182" s="648"/>
      <c r="BD182" s="649"/>
      <c r="BE182" s="647"/>
      <c r="BF182" s="644"/>
      <c r="BG182" s="646">
        <f t="shared" si="67"/>
        <v>32480000</v>
      </c>
      <c r="BH182" s="650"/>
      <c r="BI182" s="647"/>
      <c r="BJ182" s="644"/>
      <c r="BK182" s="646">
        <f t="shared" si="68"/>
        <v>0</v>
      </c>
      <c r="BL182" s="651"/>
      <c r="BM182" s="652">
        <f t="shared" si="69"/>
        <v>1</v>
      </c>
      <c r="BN182" s="628"/>
      <c r="BO182" s="670"/>
      <c r="BP182" s="644"/>
      <c r="BQ182" s="644"/>
      <c r="BR182" s="644"/>
      <c r="BS182" s="644"/>
      <c r="BT182" s="644"/>
      <c r="BU182" s="644"/>
      <c r="BV182" s="644"/>
      <c r="BW182" s="644"/>
      <c r="BX182" s="644"/>
      <c r="BY182" s="644"/>
      <c r="BZ182" s="644"/>
      <c r="CA182" s="644"/>
      <c r="CB182" s="646">
        <f t="shared" si="70"/>
        <v>0</v>
      </c>
      <c r="CC182" s="646">
        <f t="shared" si="71"/>
        <v>0</v>
      </c>
      <c r="CD182" s="614"/>
    </row>
    <row r="183" spans="1:82" s="561" customFormat="1" ht="61.5" customHeight="1">
      <c r="A183" s="625" t="str">
        <f t="shared" si="53"/>
        <v>1110-185-FONT1110-05-02-0020-Fortalecimiento de los subsistemas del sistema integrado de gestión</v>
      </c>
      <c r="B183" s="626" t="str">
        <f t="shared" si="54"/>
        <v>1110-185-FONT1110-05-02-0020</v>
      </c>
      <c r="C183" s="626" t="str">
        <f t="shared" si="55"/>
        <v>1110-185-FONT1110-Fortalecimiento de los subsistemas del sistema integrado de gestión</v>
      </c>
      <c r="D183" s="626" t="str">
        <f t="shared" si="56"/>
        <v>1110-185-12-Otros Distrito-05-02-0020</v>
      </c>
      <c r="E183" s="626" t="str">
        <f t="shared" si="57"/>
        <v>Fortalecimiento de los subsistemas del sistema integrado de gestión-12-Otros Distrito-0020-Personal contratado para las actividades propias de los procesos de mejoramiento de gestión de la entidad</v>
      </c>
      <c r="F183" s="627">
        <v>138</v>
      </c>
      <c r="G183" s="628">
        <f t="shared" si="58"/>
        <v>138</v>
      </c>
      <c r="H183" s="629" t="b">
        <f t="shared" si="59"/>
        <v>0</v>
      </c>
      <c r="I183" s="630" t="s">
        <v>594</v>
      </c>
      <c r="J183" s="627" t="s">
        <v>178</v>
      </c>
      <c r="K183" s="631" t="str">
        <f>+IFERROR(VLOOKUP(J183,Listas!$A$108:$B$114,2,FALSE),"Alerta: Seleccione la celda en la comumna B con el nombre del proyecto")</f>
        <v>3-3-1-15-07-42-1110-185</v>
      </c>
      <c r="L183" s="632">
        <v>80111600</v>
      </c>
      <c r="M183" s="633" t="s">
        <v>742</v>
      </c>
      <c r="N183" s="634" t="str">
        <f t="shared" si="60"/>
        <v>(Cód. 138) Prestar servicios profesionales al Instituto Distrital de Patrimonio Cultural para apoyar la formulación e implementación de políticas y acciones que promuevan la sostenibilidad del Sistema Integrado de Gestión en el marco del Modelo Integrado de Planeación y Gestión - MIPG.</v>
      </c>
      <c r="O183" s="635">
        <v>43480</v>
      </c>
      <c r="P183" s="636">
        <f>IFERROR(VLOOKUP(W183,'Estimación CRP'!$D$21:$E$30,2,FALSE),0)</f>
        <v>10</v>
      </c>
      <c r="Q183" s="637">
        <f>IF(O183="No aplica","No aplica",WORKDAY.INTL(O183,P183,1,'Estimación CRP'!A369:A385))</f>
        <v>43494</v>
      </c>
      <c r="R183" s="636">
        <f t="shared" si="61"/>
        <v>1</v>
      </c>
      <c r="S183" s="636">
        <f t="shared" si="62"/>
        <v>1</v>
      </c>
      <c r="T183" s="636">
        <f t="shared" si="63"/>
        <v>1</v>
      </c>
      <c r="U183" s="712">
        <v>3</v>
      </c>
      <c r="V183" s="638">
        <v>1</v>
      </c>
      <c r="W183" s="639" t="s">
        <v>274</v>
      </c>
      <c r="X183" s="640" t="str">
        <f>IFERROR(VLOOKUP(W183,Listas!$A$60:$B$73,2,FALSE),"Alerta: Seleccione primero Modalidad de selección")</f>
        <v>CCE-16</v>
      </c>
      <c r="Y183" s="641">
        <v>0</v>
      </c>
      <c r="Z183" s="641" t="s">
        <v>346</v>
      </c>
      <c r="AA183" s="641" t="s">
        <v>1211</v>
      </c>
      <c r="AB183" s="642">
        <f t="shared" si="64"/>
        <v>15720000</v>
      </c>
      <c r="AC183" s="642">
        <f t="shared" si="65"/>
        <v>15720000</v>
      </c>
      <c r="AD183" s="641">
        <v>0</v>
      </c>
      <c r="AE183" s="643">
        <v>0</v>
      </c>
      <c r="AF183" s="639" t="s">
        <v>276</v>
      </c>
      <c r="AG183" s="639" t="s">
        <v>277</v>
      </c>
      <c r="AH183" s="639" t="s">
        <v>285</v>
      </c>
      <c r="AI183" s="626" t="str">
        <f>IFERROR(VLOOKUP(AH183,Listas!$A$77:$C$83,2,FALSE),"Alerta: Seleccione primero el responsable")</f>
        <v>3550800</v>
      </c>
      <c r="AJ183" s="640" t="str">
        <f>IFERROR(VLOOKUP(AH183,Listas!$A$77:$C$83,3,FALSE),"Alerta: Seleccione primero el responsable")</f>
        <v>maria.villamil@idpc.gov.co</v>
      </c>
      <c r="AK183" s="640" t="str">
        <f>IF(J183="Funcionamiento Gastos Generales","No aplica",IF(J183="Funcionamiento Servicios Personales indirectos","No aplica",IFERROR(VLOOKUP(J183,Listas!$A$127:$E$139,3,FALSE),"Alerta: Seleccione la celda en la comumna B con el nombre del proyecto")))</f>
        <v>ME20181110</v>
      </c>
      <c r="AL183" s="640" t="str">
        <f>IF(J183="Funcionamiento Gastos Generales","No aplica",IF(J183="Funcionamiento Servicios Personales","No aplica",IFERROR(VLOOKUP(J183,Listas!$A$220:$D$224,2,FALSE),"Alerta: Seleccione la celda en la comumna B con el nombre del proyecto")))</f>
        <v>COMP1110</v>
      </c>
      <c r="AM183" s="640" t="str">
        <f>IF(J183="Funcionamiento Gastos Generales","No aplica",IF(J183="Funcionamiento Servicios Personales","No aplica",IFERROR(VLOOKUP(J183,Listas!$A$220:$D$224,3,FALSE),"Alerta: Seleccione la celda en la comumna B con el nombre del proyecto")))</f>
        <v>CONC1110</v>
      </c>
      <c r="AN183" s="633" t="s">
        <v>789</v>
      </c>
      <c r="AO183" s="633" t="s">
        <v>123</v>
      </c>
      <c r="AP183" s="634" t="str">
        <f>IFERROR(VLOOKUP(J183,Listas!$A$182:$E$215,5,FALSE),"Alerta: Seleccione la celda en la comumna B con el nombre del proyecto")</f>
        <v>10. Procesos articulados dentro del sistema integrado de gestión.</v>
      </c>
      <c r="AQ183" s="634" t="str">
        <f>IF(J183="Funcionamiento Gastos Generales","No aplica",IF(J183="Funcionamiento Servicios Personales","No aplica",IFERROR(VLOOKUP(J183,Listas!$A$220:$D$224,4,FALSE),"Alerta: Seleccione la celda en la comumna B con el nombre del proyecto")))</f>
        <v>FONT1110</v>
      </c>
      <c r="AR183" s="633" t="s">
        <v>198</v>
      </c>
      <c r="AS183" s="634" t="str">
        <f>IFERROR(VLOOKUP(AU183,Listas!$E$85:$L$105,7,FALSE),"Alerta: Seleccione la celda en la comumna AI con el concepto de gasto")</f>
        <v>05-ADMINISTRACION INSTITUCIONAL</v>
      </c>
      <c r="AT183" s="634" t="str">
        <f>IFERROR(VLOOKUP(AU183,Listas!$E$85:$L$105,8,FALSE),"Alerta: Seleccione la celda en la comumna AI con el concepto de gasto")</f>
        <v>02-ADMINISTRACIÓN, CONTROL Y ORGANIZACIÓN INSTITUCIONAL PARA APOYO A LA GESTIÓN DEL DISTRITO</v>
      </c>
      <c r="AU183" s="633" t="s">
        <v>243</v>
      </c>
      <c r="AV183" s="634">
        <f>IFERROR(VLOOKUP(AU183,Listas!$E$85:$F$105,2,FALSE),"Alerta: Seleccione el Concepto de Gasto primero")</f>
        <v>0</v>
      </c>
      <c r="AW183" s="644">
        <v>15720000</v>
      </c>
      <c r="AX183" s="645"/>
      <c r="AY183" s="645"/>
      <c r="AZ183" s="645"/>
      <c r="BA183" s="646">
        <f t="shared" si="66"/>
        <v>15720000</v>
      </c>
      <c r="BB183" s="647"/>
      <c r="BC183" s="648"/>
      <c r="BD183" s="649"/>
      <c r="BE183" s="647"/>
      <c r="BF183" s="644"/>
      <c r="BG183" s="646">
        <f t="shared" si="67"/>
        <v>15720000</v>
      </c>
      <c r="BH183" s="650"/>
      <c r="BI183" s="647"/>
      <c r="BJ183" s="644"/>
      <c r="BK183" s="646">
        <f t="shared" si="68"/>
        <v>0</v>
      </c>
      <c r="BL183" s="651"/>
      <c r="BM183" s="652">
        <f t="shared" si="69"/>
        <v>1</v>
      </c>
      <c r="BN183" s="628"/>
      <c r="BO183" s="670"/>
      <c r="BP183" s="644"/>
      <c r="BQ183" s="644"/>
      <c r="BR183" s="644"/>
      <c r="BS183" s="644"/>
      <c r="BT183" s="644"/>
      <c r="BU183" s="644"/>
      <c r="BV183" s="644"/>
      <c r="BW183" s="644"/>
      <c r="BX183" s="644"/>
      <c r="BY183" s="644"/>
      <c r="BZ183" s="644"/>
      <c r="CA183" s="644"/>
      <c r="CB183" s="646">
        <f t="shared" si="70"/>
        <v>0</v>
      </c>
      <c r="CC183" s="646">
        <f t="shared" si="71"/>
        <v>0</v>
      </c>
      <c r="CD183" s="614"/>
    </row>
    <row r="184" spans="1:82" s="561" customFormat="1" ht="61.5" customHeight="1">
      <c r="A184" s="625" t="str">
        <f t="shared" si="53"/>
        <v>1110-185-FONT1110-05-02-0020-Fortalecimiento de los subsistemas del sistema integrado de gestión</v>
      </c>
      <c r="B184" s="626" t="str">
        <f t="shared" si="54"/>
        <v>1110-185-FONT1110-05-02-0020</v>
      </c>
      <c r="C184" s="626" t="str">
        <f t="shared" si="55"/>
        <v>1110-185-FONT1110-Fortalecimiento de los subsistemas del sistema integrado de gestión</v>
      </c>
      <c r="D184" s="626" t="str">
        <f t="shared" si="56"/>
        <v>1110-185-12-Otros Distrito-05-02-0020</v>
      </c>
      <c r="E184" s="626" t="str">
        <f t="shared" si="57"/>
        <v>Fortalecimiento de los subsistemas del sistema integrado de gestión-12-Otros Distrito-0020-Personal contratado para las actividades propias de los procesos de mejoramiento de gestión de la entidad</v>
      </c>
      <c r="F184" s="627">
        <v>139</v>
      </c>
      <c r="G184" s="628">
        <f t="shared" si="58"/>
        <v>139</v>
      </c>
      <c r="H184" s="629" t="b">
        <f t="shared" si="59"/>
        <v>0</v>
      </c>
      <c r="I184" s="630" t="s">
        <v>594</v>
      </c>
      <c r="J184" s="627" t="s">
        <v>178</v>
      </c>
      <c r="K184" s="631" t="str">
        <f>+IFERROR(VLOOKUP(J184,Listas!$A$108:$B$114,2,FALSE),"Alerta: Seleccione la celda en la comumna B con el nombre del proyecto")</f>
        <v>3-3-1-15-07-42-1110-185</v>
      </c>
      <c r="L184" s="632">
        <v>80111600</v>
      </c>
      <c r="M184" s="633" t="s">
        <v>742</v>
      </c>
      <c r="N184" s="634" t="str">
        <f t="shared" si="60"/>
        <v>(Cód. 139) Prestar servicios profesionales al Instituto Distrital de Patrimonio Cultural para apoyar la formulación e implementación de políticas y acciones que promuevan la sostenibilidad del Sistema Integrado de Gestión en el marco del Modelo Integrado de Planeación y Gestión - MIPG.</v>
      </c>
      <c r="O184" s="635">
        <v>43533</v>
      </c>
      <c r="P184" s="636">
        <f>IFERROR(VLOOKUP(W184,'Estimación CRP'!$D$21:$E$30,2,FALSE),0)</f>
        <v>10</v>
      </c>
      <c r="Q184" s="637">
        <f>IF(O184="No aplica","No aplica",WORKDAY.INTL(O184,P184,1,'Estimación CRP'!A370:A386))</f>
        <v>43546</v>
      </c>
      <c r="R184" s="636">
        <f t="shared" si="61"/>
        <v>3</v>
      </c>
      <c r="S184" s="636">
        <f t="shared" si="62"/>
        <v>3</v>
      </c>
      <c r="T184" s="636">
        <f t="shared" si="63"/>
        <v>3</v>
      </c>
      <c r="U184" s="712">
        <v>8</v>
      </c>
      <c r="V184" s="638">
        <v>1</v>
      </c>
      <c r="W184" s="639" t="s">
        <v>274</v>
      </c>
      <c r="X184" s="640" t="str">
        <f>IFERROR(VLOOKUP(W184,Listas!$A$60:$B$73,2,FALSE),"Alerta: Seleccione primero Modalidad de selección")</f>
        <v>CCE-16</v>
      </c>
      <c r="Y184" s="641">
        <v>0</v>
      </c>
      <c r="Z184" s="641" t="s">
        <v>346</v>
      </c>
      <c r="AA184" s="641" t="s">
        <v>1211</v>
      </c>
      <c r="AB184" s="642">
        <f t="shared" si="64"/>
        <v>41920000</v>
      </c>
      <c r="AC184" s="642">
        <f t="shared" si="65"/>
        <v>41920000</v>
      </c>
      <c r="AD184" s="641">
        <v>0</v>
      </c>
      <c r="AE184" s="643">
        <v>0</v>
      </c>
      <c r="AF184" s="639" t="s">
        <v>276</v>
      </c>
      <c r="AG184" s="639" t="s">
        <v>277</v>
      </c>
      <c r="AH184" s="639" t="s">
        <v>285</v>
      </c>
      <c r="AI184" s="626" t="str">
        <f>IFERROR(VLOOKUP(AH184,Listas!$A$77:$C$83,2,FALSE),"Alerta: Seleccione primero el responsable")</f>
        <v>3550800</v>
      </c>
      <c r="AJ184" s="640" t="str">
        <f>IFERROR(VLOOKUP(AH184,Listas!$A$77:$C$83,3,FALSE),"Alerta: Seleccione primero el responsable")</f>
        <v>maria.villamil@idpc.gov.co</v>
      </c>
      <c r="AK184" s="640" t="str">
        <f>IF(J184="Funcionamiento Gastos Generales","No aplica",IF(J184="Funcionamiento Servicios Personales indirectos","No aplica",IFERROR(VLOOKUP(J184,Listas!$A$127:$E$139,3,FALSE),"Alerta: Seleccione la celda en la comumna B con el nombre del proyecto")))</f>
        <v>ME20181110</v>
      </c>
      <c r="AL184" s="640" t="str">
        <f>IF(J184="Funcionamiento Gastos Generales","No aplica",IF(J184="Funcionamiento Servicios Personales","No aplica",IFERROR(VLOOKUP(J184,Listas!$A$220:$D$224,2,FALSE),"Alerta: Seleccione la celda en la comumna B con el nombre del proyecto")))</f>
        <v>COMP1110</v>
      </c>
      <c r="AM184" s="640" t="str">
        <f>IF(J184="Funcionamiento Gastos Generales","No aplica",IF(J184="Funcionamiento Servicios Personales","No aplica",IFERROR(VLOOKUP(J184,Listas!$A$220:$D$224,3,FALSE),"Alerta: Seleccione la celda en la comumna B con el nombre del proyecto")))</f>
        <v>CONC1110</v>
      </c>
      <c r="AN184" s="633" t="s">
        <v>789</v>
      </c>
      <c r="AO184" s="633" t="s">
        <v>123</v>
      </c>
      <c r="AP184" s="634" t="str">
        <f>IFERROR(VLOOKUP(J184,Listas!$A$182:$E$215,5,FALSE),"Alerta: Seleccione la celda en la comumna B con el nombre del proyecto")</f>
        <v>10. Procesos articulados dentro del sistema integrado de gestión.</v>
      </c>
      <c r="AQ184" s="634" t="str">
        <f>IF(J184="Funcionamiento Gastos Generales","No aplica",IF(J184="Funcionamiento Servicios Personales","No aplica",IFERROR(VLOOKUP(J184,Listas!$A$220:$D$224,4,FALSE),"Alerta: Seleccione la celda en la comumna B con el nombre del proyecto")))</f>
        <v>FONT1110</v>
      </c>
      <c r="AR184" s="633" t="s">
        <v>198</v>
      </c>
      <c r="AS184" s="634" t="str">
        <f>IFERROR(VLOOKUP(AU184,Listas!$E$85:$L$105,7,FALSE),"Alerta: Seleccione la celda en la comumna AI con el concepto de gasto")</f>
        <v>05-ADMINISTRACION INSTITUCIONAL</v>
      </c>
      <c r="AT184" s="634" t="str">
        <f>IFERROR(VLOOKUP(AU184,Listas!$E$85:$L$105,8,FALSE),"Alerta: Seleccione la celda en la comumna AI con el concepto de gasto")</f>
        <v>02-ADMINISTRACIÓN, CONTROL Y ORGANIZACIÓN INSTITUCIONAL PARA APOYO A LA GESTIÓN DEL DISTRITO</v>
      </c>
      <c r="AU184" s="633" t="s">
        <v>243</v>
      </c>
      <c r="AV184" s="634">
        <f>IFERROR(VLOOKUP(AU184,Listas!$E$85:$F$105,2,FALSE),"Alerta: Seleccione el Concepto de Gasto primero")</f>
        <v>0</v>
      </c>
      <c r="AW184" s="644">
        <v>41920000</v>
      </c>
      <c r="AX184" s="645"/>
      <c r="AY184" s="645"/>
      <c r="AZ184" s="645"/>
      <c r="BA184" s="646">
        <f t="shared" si="66"/>
        <v>41920000</v>
      </c>
      <c r="BB184" s="647"/>
      <c r="BC184" s="648"/>
      <c r="BD184" s="649"/>
      <c r="BE184" s="647"/>
      <c r="BF184" s="644"/>
      <c r="BG184" s="646">
        <f t="shared" si="67"/>
        <v>41920000</v>
      </c>
      <c r="BH184" s="650"/>
      <c r="BI184" s="647"/>
      <c r="BJ184" s="644"/>
      <c r="BK184" s="646">
        <f t="shared" si="68"/>
        <v>0</v>
      </c>
      <c r="BL184" s="651"/>
      <c r="BM184" s="652">
        <f t="shared" si="69"/>
        <v>1</v>
      </c>
      <c r="BN184" s="628"/>
      <c r="BO184" s="670"/>
      <c r="BP184" s="644"/>
      <c r="BQ184" s="644"/>
      <c r="BR184" s="644"/>
      <c r="BS184" s="644"/>
      <c r="BT184" s="644"/>
      <c r="BU184" s="644"/>
      <c r="BV184" s="644"/>
      <c r="BW184" s="644"/>
      <c r="BX184" s="644"/>
      <c r="BY184" s="644"/>
      <c r="BZ184" s="644"/>
      <c r="CA184" s="644"/>
      <c r="CB184" s="646">
        <f t="shared" si="70"/>
        <v>0</v>
      </c>
      <c r="CC184" s="646">
        <f t="shared" si="71"/>
        <v>0</v>
      </c>
      <c r="CD184" s="614"/>
    </row>
    <row r="185" spans="1:82" s="561" customFormat="1" ht="61.5" customHeight="1">
      <c r="A185" s="625" t="str">
        <f t="shared" si="53"/>
        <v>1110-185-FONT1110-05-02-0020-Personal de apoyo transversal a la gestión institucional</v>
      </c>
      <c r="B185" s="626" t="str">
        <f t="shared" si="54"/>
        <v>1110-185-FONT1110-05-02-0020</v>
      </c>
      <c r="C185" s="626" t="str">
        <f t="shared" si="55"/>
        <v>1110-185-FONT1110-Personal de apoyo transversal a la gestión institucional</v>
      </c>
      <c r="D185" s="626" t="str">
        <f t="shared" si="56"/>
        <v>1110-185-12-Otros Distrito-05-02-0020</v>
      </c>
      <c r="E185" s="626" t="str">
        <f t="shared" si="57"/>
        <v>Personal de apoyo transversal a la gestión institucional-12-Otros Distrito-0020-Personal contratado para las actividades propias de los procesos de mejoramiento de gestión de la entidad</v>
      </c>
      <c r="F185" s="627">
        <v>140</v>
      </c>
      <c r="G185" s="628">
        <f t="shared" si="58"/>
        <v>140</v>
      </c>
      <c r="H185" s="629" t="b">
        <f t="shared" si="59"/>
        <v>0</v>
      </c>
      <c r="I185" s="630" t="s">
        <v>594</v>
      </c>
      <c r="J185" s="627" t="s">
        <v>178</v>
      </c>
      <c r="K185" s="631" t="str">
        <f>+IFERROR(VLOOKUP(J185,Listas!$A$108:$B$114,2,FALSE),"Alerta: Seleccione la celda en la comumna B con el nombre del proyecto")</f>
        <v>3-3-1-15-07-42-1110-185</v>
      </c>
      <c r="L185" s="632">
        <v>80111600</v>
      </c>
      <c r="M185" s="633" t="s">
        <v>743</v>
      </c>
      <c r="N185" s="634" t="str">
        <f t="shared" si="60"/>
        <v>(Cód. 140) Prestación de servicios profesionales especializados al Instituto Distrital de Patrimonio Cultural para apoyar el cumplimiento de las actividades relacionadas con las responsabilidades financieras, presupuestales, contables, tributarias, contractuales y de control de la entidad.</v>
      </c>
      <c r="O185" s="635">
        <v>43480</v>
      </c>
      <c r="P185" s="636">
        <f>IFERROR(VLOOKUP(W185,'Estimación CRP'!$D$21:$E$30,2,FALSE),0)</f>
        <v>10</v>
      </c>
      <c r="Q185" s="637">
        <f>IF(O185="No aplica","No aplica",WORKDAY.INTL(O185,P185,1,'Estimación CRP'!A371:A387))</f>
        <v>43494</v>
      </c>
      <c r="R185" s="636">
        <f t="shared" si="61"/>
        <v>1</v>
      </c>
      <c r="S185" s="636">
        <f t="shared" si="62"/>
        <v>1</v>
      </c>
      <c r="T185" s="636">
        <f t="shared" si="63"/>
        <v>1</v>
      </c>
      <c r="U185" s="712">
        <v>11</v>
      </c>
      <c r="V185" s="638">
        <v>1</v>
      </c>
      <c r="W185" s="639" t="s">
        <v>274</v>
      </c>
      <c r="X185" s="640" t="str">
        <f>IFERROR(VLOOKUP(W185,Listas!$A$60:$B$73,2,FALSE),"Alerta: Seleccione primero Modalidad de selección")</f>
        <v>CCE-16</v>
      </c>
      <c r="Y185" s="641">
        <v>0</v>
      </c>
      <c r="Z185" s="641" t="s">
        <v>346</v>
      </c>
      <c r="AA185" s="641" t="s">
        <v>1212</v>
      </c>
      <c r="AB185" s="642">
        <f t="shared" si="64"/>
        <v>56650000</v>
      </c>
      <c r="AC185" s="642">
        <f t="shared" si="65"/>
        <v>56650000</v>
      </c>
      <c r="AD185" s="641">
        <v>0</v>
      </c>
      <c r="AE185" s="643">
        <v>0</v>
      </c>
      <c r="AF185" s="639" t="s">
        <v>276</v>
      </c>
      <c r="AG185" s="639" t="s">
        <v>277</v>
      </c>
      <c r="AH185" s="639" t="s">
        <v>283</v>
      </c>
      <c r="AI185" s="626" t="str">
        <f>IFERROR(VLOOKUP(AH185,Listas!$A$77:$C$83,2,FALSE),"Alerta: Seleccione primero el responsable")</f>
        <v>3550800</v>
      </c>
      <c r="AJ185" s="640" t="str">
        <f>IFERROR(VLOOKUP(AH185,Listas!$A$77:$C$83,3,FALSE),"Alerta: Seleccione primero el responsable")</f>
        <v>juan.acosta@idpc.gov.co</v>
      </c>
      <c r="AK185" s="640" t="str">
        <f>IF(J185="Funcionamiento Gastos Generales","No aplica",IF(J185="Funcionamiento Servicios Personales indirectos","No aplica",IFERROR(VLOOKUP(J185,Listas!$A$127:$E$139,3,FALSE),"Alerta: Seleccione la celda en la comumna B con el nombre del proyecto")))</f>
        <v>ME20181110</v>
      </c>
      <c r="AL185" s="640" t="str">
        <f>IF(J185="Funcionamiento Gastos Generales","No aplica",IF(J185="Funcionamiento Servicios Personales","No aplica",IFERROR(VLOOKUP(J185,Listas!$A$220:$D$224,2,FALSE),"Alerta: Seleccione la celda en la comumna B con el nombre del proyecto")))</f>
        <v>COMP1110</v>
      </c>
      <c r="AM185" s="640" t="str">
        <f>IF(J185="Funcionamiento Gastos Generales","No aplica",IF(J185="Funcionamiento Servicios Personales","No aplica",IFERROR(VLOOKUP(J185,Listas!$A$220:$D$224,3,FALSE),"Alerta: Seleccione la celda en la comumna B con el nombre del proyecto")))</f>
        <v>CONC1110</v>
      </c>
      <c r="AN185" s="633" t="s">
        <v>789</v>
      </c>
      <c r="AO185" s="633" t="s">
        <v>124</v>
      </c>
      <c r="AP185" s="634" t="str">
        <f>IFERROR(VLOOKUP(J185,Listas!$A$182:$E$215,5,FALSE),"Alerta: Seleccione la celda en la comumna B con el nombre del proyecto")</f>
        <v>10. Procesos articulados dentro del sistema integrado de gestión.</v>
      </c>
      <c r="AQ185" s="634" t="str">
        <f>IF(J185="Funcionamiento Gastos Generales","No aplica",IF(J185="Funcionamiento Servicios Personales","No aplica",IFERROR(VLOOKUP(J185,Listas!$A$220:$D$224,4,FALSE),"Alerta: Seleccione la celda en la comumna B con el nombre del proyecto")))</f>
        <v>FONT1110</v>
      </c>
      <c r="AR185" s="633" t="s">
        <v>198</v>
      </c>
      <c r="AS185" s="634" t="str">
        <f>IFERROR(VLOOKUP(AU185,Listas!$E$85:$L$105,7,FALSE),"Alerta: Seleccione la celda en la comumna AI con el concepto de gasto")</f>
        <v>05-ADMINISTRACION INSTITUCIONAL</v>
      </c>
      <c r="AT185" s="634" t="str">
        <f>IFERROR(VLOOKUP(AU185,Listas!$E$85:$L$105,8,FALSE),"Alerta: Seleccione la celda en la comumna AI con el concepto de gasto")</f>
        <v>02-ADMINISTRACIÓN, CONTROL Y ORGANIZACIÓN INSTITUCIONAL PARA APOYO A LA GESTIÓN DEL DISTRITO</v>
      </c>
      <c r="AU185" s="633" t="s">
        <v>243</v>
      </c>
      <c r="AV185" s="634">
        <f>IFERROR(VLOOKUP(AU185,Listas!$E$85:$F$105,2,FALSE),"Alerta: Seleccione el Concepto de Gasto primero")</f>
        <v>0</v>
      </c>
      <c r="AW185" s="644">
        <v>56650000</v>
      </c>
      <c r="AX185" s="645"/>
      <c r="AY185" s="645"/>
      <c r="AZ185" s="645"/>
      <c r="BA185" s="646">
        <f t="shared" si="66"/>
        <v>56650000</v>
      </c>
      <c r="BB185" s="647"/>
      <c r="BC185" s="648"/>
      <c r="BD185" s="649"/>
      <c r="BE185" s="647"/>
      <c r="BF185" s="644"/>
      <c r="BG185" s="646">
        <f t="shared" si="67"/>
        <v>56650000</v>
      </c>
      <c r="BH185" s="650"/>
      <c r="BI185" s="647"/>
      <c r="BJ185" s="644"/>
      <c r="BK185" s="646">
        <f t="shared" si="68"/>
        <v>0</v>
      </c>
      <c r="BL185" s="651"/>
      <c r="BM185" s="652">
        <f t="shared" si="69"/>
        <v>1</v>
      </c>
      <c r="BN185" s="628"/>
      <c r="BO185" s="670"/>
      <c r="BP185" s="644"/>
      <c r="BQ185" s="644"/>
      <c r="BR185" s="644"/>
      <c r="BS185" s="644"/>
      <c r="BT185" s="644"/>
      <c r="BU185" s="644"/>
      <c r="BV185" s="644"/>
      <c r="BW185" s="644"/>
      <c r="BX185" s="644"/>
      <c r="BY185" s="644"/>
      <c r="BZ185" s="644"/>
      <c r="CA185" s="644"/>
      <c r="CB185" s="646">
        <f t="shared" si="70"/>
        <v>0</v>
      </c>
      <c r="CC185" s="646">
        <f t="shared" si="71"/>
        <v>0</v>
      </c>
      <c r="CD185" s="614"/>
    </row>
    <row r="186" spans="1:82" s="561" customFormat="1" ht="61.5" customHeight="1">
      <c r="A186" s="625" t="str">
        <f t="shared" si="53"/>
        <v>1110-185-FONT1110-05-02-0020-Personal de apoyo transversal a la gestión institucional</v>
      </c>
      <c r="B186" s="626" t="str">
        <f t="shared" si="54"/>
        <v>1110-185-FONT1110-05-02-0020</v>
      </c>
      <c r="C186" s="626" t="str">
        <f t="shared" si="55"/>
        <v>1110-185-FONT1110-Personal de apoyo transversal a la gestión institucional</v>
      </c>
      <c r="D186" s="626" t="str">
        <f t="shared" si="56"/>
        <v>1110-185-12-Otros Distrito-05-02-0020</v>
      </c>
      <c r="E186" s="626" t="str">
        <f t="shared" si="57"/>
        <v>Personal de apoyo transversal a la gestión institucional-12-Otros Distrito-0020-Personal contratado para las actividades propias de los procesos de mejoramiento de gestión de la entidad</v>
      </c>
      <c r="F186" s="627">
        <v>141</v>
      </c>
      <c r="G186" s="628">
        <f t="shared" si="58"/>
        <v>141</v>
      </c>
      <c r="H186" s="629" t="b">
        <f t="shared" si="59"/>
        <v>0</v>
      </c>
      <c r="I186" s="630" t="s">
        <v>594</v>
      </c>
      <c r="J186" s="627" t="s">
        <v>178</v>
      </c>
      <c r="K186" s="631" t="str">
        <f>+IFERROR(VLOOKUP(J186,Listas!$A$108:$B$114,2,FALSE),"Alerta: Seleccione la celda en la comumna B con el nombre del proyecto")</f>
        <v>3-3-1-15-07-42-1110-185</v>
      </c>
      <c r="L186" s="632">
        <v>80111600</v>
      </c>
      <c r="M186" s="633" t="s">
        <v>744</v>
      </c>
      <c r="N186" s="634" t="str">
        <f t="shared" si="60"/>
        <v>(Cód. 141) Prestar servicios profesionales al Instituto Distrital de Patrimonio Cultural para apoyar a la Asesoría Jurídica o quien haga sus veces, en los procesos de selección sin límite de cuantía, en las etapas precontractual, contractual y post-contractual.</v>
      </c>
      <c r="O186" s="635">
        <v>43480</v>
      </c>
      <c r="P186" s="636">
        <f>IFERROR(VLOOKUP(W186,'Estimación CRP'!$D$21:$E$30,2,FALSE),0)</f>
        <v>10</v>
      </c>
      <c r="Q186" s="637">
        <f>IF(O186="No aplica","No aplica",WORKDAY.INTL(O186,P186,1,'Estimación CRP'!A372:A388))</f>
        <v>43494</v>
      </c>
      <c r="R186" s="636">
        <f t="shared" si="61"/>
        <v>1</v>
      </c>
      <c r="S186" s="636">
        <f t="shared" si="62"/>
        <v>1</v>
      </c>
      <c r="T186" s="636">
        <f t="shared" si="63"/>
        <v>1</v>
      </c>
      <c r="U186" s="712">
        <v>11</v>
      </c>
      <c r="V186" s="638">
        <v>1</v>
      </c>
      <c r="W186" s="639" t="s">
        <v>274</v>
      </c>
      <c r="X186" s="640" t="str">
        <f>IFERROR(VLOOKUP(W186,Listas!$A$60:$B$73,2,FALSE),"Alerta: Seleccione primero Modalidad de selección")</f>
        <v>CCE-16</v>
      </c>
      <c r="Y186" s="641">
        <v>0</v>
      </c>
      <c r="Z186" s="641" t="s">
        <v>346</v>
      </c>
      <c r="AA186" s="641" t="s">
        <v>1213</v>
      </c>
      <c r="AB186" s="642">
        <f t="shared" si="64"/>
        <v>71390000</v>
      </c>
      <c r="AC186" s="642">
        <f t="shared" si="65"/>
        <v>71390000</v>
      </c>
      <c r="AD186" s="641">
        <v>0</v>
      </c>
      <c r="AE186" s="643">
        <v>0</v>
      </c>
      <c r="AF186" s="639" t="s">
        <v>276</v>
      </c>
      <c r="AG186" s="639" t="s">
        <v>277</v>
      </c>
      <c r="AH186" s="639" t="s">
        <v>283</v>
      </c>
      <c r="AI186" s="626" t="str">
        <f>IFERROR(VLOOKUP(AH186,Listas!$A$77:$C$83,2,FALSE),"Alerta: Seleccione primero el responsable")</f>
        <v>3550800</v>
      </c>
      <c r="AJ186" s="640" t="str">
        <f>IFERROR(VLOOKUP(AH186,Listas!$A$77:$C$83,3,FALSE),"Alerta: Seleccione primero el responsable")</f>
        <v>juan.acosta@idpc.gov.co</v>
      </c>
      <c r="AK186" s="640" t="str">
        <f>IF(J186="Funcionamiento Gastos Generales","No aplica",IF(J186="Funcionamiento Servicios Personales indirectos","No aplica",IFERROR(VLOOKUP(J186,Listas!$A$127:$E$139,3,FALSE),"Alerta: Seleccione la celda en la comumna B con el nombre del proyecto")))</f>
        <v>ME20181110</v>
      </c>
      <c r="AL186" s="640" t="str">
        <f>IF(J186="Funcionamiento Gastos Generales","No aplica",IF(J186="Funcionamiento Servicios Personales","No aplica",IFERROR(VLOOKUP(J186,Listas!$A$220:$D$224,2,FALSE),"Alerta: Seleccione la celda en la comumna B con el nombre del proyecto")))</f>
        <v>COMP1110</v>
      </c>
      <c r="AM186" s="640" t="str">
        <f>IF(J186="Funcionamiento Gastos Generales","No aplica",IF(J186="Funcionamiento Servicios Personales","No aplica",IFERROR(VLOOKUP(J186,Listas!$A$220:$D$224,3,FALSE),"Alerta: Seleccione la celda en la comumna B con el nombre del proyecto")))</f>
        <v>CONC1110</v>
      </c>
      <c r="AN186" s="633" t="s">
        <v>789</v>
      </c>
      <c r="AO186" s="633" t="s">
        <v>124</v>
      </c>
      <c r="AP186" s="634" t="str">
        <f>IFERROR(VLOOKUP(J186,Listas!$A$182:$E$215,5,FALSE),"Alerta: Seleccione la celda en la comumna B con el nombre del proyecto")</f>
        <v>10. Procesos articulados dentro del sistema integrado de gestión.</v>
      </c>
      <c r="AQ186" s="634" t="str">
        <f>IF(J186="Funcionamiento Gastos Generales","No aplica",IF(J186="Funcionamiento Servicios Personales","No aplica",IFERROR(VLOOKUP(J186,Listas!$A$220:$D$224,4,FALSE),"Alerta: Seleccione la celda en la comumna B con el nombre del proyecto")))</f>
        <v>FONT1110</v>
      </c>
      <c r="AR186" s="633" t="s">
        <v>198</v>
      </c>
      <c r="AS186" s="634" t="str">
        <f>IFERROR(VLOOKUP(AU186,Listas!$E$85:$L$105,7,FALSE),"Alerta: Seleccione la celda en la comumna AI con el concepto de gasto")</f>
        <v>05-ADMINISTRACION INSTITUCIONAL</v>
      </c>
      <c r="AT186" s="634" t="str">
        <f>IFERROR(VLOOKUP(AU186,Listas!$E$85:$L$105,8,FALSE),"Alerta: Seleccione la celda en la comumna AI con el concepto de gasto")</f>
        <v>02-ADMINISTRACIÓN, CONTROL Y ORGANIZACIÓN INSTITUCIONAL PARA APOYO A LA GESTIÓN DEL DISTRITO</v>
      </c>
      <c r="AU186" s="633" t="s">
        <v>243</v>
      </c>
      <c r="AV186" s="634">
        <f>IFERROR(VLOOKUP(AU186,Listas!$E$85:$F$105,2,FALSE),"Alerta: Seleccione el Concepto de Gasto primero")</f>
        <v>0</v>
      </c>
      <c r="AW186" s="644">
        <v>71390000</v>
      </c>
      <c r="AX186" s="645"/>
      <c r="AY186" s="645"/>
      <c r="AZ186" s="645"/>
      <c r="BA186" s="646">
        <f t="shared" si="66"/>
        <v>71390000</v>
      </c>
      <c r="BB186" s="647"/>
      <c r="BC186" s="648"/>
      <c r="BD186" s="649"/>
      <c r="BE186" s="647"/>
      <c r="BF186" s="644"/>
      <c r="BG186" s="646">
        <f t="shared" si="67"/>
        <v>71390000</v>
      </c>
      <c r="BH186" s="650"/>
      <c r="BI186" s="647"/>
      <c r="BJ186" s="644"/>
      <c r="BK186" s="646">
        <f t="shared" si="68"/>
        <v>0</v>
      </c>
      <c r="BL186" s="651"/>
      <c r="BM186" s="652">
        <f t="shared" si="69"/>
        <v>1</v>
      </c>
      <c r="BN186" s="628"/>
      <c r="BO186" s="670"/>
      <c r="BP186" s="644"/>
      <c r="BQ186" s="644"/>
      <c r="BR186" s="644"/>
      <c r="BS186" s="644"/>
      <c r="BT186" s="644"/>
      <c r="BU186" s="644"/>
      <c r="BV186" s="644"/>
      <c r="BW186" s="644"/>
      <c r="BX186" s="644"/>
      <c r="BY186" s="644"/>
      <c r="BZ186" s="644"/>
      <c r="CA186" s="644"/>
      <c r="CB186" s="646">
        <f t="shared" si="70"/>
        <v>0</v>
      </c>
      <c r="CC186" s="646">
        <f t="shared" si="71"/>
        <v>0</v>
      </c>
      <c r="CD186" s="614"/>
    </row>
    <row r="187" spans="1:82" s="561" customFormat="1" ht="61.5" customHeight="1">
      <c r="A187" s="625" t="str">
        <f t="shared" si="53"/>
        <v>1110-185-FONT1110-05-02-0020-Personal de apoyo transversal a la gestión institucional</v>
      </c>
      <c r="B187" s="626" t="str">
        <f t="shared" si="54"/>
        <v>1110-185-FONT1110-05-02-0020</v>
      </c>
      <c r="C187" s="626" t="str">
        <f t="shared" si="55"/>
        <v>1110-185-FONT1110-Personal de apoyo transversal a la gestión institucional</v>
      </c>
      <c r="D187" s="626" t="str">
        <f t="shared" si="56"/>
        <v>1110-185-12-Otros Distrito-05-02-0020</v>
      </c>
      <c r="E187" s="626" t="str">
        <f t="shared" si="57"/>
        <v>Personal de apoyo transversal a la gestión institucional-12-Otros Distrito-0020-Personal contratado para las actividades propias de los procesos de mejoramiento de gestión de la entidad</v>
      </c>
      <c r="F187" s="627">
        <v>142</v>
      </c>
      <c r="G187" s="628">
        <f t="shared" si="58"/>
        <v>142</v>
      </c>
      <c r="H187" s="629" t="b">
        <f t="shared" si="59"/>
        <v>0</v>
      </c>
      <c r="I187" s="630" t="s">
        <v>594</v>
      </c>
      <c r="J187" s="627" t="s">
        <v>178</v>
      </c>
      <c r="K187" s="631" t="str">
        <f>+IFERROR(VLOOKUP(J187,Listas!$A$108:$B$114,2,FALSE),"Alerta: Seleccione la celda en la comumna B con el nombre del proyecto")</f>
        <v>3-3-1-15-07-42-1110-185</v>
      </c>
      <c r="L187" s="632">
        <v>80111600</v>
      </c>
      <c r="M187" s="633" t="s">
        <v>745</v>
      </c>
      <c r="N187" s="634" t="str">
        <f t="shared" si="60"/>
        <v>(Cód. 142) Prestar servicios de apoyo a la gestión al Instituto Distrital de Patrimonio Cultural en las actividades operativas relacionadas con la recepción, organización documental y de correspondencia de la entidad.</v>
      </c>
      <c r="O187" s="635">
        <v>43480</v>
      </c>
      <c r="P187" s="636">
        <f>IFERROR(VLOOKUP(W187,'Estimación CRP'!$D$21:$E$30,2,FALSE),0)</f>
        <v>10</v>
      </c>
      <c r="Q187" s="637">
        <f>IF(O187="No aplica","No aplica",WORKDAY.INTL(O187,P187,1,'Estimación CRP'!A373:A389))</f>
        <v>43494</v>
      </c>
      <c r="R187" s="636">
        <f t="shared" si="61"/>
        <v>1</v>
      </c>
      <c r="S187" s="636">
        <f t="shared" si="62"/>
        <v>1</v>
      </c>
      <c r="T187" s="636">
        <f t="shared" si="63"/>
        <v>1</v>
      </c>
      <c r="U187" s="712">
        <v>11</v>
      </c>
      <c r="V187" s="638">
        <v>1</v>
      </c>
      <c r="W187" s="639" t="s">
        <v>274</v>
      </c>
      <c r="X187" s="640" t="str">
        <f>IFERROR(VLOOKUP(W187,Listas!$A$60:$B$73,2,FALSE),"Alerta: Seleccione primero Modalidad de selección")</f>
        <v>CCE-16</v>
      </c>
      <c r="Y187" s="641">
        <v>0</v>
      </c>
      <c r="Z187" s="641" t="s">
        <v>346</v>
      </c>
      <c r="AA187" s="641" t="s">
        <v>1214</v>
      </c>
      <c r="AB187" s="642">
        <f t="shared" si="64"/>
        <v>33990000</v>
      </c>
      <c r="AC187" s="642">
        <f t="shared" si="65"/>
        <v>33990000</v>
      </c>
      <c r="AD187" s="641">
        <v>0</v>
      </c>
      <c r="AE187" s="643">
        <v>0</v>
      </c>
      <c r="AF187" s="639" t="s">
        <v>276</v>
      </c>
      <c r="AG187" s="639" t="s">
        <v>277</v>
      </c>
      <c r="AH187" s="639" t="s">
        <v>283</v>
      </c>
      <c r="AI187" s="626" t="str">
        <f>IFERROR(VLOOKUP(AH187,Listas!$A$77:$C$83,2,FALSE),"Alerta: Seleccione primero el responsable")</f>
        <v>3550800</v>
      </c>
      <c r="AJ187" s="640" t="str">
        <f>IFERROR(VLOOKUP(AH187,Listas!$A$77:$C$83,3,FALSE),"Alerta: Seleccione primero el responsable")</f>
        <v>juan.acosta@idpc.gov.co</v>
      </c>
      <c r="AK187" s="640" t="str">
        <f>IF(J187="Funcionamiento Gastos Generales","No aplica",IF(J187="Funcionamiento Servicios Personales indirectos","No aplica",IFERROR(VLOOKUP(J187,Listas!$A$127:$E$139,3,FALSE),"Alerta: Seleccione la celda en la comumna B con el nombre del proyecto")))</f>
        <v>ME20181110</v>
      </c>
      <c r="AL187" s="640" t="str">
        <f>IF(J187="Funcionamiento Gastos Generales","No aplica",IF(J187="Funcionamiento Servicios Personales","No aplica",IFERROR(VLOOKUP(J187,Listas!$A$220:$D$224,2,FALSE),"Alerta: Seleccione la celda en la comumna B con el nombre del proyecto")))</f>
        <v>COMP1110</v>
      </c>
      <c r="AM187" s="640" t="str">
        <f>IF(J187="Funcionamiento Gastos Generales","No aplica",IF(J187="Funcionamiento Servicios Personales","No aplica",IFERROR(VLOOKUP(J187,Listas!$A$220:$D$224,3,FALSE),"Alerta: Seleccione la celda en la comumna B con el nombre del proyecto")))</f>
        <v>CONC1110</v>
      </c>
      <c r="AN187" s="633" t="s">
        <v>789</v>
      </c>
      <c r="AO187" s="633" t="s">
        <v>124</v>
      </c>
      <c r="AP187" s="634" t="str">
        <f>IFERROR(VLOOKUP(J187,Listas!$A$182:$E$215,5,FALSE),"Alerta: Seleccione la celda en la comumna B con el nombre del proyecto")</f>
        <v>10. Procesos articulados dentro del sistema integrado de gestión.</v>
      </c>
      <c r="AQ187" s="634" t="str">
        <f>IF(J187="Funcionamiento Gastos Generales","No aplica",IF(J187="Funcionamiento Servicios Personales","No aplica",IFERROR(VLOOKUP(J187,Listas!$A$220:$D$224,4,FALSE),"Alerta: Seleccione la celda en la comumna B con el nombre del proyecto")))</f>
        <v>FONT1110</v>
      </c>
      <c r="AR187" s="633" t="s">
        <v>198</v>
      </c>
      <c r="AS187" s="634" t="str">
        <f>IFERROR(VLOOKUP(AU187,Listas!$E$85:$L$105,7,FALSE),"Alerta: Seleccione la celda en la comumna AI con el concepto de gasto")</f>
        <v>05-ADMINISTRACION INSTITUCIONAL</v>
      </c>
      <c r="AT187" s="634" t="str">
        <f>IFERROR(VLOOKUP(AU187,Listas!$E$85:$L$105,8,FALSE),"Alerta: Seleccione la celda en la comumna AI con el concepto de gasto")</f>
        <v>02-ADMINISTRACIÓN, CONTROL Y ORGANIZACIÓN INSTITUCIONAL PARA APOYO A LA GESTIÓN DEL DISTRITO</v>
      </c>
      <c r="AU187" s="633" t="s">
        <v>243</v>
      </c>
      <c r="AV187" s="634">
        <f>IFERROR(VLOOKUP(AU187,Listas!$E$85:$F$105,2,FALSE),"Alerta: Seleccione el Concepto de Gasto primero")</f>
        <v>0</v>
      </c>
      <c r="AW187" s="644">
        <v>33990000</v>
      </c>
      <c r="AX187" s="645"/>
      <c r="AY187" s="645"/>
      <c r="AZ187" s="645"/>
      <c r="BA187" s="646">
        <f t="shared" si="66"/>
        <v>33990000</v>
      </c>
      <c r="BB187" s="647"/>
      <c r="BC187" s="648"/>
      <c r="BD187" s="649"/>
      <c r="BE187" s="647"/>
      <c r="BF187" s="644"/>
      <c r="BG187" s="646">
        <f t="shared" si="67"/>
        <v>33990000</v>
      </c>
      <c r="BH187" s="650"/>
      <c r="BI187" s="647"/>
      <c r="BJ187" s="644"/>
      <c r="BK187" s="646">
        <f t="shared" si="68"/>
        <v>0</v>
      </c>
      <c r="BL187" s="651"/>
      <c r="BM187" s="652">
        <f t="shared" si="69"/>
        <v>1</v>
      </c>
      <c r="BN187" s="628"/>
      <c r="BO187" s="670"/>
      <c r="BP187" s="644"/>
      <c r="BQ187" s="644"/>
      <c r="BR187" s="644"/>
      <c r="BS187" s="644"/>
      <c r="BT187" s="644"/>
      <c r="BU187" s="644"/>
      <c r="BV187" s="644"/>
      <c r="BW187" s="644"/>
      <c r="BX187" s="644"/>
      <c r="BY187" s="644"/>
      <c r="BZ187" s="644"/>
      <c r="CA187" s="644"/>
      <c r="CB187" s="646">
        <f t="shared" si="70"/>
        <v>0</v>
      </c>
      <c r="CC187" s="646">
        <f t="shared" si="71"/>
        <v>0</v>
      </c>
      <c r="CD187" s="614"/>
    </row>
    <row r="188" spans="1:82" s="561" customFormat="1" ht="61.5" customHeight="1">
      <c r="A188" s="625" t="str">
        <f t="shared" si="53"/>
        <v>1110-185-FONT1110-05-02-0020-Fortalecimiento de los subsistemas del sistema integrado de gestión</v>
      </c>
      <c r="B188" s="626" t="str">
        <f t="shared" si="54"/>
        <v>1110-185-FONT1110-05-02-0020</v>
      </c>
      <c r="C188" s="626" t="str">
        <f t="shared" si="55"/>
        <v>1110-185-FONT1110-Fortalecimiento de los subsistemas del sistema integrado de gestión</v>
      </c>
      <c r="D188" s="626" t="str">
        <f t="shared" si="56"/>
        <v>1110-185-12-Otros Distrito-05-02-0020</v>
      </c>
      <c r="E188" s="626" t="str">
        <f t="shared" si="57"/>
        <v>Fortalecimiento de los subsistemas del sistema integrado de gestión-12-Otros Distrito-0020-Personal contratado para las actividades propias de los procesos de mejoramiento de gestión de la entidad</v>
      </c>
      <c r="F188" s="627">
        <v>143</v>
      </c>
      <c r="G188" s="628">
        <f t="shared" si="58"/>
        <v>143</v>
      </c>
      <c r="H188" s="629" t="b">
        <f t="shared" si="59"/>
        <v>0</v>
      </c>
      <c r="I188" s="630" t="s">
        <v>594</v>
      </c>
      <c r="J188" s="627" t="s">
        <v>178</v>
      </c>
      <c r="K188" s="631" t="str">
        <f>+IFERROR(VLOOKUP(J188,Listas!$A$108:$B$114,2,FALSE),"Alerta: Seleccione la celda en la comumna B con el nombre del proyecto")</f>
        <v>3-3-1-15-07-42-1110-185</v>
      </c>
      <c r="L188" s="632">
        <v>80111600</v>
      </c>
      <c r="M188" s="633" t="s">
        <v>746</v>
      </c>
      <c r="N188" s="634" t="str">
        <f t="shared" si="60"/>
        <v xml:space="preserve">(Cód. 143) Prestar servicios de apoyo a la gestión al Instituto Distrital de Patrimonio Cultural para orientar las acciones de préstamos, consultas y organización de los archivos de la entidad. </v>
      </c>
      <c r="O188" s="635">
        <v>43480</v>
      </c>
      <c r="P188" s="636">
        <f>IFERROR(VLOOKUP(W188,'Estimación CRP'!$D$21:$E$30,2,FALSE),0)</f>
        <v>10</v>
      </c>
      <c r="Q188" s="637">
        <f>IF(O188="No aplica","No aplica",WORKDAY.INTL(O188,P188,1,'Estimación CRP'!A374:A390))</f>
        <v>43494</v>
      </c>
      <c r="R188" s="636">
        <f t="shared" si="61"/>
        <v>1</v>
      </c>
      <c r="S188" s="636">
        <f t="shared" si="62"/>
        <v>1</v>
      </c>
      <c r="T188" s="636">
        <f t="shared" si="63"/>
        <v>1</v>
      </c>
      <c r="U188" s="712">
        <v>11</v>
      </c>
      <c r="V188" s="638">
        <v>1</v>
      </c>
      <c r="W188" s="639" t="s">
        <v>274</v>
      </c>
      <c r="X188" s="640" t="str">
        <f>IFERROR(VLOOKUP(W188,Listas!$A$60:$B$73,2,FALSE),"Alerta: Seleccione primero Modalidad de selección")</f>
        <v>CCE-16</v>
      </c>
      <c r="Y188" s="641">
        <v>0</v>
      </c>
      <c r="Z188" s="641" t="s">
        <v>346</v>
      </c>
      <c r="AA188" s="641" t="s">
        <v>1215</v>
      </c>
      <c r="AB188" s="642">
        <f t="shared" si="64"/>
        <v>31020000</v>
      </c>
      <c r="AC188" s="642">
        <f t="shared" si="65"/>
        <v>31020000</v>
      </c>
      <c r="AD188" s="641">
        <v>0</v>
      </c>
      <c r="AE188" s="643">
        <v>0</v>
      </c>
      <c r="AF188" s="639" t="s">
        <v>276</v>
      </c>
      <c r="AG188" s="639" t="s">
        <v>277</v>
      </c>
      <c r="AH188" s="639" t="s">
        <v>285</v>
      </c>
      <c r="AI188" s="626" t="str">
        <f>IFERROR(VLOOKUP(AH188,Listas!$A$77:$C$83,2,FALSE),"Alerta: Seleccione primero el responsable")</f>
        <v>3550800</v>
      </c>
      <c r="AJ188" s="640" t="str">
        <f>IFERROR(VLOOKUP(AH188,Listas!$A$77:$C$83,3,FALSE),"Alerta: Seleccione primero el responsable")</f>
        <v>maria.villamil@idpc.gov.co</v>
      </c>
      <c r="AK188" s="640" t="str">
        <f>IF(J188="Funcionamiento Gastos Generales","No aplica",IF(J188="Funcionamiento Servicios Personales indirectos","No aplica",IFERROR(VLOOKUP(J188,Listas!$A$127:$E$139,3,FALSE),"Alerta: Seleccione la celda en la comumna B con el nombre del proyecto")))</f>
        <v>ME20181110</v>
      </c>
      <c r="AL188" s="640" t="str">
        <f>IF(J188="Funcionamiento Gastos Generales","No aplica",IF(J188="Funcionamiento Servicios Personales","No aplica",IFERROR(VLOOKUP(J188,Listas!$A$220:$D$224,2,FALSE),"Alerta: Seleccione la celda en la comumna B con el nombre del proyecto")))</f>
        <v>COMP1110</v>
      </c>
      <c r="AM188" s="640" t="str">
        <f>IF(J188="Funcionamiento Gastos Generales","No aplica",IF(J188="Funcionamiento Servicios Personales","No aplica",IFERROR(VLOOKUP(J188,Listas!$A$220:$D$224,3,FALSE),"Alerta: Seleccione la celda en la comumna B con el nombre del proyecto")))</f>
        <v>CONC1110</v>
      </c>
      <c r="AN188" s="633" t="s">
        <v>789</v>
      </c>
      <c r="AO188" s="633" t="s">
        <v>123</v>
      </c>
      <c r="AP188" s="634" t="str">
        <f>IFERROR(VLOOKUP(J188,Listas!$A$182:$E$215,5,FALSE),"Alerta: Seleccione la celda en la comumna B con el nombre del proyecto")</f>
        <v>10. Procesos articulados dentro del sistema integrado de gestión.</v>
      </c>
      <c r="AQ188" s="634" t="str">
        <f>IF(J188="Funcionamiento Gastos Generales","No aplica",IF(J188="Funcionamiento Servicios Personales","No aplica",IFERROR(VLOOKUP(J188,Listas!$A$220:$D$224,4,FALSE),"Alerta: Seleccione la celda en la comumna B con el nombre del proyecto")))</f>
        <v>FONT1110</v>
      </c>
      <c r="AR188" s="633" t="s">
        <v>198</v>
      </c>
      <c r="AS188" s="634" t="str">
        <f>IFERROR(VLOOKUP(AU188,Listas!$E$85:$L$105,7,FALSE),"Alerta: Seleccione la celda en la comumna AI con el concepto de gasto")</f>
        <v>05-ADMINISTRACION INSTITUCIONAL</v>
      </c>
      <c r="AT188" s="634" t="str">
        <f>IFERROR(VLOOKUP(AU188,Listas!$E$85:$L$105,8,FALSE),"Alerta: Seleccione la celda en la comumna AI con el concepto de gasto")</f>
        <v>02-ADMINISTRACIÓN, CONTROL Y ORGANIZACIÓN INSTITUCIONAL PARA APOYO A LA GESTIÓN DEL DISTRITO</v>
      </c>
      <c r="AU188" s="633" t="s">
        <v>243</v>
      </c>
      <c r="AV188" s="634">
        <f>IFERROR(VLOOKUP(AU188,Listas!$E$85:$F$105,2,FALSE),"Alerta: Seleccione el Concepto de Gasto primero")</f>
        <v>0</v>
      </c>
      <c r="AW188" s="644">
        <v>31020000</v>
      </c>
      <c r="AX188" s="645"/>
      <c r="AY188" s="645"/>
      <c r="AZ188" s="645"/>
      <c r="BA188" s="646">
        <f t="shared" si="66"/>
        <v>31020000</v>
      </c>
      <c r="BB188" s="647"/>
      <c r="BC188" s="648"/>
      <c r="BD188" s="649"/>
      <c r="BE188" s="647"/>
      <c r="BF188" s="644"/>
      <c r="BG188" s="646">
        <f t="shared" si="67"/>
        <v>31020000</v>
      </c>
      <c r="BH188" s="650"/>
      <c r="BI188" s="647"/>
      <c r="BJ188" s="644"/>
      <c r="BK188" s="646">
        <f t="shared" si="68"/>
        <v>0</v>
      </c>
      <c r="BL188" s="651"/>
      <c r="BM188" s="652">
        <f t="shared" si="69"/>
        <v>1</v>
      </c>
      <c r="BN188" s="628"/>
      <c r="BO188" s="670"/>
      <c r="BP188" s="644"/>
      <c r="BQ188" s="644"/>
      <c r="BR188" s="644"/>
      <c r="BS188" s="644"/>
      <c r="BT188" s="644"/>
      <c r="BU188" s="644"/>
      <c r="BV188" s="644"/>
      <c r="BW188" s="644"/>
      <c r="BX188" s="644"/>
      <c r="BY188" s="644"/>
      <c r="BZ188" s="644"/>
      <c r="CA188" s="644"/>
      <c r="CB188" s="646">
        <f t="shared" si="70"/>
        <v>0</v>
      </c>
      <c r="CC188" s="646">
        <f t="shared" si="71"/>
        <v>0</v>
      </c>
      <c r="CD188" s="614"/>
    </row>
    <row r="189" spans="1:82" s="561" customFormat="1" ht="61.5" customHeight="1">
      <c r="A189" s="625" t="str">
        <f t="shared" si="53"/>
        <v>1110-185-FONT1110-05-02-0020-Personal de apoyo transversal a la gestión institucional</v>
      </c>
      <c r="B189" s="626" t="str">
        <f t="shared" si="54"/>
        <v>1110-185-FONT1110-05-02-0020</v>
      </c>
      <c r="C189" s="626" t="str">
        <f t="shared" si="55"/>
        <v>1110-185-FONT1110-Personal de apoyo transversal a la gestión institucional</v>
      </c>
      <c r="D189" s="626" t="str">
        <f t="shared" si="56"/>
        <v>1110-185-12-Otros Distrito-05-02-0020</v>
      </c>
      <c r="E189" s="626" t="str">
        <f t="shared" si="57"/>
        <v>Personal de apoyo transversal a la gestión institucional-12-Otros Distrito-0020-Personal contratado para las actividades propias de los procesos de mejoramiento de gestión de la entidad</v>
      </c>
      <c r="F189" s="627">
        <v>144</v>
      </c>
      <c r="G189" s="628">
        <f t="shared" si="58"/>
        <v>144</v>
      </c>
      <c r="H189" s="629" t="b">
        <f t="shared" si="59"/>
        <v>0</v>
      </c>
      <c r="I189" s="630" t="s">
        <v>594</v>
      </c>
      <c r="J189" s="627" t="s">
        <v>178</v>
      </c>
      <c r="K189" s="631" t="str">
        <f>+IFERROR(VLOOKUP(J189,Listas!$A$108:$B$114,2,FALSE),"Alerta: Seleccione la celda en la comumna B con el nombre del proyecto")</f>
        <v>3-3-1-15-07-42-1110-185</v>
      </c>
      <c r="L189" s="632">
        <v>80111600</v>
      </c>
      <c r="M189" s="633" t="s">
        <v>747</v>
      </c>
      <c r="N189" s="634" t="str">
        <f t="shared" si="60"/>
        <v>(Cód. 144) Prestar servicios profesionales al Instituto Distrital de Patrimonio Cultural para el apoyo jurídico que requiera la entidad en las etapas precontractual, contractual y post-contractual.</v>
      </c>
      <c r="O189" s="635">
        <v>43480</v>
      </c>
      <c r="P189" s="636">
        <f>IFERROR(VLOOKUP(W189,'Estimación CRP'!$D$21:$E$30,2,FALSE),0)</f>
        <v>10</v>
      </c>
      <c r="Q189" s="637">
        <f>IF(O189="No aplica","No aplica",WORKDAY.INTL(O189,P189,1,'Estimación CRP'!A375:A391))</f>
        <v>43494</v>
      </c>
      <c r="R189" s="636">
        <f t="shared" si="61"/>
        <v>1</v>
      </c>
      <c r="S189" s="636">
        <f t="shared" si="62"/>
        <v>1</v>
      </c>
      <c r="T189" s="636">
        <f t="shared" si="63"/>
        <v>1</v>
      </c>
      <c r="U189" s="712">
        <v>11</v>
      </c>
      <c r="V189" s="638">
        <v>1</v>
      </c>
      <c r="W189" s="639" t="s">
        <v>274</v>
      </c>
      <c r="X189" s="640" t="str">
        <f>IFERROR(VLOOKUP(W189,Listas!$A$60:$B$73,2,FALSE),"Alerta: Seleccione primero Modalidad de selección")</f>
        <v>CCE-16</v>
      </c>
      <c r="Y189" s="641">
        <v>0</v>
      </c>
      <c r="Z189" s="641" t="s">
        <v>346</v>
      </c>
      <c r="AA189" s="641" t="s">
        <v>1216</v>
      </c>
      <c r="AB189" s="642">
        <f t="shared" si="64"/>
        <v>60060000</v>
      </c>
      <c r="AC189" s="642">
        <f t="shared" si="65"/>
        <v>60060000</v>
      </c>
      <c r="AD189" s="641">
        <v>0</v>
      </c>
      <c r="AE189" s="643">
        <v>0</v>
      </c>
      <c r="AF189" s="639" t="s">
        <v>276</v>
      </c>
      <c r="AG189" s="639" t="s">
        <v>277</v>
      </c>
      <c r="AH189" s="639" t="s">
        <v>283</v>
      </c>
      <c r="AI189" s="626" t="str">
        <f>IFERROR(VLOOKUP(AH189,Listas!$A$77:$C$83,2,FALSE),"Alerta: Seleccione primero el responsable")</f>
        <v>3550800</v>
      </c>
      <c r="AJ189" s="640" t="str">
        <f>IFERROR(VLOOKUP(AH189,Listas!$A$77:$C$83,3,FALSE),"Alerta: Seleccione primero el responsable")</f>
        <v>juan.acosta@idpc.gov.co</v>
      </c>
      <c r="AK189" s="640" t="str">
        <f>IF(J189="Funcionamiento Gastos Generales","No aplica",IF(J189="Funcionamiento Servicios Personales indirectos","No aplica",IFERROR(VLOOKUP(J189,Listas!$A$127:$E$139,3,FALSE),"Alerta: Seleccione la celda en la comumna B con el nombre del proyecto")))</f>
        <v>ME20181110</v>
      </c>
      <c r="AL189" s="640" t="str">
        <f>IF(J189="Funcionamiento Gastos Generales","No aplica",IF(J189="Funcionamiento Servicios Personales","No aplica",IFERROR(VLOOKUP(J189,Listas!$A$220:$D$224,2,FALSE),"Alerta: Seleccione la celda en la comumna B con el nombre del proyecto")))</f>
        <v>COMP1110</v>
      </c>
      <c r="AM189" s="640" t="str">
        <f>IF(J189="Funcionamiento Gastos Generales","No aplica",IF(J189="Funcionamiento Servicios Personales","No aplica",IFERROR(VLOOKUP(J189,Listas!$A$220:$D$224,3,FALSE),"Alerta: Seleccione la celda en la comumna B con el nombre del proyecto")))</f>
        <v>CONC1110</v>
      </c>
      <c r="AN189" s="633" t="s">
        <v>789</v>
      </c>
      <c r="AO189" s="633" t="s">
        <v>124</v>
      </c>
      <c r="AP189" s="634" t="str">
        <f>IFERROR(VLOOKUP(J189,Listas!$A$182:$E$215,5,FALSE),"Alerta: Seleccione la celda en la comumna B con el nombre del proyecto")</f>
        <v>10. Procesos articulados dentro del sistema integrado de gestión.</v>
      </c>
      <c r="AQ189" s="634" t="str">
        <f>IF(J189="Funcionamiento Gastos Generales","No aplica",IF(J189="Funcionamiento Servicios Personales","No aplica",IFERROR(VLOOKUP(J189,Listas!$A$220:$D$224,4,FALSE),"Alerta: Seleccione la celda en la comumna B con el nombre del proyecto")))</f>
        <v>FONT1110</v>
      </c>
      <c r="AR189" s="633" t="s">
        <v>198</v>
      </c>
      <c r="AS189" s="634" t="str">
        <f>IFERROR(VLOOKUP(AU189,Listas!$E$85:$L$105,7,FALSE),"Alerta: Seleccione la celda en la comumna AI con el concepto de gasto")</f>
        <v>05-ADMINISTRACION INSTITUCIONAL</v>
      </c>
      <c r="AT189" s="634" t="str">
        <f>IFERROR(VLOOKUP(AU189,Listas!$E$85:$L$105,8,FALSE),"Alerta: Seleccione la celda en la comumna AI con el concepto de gasto")</f>
        <v>02-ADMINISTRACIÓN, CONTROL Y ORGANIZACIÓN INSTITUCIONAL PARA APOYO A LA GESTIÓN DEL DISTRITO</v>
      </c>
      <c r="AU189" s="633" t="s">
        <v>243</v>
      </c>
      <c r="AV189" s="634">
        <f>IFERROR(VLOOKUP(AU189,Listas!$E$85:$F$105,2,FALSE),"Alerta: Seleccione el Concepto de Gasto primero")</f>
        <v>0</v>
      </c>
      <c r="AW189" s="644">
        <v>60060000</v>
      </c>
      <c r="AX189" s="645"/>
      <c r="AY189" s="645"/>
      <c r="AZ189" s="645"/>
      <c r="BA189" s="646">
        <f t="shared" si="66"/>
        <v>60060000</v>
      </c>
      <c r="BB189" s="647"/>
      <c r="BC189" s="648"/>
      <c r="BD189" s="649"/>
      <c r="BE189" s="647"/>
      <c r="BF189" s="644"/>
      <c r="BG189" s="646">
        <f t="shared" si="67"/>
        <v>60060000</v>
      </c>
      <c r="BH189" s="650"/>
      <c r="BI189" s="647"/>
      <c r="BJ189" s="644"/>
      <c r="BK189" s="646">
        <f t="shared" si="68"/>
        <v>0</v>
      </c>
      <c r="BL189" s="651"/>
      <c r="BM189" s="652">
        <f t="shared" si="69"/>
        <v>1</v>
      </c>
      <c r="BN189" s="628"/>
      <c r="BO189" s="670"/>
      <c r="BP189" s="644"/>
      <c r="BQ189" s="644"/>
      <c r="BR189" s="644"/>
      <c r="BS189" s="644"/>
      <c r="BT189" s="644"/>
      <c r="BU189" s="644"/>
      <c r="BV189" s="644"/>
      <c r="BW189" s="644"/>
      <c r="BX189" s="644"/>
      <c r="BY189" s="644"/>
      <c r="BZ189" s="644"/>
      <c r="CA189" s="644"/>
      <c r="CB189" s="646">
        <f t="shared" si="70"/>
        <v>0</v>
      </c>
      <c r="CC189" s="646">
        <f t="shared" si="71"/>
        <v>0</v>
      </c>
      <c r="CD189" s="614"/>
    </row>
    <row r="190" spans="1:82" s="561" customFormat="1" ht="61.5" customHeight="1">
      <c r="A190" s="625" t="str">
        <f t="shared" si="53"/>
        <v>1110-185-FONT1110-05-02-0020-Personal de apoyo transversal a la gestión institucional</v>
      </c>
      <c r="B190" s="626" t="str">
        <f t="shared" si="54"/>
        <v>1110-185-FONT1110-05-02-0020</v>
      </c>
      <c r="C190" s="626" t="str">
        <f t="shared" si="55"/>
        <v>1110-185-FONT1110-Personal de apoyo transversal a la gestión institucional</v>
      </c>
      <c r="D190" s="626" t="str">
        <f t="shared" si="56"/>
        <v>1110-185-12-Otros Distrito-05-02-0020</v>
      </c>
      <c r="E190" s="626" t="str">
        <f t="shared" si="57"/>
        <v>Personal de apoyo transversal a la gestión institucional-12-Otros Distrito-0020-Personal contratado para las actividades propias de los procesos de mejoramiento de gestión de la entidad</v>
      </c>
      <c r="F190" s="627">
        <v>145</v>
      </c>
      <c r="G190" s="628">
        <f t="shared" si="58"/>
        <v>145</v>
      </c>
      <c r="H190" s="629" t="b">
        <f t="shared" si="59"/>
        <v>0</v>
      </c>
      <c r="I190" s="630" t="s">
        <v>594</v>
      </c>
      <c r="J190" s="627" t="s">
        <v>178</v>
      </c>
      <c r="K190" s="631" t="str">
        <f>+IFERROR(VLOOKUP(J190,Listas!$A$108:$B$114,2,FALSE),"Alerta: Seleccione la celda en la comumna B con el nombre del proyecto")</f>
        <v>3-3-1-15-07-42-1110-185</v>
      </c>
      <c r="L190" s="632">
        <v>80111600</v>
      </c>
      <c r="M190" s="633" t="s">
        <v>748</v>
      </c>
      <c r="N190" s="634" t="str">
        <f t="shared" si="60"/>
        <v>(Cód. 145) Prestar servicios profesionales al Instituto Distrital de Patrimonio Cultural para apoyar a la Asesoría Jurídica o quien haga sus veces, en las actividades propias de sus funciones, especialmente las relacionadas con la etapa post-contractual.</v>
      </c>
      <c r="O190" s="635">
        <v>43480</v>
      </c>
      <c r="P190" s="636">
        <f>IFERROR(VLOOKUP(W190,'Estimación CRP'!$D$21:$E$30,2,FALSE),0)</f>
        <v>10</v>
      </c>
      <c r="Q190" s="637">
        <f>IF(O190="No aplica","No aplica",WORKDAY.INTL(O190,P190,1,'Estimación CRP'!A376:A392))</f>
        <v>43494</v>
      </c>
      <c r="R190" s="636">
        <f t="shared" si="61"/>
        <v>1</v>
      </c>
      <c r="S190" s="636">
        <f t="shared" si="62"/>
        <v>1</v>
      </c>
      <c r="T190" s="636">
        <f t="shared" si="63"/>
        <v>1</v>
      </c>
      <c r="U190" s="712">
        <v>11</v>
      </c>
      <c r="V190" s="638">
        <v>1</v>
      </c>
      <c r="W190" s="639" t="s">
        <v>274</v>
      </c>
      <c r="X190" s="640" t="str">
        <f>IFERROR(VLOOKUP(W190,Listas!$A$60:$B$73,2,FALSE),"Alerta: Seleccione primero Modalidad de selección")</f>
        <v>CCE-16</v>
      </c>
      <c r="Y190" s="641">
        <v>0</v>
      </c>
      <c r="Z190" s="641" t="s">
        <v>346</v>
      </c>
      <c r="AA190" s="641" t="s">
        <v>1217</v>
      </c>
      <c r="AB190" s="642">
        <f t="shared" si="64"/>
        <v>60060000</v>
      </c>
      <c r="AC190" s="642">
        <f t="shared" si="65"/>
        <v>60060000</v>
      </c>
      <c r="AD190" s="641">
        <v>0</v>
      </c>
      <c r="AE190" s="643">
        <v>0</v>
      </c>
      <c r="AF190" s="639" t="s">
        <v>276</v>
      </c>
      <c r="AG190" s="639" t="s">
        <v>277</v>
      </c>
      <c r="AH190" s="639" t="s">
        <v>283</v>
      </c>
      <c r="AI190" s="626" t="str">
        <f>IFERROR(VLOOKUP(AH190,Listas!$A$77:$C$83,2,FALSE),"Alerta: Seleccione primero el responsable")</f>
        <v>3550800</v>
      </c>
      <c r="AJ190" s="640" t="str">
        <f>IFERROR(VLOOKUP(AH190,Listas!$A$77:$C$83,3,FALSE),"Alerta: Seleccione primero el responsable")</f>
        <v>juan.acosta@idpc.gov.co</v>
      </c>
      <c r="AK190" s="640" t="str">
        <f>IF(J190="Funcionamiento Gastos Generales","No aplica",IF(J190="Funcionamiento Servicios Personales indirectos","No aplica",IFERROR(VLOOKUP(J190,Listas!$A$127:$E$139,3,FALSE),"Alerta: Seleccione la celda en la comumna B con el nombre del proyecto")))</f>
        <v>ME20181110</v>
      </c>
      <c r="AL190" s="640" t="str">
        <f>IF(J190="Funcionamiento Gastos Generales","No aplica",IF(J190="Funcionamiento Servicios Personales","No aplica",IFERROR(VLOOKUP(J190,Listas!$A$220:$D$224,2,FALSE),"Alerta: Seleccione la celda en la comumna B con el nombre del proyecto")))</f>
        <v>COMP1110</v>
      </c>
      <c r="AM190" s="640" t="str">
        <f>IF(J190="Funcionamiento Gastos Generales","No aplica",IF(J190="Funcionamiento Servicios Personales","No aplica",IFERROR(VLOOKUP(J190,Listas!$A$220:$D$224,3,FALSE),"Alerta: Seleccione la celda en la comumna B con el nombre del proyecto")))</f>
        <v>CONC1110</v>
      </c>
      <c r="AN190" s="633" t="s">
        <v>789</v>
      </c>
      <c r="AO190" s="633" t="s">
        <v>124</v>
      </c>
      <c r="AP190" s="634" t="str">
        <f>IFERROR(VLOOKUP(J190,Listas!$A$182:$E$215,5,FALSE),"Alerta: Seleccione la celda en la comumna B con el nombre del proyecto")</f>
        <v>10. Procesos articulados dentro del sistema integrado de gestión.</v>
      </c>
      <c r="AQ190" s="634" t="str">
        <f>IF(J190="Funcionamiento Gastos Generales","No aplica",IF(J190="Funcionamiento Servicios Personales","No aplica",IFERROR(VLOOKUP(J190,Listas!$A$220:$D$224,4,FALSE),"Alerta: Seleccione la celda en la comumna B con el nombre del proyecto")))</f>
        <v>FONT1110</v>
      </c>
      <c r="AR190" s="633" t="s">
        <v>198</v>
      </c>
      <c r="AS190" s="634" t="str">
        <f>IFERROR(VLOOKUP(AU190,Listas!$E$85:$L$105,7,FALSE),"Alerta: Seleccione la celda en la comumna AI con el concepto de gasto")</f>
        <v>05-ADMINISTRACION INSTITUCIONAL</v>
      </c>
      <c r="AT190" s="634" t="str">
        <f>IFERROR(VLOOKUP(AU190,Listas!$E$85:$L$105,8,FALSE),"Alerta: Seleccione la celda en la comumna AI con el concepto de gasto")</f>
        <v>02-ADMINISTRACIÓN, CONTROL Y ORGANIZACIÓN INSTITUCIONAL PARA APOYO A LA GESTIÓN DEL DISTRITO</v>
      </c>
      <c r="AU190" s="633" t="s">
        <v>243</v>
      </c>
      <c r="AV190" s="634">
        <f>IFERROR(VLOOKUP(AU190,Listas!$E$85:$F$105,2,FALSE),"Alerta: Seleccione el Concepto de Gasto primero")</f>
        <v>0</v>
      </c>
      <c r="AW190" s="644">
        <v>60060000</v>
      </c>
      <c r="AX190" s="645"/>
      <c r="AY190" s="645"/>
      <c r="AZ190" s="645"/>
      <c r="BA190" s="646">
        <f t="shared" si="66"/>
        <v>60060000</v>
      </c>
      <c r="BB190" s="647"/>
      <c r="BC190" s="648"/>
      <c r="BD190" s="649"/>
      <c r="BE190" s="647"/>
      <c r="BF190" s="644"/>
      <c r="BG190" s="646">
        <f t="shared" si="67"/>
        <v>60060000</v>
      </c>
      <c r="BH190" s="650"/>
      <c r="BI190" s="647"/>
      <c r="BJ190" s="644"/>
      <c r="BK190" s="646">
        <f t="shared" si="68"/>
        <v>0</v>
      </c>
      <c r="BL190" s="651"/>
      <c r="BM190" s="652">
        <f t="shared" si="69"/>
        <v>1</v>
      </c>
      <c r="BN190" s="628"/>
      <c r="BO190" s="670"/>
      <c r="BP190" s="644"/>
      <c r="BQ190" s="644"/>
      <c r="BR190" s="644"/>
      <c r="BS190" s="644"/>
      <c r="BT190" s="644"/>
      <c r="BU190" s="644"/>
      <c r="BV190" s="644"/>
      <c r="BW190" s="644"/>
      <c r="BX190" s="644"/>
      <c r="BY190" s="644"/>
      <c r="BZ190" s="644"/>
      <c r="CA190" s="644"/>
      <c r="CB190" s="646">
        <f t="shared" si="70"/>
        <v>0</v>
      </c>
      <c r="CC190" s="646">
        <f t="shared" si="71"/>
        <v>0</v>
      </c>
      <c r="CD190" s="614"/>
    </row>
    <row r="191" spans="1:82" s="561" customFormat="1" ht="61.5" customHeight="1">
      <c r="A191" s="625" t="str">
        <f t="shared" si="53"/>
        <v>1110-185-FONT1110-05-02-0020-Desarrollar actividades de comunicación e información</v>
      </c>
      <c r="B191" s="626" t="str">
        <f t="shared" si="54"/>
        <v>1110-185-FONT1110-05-02-0020</v>
      </c>
      <c r="C191" s="626" t="str">
        <f t="shared" si="55"/>
        <v>1110-185-FONT1110-Desarrollar actividades de comunicación e información</v>
      </c>
      <c r="D191" s="626" t="str">
        <f t="shared" si="56"/>
        <v>1110-185-12-Otros Distrito-05-02-0020</v>
      </c>
      <c r="E191" s="626" t="str">
        <f t="shared" si="57"/>
        <v>Desarrollar actividades de comunicación e información-12-Otros Distrito-0020-Personal contratado para las actividades propias de los procesos de mejoramiento de gestión de la entidad</v>
      </c>
      <c r="F191" s="627">
        <v>146</v>
      </c>
      <c r="G191" s="628">
        <f t="shared" si="58"/>
        <v>146</v>
      </c>
      <c r="H191" s="629" t="b">
        <f t="shared" si="59"/>
        <v>0</v>
      </c>
      <c r="I191" s="630" t="s">
        <v>594</v>
      </c>
      <c r="J191" s="627" t="s">
        <v>178</v>
      </c>
      <c r="K191" s="631" t="str">
        <f>+IFERROR(VLOOKUP(J191,Listas!$A$108:$B$114,2,FALSE),"Alerta: Seleccione la celda en la comumna B con el nombre del proyecto")</f>
        <v>3-3-1-15-07-42-1110-185</v>
      </c>
      <c r="L191" s="632">
        <v>80111600</v>
      </c>
      <c r="M191" s="633" t="s">
        <v>749</v>
      </c>
      <c r="N191" s="634" t="str">
        <f t="shared" si="60"/>
        <v>(Cód. 146) Prestar servicios profesionales al Instituto Distrital de Patrimonio Cultural para apoyar las actividades técnicas requeridas en aplicación del Sistema de Información Geográfica -SIG_PC-.</v>
      </c>
      <c r="O191" s="635">
        <v>43480</v>
      </c>
      <c r="P191" s="636">
        <f>IFERROR(VLOOKUP(W191,'Estimación CRP'!$D$21:$E$30,2,FALSE),0)</f>
        <v>10</v>
      </c>
      <c r="Q191" s="637">
        <f>IF(O191="No aplica","No aplica",WORKDAY.INTL(O191,P191,1,'Estimación CRP'!A377:A393))</f>
        <v>43494</v>
      </c>
      <c r="R191" s="636">
        <f t="shared" si="61"/>
        <v>1</v>
      </c>
      <c r="S191" s="636">
        <f t="shared" si="62"/>
        <v>1</v>
      </c>
      <c r="T191" s="636">
        <f t="shared" si="63"/>
        <v>1</v>
      </c>
      <c r="U191" s="712">
        <v>11</v>
      </c>
      <c r="V191" s="638">
        <v>1</v>
      </c>
      <c r="W191" s="639" t="s">
        <v>274</v>
      </c>
      <c r="X191" s="640" t="str">
        <f>IFERROR(VLOOKUP(W191,Listas!$A$60:$B$73,2,FALSE),"Alerta: Seleccione primero Modalidad de selección")</f>
        <v>CCE-16</v>
      </c>
      <c r="Y191" s="641">
        <v>0</v>
      </c>
      <c r="Z191" s="641" t="s">
        <v>346</v>
      </c>
      <c r="AA191" s="641" t="s">
        <v>1218</v>
      </c>
      <c r="AB191" s="642">
        <f t="shared" si="64"/>
        <v>58960000</v>
      </c>
      <c r="AC191" s="642">
        <f t="shared" si="65"/>
        <v>58960000</v>
      </c>
      <c r="AD191" s="641">
        <v>0</v>
      </c>
      <c r="AE191" s="643">
        <v>0</v>
      </c>
      <c r="AF191" s="639" t="s">
        <v>276</v>
      </c>
      <c r="AG191" s="639" t="s">
        <v>277</v>
      </c>
      <c r="AH191" s="639" t="s">
        <v>285</v>
      </c>
      <c r="AI191" s="626" t="str">
        <f>IFERROR(VLOOKUP(AH191,Listas!$A$77:$C$83,2,FALSE),"Alerta: Seleccione primero el responsable")</f>
        <v>3550800</v>
      </c>
      <c r="AJ191" s="640" t="str">
        <f>IFERROR(VLOOKUP(AH191,Listas!$A$77:$C$83,3,FALSE),"Alerta: Seleccione primero el responsable")</f>
        <v>maria.villamil@idpc.gov.co</v>
      </c>
      <c r="AK191" s="640" t="str">
        <f>IF(J191="Funcionamiento Gastos Generales","No aplica",IF(J191="Funcionamiento Servicios Personales indirectos","No aplica",IFERROR(VLOOKUP(J191,Listas!$A$127:$E$139,3,FALSE),"Alerta: Seleccione la celda en la comumna B con el nombre del proyecto")))</f>
        <v>ME20181110</v>
      </c>
      <c r="AL191" s="640" t="str">
        <f>IF(J191="Funcionamiento Gastos Generales","No aplica",IF(J191="Funcionamiento Servicios Personales","No aplica",IFERROR(VLOOKUP(J191,Listas!$A$220:$D$224,2,FALSE),"Alerta: Seleccione la celda en la comumna B con el nombre del proyecto")))</f>
        <v>COMP1110</v>
      </c>
      <c r="AM191" s="640" t="str">
        <f>IF(J191="Funcionamiento Gastos Generales","No aplica",IF(J191="Funcionamiento Servicios Personales","No aplica",IFERROR(VLOOKUP(J191,Listas!$A$220:$D$224,3,FALSE),"Alerta: Seleccione la celda en la comumna B con el nombre del proyecto")))</f>
        <v>CONC1110</v>
      </c>
      <c r="AN191" s="633" t="s">
        <v>789</v>
      </c>
      <c r="AO191" s="633" t="s">
        <v>125</v>
      </c>
      <c r="AP191" s="634" t="str">
        <f>IFERROR(VLOOKUP(J191,Listas!$A$182:$E$215,5,FALSE),"Alerta: Seleccione la celda en la comumna B con el nombre del proyecto")</f>
        <v>10. Procesos articulados dentro del sistema integrado de gestión.</v>
      </c>
      <c r="AQ191" s="634" t="str">
        <f>IF(J191="Funcionamiento Gastos Generales","No aplica",IF(J191="Funcionamiento Servicios Personales","No aplica",IFERROR(VLOOKUP(J191,Listas!$A$220:$D$224,4,FALSE),"Alerta: Seleccione la celda en la comumna B con el nombre del proyecto")))</f>
        <v>FONT1110</v>
      </c>
      <c r="AR191" s="633" t="s">
        <v>198</v>
      </c>
      <c r="AS191" s="634" t="str">
        <f>IFERROR(VLOOKUP(AU191,Listas!$E$85:$L$105,7,FALSE),"Alerta: Seleccione la celda en la comumna AI con el concepto de gasto")</f>
        <v>05-ADMINISTRACION INSTITUCIONAL</v>
      </c>
      <c r="AT191" s="634" t="str">
        <f>IFERROR(VLOOKUP(AU191,Listas!$E$85:$L$105,8,FALSE),"Alerta: Seleccione la celda en la comumna AI con el concepto de gasto")</f>
        <v>02-ADMINISTRACIÓN, CONTROL Y ORGANIZACIÓN INSTITUCIONAL PARA APOYO A LA GESTIÓN DEL DISTRITO</v>
      </c>
      <c r="AU191" s="633" t="s">
        <v>243</v>
      </c>
      <c r="AV191" s="634">
        <f>IFERROR(VLOOKUP(AU191,Listas!$E$85:$F$105,2,FALSE),"Alerta: Seleccione el Concepto de Gasto primero")</f>
        <v>0</v>
      </c>
      <c r="AW191" s="644">
        <v>58960000</v>
      </c>
      <c r="AX191" s="645"/>
      <c r="AY191" s="645"/>
      <c r="AZ191" s="645"/>
      <c r="BA191" s="646">
        <f t="shared" si="66"/>
        <v>58960000</v>
      </c>
      <c r="BB191" s="647"/>
      <c r="BC191" s="648"/>
      <c r="BD191" s="649"/>
      <c r="BE191" s="647"/>
      <c r="BF191" s="644"/>
      <c r="BG191" s="646">
        <f t="shared" si="67"/>
        <v>58960000</v>
      </c>
      <c r="BH191" s="650"/>
      <c r="BI191" s="647"/>
      <c r="BJ191" s="644"/>
      <c r="BK191" s="646">
        <f t="shared" si="68"/>
        <v>0</v>
      </c>
      <c r="BL191" s="651"/>
      <c r="BM191" s="652">
        <f t="shared" si="69"/>
        <v>1</v>
      </c>
      <c r="BN191" s="628"/>
      <c r="BO191" s="670"/>
      <c r="BP191" s="644"/>
      <c r="BQ191" s="644"/>
      <c r="BR191" s="644"/>
      <c r="BS191" s="644"/>
      <c r="BT191" s="644"/>
      <c r="BU191" s="644"/>
      <c r="BV191" s="644"/>
      <c r="BW191" s="644"/>
      <c r="BX191" s="644"/>
      <c r="BY191" s="644"/>
      <c r="BZ191" s="644"/>
      <c r="CA191" s="644"/>
      <c r="CB191" s="646">
        <f t="shared" si="70"/>
        <v>0</v>
      </c>
      <c r="CC191" s="646">
        <f t="shared" si="71"/>
        <v>0</v>
      </c>
      <c r="CD191" s="614"/>
    </row>
    <row r="192" spans="1:82" s="561" customFormat="1" ht="61.5" customHeight="1">
      <c r="A192" s="625" t="str">
        <f t="shared" si="53"/>
        <v>1110-185-FONT1110-05-02-0020-Personal de apoyo transversal a la gestión institucional</v>
      </c>
      <c r="B192" s="626" t="str">
        <f t="shared" si="54"/>
        <v>1110-185-FONT1110-05-02-0020</v>
      </c>
      <c r="C192" s="626" t="str">
        <f t="shared" si="55"/>
        <v>1110-185-FONT1110-Personal de apoyo transversal a la gestión institucional</v>
      </c>
      <c r="D192" s="626" t="str">
        <f t="shared" si="56"/>
        <v>1110-185-12-Otros Distrito-05-02-0020</v>
      </c>
      <c r="E192" s="626" t="str">
        <f t="shared" si="57"/>
        <v>Personal de apoyo transversal a la gestión institucional-12-Otros Distrito-0020-Personal contratado para las actividades propias de los procesos de mejoramiento de gestión de la entidad</v>
      </c>
      <c r="F192" s="627">
        <v>147</v>
      </c>
      <c r="G192" s="628">
        <f t="shared" si="58"/>
        <v>147</v>
      </c>
      <c r="H192" s="629" t="b">
        <f t="shared" si="59"/>
        <v>0</v>
      </c>
      <c r="I192" s="630" t="s">
        <v>594</v>
      </c>
      <c r="J192" s="627" t="s">
        <v>178</v>
      </c>
      <c r="K192" s="631" t="str">
        <f>+IFERROR(VLOOKUP(J192,Listas!$A$108:$B$114,2,FALSE),"Alerta: Seleccione la celda en la comumna B con el nombre del proyecto")</f>
        <v>3-3-1-15-07-42-1110-185</v>
      </c>
      <c r="L192" s="632">
        <v>80111600</v>
      </c>
      <c r="M192" s="633" t="s">
        <v>750</v>
      </c>
      <c r="N192" s="634" t="str">
        <f t="shared" si="60"/>
        <v>(Cód. 147) Prestar servicios de apoyo a la gestión al Instituto Distrital de Patrimonio Cultural, en las actividades operativas y de mantenimiento requeridas por la entidad.</v>
      </c>
      <c r="O192" s="635">
        <v>43480</v>
      </c>
      <c r="P192" s="636">
        <f>IFERROR(VLOOKUP(W192,'Estimación CRP'!$D$21:$E$30,2,FALSE),0)</f>
        <v>10</v>
      </c>
      <c r="Q192" s="637">
        <f>IF(O192="No aplica","No aplica",WORKDAY.INTL(O192,P192,1,'Estimación CRP'!A378:A394))</f>
        <v>43494</v>
      </c>
      <c r="R192" s="636">
        <f t="shared" si="61"/>
        <v>1</v>
      </c>
      <c r="S192" s="636">
        <f t="shared" si="62"/>
        <v>1</v>
      </c>
      <c r="T192" s="636">
        <f t="shared" si="63"/>
        <v>1</v>
      </c>
      <c r="U192" s="712">
        <v>11</v>
      </c>
      <c r="V192" s="638">
        <v>1</v>
      </c>
      <c r="W192" s="639" t="s">
        <v>274</v>
      </c>
      <c r="X192" s="640" t="str">
        <f>IFERROR(VLOOKUP(W192,Listas!$A$60:$B$73,2,FALSE),"Alerta: Seleccione primero Modalidad de selección")</f>
        <v>CCE-16</v>
      </c>
      <c r="Y192" s="641">
        <v>0</v>
      </c>
      <c r="Z192" s="641" t="s">
        <v>346</v>
      </c>
      <c r="AA192" s="641" t="s">
        <v>1219</v>
      </c>
      <c r="AB192" s="642">
        <f t="shared" si="64"/>
        <v>25542000</v>
      </c>
      <c r="AC192" s="642">
        <f t="shared" si="65"/>
        <v>25542000</v>
      </c>
      <c r="AD192" s="641">
        <v>0</v>
      </c>
      <c r="AE192" s="643">
        <v>0</v>
      </c>
      <c r="AF192" s="639" t="s">
        <v>276</v>
      </c>
      <c r="AG192" s="639" t="s">
        <v>277</v>
      </c>
      <c r="AH192" s="639" t="s">
        <v>283</v>
      </c>
      <c r="AI192" s="626" t="str">
        <f>IFERROR(VLOOKUP(AH192,Listas!$A$77:$C$83,2,FALSE),"Alerta: Seleccione primero el responsable")</f>
        <v>3550800</v>
      </c>
      <c r="AJ192" s="640" t="str">
        <f>IFERROR(VLOOKUP(AH192,Listas!$A$77:$C$83,3,FALSE),"Alerta: Seleccione primero el responsable")</f>
        <v>juan.acosta@idpc.gov.co</v>
      </c>
      <c r="AK192" s="640" t="str">
        <f>IF(J192="Funcionamiento Gastos Generales","No aplica",IF(J192="Funcionamiento Servicios Personales indirectos","No aplica",IFERROR(VLOOKUP(J192,Listas!$A$127:$E$139,3,FALSE),"Alerta: Seleccione la celda en la comumna B con el nombre del proyecto")))</f>
        <v>ME20181110</v>
      </c>
      <c r="AL192" s="640" t="str">
        <f>IF(J192="Funcionamiento Gastos Generales","No aplica",IF(J192="Funcionamiento Servicios Personales","No aplica",IFERROR(VLOOKUP(J192,Listas!$A$220:$D$224,2,FALSE),"Alerta: Seleccione la celda en la comumna B con el nombre del proyecto")))</f>
        <v>COMP1110</v>
      </c>
      <c r="AM192" s="640" t="str">
        <f>IF(J192="Funcionamiento Gastos Generales","No aplica",IF(J192="Funcionamiento Servicios Personales","No aplica",IFERROR(VLOOKUP(J192,Listas!$A$220:$D$224,3,FALSE),"Alerta: Seleccione la celda en la comumna B con el nombre del proyecto")))</f>
        <v>CONC1110</v>
      </c>
      <c r="AN192" s="633" t="s">
        <v>789</v>
      </c>
      <c r="AO192" s="633" t="s">
        <v>124</v>
      </c>
      <c r="AP192" s="634" t="str">
        <f>IFERROR(VLOOKUP(J192,Listas!$A$182:$E$215,5,FALSE),"Alerta: Seleccione la celda en la comumna B con el nombre del proyecto")</f>
        <v>10. Procesos articulados dentro del sistema integrado de gestión.</v>
      </c>
      <c r="AQ192" s="634" t="str">
        <f>IF(J192="Funcionamiento Gastos Generales","No aplica",IF(J192="Funcionamiento Servicios Personales","No aplica",IFERROR(VLOOKUP(J192,Listas!$A$220:$D$224,4,FALSE),"Alerta: Seleccione la celda en la comumna B con el nombre del proyecto")))</f>
        <v>FONT1110</v>
      </c>
      <c r="AR192" s="633" t="s">
        <v>198</v>
      </c>
      <c r="AS192" s="634" t="str">
        <f>IFERROR(VLOOKUP(AU192,Listas!$E$85:$L$105,7,FALSE),"Alerta: Seleccione la celda en la comumna AI con el concepto de gasto")</f>
        <v>05-ADMINISTRACION INSTITUCIONAL</v>
      </c>
      <c r="AT192" s="634" t="str">
        <f>IFERROR(VLOOKUP(AU192,Listas!$E$85:$L$105,8,FALSE),"Alerta: Seleccione la celda en la comumna AI con el concepto de gasto")</f>
        <v>02-ADMINISTRACIÓN, CONTROL Y ORGANIZACIÓN INSTITUCIONAL PARA APOYO A LA GESTIÓN DEL DISTRITO</v>
      </c>
      <c r="AU192" s="633" t="s">
        <v>243</v>
      </c>
      <c r="AV192" s="634">
        <f>IFERROR(VLOOKUP(AU192,Listas!$E$85:$F$105,2,FALSE),"Alerta: Seleccione el Concepto de Gasto primero")</f>
        <v>0</v>
      </c>
      <c r="AW192" s="644">
        <v>25542000</v>
      </c>
      <c r="AX192" s="645"/>
      <c r="AY192" s="645"/>
      <c r="AZ192" s="645"/>
      <c r="BA192" s="646">
        <f t="shared" si="66"/>
        <v>25542000</v>
      </c>
      <c r="BB192" s="647"/>
      <c r="BC192" s="648"/>
      <c r="BD192" s="649"/>
      <c r="BE192" s="647"/>
      <c r="BF192" s="644"/>
      <c r="BG192" s="646">
        <f t="shared" si="67"/>
        <v>25542000</v>
      </c>
      <c r="BH192" s="650"/>
      <c r="BI192" s="647"/>
      <c r="BJ192" s="644"/>
      <c r="BK192" s="646">
        <f t="shared" si="68"/>
        <v>0</v>
      </c>
      <c r="BL192" s="651"/>
      <c r="BM192" s="652">
        <f t="shared" si="69"/>
        <v>1</v>
      </c>
      <c r="BN192" s="628"/>
      <c r="BO192" s="670"/>
      <c r="BP192" s="644"/>
      <c r="BQ192" s="644"/>
      <c r="BR192" s="644"/>
      <c r="BS192" s="644"/>
      <c r="BT192" s="644"/>
      <c r="BU192" s="644"/>
      <c r="BV192" s="644"/>
      <c r="BW192" s="644"/>
      <c r="BX192" s="644"/>
      <c r="BY192" s="644"/>
      <c r="BZ192" s="644"/>
      <c r="CA192" s="644"/>
      <c r="CB192" s="646">
        <f t="shared" si="70"/>
        <v>0</v>
      </c>
      <c r="CC192" s="646">
        <f t="shared" si="71"/>
        <v>0</v>
      </c>
      <c r="CD192" s="614"/>
    </row>
    <row r="193" spans="1:85" s="659" customFormat="1" ht="61.5" customHeight="1">
      <c r="A193" s="625" t="str">
        <f t="shared" si="53"/>
        <v>1110-185-FONT1110-05-02-0020-Personal de apoyo transversal a la gestión institucional</v>
      </c>
      <c r="B193" s="626" t="str">
        <f t="shared" si="54"/>
        <v>1110-185-FONT1110-05-02-0020</v>
      </c>
      <c r="C193" s="626" t="str">
        <f t="shared" si="55"/>
        <v>1110-185-FONT1110-Personal de apoyo transversal a la gestión institucional</v>
      </c>
      <c r="D193" s="626" t="str">
        <f t="shared" si="56"/>
        <v>1110-185-12-Otros Distrito-05-02-0020</v>
      </c>
      <c r="E193" s="626" t="str">
        <f t="shared" si="57"/>
        <v>Personal de apoyo transversal a la gestión institucional-12-Otros Distrito-0020-Personal contratado para las actividades propias de los procesos de mejoramiento de gestión de la entidad</v>
      </c>
      <c r="F193" s="627">
        <v>148</v>
      </c>
      <c r="G193" s="628">
        <f t="shared" si="58"/>
        <v>148</v>
      </c>
      <c r="H193" s="629" t="b">
        <f t="shared" si="59"/>
        <v>0</v>
      </c>
      <c r="I193" s="630" t="s">
        <v>594</v>
      </c>
      <c r="J193" s="627" t="s">
        <v>178</v>
      </c>
      <c r="K193" s="631" t="str">
        <f>+IFERROR(VLOOKUP(J193,Listas!$A$108:$B$114,2,FALSE),"Alerta: Seleccione la celda en la comumna B con el nombre del proyecto")</f>
        <v>3-3-1-15-07-42-1110-185</v>
      </c>
      <c r="L193" s="632">
        <v>80111600</v>
      </c>
      <c r="M193" s="633" t="s">
        <v>751</v>
      </c>
      <c r="N193" s="634" t="str">
        <f t="shared" si="60"/>
        <v>(Cód. 148) Prestar servicios de apoyo a la gestión al Instituto Distrital de Patrimonio Cultural para apoyar a la Asesoría Jurídica o quien haga sus veces, en las actividades relacionadas con la organización y administración del archivo documental.</v>
      </c>
      <c r="O193" s="635">
        <v>43480</v>
      </c>
      <c r="P193" s="636">
        <f>IFERROR(VLOOKUP(W193,'Estimación CRP'!$D$21:$E$30,2,FALSE),0)</f>
        <v>10</v>
      </c>
      <c r="Q193" s="637">
        <f>IF(O193="No aplica","No aplica",WORKDAY.INTL(O193,P193,1,'Estimación CRP'!A379:A395))</f>
        <v>43494</v>
      </c>
      <c r="R193" s="636">
        <f t="shared" si="61"/>
        <v>1</v>
      </c>
      <c r="S193" s="636">
        <f t="shared" si="62"/>
        <v>1</v>
      </c>
      <c r="T193" s="636">
        <f t="shared" si="63"/>
        <v>1</v>
      </c>
      <c r="U193" s="712">
        <v>11</v>
      </c>
      <c r="V193" s="638">
        <v>1</v>
      </c>
      <c r="W193" s="639" t="s">
        <v>274</v>
      </c>
      <c r="X193" s="640" t="str">
        <f>IFERROR(VLOOKUP(W193,Listas!$A$60:$B$73,2,FALSE),"Alerta: Seleccione primero Modalidad de selección")</f>
        <v>CCE-16</v>
      </c>
      <c r="Y193" s="641">
        <v>0</v>
      </c>
      <c r="Z193" s="641" t="s">
        <v>346</v>
      </c>
      <c r="AA193" s="641" t="s">
        <v>1220</v>
      </c>
      <c r="AB193" s="642">
        <f t="shared" si="64"/>
        <v>31570000</v>
      </c>
      <c r="AC193" s="642">
        <f t="shared" si="65"/>
        <v>31570000</v>
      </c>
      <c r="AD193" s="641">
        <v>0</v>
      </c>
      <c r="AE193" s="643">
        <v>0</v>
      </c>
      <c r="AF193" s="639" t="s">
        <v>276</v>
      </c>
      <c r="AG193" s="639" t="s">
        <v>277</v>
      </c>
      <c r="AH193" s="639" t="s">
        <v>283</v>
      </c>
      <c r="AI193" s="626" t="str">
        <f>IFERROR(VLOOKUP(AH193,Listas!$A$77:$C$83,2,FALSE),"Alerta: Seleccione primero el responsable")</f>
        <v>3550800</v>
      </c>
      <c r="AJ193" s="640" t="str">
        <f>IFERROR(VLOOKUP(AH193,Listas!$A$77:$C$83,3,FALSE),"Alerta: Seleccione primero el responsable")</f>
        <v>juan.acosta@idpc.gov.co</v>
      </c>
      <c r="AK193" s="640" t="str">
        <f>IF(J193="Funcionamiento Gastos Generales","No aplica",IF(J193="Funcionamiento Servicios Personales indirectos","No aplica",IFERROR(VLOOKUP(J193,Listas!$A$127:$E$139,3,FALSE),"Alerta: Seleccione la celda en la comumna B con el nombre del proyecto")))</f>
        <v>ME20181110</v>
      </c>
      <c r="AL193" s="640" t="str">
        <f>IF(J193="Funcionamiento Gastos Generales","No aplica",IF(J193="Funcionamiento Servicios Personales","No aplica",IFERROR(VLOOKUP(J193,Listas!$A$220:$D$224,2,FALSE),"Alerta: Seleccione la celda en la comumna B con el nombre del proyecto")))</f>
        <v>COMP1110</v>
      </c>
      <c r="AM193" s="640" t="str">
        <f>IF(J193="Funcionamiento Gastos Generales","No aplica",IF(J193="Funcionamiento Servicios Personales","No aplica",IFERROR(VLOOKUP(J193,Listas!$A$220:$D$224,3,FALSE),"Alerta: Seleccione la celda en la comumna B con el nombre del proyecto")))</f>
        <v>CONC1110</v>
      </c>
      <c r="AN193" s="633" t="s">
        <v>789</v>
      </c>
      <c r="AO193" s="633" t="s">
        <v>124</v>
      </c>
      <c r="AP193" s="634" t="str">
        <f>IFERROR(VLOOKUP(J193,Listas!$A$182:$E$215,5,FALSE),"Alerta: Seleccione la celda en la comumna B con el nombre del proyecto")</f>
        <v>10. Procesos articulados dentro del sistema integrado de gestión.</v>
      </c>
      <c r="AQ193" s="634" t="str">
        <f>IF(J193="Funcionamiento Gastos Generales","No aplica",IF(J193="Funcionamiento Servicios Personales","No aplica",IFERROR(VLOOKUP(J193,Listas!$A$220:$D$224,4,FALSE),"Alerta: Seleccione la celda en la comumna B con el nombre del proyecto")))</f>
        <v>FONT1110</v>
      </c>
      <c r="AR193" s="633" t="s">
        <v>198</v>
      </c>
      <c r="AS193" s="634" t="str">
        <f>IFERROR(VLOOKUP(AU193,Listas!$E$85:$L$105,7,FALSE),"Alerta: Seleccione la celda en la comumna AI con el concepto de gasto")</f>
        <v>05-ADMINISTRACION INSTITUCIONAL</v>
      </c>
      <c r="AT193" s="634" t="str">
        <f>IFERROR(VLOOKUP(AU193,Listas!$E$85:$L$105,8,FALSE),"Alerta: Seleccione la celda en la comumna AI con el concepto de gasto")</f>
        <v>02-ADMINISTRACIÓN, CONTROL Y ORGANIZACIÓN INSTITUCIONAL PARA APOYO A LA GESTIÓN DEL DISTRITO</v>
      </c>
      <c r="AU193" s="633" t="s">
        <v>243</v>
      </c>
      <c r="AV193" s="634">
        <f>IFERROR(VLOOKUP(AU193,Listas!$E$85:$F$105,2,FALSE),"Alerta: Seleccione el Concepto de Gasto primero")</f>
        <v>0</v>
      </c>
      <c r="AW193" s="644">
        <v>31570000</v>
      </c>
      <c r="AX193" s="645"/>
      <c r="AY193" s="645"/>
      <c r="AZ193" s="645"/>
      <c r="BA193" s="646">
        <f t="shared" si="66"/>
        <v>31570000</v>
      </c>
      <c r="BB193" s="647"/>
      <c r="BC193" s="648"/>
      <c r="BD193" s="649"/>
      <c r="BE193" s="647"/>
      <c r="BF193" s="644"/>
      <c r="BG193" s="646">
        <f t="shared" si="67"/>
        <v>31570000</v>
      </c>
      <c r="BH193" s="650"/>
      <c r="BI193" s="647"/>
      <c r="BJ193" s="644"/>
      <c r="BK193" s="646">
        <f t="shared" si="68"/>
        <v>0</v>
      </c>
      <c r="BL193" s="651"/>
      <c r="BM193" s="652">
        <f t="shared" si="69"/>
        <v>1</v>
      </c>
      <c r="BN193" s="628"/>
      <c r="BO193" s="670"/>
      <c r="BP193" s="644"/>
      <c r="BQ193" s="644"/>
      <c r="BR193" s="644"/>
      <c r="BS193" s="644"/>
      <c r="BT193" s="644"/>
      <c r="BU193" s="644"/>
      <c r="BV193" s="644"/>
      <c r="BW193" s="644"/>
      <c r="BX193" s="644"/>
      <c r="BY193" s="644"/>
      <c r="BZ193" s="644"/>
      <c r="CA193" s="644"/>
      <c r="CB193" s="646">
        <f t="shared" si="70"/>
        <v>0</v>
      </c>
      <c r="CC193" s="646">
        <f t="shared" si="71"/>
        <v>0</v>
      </c>
      <c r="CD193" s="614"/>
    </row>
    <row r="194" spans="1:85" s="561" customFormat="1" ht="61.5" customHeight="1">
      <c r="A194" s="625" t="str">
        <f t="shared" si="53"/>
        <v>1110-185-FONT1110-05-02-0020-Personal de apoyo transversal a la gestión institucional</v>
      </c>
      <c r="B194" s="626" t="str">
        <f t="shared" si="54"/>
        <v>1110-185-FONT1110-05-02-0020</v>
      </c>
      <c r="C194" s="626" t="str">
        <f t="shared" si="55"/>
        <v>1110-185-FONT1110-Personal de apoyo transversal a la gestión institucional</v>
      </c>
      <c r="D194" s="626" t="str">
        <f t="shared" si="56"/>
        <v>1110-185-12-Otros Distrito-05-02-0020</v>
      </c>
      <c r="E194" s="626" t="str">
        <f t="shared" si="57"/>
        <v>Personal de apoyo transversal a la gestión institucional-12-Otros Distrito-0020-Personal contratado para las actividades propias de los procesos de mejoramiento de gestión de la entidad</v>
      </c>
      <c r="F194" s="627">
        <v>149</v>
      </c>
      <c r="G194" s="628">
        <f t="shared" si="58"/>
        <v>149</v>
      </c>
      <c r="H194" s="629" t="b">
        <f t="shared" si="59"/>
        <v>0</v>
      </c>
      <c r="I194" s="630" t="s">
        <v>594</v>
      </c>
      <c r="J194" s="627" t="s">
        <v>178</v>
      </c>
      <c r="K194" s="631" t="str">
        <f>+IFERROR(VLOOKUP(J194,Listas!$A$108:$B$114,2,FALSE),"Alerta: Seleccione la celda en la comumna B con el nombre del proyecto")</f>
        <v>3-3-1-15-07-42-1110-185</v>
      </c>
      <c r="L194" s="632">
        <v>80111600</v>
      </c>
      <c r="M194" s="633" t="s">
        <v>752</v>
      </c>
      <c r="N194" s="634" t="str">
        <f t="shared" si="60"/>
        <v>(Cód. 149) Prestar servicios profesionales al Instituto Distrital de Patrimonio Cultural para apoyar el proceso de modernización del Instituto, repuesta a peticiones, requerimientos de entes de control, y demás temas relacionados con la Gestión del Talento Humano de la entidad.</v>
      </c>
      <c r="O194" s="635">
        <v>43480</v>
      </c>
      <c r="P194" s="636">
        <f>IFERROR(VLOOKUP(W194,'Estimación CRP'!$D$21:$E$30,2,FALSE),0)</f>
        <v>10</v>
      </c>
      <c r="Q194" s="637">
        <f>IF(O194="No aplica","No aplica",WORKDAY.INTL(O194,P194,1,'Estimación CRP'!A380:A396))</f>
        <v>43494</v>
      </c>
      <c r="R194" s="636">
        <f t="shared" si="61"/>
        <v>1</v>
      </c>
      <c r="S194" s="636">
        <f t="shared" si="62"/>
        <v>1</v>
      </c>
      <c r="T194" s="636">
        <f t="shared" si="63"/>
        <v>1</v>
      </c>
      <c r="U194" s="712">
        <v>11</v>
      </c>
      <c r="V194" s="638">
        <v>1</v>
      </c>
      <c r="W194" s="639" t="s">
        <v>274</v>
      </c>
      <c r="X194" s="640" t="str">
        <f>IFERROR(VLOOKUP(W194,Listas!$A$60:$B$73,2,FALSE),"Alerta: Seleccione primero Modalidad de selección")</f>
        <v>CCE-16</v>
      </c>
      <c r="Y194" s="641">
        <v>0</v>
      </c>
      <c r="Z194" s="641" t="s">
        <v>346</v>
      </c>
      <c r="AA194" s="641" t="s">
        <v>1221</v>
      </c>
      <c r="AB194" s="642">
        <f t="shared" si="64"/>
        <v>88330000</v>
      </c>
      <c r="AC194" s="642">
        <f t="shared" si="65"/>
        <v>88330000</v>
      </c>
      <c r="AD194" s="641">
        <v>0</v>
      </c>
      <c r="AE194" s="643">
        <v>0</v>
      </c>
      <c r="AF194" s="639" t="s">
        <v>276</v>
      </c>
      <c r="AG194" s="639" t="s">
        <v>277</v>
      </c>
      <c r="AH194" s="639" t="s">
        <v>283</v>
      </c>
      <c r="AI194" s="626" t="str">
        <f>IFERROR(VLOOKUP(AH194,Listas!$A$77:$C$83,2,FALSE),"Alerta: Seleccione primero el responsable")</f>
        <v>3550800</v>
      </c>
      <c r="AJ194" s="640" t="str">
        <f>IFERROR(VLOOKUP(AH194,Listas!$A$77:$C$83,3,FALSE),"Alerta: Seleccione primero el responsable")</f>
        <v>juan.acosta@idpc.gov.co</v>
      </c>
      <c r="AK194" s="640" t="str">
        <f>IF(J194="Funcionamiento Gastos Generales","No aplica",IF(J194="Funcionamiento Servicios Personales indirectos","No aplica",IFERROR(VLOOKUP(J194,Listas!$A$127:$E$139,3,FALSE),"Alerta: Seleccione la celda en la comumna B con el nombre del proyecto")))</f>
        <v>ME20181110</v>
      </c>
      <c r="AL194" s="640" t="str">
        <f>IF(J194="Funcionamiento Gastos Generales","No aplica",IF(J194="Funcionamiento Servicios Personales","No aplica",IFERROR(VLOOKUP(J194,Listas!$A$220:$D$224,2,FALSE),"Alerta: Seleccione la celda en la comumna B con el nombre del proyecto")))</f>
        <v>COMP1110</v>
      </c>
      <c r="AM194" s="640" t="str">
        <f>IF(J194="Funcionamiento Gastos Generales","No aplica",IF(J194="Funcionamiento Servicios Personales","No aplica",IFERROR(VLOOKUP(J194,Listas!$A$220:$D$224,3,FALSE),"Alerta: Seleccione la celda en la comumna B con el nombre del proyecto")))</f>
        <v>CONC1110</v>
      </c>
      <c r="AN194" s="633" t="s">
        <v>789</v>
      </c>
      <c r="AO194" s="633" t="s">
        <v>124</v>
      </c>
      <c r="AP194" s="634" t="str">
        <f>IFERROR(VLOOKUP(J194,Listas!$A$182:$E$215,5,FALSE),"Alerta: Seleccione la celda en la comumna B con el nombre del proyecto")</f>
        <v>10. Procesos articulados dentro del sistema integrado de gestión.</v>
      </c>
      <c r="AQ194" s="634" t="str">
        <f>IF(J194="Funcionamiento Gastos Generales","No aplica",IF(J194="Funcionamiento Servicios Personales","No aplica",IFERROR(VLOOKUP(J194,Listas!$A$220:$D$224,4,FALSE),"Alerta: Seleccione la celda en la comumna B con el nombre del proyecto")))</f>
        <v>FONT1110</v>
      </c>
      <c r="AR194" s="633" t="s">
        <v>198</v>
      </c>
      <c r="AS194" s="634" t="str">
        <f>IFERROR(VLOOKUP(AU194,Listas!$E$85:$L$105,7,FALSE),"Alerta: Seleccione la celda en la comumna AI con el concepto de gasto")</f>
        <v>05-ADMINISTRACION INSTITUCIONAL</v>
      </c>
      <c r="AT194" s="634" t="str">
        <f>IFERROR(VLOOKUP(AU194,Listas!$E$85:$L$105,8,FALSE),"Alerta: Seleccione la celda en la comumna AI con el concepto de gasto")</f>
        <v>02-ADMINISTRACIÓN, CONTROL Y ORGANIZACIÓN INSTITUCIONAL PARA APOYO A LA GESTIÓN DEL DISTRITO</v>
      </c>
      <c r="AU194" s="633" t="s">
        <v>243</v>
      </c>
      <c r="AV194" s="634">
        <f>IFERROR(VLOOKUP(AU194,Listas!$E$85:$F$105,2,FALSE),"Alerta: Seleccione el Concepto de Gasto primero")</f>
        <v>0</v>
      </c>
      <c r="AW194" s="644">
        <v>88330000</v>
      </c>
      <c r="AX194" s="645"/>
      <c r="AY194" s="645"/>
      <c r="AZ194" s="645"/>
      <c r="BA194" s="646">
        <f t="shared" si="66"/>
        <v>88330000</v>
      </c>
      <c r="BB194" s="647"/>
      <c r="BC194" s="648"/>
      <c r="BD194" s="649"/>
      <c r="BE194" s="647"/>
      <c r="BF194" s="644"/>
      <c r="BG194" s="646">
        <f t="shared" si="67"/>
        <v>88330000</v>
      </c>
      <c r="BH194" s="650"/>
      <c r="BI194" s="647"/>
      <c r="BJ194" s="644"/>
      <c r="BK194" s="646">
        <f t="shared" si="68"/>
        <v>0</v>
      </c>
      <c r="BL194" s="651"/>
      <c r="BM194" s="652">
        <f t="shared" si="69"/>
        <v>1</v>
      </c>
      <c r="BN194" s="628"/>
      <c r="BO194" s="670"/>
      <c r="BP194" s="644"/>
      <c r="BQ194" s="644"/>
      <c r="BR194" s="644"/>
      <c r="BS194" s="644"/>
      <c r="BT194" s="644"/>
      <c r="BU194" s="644"/>
      <c r="BV194" s="644"/>
      <c r="BW194" s="644"/>
      <c r="BX194" s="644"/>
      <c r="BY194" s="644"/>
      <c r="BZ194" s="644"/>
      <c r="CA194" s="644"/>
      <c r="CB194" s="646">
        <f t="shared" si="70"/>
        <v>0</v>
      </c>
      <c r="CC194" s="646">
        <f t="shared" si="71"/>
        <v>0</v>
      </c>
      <c r="CD194" s="614"/>
      <c r="CG194" s="561" t="s">
        <v>589</v>
      </c>
    </row>
    <row r="195" spans="1:85" s="561" customFormat="1" ht="61.5" customHeight="1">
      <c r="A195" s="625" t="str">
        <f t="shared" si="53"/>
        <v>1110-185-FONT1110-05-02-0020-Personal de apoyo transversal a la gestión institucional</v>
      </c>
      <c r="B195" s="626" t="str">
        <f t="shared" si="54"/>
        <v>1110-185-FONT1110-05-02-0020</v>
      </c>
      <c r="C195" s="626" t="str">
        <f t="shared" si="55"/>
        <v>1110-185-FONT1110-Personal de apoyo transversal a la gestión institucional</v>
      </c>
      <c r="D195" s="626" t="str">
        <f t="shared" si="56"/>
        <v>1110-185-12-Otros Distrito-05-02-0020</v>
      </c>
      <c r="E195" s="626" t="str">
        <f t="shared" si="57"/>
        <v>Personal de apoyo transversal a la gestión institucional-12-Otros Distrito-0020-Personal contratado para las actividades propias de los procesos de mejoramiento de gestión de la entidad</v>
      </c>
      <c r="F195" s="627">
        <v>150</v>
      </c>
      <c r="G195" s="628">
        <f t="shared" si="58"/>
        <v>150</v>
      </c>
      <c r="H195" s="629" t="b">
        <f t="shared" si="59"/>
        <v>0</v>
      </c>
      <c r="I195" s="630" t="s">
        <v>594</v>
      </c>
      <c r="J195" s="627" t="s">
        <v>178</v>
      </c>
      <c r="K195" s="631" t="str">
        <f>+IFERROR(VLOOKUP(J195,Listas!$A$108:$B$114,2,FALSE),"Alerta: Seleccione la celda en la comumna B con el nombre del proyecto")</f>
        <v>3-3-1-15-07-42-1110-185</v>
      </c>
      <c r="L195" s="632">
        <v>80111600</v>
      </c>
      <c r="M195" s="633" t="s">
        <v>753</v>
      </c>
      <c r="N195" s="634" t="str">
        <f t="shared" si="60"/>
        <v>(Cód. 150) Prestar servicios de apoyo a la gestión al Instituto Distrital de Patrimonio Cultural en el seguimiento a los planes de mejoramiento, metas, indicadores y actividades relacionadas con los procesos de contratación de la Subdirección de Gestión Corporativa.</v>
      </c>
      <c r="O195" s="635">
        <v>43480</v>
      </c>
      <c r="P195" s="636">
        <f>IFERROR(VLOOKUP(W195,'Estimación CRP'!$D$21:$E$30,2,FALSE),0)</f>
        <v>10</v>
      </c>
      <c r="Q195" s="637">
        <f>IF(O195="No aplica","No aplica",WORKDAY.INTL(O195,P195,1,'Estimación CRP'!A381:A397))</f>
        <v>43494</v>
      </c>
      <c r="R195" s="636">
        <f t="shared" si="61"/>
        <v>1</v>
      </c>
      <c r="S195" s="636">
        <f t="shared" si="62"/>
        <v>1</v>
      </c>
      <c r="T195" s="636">
        <f t="shared" si="63"/>
        <v>1</v>
      </c>
      <c r="U195" s="712">
        <v>11</v>
      </c>
      <c r="V195" s="638">
        <v>1</v>
      </c>
      <c r="W195" s="639" t="s">
        <v>274</v>
      </c>
      <c r="X195" s="640" t="str">
        <f>IFERROR(VLOOKUP(W195,Listas!$A$60:$B$73,2,FALSE),"Alerta: Seleccione primero Modalidad de selección")</f>
        <v>CCE-16</v>
      </c>
      <c r="Y195" s="641">
        <v>0</v>
      </c>
      <c r="Z195" s="641" t="s">
        <v>346</v>
      </c>
      <c r="AA195" s="641" t="s">
        <v>1222</v>
      </c>
      <c r="AB195" s="642">
        <f t="shared" si="64"/>
        <v>38280000</v>
      </c>
      <c r="AC195" s="642">
        <f t="shared" si="65"/>
        <v>38280000</v>
      </c>
      <c r="AD195" s="641">
        <v>0</v>
      </c>
      <c r="AE195" s="643">
        <v>0</v>
      </c>
      <c r="AF195" s="639" t="s">
        <v>276</v>
      </c>
      <c r="AG195" s="639" t="s">
        <v>277</v>
      </c>
      <c r="AH195" s="639" t="s">
        <v>283</v>
      </c>
      <c r="AI195" s="626" t="str">
        <f>IFERROR(VLOOKUP(AH195,Listas!$A$77:$C$83,2,FALSE),"Alerta: Seleccione primero el responsable")</f>
        <v>3550800</v>
      </c>
      <c r="AJ195" s="640" t="str">
        <f>IFERROR(VLOOKUP(AH195,Listas!$A$77:$C$83,3,FALSE),"Alerta: Seleccione primero el responsable")</f>
        <v>juan.acosta@idpc.gov.co</v>
      </c>
      <c r="AK195" s="640" t="str">
        <f>IF(J195="Funcionamiento Gastos Generales","No aplica",IF(J195="Funcionamiento Servicios Personales indirectos","No aplica",IFERROR(VLOOKUP(J195,Listas!$A$127:$E$139,3,FALSE),"Alerta: Seleccione la celda en la comumna B con el nombre del proyecto")))</f>
        <v>ME20181110</v>
      </c>
      <c r="AL195" s="640" t="str">
        <f>IF(J195="Funcionamiento Gastos Generales","No aplica",IF(J195="Funcionamiento Servicios Personales","No aplica",IFERROR(VLOOKUP(J195,Listas!$A$220:$D$224,2,FALSE),"Alerta: Seleccione la celda en la comumna B con el nombre del proyecto")))</f>
        <v>COMP1110</v>
      </c>
      <c r="AM195" s="640" t="str">
        <f>IF(J195="Funcionamiento Gastos Generales","No aplica",IF(J195="Funcionamiento Servicios Personales","No aplica",IFERROR(VLOOKUP(J195,Listas!$A$220:$D$224,3,FALSE),"Alerta: Seleccione la celda en la comumna B con el nombre del proyecto")))</f>
        <v>CONC1110</v>
      </c>
      <c r="AN195" s="633" t="s">
        <v>789</v>
      </c>
      <c r="AO195" s="633" t="s">
        <v>124</v>
      </c>
      <c r="AP195" s="634" t="str">
        <f>IFERROR(VLOOKUP(J195,Listas!$A$182:$E$215,5,FALSE),"Alerta: Seleccione la celda en la comumna B con el nombre del proyecto")</f>
        <v>10. Procesos articulados dentro del sistema integrado de gestión.</v>
      </c>
      <c r="AQ195" s="634" t="str">
        <f>IF(J195="Funcionamiento Gastos Generales","No aplica",IF(J195="Funcionamiento Servicios Personales","No aplica",IFERROR(VLOOKUP(J195,Listas!$A$220:$D$224,4,FALSE),"Alerta: Seleccione la celda en la comumna B con el nombre del proyecto")))</f>
        <v>FONT1110</v>
      </c>
      <c r="AR195" s="633" t="s">
        <v>198</v>
      </c>
      <c r="AS195" s="634" t="str">
        <f>IFERROR(VLOOKUP(AU195,Listas!$E$85:$L$105,7,FALSE),"Alerta: Seleccione la celda en la comumna AI con el concepto de gasto")</f>
        <v>05-ADMINISTRACION INSTITUCIONAL</v>
      </c>
      <c r="AT195" s="634" t="str">
        <f>IFERROR(VLOOKUP(AU195,Listas!$E$85:$L$105,8,FALSE),"Alerta: Seleccione la celda en la comumna AI con el concepto de gasto")</f>
        <v>02-ADMINISTRACIÓN, CONTROL Y ORGANIZACIÓN INSTITUCIONAL PARA APOYO A LA GESTIÓN DEL DISTRITO</v>
      </c>
      <c r="AU195" s="633" t="s">
        <v>243</v>
      </c>
      <c r="AV195" s="634">
        <f>IFERROR(VLOOKUP(AU195,Listas!$E$85:$F$105,2,FALSE),"Alerta: Seleccione el Concepto de Gasto primero")</f>
        <v>0</v>
      </c>
      <c r="AW195" s="644">
        <v>38280000</v>
      </c>
      <c r="AX195" s="645"/>
      <c r="AY195" s="645"/>
      <c r="AZ195" s="645"/>
      <c r="BA195" s="646">
        <f t="shared" si="66"/>
        <v>38280000</v>
      </c>
      <c r="BB195" s="647"/>
      <c r="BC195" s="648"/>
      <c r="BD195" s="649"/>
      <c r="BE195" s="647"/>
      <c r="BF195" s="644"/>
      <c r="BG195" s="646">
        <f t="shared" si="67"/>
        <v>38280000</v>
      </c>
      <c r="BH195" s="650"/>
      <c r="BI195" s="647"/>
      <c r="BJ195" s="644"/>
      <c r="BK195" s="646">
        <f t="shared" si="68"/>
        <v>0</v>
      </c>
      <c r="BL195" s="651"/>
      <c r="BM195" s="652">
        <f t="shared" si="69"/>
        <v>1</v>
      </c>
      <c r="BN195" s="628"/>
      <c r="BO195" s="670"/>
      <c r="BP195" s="644"/>
      <c r="BQ195" s="644"/>
      <c r="BR195" s="644"/>
      <c r="BS195" s="644"/>
      <c r="BT195" s="644"/>
      <c r="BU195" s="644"/>
      <c r="BV195" s="644"/>
      <c r="BW195" s="644"/>
      <c r="BX195" s="644"/>
      <c r="BY195" s="644"/>
      <c r="BZ195" s="644"/>
      <c r="CA195" s="644"/>
      <c r="CB195" s="646">
        <f t="shared" si="70"/>
        <v>0</v>
      </c>
      <c r="CC195" s="646">
        <f t="shared" si="71"/>
        <v>0</v>
      </c>
      <c r="CD195" s="614"/>
    </row>
    <row r="196" spans="1:85" s="561" customFormat="1" ht="61.5" customHeight="1">
      <c r="A196" s="625" t="str">
        <f t="shared" si="53"/>
        <v>1110-185-FONT1110-02-03-0114-Adquisición de equipos, materiales y suministros</v>
      </c>
      <c r="B196" s="626" t="str">
        <f t="shared" si="54"/>
        <v>1110-185-FONT1110-02-03-0114</v>
      </c>
      <c r="C196" s="626" t="str">
        <f t="shared" si="55"/>
        <v>1110-185-FONT1110-Adquisición de equipos, materiales y suministros</v>
      </c>
      <c r="D196" s="626" t="str">
        <f t="shared" si="56"/>
        <v>1110-185-12-Otros Distrito-02-03-0114</v>
      </c>
      <c r="E196" s="626" t="str">
        <f t="shared" si="57"/>
        <v>Adquisición de equipos, materiales y suministros-12-Otros Distrito-0114-Adquisición de Equipos, materiales, suministros</v>
      </c>
      <c r="F196" s="627">
        <v>151</v>
      </c>
      <c r="G196" s="628">
        <f t="shared" si="58"/>
        <v>151</v>
      </c>
      <c r="H196" s="629" t="b">
        <f t="shared" si="59"/>
        <v>0</v>
      </c>
      <c r="I196" s="630" t="s">
        <v>594</v>
      </c>
      <c r="J196" s="627" t="s">
        <v>178</v>
      </c>
      <c r="K196" s="631" t="str">
        <f>+IFERROR(VLOOKUP(J196,Listas!$A$108:$B$114,2,FALSE),"Alerta: Seleccione la celda en la comumna B con el nombre del proyecto")</f>
        <v>3-3-1-15-07-42-1110-185</v>
      </c>
      <c r="L196" s="632">
        <v>82121700</v>
      </c>
      <c r="M196" s="633" t="s">
        <v>754</v>
      </c>
      <c r="N196" s="634" t="str">
        <f t="shared" si="60"/>
        <v>(Cód. 151) Contratar el arrendamiento de equipos de impresión para el Instituto Distrital de Patrimonio Cultural, incluido el mantenimiento y soporte técnico preventivo y correctivo programado con suministro de tóner permanente, así como el soporte técnico extraordinario cada vez que se requiera.</v>
      </c>
      <c r="O196" s="635">
        <v>43605</v>
      </c>
      <c r="P196" s="636">
        <f>IFERROR(VLOOKUP(W196,'Estimación CRP'!$D$21:$E$30,2,FALSE),0)</f>
        <v>25</v>
      </c>
      <c r="Q196" s="637">
        <f>IF(O196="No aplica","No aplica",WORKDAY.INTL(O196,P196,1,'Estimación CRP'!A382:A398))</f>
        <v>43640</v>
      </c>
      <c r="R196" s="636">
        <f t="shared" si="61"/>
        <v>6</v>
      </c>
      <c r="S196" s="636">
        <f t="shared" si="62"/>
        <v>5</v>
      </c>
      <c r="T196" s="636">
        <f t="shared" si="63"/>
        <v>5</v>
      </c>
      <c r="U196" s="712">
        <v>7</v>
      </c>
      <c r="V196" s="638">
        <v>1</v>
      </c>
      <c r="W196" s="639" t="s">
        <v>267</v>
      </c>
      <c r="X196" s="640" t="str">
        <f>IFERROR(VLOOKUP(W196,Listas!$A$60:$B$73,2,FALSE),"Alerta: Seleccione primero Modalidad de selección")</f>
        <v>CCE-10</v>
      </c>
      <c r="Y196" s="641">
        <v>0</v>
      </c>
      <c r="Z196" s="641" t="s">
        <v>346</v>
      </c>
      <c r="AA196" s="641" t="s">
        <v>1223</v>
      </c>
      <c r="AB196" s="642">
        <f t="shared" si="64"/>
        <v>15000000</v>
      </c>
      <c r="AC196" s="642">
        <f t="shared" si="65"/>
        <v>15000000</v>
      </c>
      <c r="AD196" s="641">
        <v>0</v>
      </c>
      <c r="AE196" s="643">
        <v>0</v>
      </c>
      <c r="AF196" s="639" t="s">
        <v>276</v>
      </c>
      <c r="AG196" s="639" t="s">
        <v>277</v>
      </c>
      <c r="AH196" s="639" t="s">
        <v>283</v>
      </c>
      <c r="AI196" s="626" t="str">
        <f>IFERROR(VLOOKUP(AH196,Listas!$A$77:$C$83,2,FALSE),"Alerta: Seleccione primero el responsable")</f>
        <v>3550800</v>
      </c>
      <c r="AJ196" s="640" t="str">
        <f>IFERROR(VLOOKUP(AH196,Listas!$A$77:$C$83,3,FALSE),"Alerta: Seleccione primero el responsable")</f>
        <v>juan.acosta@idpc.gov.co</v>
      </c>
      <c r="AK196" s="640" t="str">
        <f>IF(J196="Funcionamiento Gastos Generales","No aplica",IF(J196="Funcionamiento Servicios Personales indirectos","No aplica",IFERROR(VLOOKUP(J196,Listas!$A$127:$E$139,3,FALSE),"Alerta: Seleccione la celda en la comumna B con el nombre del proyecto")))</f>
        <v>ME20181110</v>
      </c>
      <c r="AL196" s="640" t="str">
        <f>IF(J196="Funcionamiento Gastos Generales","No aplica",IF(J196="Funcionamiento Servicios Personales","No aplica",IFERROR(VLOOKUP(J196,Listas!$A$220:$D$224,2,FALSE),"Alerta: Seleccione la celda en la comumna B con el nombre del proyecto")))</f>
        <v>COMP1110</v>
      </c>
      <c r="AM196" s="640" t="str">
        <f>IF(J196="Funcionamiento Gastos Generales","No aplica",IF(J196="Funcionamiento Servicios Personales","No aplica",IFERROR(VLOOKUP(J196,Listas!$A$220:$D$224,3,FALSE),"Alerta: Seleccione la celda en la comumna B con el nombre del proyecto")))</f>
        <v>CONC1110</v>
      </c>
      <c r="AN196" s="633" t="s">
        <v>789</v>
      </c>
      <c r="AO196" s="633" t="s">
        <v>104</v>
      </c>
      <c r="AP196" s="634" t="str">
        <f>IFERROR(VLOOKUP(J196,Listas!$A$182:$E$215,5,FALSE),"Alerta: Seleccione la celda en la comumna B con el nombre del proyecto")</f>
        <v>10. Procesos articulados dentro del sistema integrado de gestión.</v>
      </c>
      <c r="AQ196" s="634" t="str">
        <f>IF(J196="Funcionamiento Gastos Generales","No aplica",IF(J196="Funcionamiento Servicios Personales","No aplica",IFERROR(VLOOKUP(J196,Listas!$A$220:$D$224,4,FALSE),"Alerta: Seleccione la celda en la comumna B con el nombre del proyecto")))</f>
        <v>FONT1110</v>
      </c>
      <c r="AR196" s="633" t="s">
        <v>198</v>
      </c>
      <c r="AS196" s="634" t="str">
        <f>IFERROR(VLOOKUP(AU196,Listas!$E$85:$L$105,7,FALSE),"Alerta: Seleccione la celda en la comumna AI con el concepto de gasto")</f>
        <v>02-DOTACION</v>
      </c>
      <c r="AT196" s="634" t="str">
        <f>IFERROR(VLOOKUP(AU196,Listas!$E$85:$L$105,8,FALSE),"Alerta: Seleccione la celda en la comumna AI con el concepto de gasto")</f>
        <v>03-ADQUISICIÓN DE EQUIPOS, MATERIALES, SUMINISTROS Y SERVICIOS ADMISTRATIVOS</v>
      </c>
      <c r="AU196" s="633" t="s">
        <v>239</v>
      </c>
      <c r="AV196" s="634">
        <f>IFERROR(VLOOKUP(AU196,Listas!$E$85:$F$105,2,FALSE),"Alerta: Seleccione el Concepto de Gasto primero")</f>
        <v>0</v>
      </c>
      <c r="AW196" s="644">
        <v>15000000</v>
      </c>
      <c r="AX196" s="645"/>
      <c r="AY196" s="645"/>
      <c r="AZ196" s="645"/>
      <c r="BA196" s="646">
        <f t="shared" si="66"/>
        <v>15000000</v>
      </c>
      <c r="BB196" s="647"/>
      <c r="BC196" s="648"/>
      <c r="BD196" s="649"/>
      <c r="BE196" s="647"/>
      <c r="BF196" s="644"/>
      <c r="BG196" s="646">
        <f t="shared" si="67"/>
        <v>15000000</v>
      </c>
      <c r="BH196" s="650"/>
      <c r="BI196" s="647"/>
      <c r="BJ196" s="644"/>
      <c r="BK196" s="646">
        <f t="shared" si="68"/>
        <v>0</v>
      </c>
      <c r="BL196" s="651"/>
      <c r="BM196" s="652">
        <f t="shared" si="69"/>
        <v>1</v>
      </c>
      <c r="BN196" s="628"/>
      <c r="BO196" s="670"/>
      <c r="BP196" s="644"/>
      <c r="BQ196" s="644"/>
      <c r="BR196" s="644"/>
      <c r="BS196" s="644"/>
      <c r="BT196" s="644"/>
      <c r="BU196" s="644"/>
      <c r="BV196" s="644"/>
      <c r="BW196" s="644"/>
      <c r="BX196" s="644"/>
      <c r="BY196" s="644"/>
      <c r="BZ196" s="644"/>
      <c r="CA196" s="644"/>
      <c r="CB196" s="646">
        <f t="shared" si="70"/>
        <v>0</v>
      </c>
      <c r="CC196" s="646">
        <f t="shared" si="71"/>
        <v>0</v>
      </c>
      <c r="CD196" s="614"/>
    </row>
    <row r="197" spans="1:85" s="561" customFormat="1" ht="61.5" customHeight="1">
      <c r="A197" s="625" t="str">
        <f t="shared" si="53"/>
        <v>1110-185-FONT1110-05-02-0020-Personal de apoyo transversal a la gestión institucional</v>
      </c>
      <c r="B197" s="626" t="str">
        <f t="shared" si="54"/>
        <v>1110-185-FONT1110-05-02-0020</v>
      </c>
      <c r="C197" s="626" t="str">
        <f t="shared" si="55"/>
        <v>1110-185-FONT1110-Personal de apoyo transversal a la gestión institucional</v>
      </c>
      <c r="D197" s="626" t="str">
        <f t="shared" si="56"/>
        <v>1110-185-12-Otros Distrito-05-02-0020</v>
      </c>
      <c r="E197" s="626" t="str">
        <f t="shared" si="57"/>
        <v>Personal de apoyo transversal a la gestión institucional-12-Otros Distrito-0020-Personal contratado para las actividades propias de los procesos de mejoramiento de gestión de la entidad</v>
      </c>
      <c r="F197" s="627">
        <v>152</v>
      </c>
      <c r="G197" s="628">
        <f t="shared" si="58"/>
        <v>152</v>
      </c>
      <c r="H197" s="629" t="b">
        <f t="shared" si="59"/>
        <v>0</v>
      </c>
      <c r="I197" s="630" t="s">
        <v>594</v>
      </c>
      <c r="J197" s="627" t="s">
        <v>178</v>
      </c>
      <c r="K197" s="631" t="str">
        <f>+IFERROR(VLOOKUP(J197,Listas!$A$108:$B$114,2,FALSE),"Alerta: Seleccione la celda en la comumna B con el nombre del proyecto")</f>
        <v>3-3-1-15-07-42-1110-185</v>
      </c>
      <c r="L197" s="632">
        <v>80111600</v>
      </c>
      <c r="M197" s="633" t="s">
        <v>1354</v>
      </c>
      <c r="N197" s="634" t="str">
        <f t="shared" si="60"/>
        <v>(Cód. 152) Prestar servicios profesionales al Instituto Distrital de Patrimonio Cultural, en las actividades de la asesoría de Control Interno incluidas en el Plan Anual de Auditorias.</v>
      </c>
      <c r="O197" s="635">
        <v>43480</v>
      </c>
      <c r="P197" s="636">
        <f>IFERROR(VLOOKUP(W197,'Estimación CRP'!$D$21:$E$30,2,FALSE),0)</f>
        <v>10</v>
      </c>
      <c r="Q197" s="637">
        <f>IF(O197="No aplica","No aplica",WORKDAY.INTL(O197,P197,1,'Estimación CRP'!A383:A399))</f>
        <v>43494</v>
      </c>
      <c r="R197" s="636">
        <f t="shared" si="61"/>
        <v>1</v>
      </c>
      <c r="S197" s="636">
        <f t="shared" si="62"/>
        <v>1</v>
      </c>
      <c r="T197" s="636">
        <f t="shared" si="63"/>
        <v>1</v>
      </c>
      <c r="U197" s="712">
        <v>11</v>
      </c>
      <c r="V197" s="638">
        <v>1</v>
      </c>
      <c r="W197" s="639" t="s">
        <v>274</v>
      </c>
      <c r="X197" s="640" t="str">
        <f>IFERROR(VLOOKUP(W197,Listas!$A$60:$B$73,2,FALSE),"Alerta: Seleccione primero Modalidad de selección")</f>
        <v>CCE-16</v>
      </c>
      <c r="Y197" s="641">
        <v>0</v>
      </c>
      <c r="Z197" s="641" t="s">
        <v>346</v>
      </c>
      <c r="AA197" s="641" t="s">
        <v>1224</v>
      </c>
      <c r="AB197" s="642">
        <f t="shared" si="64"/>
        <v>74800000</v>
      </c>
      <c r="AC197" s="642">
        <f t="shared" si="65"/>
        <v>74800000</v>
      </c>
      <c r="AD197" s="641">
        <v>0</v>
      </c>
      <c r="AE197" s="643">
        <v>0</v>
      </c>
      <c r="AF197" s="639" t="s">
        <v>276</v>
      </c>
      <c r="AG197" s="639" t="s">
        <v>277</v>
      </c>
      <c r="AH197" s="639" t="s">
        <v>283</v>
      </c>
      <c r="AI197" s="626" t="str">
        <f>IFERROR(VLOOKUP(AH197,Listas!$A$77:$C$83,2,FALSE),"Alerta: Seleccione primero el responsable")</f>
        <v>3550800</v>
      </c>
      <c r="AJ197" s="640" t="str">
        <f>IFERROR(VLOOKUP(AH197,Listas!$A$77:$C$83,3,FALSE),"Alerta: Seleccione primero el responsable")</f>
        <v>juan.acosta@idpc.gov.co</v>
      </c>
      <c r="AK197" s="640" t="str">
        <f>IF(J197="Funcionamiento Gastos Generales","No aplica",IF(J197="Funcionamiento Servicios Personales indirectos","No aplica",IFERROR(VLOOKUP(J197,Listas!$A$127:$E$139,3,FALSE),"Alerta: Seleccione la celda en la comumna B con el nombre del proyecto")))</f>
        <v>ME20181110</v>
      </c>
      <c r="AL197" s="640" t="str">
        <f>IF(J197="Funcionamiento Gastos Generales","No aplica",IF(J197="Funcionamiento Servicios Personales","No aplica",IFERROR(VLOOKUP(J197,Listas!$A$220:$D$224,2,FALSE),"Alerta: Seleccione la celda en la comumna B con el nombre del proyecto")))</f>
        <v>COMP1110</v>
      </c>
      <c r="AM197" s="640" t="str">
        <f>IF(J197="Funcionamiento Gastos Generales","No aplica",IF(J197="Funcionamiento Servicios Personales","No aplica",IFERROR(VLOOKUP(J197,Listas!$A$220:$D$224,3,FALSE),"Alerta: Seleccione la celda en la comumna B con el nombre del proyecto")))</f>
        <v>CONC1110</v>
      </c>
      <c r="AN197" s="633" t="s">
        <v>789</v>
      </c>
      <c r="AO197" s="633" t="s">
        <v>124</v>
      </c>
      <c r="AP197" s="634" t="str">
        <f>IFERROR(VLOOKUP(J197,Listas!$A$182:$E$215,5,FALSE),"Alerta: Seleccione la celda en la comumna B con el nombre del proyecto")</f>
        <v>10. Procesos articulados dentro del sistema integrado de gestión.</v>
      </c>
      <c r="AQ197" s="634" t="str">
        <f>IF(J197="Funcionamiento Gastos Generales","No aplica",IF(J197="Funcionamiento Servicios Personales","No aplica",IFERROR(VLOOKUP(J197,Listas!$A$220:$D$224,4,FALSE),"Alerta: Seleccione la celda en la comumna B con el nombre del proyecto")))</f>
        <v>FONT1110</v>
      </c>
      <c r="AR197" s="633" t="s">
        <v>198</v>
      </c>
      <c r="AS197" s="634" t="str">
        <f>IFERROR(VLOOKUP(AU197,Listas!$E$85:$L$105,7,FALSE),"Alerta: Seleccione la celda en la comumna AI con el concepto de gasto")</f>
        <v>05-ADMINISTRACION INSTITUCIONAL</v>
      </c>
      <c r="AT197" s="634" t="str">
        <f>IFERROR(VLOOKUP(AU197,Listas!$E$85:$L$105,8,FALSE),"Alerta: Seleccione la celda en la comumna AI con el concepto de gasto")</f>
        <v>02-ADMINISTRACIÓN, CONTROL Y ORGANIZACIÓN INSTITUCIONAL PARA APOYO A LA GESTIÓN DEL DISTRITO</v>
      </c>
      <c r="AU197" s="633" t="s">
        <v>243</v>
      </c>
      <c r="AV197" s="634">
        <f>IFERROR(VLOOKUP(AU197,Listas!$E$85:$F$105,2,FALSE),"Alerta: Seleccione el Concepto de Gasto primero")</f>
        <v>0</v>
      </c>
      <c r="AW197" s="644">
        <v>74800000</v>
      </c>
      <c r="AX197" s="645"/>
      <c r="AY197" s="645"/>
      <c r="AZ197" s="645"/>
      <c r="BA197" s="646">
        <f t="shared" si="66"/>
        <v>74800000</v>
      </c>
      <c r="BB197" s="647"/>
      <c r="BC197" s="648"/>
      <c r="BD197" s="649"/>
      <c r="BE197" s="647"/>
      <c r="BF197" s="644"/>
      <c r="BG197" s="646">
        <f t="shared" si="67"/>
        <v>74800000</v>
      </c>
      <c r="BH197" s="650"/>
      <c r="BI197" s="647"/>
      <c r="BJ197" s="644"/>
      <c r="BK197" s="646">
        <f t="shared" si="68"/>
        <v>0</v>
      </c>
      <c r="BL197" s="651"/>
      <c r="BM197" s="652">
        <f t="shared" si="69"/>
        <v>1</v>
      </c>
      <c r="BN197" s="628"/>
      <c r="BO197" s="670"/>
      <c r="BP197" s="644"/>
      <c r="BQ197" s="644"/>
      <c r="BR197" s="644"/>
      <c r="BS197" s="644"/>
      <c r="BT197" s="644"/>
      <c r="BU197" s="644"/>
      <c r="BV197" s="644"/>
      <c r="BW197" s="644"/>
      <c r="BX197" s="644"/>
      <c r="BY197" s="644"/>
      <c r="BZ197" s="644"/>
      <c r="CA197" s="644"/>
      <c r="CB197" s="646">
        <f t="shared" si="70"/>
        <v>0</v>
      </c>
      <c r="CC197" s="646">
        <f t="shared" si="71"/>
        <v>0</v>
      </c>
      <c r="CD197" s="614"/>
    </row>
    <row r="198" spans="1:85" s="561" customFormat="1" ht="61.5" customHeight="1">
      <c r="A198" s="625" t="str">
        <f t="shared" si="53"/>
        <v>1110-185-FONT1110-05-02-0020-Personal de apoyo transversal a la gestión institucional</v>
      </c>
      <c r="B198" s="626" t="str">
        <f t="shared" si="54"/>
        <v>1110-185-FONT1110-05-02-0020</v>
      </c>
      <c r="C198" s="626" t="str">
        <f t="shared" si="55"/>
        <v>1110-185-FONT1110-Personal de apoyo transversal a la gestión institucional</v>
      </c>
      <c r="D198" s="626" t="str">
        <f t="shared" si="56"/>
        <v>1110-185-12-Otros Distrito-05-02-0020</v>
      </c>
      <c r="E198" s="626" t="str">
        <f t="shared" si="57"/>
        <v>Personal de apoyo transversal a la gestión institucional-12-Otros Distrito-0020-Personal contratado para las actividades propias de los procesos de mejoramiento de gestión de la entidad</v>
      </c>
      <c r="F198" s="627">
        <v>153</v>
      </c>
      <c r="G198" s="628">
        <f t="shared" si="58"/>
        <v>153</v>
      </c>
      <c r="H198" s="629" t="b">
        <f t="shared" si="59"/>
        <v>0</v>
      </c>
      <c r="I198" s="630" t="s">
        <v>594</v>
      </c>
      <c r="J198" s="627" t="s">
        <v>178</v>
      </c>
      <c r="K198" s="631" t="str">
        <f>+IFERROR(VLOOKUP(J198,Listas!$A$108:$B$114,2,FALSE),"Alerta: Seleccione la celda en la comumna B con el nombre del proyecto")</f>
        <v>3-3-1-15-07-42-1110-185</v>
      </c>
      <c r="L198" s="632">
        <v>80111600</v>
      </c>
      <c r="M198" s="633" t="s">
        <v>755</v>
      </c>
      <c r="N198" s="634" t="str">
        <f t="shared" si="60"/>
        <v>(Cód. 153) Prestar servicios profesionales al Instituto Distrital de Patrimonio Cultural para apoyar jurídicamente la proyección y trámites de documentos precontractuales requeridos por la Subdirección de Gestión Corporativa.</v>
      </c>
      <c r="O198" s="635">
        <v>43480</v>
      </c>
      <c r="P198" s="636">
        <f>IFERROR(VLOOKUP(W198,'Estimación CRP'!$D$21:$E$30,2,FALSE),0)</f>
        <v>10</v>
      </c>
      <c r="Q198" s="637">
        <f>IF(O198="No aplica","No aplica",WORKDAY.INTL(O198,P198,1,'Estimación CRP'!A384:A400))</f>
        <v>43494</v>
      </c>
      <c r="R198" s="636">
        <f t="shared" si="61"/>
        <v>1</v>
      </c>
      <c r="S198" s="636">
        <f t="shared" si="62"/>
        <v>1</v>
      </c>
      <c r="T198" s="636">
        <f t="shared" si="63"/>
        <v>1</v>
      </c>
      <c r="U198" s="712">
        <v>11</v>
      </c>
      <c r="V198" s="638">
        <v>1</v>
      </c>
      <c r="W198" s="639" t="s">
        <v>274</v>
      </c>
      <c r="X198" s="640" t="str">
        <f>IFERROR(VLOOKUP(W198,Listas!$A$60:$B$73,2,FALSE),"Alerta: Seleccione primero Modalidad de selección")</f>
        <v>CCE-16</v>
      </c>
      <c r="Y198" s="641">
        <v>0</v>
      </c>
      <c r="Z198" s="641" t="s">
        <v>346</v>
      </c>
      <c r="AA198" s="641" t="s">
        <v>1225</v>
      </c>
      <c r="AB198" s="642">
        <f t="shared" si="64"/>
        <v>41030000</v>
      </c>
      <c r="AC198" s="642">
        <f t="shared" si="65"/>
        <v>41030000</v>
      </c>
      <c r="AD198" s="641">
        <v>0</v>
      </c>
      <c r="AE198" s="643">
        <v>0</v>
      </c>
      <c r="AF198" s="639" t="s">
        <v>276</v>
      </c>
      <c r="AG198" s="639" t="s">
        <v>277</v>
      </c>
      <c r="AH198" s="639" t="s">
        <v>283</v>
      </c>
      <c r="AI198" s="626" t="str">
        <f>IFERROR(VLOOKUP(AH198,Listas!$A$77:$C$83,2,FALSE),"Alerta: Seleccione primero el responsable")</f>
        <v>3550800</v>
      </c>
      <c r="AJ198" s="640" t="str">
        <f>IFERROR(VLOOKUP(AH198,Listas!$A$77:$C$83,3,FALSE),"Alerta: Seleccione primero el responsable")</f>
        <v>juan.acosta@idpc.gov.co</v>
      </c>
      <c r="AK198" s="640" t="str">
        <f>IF(J198="Funcionamiento Gastos Generales","No aplica",IF(J198="Funcionamiento Servicios Personales indirectos","No aplica",IFERROR(VLOOKUP(J198,Listas!$A$127:$E$139,3,FALSE),"Alerta: Seleccione la celda en la comumna B con el nombre del proyecto")))</f>
        <v>ME20181110</v>
      </c>
      <c r="AL198" s="640" t="str">
        <f>IF(J198="Funcionamiento Gastos Generales","No aplica",IF(J198="Funcionamiento Servicios Personales","No aplica",IFERROR(VLOOKUP(J198,Listas!$A$220:$D$224,2,FALSE),"Alerta: Seleccione la celda en la comumna B con el nombre del proyecto")))</f>
        <v>COMP1110</v>
      </c>
      <c r="AM198" s="640" t="str">
        <f>IF(J198="Funcionamiento Gastos Generales","No aplica",IF(J198="Funcionamiento Servicios Personales","No aplica",IFERROR(VLOOKUP(J198,Listas!$A$220:$D$224,3,FALSE),"Alerta: Seleccione la celda en la comumna B con el nombre del proyecto")))</f>
        <v>CONC1110</v>
      </c>
      <c r="AN198" s="633" t="s">
        <v>789</v>
      </c>
      <c r="AO198" s="633" t="s">
        <v>124</v>
      </c>
      <c r="AP198" s="634" t="str">
        <f>IFERROR(VLOOKUP(J198,Listas!$A$182:$E$215,5,FALSE),"Alerta: Seleccione la celda en la comumna B con el nombre del proyecto")</f>
        <v>10. Procesos articulados dentro del sistema integrado de gestión.</v>
      </c>
      <c r="AQ198" s="634" t="str">
        <f>IF(J198="Funcionamiento Gastos Generales","No aplica",IF(J198="Funcionamiento Servicios Personales","No aplica",IFERROR(VLOOKUP(J198,Listas!$A$220:$D$224,4,FALSE),"Alerta: Seleccione la celda en la comumna B con el nombre del proyecto")))</f>
        <v>FONT1110</v>
      </c>
      <c r="AR198" s="633" t="s">
        <v>198</v>
      </c>
      <c r="AS198" s="634" t="str">
        <f>IFERROR(VLOOKUP(AU198,Listas!$E$85:$L$105,7,FALSE),"Alerta: Seleccione la celda en la comumna AI con el concepto de gasto")</f>
        <v>05-ADMINISTRACION INSTITUCIONAL</v>
      </c>
      <c r="AT198" s="634" t="str">
        <f>IFERROR(VLOOKUP(AU198,Listas!$E$85:$L$105,8,FALSE),"Alerta: Seleccione la celda en la comumna AI con el concepto de gasto")</f>
        <v>02-ADMINISTRACIÓN, CONTROL Y ORGANIZACIÓN INSTITUCIONAL PARA APOYO A LA GESTIÓN DEL DISTRITO</v>
      </c>
      <c r="AU198" s="633" t="s">
        <v>243</v>
      </c>
      <c r="AV198" s="634">
        <f>IFERROR(VLOOKUP(AU198,Listas!$E$85:$F$105,2,FALSE),"Alerta: Seleccione el Concepto de Gasto primero")</f>
        <v>0</v>
      </c>
      <c r="AW198" s="644">
        <v>41030000</v>
      </c>
      <c r="AX198" s="645"/>
      <c r="AY198" s="645"/>
      <c r="AZ198" s="645"/>
      <c r="BA198" s="646">
        <f t="shared" si="66"/>
        <v>41030000</v>
      </c>
      <c r="BB198" s="647"/>
      <c r="BC198" s="648"/>
      <c r="BD198" s="649"/>
      <c r="BE198" s="647"/>
      <c r="BF198" s="644"/>
      <c r="BG198" s="646">
        <f t="shared" si="67"/>
        <v>41030000</v>
      </c>
      <c r="BH198" s="650"/>
      <c r="BI198" s="647"/>
      <c r="BJ198" s="644"/>
      <c r="BK198" s="646">
        <f t="shared" si="68"/>
        <v>0</v>
      </c>
      <c r="BL198" s="651"/>
      <c r="BM198" s="652">
        <f t="shared" si="69"/>
        <v>1</v>
      </c>
      <c r="BN198" s="628"/>
      <c r="BO198" s="670"/>
      <c r="BP198" s="644"/>
      <c r="BQ198" s="644"/>
      <c r="BR198" s="644"/>
      <c r="BS198" s="644"/>
      <c r="BT198" s="644"/>
      <c r="BU198" s="644"/>
      <c r="BV198" s="644"/>
      <c r="BW198" s="644"/>
      <c r="BX198" s="644"/>
      <c r="BY198" s="644"/>
      <c r="BZ198" s="644"/>
      <c r="CA198" s="644"/>
      <c r="CB198" s="646">
        <f t="shared" si="70"/>
        <v>0</v>
      </c>
      <c r="CC198" s="646">
        <f t="shared" si="71"/>
        <v>0</v>
      </c>
      <c r="CD198" s="614"/>
    </row>
    <row r="199" spans="1:85" s="561" customFormat="1" ht="61.5" customHeight="1">
      <c r="A199" s="625" t="str">
        <f t="shared" si="53"/>
        <v>1110-185-FONT1110-05-02-0020-Personal de apoyo transversal a la gestión institucional</v>
      </c>
      <c r="B199" s="626" t="str">
        <f t="shared" si="54"/>
        <v>1110-185-FONT1110-05-02-0020</v>
      </c>
      <c r="C199" s="626" t="str">
        <f t="shared" si="55"/>
        <v>1110-185-FONT1110-Personal de apoyo transversal a la gestión institucional</v>
      </c>
      <c r="D199" s="626" t="str">
        <f t="shared" si="56"/>
        <v>1110-185-12-Otros Distrito-05-02-0020</v>
      </c>
      <c r="E199" s="626" t="str">
        <f t="shared" si="57"/>
        <v>Personal de apoyo transversal a la gestión institucional-12-Otros Distrito-0020-Personal contratado para las actividades propias de los procesos de mejoramiento de gestión de la entidad</v>
      </c>
      <c r="F199" s="627">
        <v>154</v>
      </c>
      <c r="G199" s="628">
        <f t="shared" si="58"/>
        <v>154</v>
      </c>
      <c r="H199" s="629" t="b">
        <f t="shared" si="59"/>
        <v>0</v>
      </c>
      <c r="I199" s="630" t="s">
        <v>594</v>
      </c>
      <c r="J199" s="627" t="s">
        <v>178</v>
      </c>
      <c r="K199" s="631" t="str">
        <f>+IFERROR(VLOOKUP(J199,Listas!$A$108:$B$114,2,FALSE),"Alerta: Seleccione la celda en la comumna B con el nombre del proyecto")</f>
        <v>3-3-1-15-07-42-1110-185</v>
      </c>
      <c r="L199" s="632">
        <v>80111600</v>
      </c>
      <c r="M199" s="633" t="s">
        <v>756</v>
      </c>
      <c r="N199" s="634" t="str">
        <f t="shared" si="60"/>
        <v>(Cód. 154) Prestar servicios profesionales al Instituto Distrital de Patrimonio Cultural en las actividades relacionadas con la gestión financiera y presupuestal de la entidad.</v>
      </c>
      <c r="O199" s="635">
        <v>43480</v>
      </c>
      <c r="P199" s="636">
        <f>IFERROR(VLOOKUP(W199,'Estimación CRP'!$D$21:$E$30,2,FALSE),0)</f>
        <v>10</v>
      </c>
      <c r="Q199" s="637">
        <f>IF(O199="No aplica","No aplica",WORKDAY.INTL(O199,P199,1,'Estimación CRP'!A385:A401))</f>
        <v>43494</v>
      </c>
      <c r="R199" s="636">
        <f t="shared" si="61"/>
        <v>1</v>
      </c>
      <c r="S199" s="636">
        <f t="shared" si="62"/>
        <v>1</v>
      </c>
      <c r="T199" s="636">
        <f t="shared" si="63"/>
        <v>1</v>
      </c>
      <c r="U199" s="712">
        <v>11</v>
      </c>
      <c r="V199" s="638">
        <v>1</v>
      </c>
      <c r="W199" s="639" t="s">
        <v>274</v>
      </c>
      <c r="X199" s="640" t="str">
        <f>IFERROR(VLOOKUP(W199,Listas!$A$60:$B$73,2,FALSE),"Alerta: Seleccione primero Modalidad de selección")</f>
        <v>CCE-16</v>
      </c>
      <c r="Y199" s="641">
        <v>0</v>
      </c>
      <c r="Z199" s="641" t="s">
        <v>346</v>
      </c>
      <c r="AA199" s="641" t="s">
        <v>1226</v>
      </c>
      <c r="AB199" s="642">
        <f t="shared" si="64"/>
        <v>40700000</v>
      </c>
      <c r="AC199" s="642">
        <f t="shared" si="65"/>
        <v>40700000</v>
      </c>
      <c r="AD199" s="641">
        <v>0</v>
      </c>
      <c r="AE199" s="643">
        <v>0</v>
      </c>
      <c r="AF199" s="639" t="s">
        <v>276</v>
      </c>
      <c r="AG199" s="639" t="s">
        <v>277</v>
      </c>
      <c r="AH199" s="639" t="s">
        <v>283</v>
      </c>
      <c r="AI199" s="626" t="str">
        <f>IFERROR(VLOOKUP(AH199,Listas!$A$77:$C$83,2,FALSE),"Alerta: Seleccione primero el responsable")</f>
        <v>3550800</v>
      </c>
      <c r="AJ199" s="640" t="str">
        <f>IFERROR(VLOOKUP(AH199,Listas!$A$77:$C$83,3,FALSE),"Alerta: Seleccione primero el responsable")</f>
        <v>juan.acosta@idpc.gov.co</v>
      </c>
      <c r="AK199" s="640" t="str">
        <f>IF(J199="Funcionamiento Gastos Generales","No aplica",IF(J199="Funcionamiento Servicios Personales indirectos","No aplica",IFERROR(VLOOKUP(J199,Listas!$A$127:$E$139,3,FALSE),"Alerta: Seleccione la celda en la comumna B con el nombre del proyecto")))</f>
        <v>ME20181110</v>
      </c>
      <c r="AL199" s="640" t="str">
        <f>IF(J199="Funcionamiento Gastos Generales","No aplica",IF(J199="Funcionamiento Servicios Personales","No aplica",IFERROR(VLOOKUP(J199,Listas!$A$220:$D$224,2,FALSE),"Alerta: Seleccione la celda en la comumna B con el nombre del proyecto")))</f>
        <v>COMP1110</v>
      </c>
      <c r="AM199" s="640" t="str">
        <f>IF(J199="Funcionamiento Gastos Generales","No aplica",IF(J199="Funcionamiento Servicios Personales","No aplica",IFERROR(VLOOKUP(J199,Listas!$A$220:$D$224,3,FALSE),"Alerta: Seleccione la celda en la comumna B con el nombre del proyecto")))</f>
        <v>CONC1110</v>
      </c>
      <c r="AN199" s="633" t="s">
        <v>789</v>
      </c>
      <c r="AO199" s="633" t="s">
        <v>124</v>
      </c>
      <c r="AP199" s="634" t="str">
        <f>IFERROR(VLOOKUP(J199,Listas!$A$182:$E$215,5,FALSE),"Alerta: Seleccione la celda en la comumna B con el nombre del proyecto")</f>
        <v>10. Procesos articulados dentro del sistema integrado de gestión.</v>
      </c>
      <c r="AQ199" s="634" t="str">
        <f>IF(J199="Funcionamiento Gastos Generales","No aplica",IF(J199="Funcionamiento Servicios Personales","No aplica",IFERROR(VLOOKUP(J199,Listas!$A$220:$D$224,4,FALSE),"Alerta: Seleccione la celda en la comumna B con el nombre del proyecto")))</f>
        <v>FONT1110</v>
      </c>
      <c r="AR199" s="633" t="s">
        <v>198</v>
      </c>
      <c r="AS199" s="634" t="str">
        <f>IFERROR(VLOOKUP(AU199,Listas!$E$85:$L$105,7,FALSE),"Alerta: Seleccione la celda en la comumna AI con el concepto de gasto")</f>
        <v>05-ADMINISTRACION INSTITUCIONAL</v>
      </c>
      <c r="AT199" s="634" t="str">
        <f>IFERROR(VLOOKUP(AU199,Listas!$E$85:$L$105,8,FALSE),"Alerta: Seleccione la celda en la comumna AI con el concepto de gasto")</f>
        <v>02-ADMINISTRACIÓN, CONTROL Y ORGANIZACIÓN INSTITUCIONAL PARA APOYO A LA GESTIÓN DEL DISTRITO</v>
      </c>
      <c r="AU199" s="633" t="s">
        <v>243</v>
      </c>
      <c r="AV199" s="634">
        <f>IFERROR(VLOOKUP(AU199,Listas!$E$85:$F$105,2,FALSE),"Alerta: Seleccione el Concepto de Gasto primero")</f>
        <v>0</v>
      </c>
      <c r="AW199" s="644">
        <v>40700000</v>
      </c>
      <c r="AX199" s="645"/>
      <c r="AY199" s="645"/>
      <c r="AZ199" s="645"/>
      <c r="BA199" s="646">
        <f t="shared" si="66"/>
        <v>40700000</v>
      </c>
      <c r="BB199" s="647"/>
      <c r="BC199" s="648"/>
      <c r="BD199" s="649"/>
      <c r="BE199" s="647"/>
      <c r="BF199" s="644"/>
      <c r="BG199" s="646">
        <f t="shared" si="67"/>
        <v>40700000</v>
      </c>
      <c r="BH199" s="650"/>
      <c r="BI199" s="647"/>
      <c r="BJ199" s="644"/>
      <c r="BK199" s="646">
        <f t="shared" si="68"/>
        <v>0</v>
      </c>
      <c r="BL199" s="651"/>
      <c r="BM199" s="652">
        <f t="shared" si="69"/>
        <v>1</v>
      </c>
      <c r="BN199" s="628"/>
      <c r="BO199" s="670"/>
      <c r="BP199" s="644"/>
      <c r="BQ199" s="644"/>
      <c r="BR199" s="644"/>
      <c r="BS199" s="644"/>
      <c r="BT199" s="644"/>
      <c r="BU199" s="644"/>
      <c r="BV199" s="644"/>
      <c r="BW199" s="644"/>
      <c r="BX199" s="644"/>
      <c r="BY199" s="644"/>
      <c r="BZ199" s="644"/>
      <c r="CA199" s="644"/>
      <c r="CB199" s="646">
        <f t="shared" si="70"/>
        <v>0</v>
      </c>
      <c r="CC199" s="646">
        <f t="shared" si="71"/>
        <v>0</v>
      </c>
      <c r="CD199" s="614"/>
    </row>
    <row r="200" spans="1:85" s="561" customFormat="1" ht="61.5" customHeight="1">
      <c r="A200" s="625" t="str">
        <f t="shared" si="53"/>
        <v>1110-185-FONT1110-05-02-0020-Personal de apoyo transversal a la gestión institucional</v>
      </c>
      <c r="B200" s="626" t="str">
        <f t="shared" si="54"/>
        <v>1110-185-FONT1110-05-02-0020</v>
      </c>
      <c r="C200" s="626" t="str">
        <f t="shared" si="55"/>
        <v>1110-185-FONT1110-Personal de apoyo transversal a la gestión institucional</v>
      </c>
      <c r="D200" s="626" t="str">
        <f t="shared" si="56"/>
        <v>1110-185-12-Otros Distrito-05-02-0020</v>
      </c>
      <c r="E200" s="626" t="str">
        <f t="shared" si="57"/>
        <v>Personal de apoyo transversal a la gestión institucional-12-Otros Distrito-0020-Personal contratado para las actividades propias de los procesos de mejoramiento de gestión de la entidad</v>
      </c>
      <c r="F200" s="627">
        <v>155</v>
      </c>
      <c r="G200" s="628">
        <f t="shared" si="58"/>
        <v>155</v>
      </c>
      <c r="H200" s="629" t="b">
        <f t="shared" si="59"/>
        <v>0</v>
      </c>
      <c r="I200" s="630" t="s">
        <v>594</v>
      </c>
      <c r="J200" s="627" t="s">
        <v>178</v>
      </c>
      <c r="K200" s="631" t="str">
        <f>+IFERROR(VLOOKUP(J200,Listas!$A$108:$B$114,2,FALSE),"Alerta: Seleccione la celda en la comumna B con el nombre del proyecto")</f>
        <v>3-3-1-15-07-42-1110-185</v>
      </c>
      <c r="L200" s="632">
        <v>80111600</v>
      </c>
      <c r="M200" s="633" t="s">
        <v>757</v>
      </c>
      <c r="N200" s="634" t="str">
        <f t="shared" si="60"/>
        <v>(Cód. 155) Prestar servicios profesionales al Instituto Distrital de Patrimonio Cultural para realizar el soporte, mantenimiento, actualización y desarrollo de la plataforma del sistema de gestión ORFEO.</v>
      </c>
      <c r="O200" s="635">
        <v>43480</v>
      </c>
      <c r="P200" s="636">
        <f>IFERROR(VLOOKUP(W200,'Estimación CRP'!$D$21:$E$30,2,FALSE),0)</f>
        <v>10</v>
      </c>
      <c r="Q200" s="637">
        <f>IF(O200="No aplica","No aplica",WORKDAY.INTL(O200,P200,1,'Estimación CRP'!A386:A402))</f>
        <v>43494</v>
      </c>
      <c r="R200" s="636">
        <f t="shared" si="61"/>
        <v>1</v>
      </c>
      <c r="S200" s="636">
        <f t="shared" si="62"/>
        <v>1</v>
      </c>
      <c r="T200" s="636">
        <f t="shared" si="63"/>
        <v>1</v>
      </c>
      <c r="U200" s="712">
        <v>11</v>
      </c>
      <c r="V200" s="638">
        <v>1</v>
      </c>
      <c r="W200" s="639" t="s">
        <v>274</v>
      </c>
      <c r="X200" s="640" t="str">
        <f>IFERROR(VLOOKUP(W200,Listas!$A$60:$B$73,2,FALSE),"Alerta: Seleccione primero Modalidad de selección")</f>
        <v>CCE-16</v>
      </c>
      <c r="Y200" s="641">
        <v>0</v>
      </c>
      <c r="Z200" s="641" t="s">
        <v>346</v>
      </c>
      <c r="AA200" s="641" t="s">
        <v>1227</v>
      </c>
      <c r="AB200" s="642">
        <f t="shared" si="64"/>
        <v>55000000</v>
      </c>
      <c r="AC200" s="642">
        <f t="shared" si="65"/>
        <v>55000000</v>
      </c>
      <c r="AD200" s="641">
        <v>0</v>
      </c>
      <c r="AE200" s="643">
        <v>0</v>
      </c>
      <c r="AF200" s="639" t="s">
        <v>276</v>
      </c>
      <c r="AG200" s="639" t="s">
        <v>277</v>
      </c>
      <c r="AH200" s="639" t="s">
        <v>283</v>
      </c>
      <c r="AI200" s="626" t="str">
        <f>IFERROR(VLOOKUP(AH200,Listas!$A$77:$C$83,2,FALSE),"Alerta: Seleccione primero el responsable")</f>
        <v>3550800</v>
      </c>
      <c r="AJ200" s="640" t="str">
        <f>IFERROR(VLOOKUP(AH200,Listas!$A$77:$C$83,3,FALSE),"Alerta: Seleccione primero el responsable")</f>
        <v>juan.acosta@idpc.gov.co</v>
      </c>
      <c r="AK200" s="640" t="str">
        <f>IF(J200="Funcionamiento Gastos Generales","No aplica",IF(J200="Funcionamiento Servicios Personales indirectos","No aplica",IFERROR(VLOOKUP(J200,Listas!$A$127:$E$139,3,FALSE),"Alerta: Seleccione la celda en la comumna B con el nombre del proyecto")))</f>
        <v>ME20181110</v>
      </c>
      <c r="AL200" s="640" t="str">
        <f>IF(J200="Funcionamiento Gastos Generales","No aplica",IF(J200="Funcionamiento Servicios Personales","No aplica",IFERROR(VLOOKUP(J200,Listas!$A$220:$D$224,2,FALSE),"Alerta: Seleccione la celda en la comumna B con el nombre del proyecto")))</f>
        <v>COMP1110</v>
      </c>
      <c r="AM200" s="640" t="str">
        <f>IF(J200="Funcionamiento Gastos Generales","No aplica",IF(J200="Funcionamiento Servicios Personales","No aplica",IFERROR(VLOOKUP(J200,Listas!$A$220:$D$224,3,FALSE),"Alerta: Seleccione la celda en la comumna B con el nombre del proyecto")))</f>
        <v>CONC1110</v>
      </c>
      <c r="AN200" s="633" t="s">
        <v>789</v>
      </c>
      <c r="AO200" s="633" t="s">
        <v>124</v>
      </c>
      <c r="AP200" s="634" t="str">
        <f>IFERROR(VLOOKUP(J200,Listas!$A$182:$E$215,5,FALSE),"Alerta: Seleccione la celda en la comumna B con el nombre del proyecto")</f>
        <v>10. Procesos articulados dentro del sistema integrado de gestión.</v>
      </c>
      <c r="AQ200" s="634" t="str">
        <f>IF(J200="Funcionamiento Gastos Generales","No aplica",IF(J200="Funcionamiento Servicios Personales","No aplica",IFERROR(VLOOKUP(J200,Listas!$A$220:$D$224,4,FALSE),"Alerta: Seleccione la celda en la comumna B con el nombre del proyecto")))</f>
        <v>FONT1110</v>
      </c>
      <c r="AR200" s="633" t="s">
        <v>198</v>
      </c>
      <c r="AS200" s="634" t="str">
        <f>IFERROR(VLOOKUP(AU200,Listas!$E$85:$L$105,7,FALSE),"Alerta: Seleccione la celda en la comumna AI con el concepto de gasto")</f>
        <v>05-ADMINISTRACION INSTITUCIONAL</v>
      </c>
      <c r="AT200" s="634" t="str">
        <f>IFERROR(VLOOKUP(AU200,Listas!$E$85:$L$105,8,FALSE),"Alerta: Seleccione la celda en la comumna AI con el concepto de gasto")</f>
        <v>02-ADMINISTRACIÓN, CONTROL Y ORGANIZACIÓN INSTITUCIONAL PARA APOYO A LA GESTIÓN DEL DISTRITO</v>
      </c>
      <c r="AU200" s="633" t="s">
        <v>243</v>
      </c>
      <c r="AV200" s="634">
        <f>IFERROR(VLOOKUP(AU200,Listas!$E$85:$F$105,2,FALSE),"Alerta: Seleccione el Concepto de Gasto primero")</f>
        <v>0</v>
      </c>
      <c r="AW200" s="644">
        <v>55000000</v>
      </c>
      <c r="AX200" s="645"/>
      <c r="AY200" s="645"/>
      <c r="AZ200" s="645"/>
      <c r="BA200" s="646">
        <f t="shared" si="66"/>
        <v>55000000</v>
      </c>
      <c r="BB200" s="647"/>
      <c r="BC200" s="648"/>
      <c r="BD200" s="649"/>
      <c r="BE200" s="647"/>
      <c r="BF200" s="644"/>
      <c r="BG200" s="646">
        <f t="shared" si="67"/>
        <v>55000000</v>
      </c>
      <c r="BH200" s="650"/>
      <c r="BI200" s="647"/>
      <c r="BJ200" s="644"/>
      <c r="BK200" s="646">
        <f t="shared" si="68"/>
        <v>0</v>
      </c>
      <c r="BL200" s="651"/>
      <c r="BM200" s="652">
        <f t="shared" si="69"/>
        <v>1</v>
      </c>
      <c r="BN200" s="628"/>
      <c r="BO200" s="670"/>
      <c r="BP200" s="644"/>
      <c r="BQ200" s="644"/>
      <c r="BR200" s="644"/>
      <c r="BS200" s="644"/>
      <c r="BT200" s="644"/>
      <c r="BU200" s="644"/>
      <c r="BV200" s="644"/>
      <c r="BW200" s="644"/>
      <c r="BX200" s="644"/>
      <c r="BY200" s="644"/>
      <c r="BZ200" s="644"/>
      <c r="CA200" s="644"/>
      <c r="CB200" s="646">
        <f t="shared" si="70"/>
        <v>0</v>
      </c>
      <c r="CC200" s="646">
        <f t="shared" si="71"/>
        <v>0</v>
      </c>
      <c r="CD200" s="614"/>
    </row>
    <row r="201" spans="1:85" s="561" customFormat="1" ht="61.5" customHeight="1">
      <c r="A201" s="625" t="str">
        <f t="shared" si="53"/>
        <v>1110-185-FONT1110-05-02-0020-Personal de apoyo transversal a la gestión institucional</v>
      </c>
      <c r="B201" s="626" t="str">
        <f t="shared" si="54"/>
        <v>1110-185-FONT1110-05-02-0020</v>
      </c>
      <c r="C201" s="626" t="str">
        <f t="shared" si="55"/>
        <v>1110-185-FONT1110-Personal de apoyo transversal a la gestión institucional</v>
      </c>
      <c r="D201" s="626" t="str">
        <f t="shared" si="56"/>
        <v>1110-185-12-Otros Distrito-05-02-0020</v>
      </c>
      <c r="E201" s="626" t="str">
        <f t="shared" si="57"/>
        <v>Personal de apoyo transversal a la gestión institucional-12-Otros Distrito-0020-Personal contratado para las actividades propias de los procesos de mejoramiento de gestión de la entidad</v>
      </c>
      <c r="F201" s="627">
        <v>156</v>
      </c>
      <c r="G201" s="628">
        <f t="shared" si="58"/>
        <v>156</v>
      </c>
      <c r="H201" s="629" t="b">
        <f t="shared" si="59"/>
        <v>0</v>
      </c>
      <c r="I201" s="630" t="s">
        <v>594</v>
      </c>
      <c r="J201" s="627" t="s">
        <v>178</v>
      </c>
      <c r="K201" s="631" t="str">
        <f>+IFERROR(VLOOKUP(J201,Listas!$A$108:$B$114,2,FALSE),"Alerta: Seleccione la celda en la comumna B con el nombre del proyecto")</f>
        <v>3-3-1-15-07-42-1110-185</v>
      </c>
      <c r="L201" s="632">
        <v>80111600</v>
      </c>
      <c r="M201" s="633" t="s">
        <v>758</v>
      </c>
      <c r="N201" s="634" t="str">
        <f t="shared" si="60"/>
        <v>(Cód. 156) Prestar servicios profesionales al Instituto Distrital de Patrimonio Cultural para brindar el apoyo jurídico requerido en las actuaciones disciplinarias que se adelanten dentro de los procesos de competencia de la entidad.</v>
      </c>
      <c r="O201" s="635">
        <v>43480</v>
      </c>
      <c r="P201" s="636">
        <f>IFERROR(VLOOKUP(W201,'Estimación CRP'!$D$21:$E$30,2,FALSE),0)</f>
        <v>10</v>
      </c>
      <c r="Q201" s="637">
        <f>IF(O201="No aplica","No aplica",WORKDAY.INTL(O201,P201,1,'Estimación CRP'!A387:A403))</f>
        <v>43494</v>
      </c>
      <c r="R201" s="636">
        <f t="shared" si="61"/>
        <v>1</v>
      </c>
      <c r="S201" s="636">
        <f t="shared" si="62"/>
        <v>1</v>
      </c>
      <c r="T201" s="636">
        <f t="shared" si="63"/>
        <v>1</v>
      </c>
      <c r="U201" s="712">
        <v>11</v>
      </c>
      <c r="V201" s="638">
        <v>1</v>
      </c>
      <c r="W201" s="639" t="s">
        <v>274</v>
      </c>
      <c r="X201" s="640" t="str">
        <f>IFERROR(VLOOKUP(W201,Listas!$A$60:$B$73,2,FALSE),"Alerta: Seleccione primero Modalidad de selección")</f>
        <v>CCE-16</v>
      </c>
      <c r="Y201" s="641">
        <v>0</v>
      </c>
      <c r="Z201" s="641" t="s">
        <v>346</v>
      </c>
      <c r="AA201" s="641" t="s">
        <v>1228</v>
      </c>
      <c r="AB201" s="642">
        <f t="shared" si="64"/>
        <v>55220000</v>
      </c>
      <c r="AC201" s="642">
        <f t="shared" si="65"/>
        <v>55220000</v>
      </c>
      <c r="AD201" s="641">
        <v>0</v>
      </c>
      <c r="AE201" s="643">
        <v>0</v>
      </c>
      <c r="AF201" s="639" t="s">
        <v>276</v>
      </c>
      <c r="AG201" s="639" t="s">
        <v>277</v>
      </c>
      <c r="AH201" s="639" t="s">
        <v>283</v>
      </c>
      <c r="AI201" s="626" t="str">
        <f>IFERROR(VLOOKUP(AH201,Listas!$A$77:$C$83,2,FALSE),"Alerta: Seleccione primero el responsable")</f>
        <v>3550800</v>
      </c>
      <c r="AJ201" s="640" t="str">
        <f>IFERROR(VLOOKUP(AH201,Listas!$A$77:$C$83,3,FALSE),"Alerta: Seleccione primero el responsable")</f>
        <v>juan.acosta@idpc.gov.co</v>
      </c>
      <c r="AK201" s="640" t="str">
        <f>IF(J201="Funcionamiento Gastos Generales","No aplica",IF(J201="Funcionamiento Servicios Personales indirectos","No aplica",IFERROR(VLOOKUP(J201,Listas!$A$127:$E$139,3,FALSE),"Alerta: Seleccione la celda en la comumna B con el nombre del proyecto")))</f>
        <v>ME20181110</v>
      </c>
      <c r="AL201" s="640" t="str">
        <f>IF(J201="Funcionamiento Gastos Generales","No aplica",IF(J201="Funcionamiento Servicios Personales","No aplica",IFERROR(VLOOKUP(J201,Listas!$A$220:$D$224,2,FALSE),"Alerta: Seleccione la celda en la comumna B con el nombre del proyecto")))</f>
        <v>COMP1110</v>
      </c>
      <c r="AM201" s="640" t="str">
        <f>IF(J201="Funcionamiento Gastos Generales","No aplica",IF(J201="Funcionamiento Servicios Personales","No aplica",IFERROR(VLOOKUP(J201,Listas!$A$220:$D$224,3,FALSE),"Alerta: Seleccione la celda en la comumna B con el nombre del proyecto")))</f>
        <v>CONC1110</v>
      </c>
      <c r="AN201" s="633" t="s">
        <v>789</v>
      </c>
      <c r="AO201" s="633" t="s">
        <v>124</v>
      </c>
      <c r="AP201" s="634" t="str">
        <f>IFERROR(VLOOKUP(J201,Listas!$A$182:$E$215,5,FALSE),"Alerta: Seleccione la celda en la comumna B con el nombre del proyecto")</f>
        <v>10. Procesos articulados dentro del sistema integrado de gestión.</v>
      </c>
      <c r="AQ201" s="634" t="str">
        <f>IF(J201="Funcionamiento Gastos Generales","No aplica",IF(J201="Funcionamiento Servicios Personales","No aplica",IFERROR(VLOOKUP(J201,Listas!$A$220:$D$224,4,FALSE),"Alerta: Seleccione la celda en la comumna B con el nombre del proyecto")))</f>
        <v>FONT1110</v>
      </c>
      <c r="AR201" s="633" t="s">
        <v>198</v>
      </c>
      <c r="AS201" s="634" t="str">
        <f>IFERROR(VLOOKUP(AU201,Listas!$E$85:$L$105,7,FALSE),"Alerta: Seleccione la celda en la comumna AI con el concepto de gasto")</f>
        <v>05-ADMINISTRACION INSTITUCIONAL</v>
      </c>
      <c r="AT201" s="634" t="str">
        <f>IFERROR(VLOOKUP(AU201,Listas!$E$85:$L$105,8,FALSE),"Alerta: Seleccione la celda en la comumna AI con el concepto de gasto")</f>
        <v>02-ADMINISTRACIÓN, CONTROL Y ORGANIZACIÓN INSTITUCIONAL PARA APOYO A LA GESTIÓN DEL DISTRITO</v>
      </c>
      <c r="AU201" s="633" t="s">
        <v>243</v>
      </c>
      <c r="AV201" s="634">
        <f>IFERROR(VLOOKUP(AU201,Listas!$E$85:$F$105,2,FALSE),"Alerta: Seleccione el Concepto de Gasto primero")</f>
        <v>0</v>
      </c>
      <c r="AW201" s="644">
        <v>55220000</v>
      </c>
      <c r="AX201" s="645"/>
      <c r="AY201" s="645"/>
      <c r="AZ201" s="645"/>
      <c r="BA201" s="646">
        <f t="shared" si="66"/>
        <v>55220000</v>
      </c>
      <c r="BB201" s="647"/>
      <c r="BC201" s="648"/>
      <c r="BD201" s="649"/>
      <c r="BE201" s="647"/>
      <c r="BF201" s="644"/>
      <c r="BG201" s="646">
        <f t="shared" si="67"/>
        <v>55220000</v>
      </c>
      <c r="BH201" s="650"/>
      <c r="BI201" s="647"/>
      <c r="BJ201" s="644"/>
      <c r="BK201" s="646">
        <f t="shared" si="68"/>
        <v>0</v>
      </c>
      <c r="BL201" s="651"/>
      <c r="BM201" s="652">
        <f t="shared" si="69"/>
        <v>1</v>
      </c>
      <c r="BN201" s="628"/>
      <c r="BO201" s="670"/>
      <c r="BP201" s="644"/>
      <c r="BQ201" s="644"/>
      <c r="BR201" s="644"/>
      <c r="BS201" s="644"/>
      <c r="BT201" s="644"/>
      <c r="BU201" s="644"/>
      <c r="BV201" s="644"/>
      <c r="BW201" s="644"/>
      <c r="BX201" s="644"/>
      <c r="BY201" s="644"/>
      <c r="BZ201" s="644"/>
      <c r="CA201" s="644"/>
      <c r="CB201" s="646">
        <f t="shared" si="70"/>
        <v>0</v>
      </c>
      <c r="CC201" s="646">
        <f t="shared" si="71"/>
        <v>0</v>
      </c>
      <c r="CD201" s="614"/>
    </row>
    <row r="202" spans="1:85" s="561" customFormat="1" ht="61.5" customHeight="1">
      <c r="A202" s="625" t="str">
        <f t="shared" si="53"/>
        <v>1110-185-FONT1110-05-02-0020-Desarrollar actividades de comunicación e información</v>
      </c>
      <c r="B202" s="626" t="str">
        <f t="shared" si="54"/>
        <v>1110-185-FONT1110-05-02-0020</v>
      </c>
      <c r="C202" s="626" t="str">
        <f t="shared" si="55"/>
        <v>1110-185-FONT1110-Desarrollar actividades de comunicación e información</v>
      </c>
      <c r="D202" s="626" t="str">
        <f t="shared" si="56"/>
        <v>1110-185-12-Otros Distrito-05-02-0020</v>
      </c>
      <c r="E202" s="626" t="str">
        <f t="shared" si="57"/>
        <v>Desarrollar actividades de comunicación e información-12-Otros Distrito-0020-Personal contratado para las actividades propias de los procesos de mejoramiento de gestión de la entidad</v>
      </c>
      <c r="F202" s="627">
        <v>157</v>
      </c>
      <c r="G202" s="628">
        <f t="shared" si="58"/>
        <v>157</v>
      </c>
      <c r="H202" s="629" t="b">
        <f t="shared" si="59"/>
        <v>0</v>
      </c>
      <c r="I202" s="630" t="s">
        <v>594</v>
      </c>
      <c r="J202" s="627" t="s">
        <v>178</v>
      </c>
      <c r="K202" s="631" t="str">
        <f>+IFERROR(VLOOKUP(J202,Listas!$A$108:$B$114,2,FALSE),"Alerta: Seleccione la celda en la comumna B con el nombre del proyecto")</f>
        <v>3-3-1-15-07-42-1110-185</v>
      </c>
      <c r="L202" s="632">
        <v>80111600</v>
      </c>
      <c r="M202" s="633" t="s">
        <v>759</v>
      </c>
      <c r="N202" s="634" t="str">
        <f t="shared" si="60"/>
        <v>(Cód. 157) Prestar servicios de apoyo a la gestión al Instituto Distrital de Patrimonio Cultural en las actividades de soporte técnico del sistema de  información y tecnología de la entidad.</v>
      </c>
      <c r="O202" s="635">
        <v>43480</v>
      </c>
      <c r="P202" s="636">
        <f>IFERROR(VLOOKUP(W202,'Estimación CRP'!$D$21:$E$30,2,FALSE),0)</f>
        <v>10</v>
      </c>
      <c r="Q202" s="637">
        <f>IF(O202="No aplica","No aplica",WORKDAY.INTL(O202,P202,1,'Estimación CRP'!A388:A404))</f>
        <v>43494</v>
      </c>
      <c r="R202" s="636">
        <f t="shared" si="61"/>
        <v>1</v>
      </c>
      <c r="S202" s="636">
        <f t="shared" si="62"/>
        <v>1</v>
      </c>
      <c r="T202" s="636">
        <f t="shared" si="63"/>
        <v>1</v>
      </c>
      <c r="U202" s="712">
        <v>11</v>
      </c>
      <c r="V202" s="638">
        <v>1</v>
      </c>
      <c r="W202" s="639" t="s">
        <v>274</v>
      </c>
      <c r="X202" s="640" t="str">
        <f>IFERROR(VLOOKUP(W202,Listas!$A$60:$B$73,2,FALSE),"Alerta: Seleccione primero Modalidad de selección")</f>
        <v>CCE-16</v>
      </c>
      <c r="Y202" s="641">
        <v>0</v>
      </c>
      <c r="Z202" s="641" t="s">
        <v>346</v>
      </c>
      <c r="AA202" s="641" t="s">
        <v>1229</v>
      </c>
      <c r="AB202" s="642">
        <f t="shared" si="64"/>
        <v>38280000</v>
      </c>
      <c r="AC202" s="642">
        <f t="shared" si="65"/>
        <v>38280000</v>
      </c>
      <c r="AD202" s="641">
        <v>0</v>
      </c>
      <c r="AE202" s="643">
        <v>0</v>
      </c>
      <c r="AF202" s="639" t="s">
        <v>276</v>
      </c>
      <c r="AG202" s="639" t="s">
        <v>277</v>
      </c>
      <c r="AH202" s="639" t="s">
        <v>283</v>
      </c>
      <c r="AI202" s="626" t="str">
        <f>IFERROR(VLOOKUP(AH202,Listas!$A$77:$C$83,2,FALSE),"Alerta: Seleccione primero el responsable")</f>
        <v>3550800</v>
      </c>
      <c r="AJ202" s="640" t="str">
        <f>IFERROR(VLOOKUP(AH202,Listas!$A$77:$C$83,3,FALSE),"Alerta: Seleccione primero el responsable")</f>
        <v>juan.acosta@idpc.gov.co</v>
      </c>
      <c r="AK202" s="640" t="str">
        <f>IF(J202="Funcionamiento Gastos Generales","No aplica",IF(J202="Funcionamiento Servicios Personales indirectos","No aplica",IFERROR(VLOOKUP(J202,Listas!$A$127:$E$139,3,FALSE),"Alerta: Seleccione la celda en la comumna B con el nombre del proyecto")))</f>
        <v>ME20181110</v>
      </c>
      <c r="AL202" s="640" t="str">
        <f>IF(J202="Funcionamiento Gastos Generales","No aplica",IF(J202="Funcionamiento Servicios Personales","No aplica",IFERROR(VLOOKUP(J202,Listas!$A$220:$D$224,2,FALSE),"Alerta: Seleccione la celda en la comumna B con el nombre del proyecto")))</f>
        <v>COMP1110</v>
      </c>
      <c r="AM202" s="640" t="str">
        <f>IF(J202="Funcionamiento Gastos Generales","No aplica",IF(J202="Funcionamiento Servicios Personales","No aplica",IFERROR(VLOOKUP(J202,Listas!$A$220:$D$224,3,FALSE),"Alerta: Seleccione la celda en la comumna B con el nombre del proyecto")))</f>
        <v>CONC1110</v>
      </c>
      <c r="AN202" s="633" t="s">
        <v>789</v>
      </c>
      <c r="AO202" s="633" t="s">
        <v>125</v>
      </c>
      <c r="AP202" s="634" t="str">
        <f>IFERROR(VLOOKUP(J202,Listas!$A$182:$E$215,5,FALSE),"Alerta: Seleccione la celda en la comumna B con el nombre del proyecto")</f>
        <v>10. Procesos articulados dentro del sistema integrado de gestión.</v>
      </c>
      <c r="AQ202" s="634" t="str">
        <f>IF(J202="Funcionamiento Gastos Generales","No aplica",IF(J202="Funcionamiento Servicios Personales","No aplica",IFERROR(VLOOKUP(J202,Listas!$A$220:$D$224,4,FALSE),"Alerta: Seleccione la celda en la comumna B con el nombre del proyecto")))</f>
        <v>FONT1110</v>
      </c>
      <c r="AR202" s="633" t="s">
        <v>198</v>
      </c>
      <c r="AS202" s="634" t="str">
        <f>IFERROR(VLOOKUP(AU202,Listas!$E$85:$L$105,7,FALSE),"Alerta: Seleccione la celda en la comumna AI con el concepto de gasto")</f>
        <v>05-ADMINISTRACION INSTITUCIONAL</v>
      </c>
      <c r="AT202" s="634" t="str">
        <f>IFERROR(VLOOKUP(AU202,Listas!$E$85:$L$105,8,FALSE),"Alerta: Seleccione la celda en la comumna AI con el concepto de gasto")</f>
        <v>02-ADMINISTRACIÓN, CONTROL Y ORGANIZACIÓN INSTITUCIONAL PARA APOYO A LA GESTIÓN DEL DISTRITO</v>
      </c>
      <c r="AU202" s="633" t="s">
        <v>243</v>
      </c>
      <c r="AV202" s="634">
        <f>IFERROR(VLOOKUP(AU202,Listas!$E$85:$F$105,2,FALSE),"Alerta: Seleccione el Concepto de Gasto primero")</f>
        <v>0</v>
      </c>
      <c r="AW202" s="644">
        <v>38280000</v>
      </c>
      <c r="AX202" s="645"/>
      <c r="AY202" s="645"/>
      <c r="AZ202" s="645"/>
      <c r="BA202" s="646">
        <f t="shared" si="66"/>
        <v>38280000</v>
      </c>
      <c r="BB202" s="647"/>
      <c r="BC202" s="648"/>
      <c r="BD202" s="649"/>
      <c r="BE202" s="647"/>
      <c r="BF202" s="644"/>
      <c r="BG202" s="646">
        <f t="shared" si="67"/>
        <v>38280000</v>
      </c>
      <c r="BH202" s="650"/>
      <c r="BI202" s="647"/>
      <c r="BJ202" s="644"/>
      <c r="BK202" s="646">
        <f t="shared" si="68"/>
        <v>0</v>
      </c>
      <c r="BL202" s="651"/>
      <c r="BM202" s="652">
        <f t="shared" si="69"/>
        <v>1</v>
      </c>
      <c r="BN202" s="628"/>
      <c r="BO202" s="670"/>
      <c r="BP202" s="644"/>
      <c r="BQ202" s="644"/>
      <c r="BR202" s="644"/>
      <c r="BS202" s="644"/>
      <c r="BT202" s="644"/>
      <c r="BU202" s="644"/>
      <c r="BV202" s="644"/>
      <c r="BW202" s="644"/>
      <c r="BX202" s="644"/>
      <c r="BY202" s="644"/>
      <c r="BZ202" s="644"/>
      <c r="CA202" s="644"/>
      <c r="CB202" s="646">
        <f t="shared" si="70"/>
        <v>0</v>
      </c>
      <c r="CC202" s="646">
        <f t="shared" si="71"/>
        <v>0</v>
      </c>
      <c r="CD202" s="614"/>
    </row>
    <row r="203" spans="1:85" s="561" customFormat="1" ht="61.5" customHeight="1">
      <c r="A203" s="625" t="str">
        <f t="shared" si="53"/>
        <v>1110-185-FONT1110-05-02-0020-Personal de apoyo transversal a la gestión institucional</v>
      </c>
      <c r="B203" s="626" t="str">
        <f t="shared" si="54"/>
        <v>1110-185-FONT1110-05-02-0020</v>
      </c>
      <c r="C203" s="626" t="str">
        <f t="shared" si="55"/>
        <v>1110-185-FONT1110-Personal de apoyo transversal a la gestión institucional</v>
      </c>
      <c r="D203" s="626" t="str">
        <f t="shared" si="56"/>
        <v>1110-185-12-Otros Distrito-05-02-0020</v>
      </c>
      <c r="E203" s="626" t="str">
        <f t="shared" si="57"/>
        <v>Personal de apoyo transversal a la gestión institucional-12-Otros Distrito-0020-Personal contratado para las actividades propias de los procesos de mejoramiento de gestión de la entidad</v>
      </c>
      <c r="F203" s="627">
        <v>158</v>
      </c>
      <c r="G203" s="628">
        <f t="shared" si="58"/>
        <v>158</v>
      </c>
      <c r="H203" s="629" t="b">
        <f t="shared" si="59"/>
        <v>0</v>
      </c>
      <c r="I203" s="630" t="s">
        <v>594</v>
      </c>
      <c r="J203" s="627" t="s">
        <v>178</v>
      </c>
      <c r="K203" s="631" t="str">
        <f>+IFERROR(VLOOKUP(J203,Listas!$A$108:$B$114,2,FALSE),"Alerta: Seleccione la celda en la comumna B con el nombre del proyecto")</f>
        <v>3-3-1-15-07-42-1110-185</v>
      </c>
      <c r="L203" s="632">
        <v>80111600</v>
      </c>
      <c r="M203" s="633" t="s">
        <v>760</v>
      </c>
      <c r="N203" s="634" t="str">
        <f t="shared" si="60"/>
        <v>(Cód. 158) Prestar servicios de apoyo a la gestión al Instituto Distrital de Patrimonio Cultural para acompañar a la Asesoría Jurídica o quien haga sus veces, en temas judiciales y de cartera de la entidad.</v>
      </c>
      <c r="O203" s="635">
        <v>43480</v>
      </c>
      <c r="P203" s="636">
        <f>IFERROR(VLOOKUP(W203,'Estimación CRP'!$D$21:$E$30,2,FALSE),0)</f>
        <v>10</v>
      </c>
      <c r="Q203" s="637">
        <f>IF(O203="No aplica","No aplica",WORKDAY.INTL(O203,P203,1,'Estimación CRP'!A389:A405))</f>
        <v>43494</v>
      </c>
      <c r="R203" s="636">
        <f t="shared" si="61"/>
        <v>1</v>
      </c>
      <c r="S203" s="636">
        <f t="shared" si="62"/>
        <v>1</v>
      </c>
      <c r="T203" s="636">
        <f t="shared" si="63"/>
        <v>1</v>
      </c>
      <c r="U203" s="712">
        <v>11</v>
      </c>
      <c r="V203" s="638">
        <v>1</v>
      </c>
      <c r="W203" s="639" t="s">
        <v>274</v>
      </c>
      <c r="X203" s="640" t="str">
        <f>IFERROR(VLOOKUP(W203,Listas!$A$60:$B$73,2,FALSE),"Alerta: Seleccione primero Modalidad de selección")</f>
        <v>CCE-16</v>
      </c>
      <c r="Y203" s="641">
        <v>0</v>
      </c>
      <c r="Z203" s="641" t="s">
        <v>346</v>
      </c>
      <c r="AA203" s="641" t="s">
        <v>1230</v>
      </c>
      <c r="AB203" s="642">
        <f t="shared" si="64"/>
        <v>40700000</v>
      </c>
      <c r="AC203" s="642">
        <f t="shared" si="65"/>
        <v>40700000</v>
      </c>
      <c r="AD203" s="641">
        <v>0</v>
      </c>
      <c r="AE203" s="643">
        <v>0</v>
      </c>
      <c r="AF203" s="639" t="s">
        <v>276</v>
      </c>
      <c r="AG203" s="639" t="s">
        <v>277</v>
      </c>
      <c r="AH203" s="639" t="s">
        <v>283</v>
      </c>
      <c r="AI203" s="626" t="str">
        <f>IFERROR(VLOOKUP(AH203,Listas!$A$77:$C$83,2,FALSE),"Alerta: Seleccione primero el responsable")</f>
        <v>3550800</v>
      </c>
      <c r="AJ203" s="640" t="str">
        <f>IFERROR(VLOOKUP(AH203,Listas!$A$77:$C$83,3,FALSE),"Alerta: Seleccione primero el responsable")</f>
        <v>juan.acosta@idpc.gov.co</v>
      </c>
      <c r="AK203" s="640" t="str">
        <f>IF(J203="Funcionamiento Gastos Generales","No aplica",IF(J203="Funcionamiento Servicios Personales indirectos","No aplica",IFERROR(VLOOKUP(J203,Listas!$A$127:$E$139,3,FALSE),"Alerta: Seleccione la celda en la comumna B con el nombre del proyecto")))</f>
        <v>ME20181110</v>
      </c>
      <c r="AL203" s="640" t="str">
        <f>IF(J203="Funcionamiento Gastos Generales","No aplica",IF(J203="Funcionamiento Servicios Personales","No aplica",IFERROR(VLOOKUP(J203,Listas!$A$220:$D$224,2,FALSE),"Alerta: Seleccione la celda en la comumna B con el nombre del proyecto")))</f>
        <v>COMP1110</v>
      </c>
      <c r="AM203" s="640" t="str">
        <f>IF(J203="Funcionamiento Gastos Generales","No aplica",IF(J203="Funcionamiento Servicios Personales","No aplica",IFERROR(VLOOKUP(J203,Listas!$A$220:$D$224,3,FALSE),"Alerta: Seleccione la celda en la comumna B con el nombre del proyecto")))</f>
        <v>CONC1110</v>
      </c>
      <c r="AN203" s="633" t="s">
        <v>789</v>
      </c>
      <c r="AO203" s="633" t="s">
        <v>124</v>
      </c>
      <c r="AP203" s="634" t="str">
        <f>IFERROR(VLOOKUP(J203,Listas!$A$182:$E$215,5,FALSE),"Alerta: Seleccione la celda en la comumna B con el nombre del proyecto")</f>
        <v>10. Procesos articulados dentro del sistema integrado de gestión.</v>
      </c>
      <c r="AQ203" s="634" t="str">
        <f>IF(J203="Funcionamiento Gastos Generales","No aplica",IF(J203="Funcionamiento Servicios Personales","No aplica",IFERROR(VLOOKUP(J203,Listas!$A$220:$D$224,4,FALSE),"Alerta: Seleccione la celda en la comumna B con el nombre del proyecto")))</f>
        <v>FONT1110</v>
      </c>
      <c r="AR203" s="633" t="s">
        <v>198</v>
      </c>
      <c r="AS203" s="634" t="str">
        <f>IFERROR(VLOOKUP(AU203,Listas!$E$85:$L$105,7,FALSE),"Alerta: Seleccione la celda en la comumna AI con el concepto de gasto")</f>
        <v>05-ADMINISTRACION INSTITUCIONAL</v>
      </c>
      <c r="AT203" s="634" t="str">
        <f>IFERROR(VLOOKUP(AU203,Listas!$E$85:$L$105,8,FALSE),"Alerta: Seleccione la celda en la comumna AI con el concepto de gasto")</f>
        <v>02-ADMINISTRACIÓN, CONTROL Y ORGANIZACIÓN INSTITUCIONAL PARA APOYO A LA GESTIÓN DEL DISTRITO</v>
      </c>
      <c r="AU203" s="633" t="s">
        <v>243</v>
      </c>
      <c r="AV203" s="634">
        <f>IFERROR(VLOOKUP(AU203,Listas!$E$85:$F$105,2,FALSE),"Alerta: Seleccione el Concepto de Gasto primero")</f>
        <v>0</v>
      </c>
      <c r="AW203" s="644">
        <v>40700000</v>
      </c>
      <c r="AX203" s="645"/>
      <c r="AY203" s="645"/>
      <c r="AZ203" s="645"/>
      <c r="BA203" s="646">
        <f t="shared" si="66"/>
        <v>40700000</v>
      </c>
      <c r="BB203" s="647"/>
      <c r="BC203" s="648"/>
      <c r="BD203" s="649"/>
      <c r="BE203" s="647"/>
      <c r="BF203" s="644"/>
      <c r="BG203" s="646">
        <f t="shared" si="67"/>
        <v>40700000</v>
      </c>
      <c r="BH203" s="650"/>
      <c r="BI203" s="647"/>
      <c r="BJ203" s="644"/>
      <c r="BK203" s="646">
        <f t="shared" si="68"/>
        <v>0</v>
      </c>
      <c r="BL203" s="651"/>
      <c r="BM203" s="652">
        <f t="shared" si="69"/>
        <v>1</v>
      </c>
      <c r="BN203" s="628"/>
      <c r="BO203" s="670"/>
      <c r="BP203" s="644"/>
      <c r="BQ203" s="644"/>
      <c r="BR203" s="644"/>
      <c r="BS203" s="644"/>
      <c r="BT203" s="644"/>
      <c r="BU203" s="644"/>
      <c r="BV203" s="644"/>
      <c r="BW203" s="644"/>
      <c r="BX203" s="644"/>
      <c r="BY203" s="644"/>
      <c r="BZ203" s="644"/>
      <c r="CA203" s="644"/>
      <c r="CB203" s="646">
        <f t="shared" si="70"/>
        <v>0</v>
      </c>
      <c r="CC203" s="646">
        <f t="shared" si="71"/>
        <v>0</v>
      </c>
      <c r="CD203" s="614"/>
    </row>
    <row r="204" spans="1:85" s="561" customFormat="1" ht="61.5" customHeight="1">
      <c r="A204" s="625" t="str">
        <f t="shared" si="53"/>
        <v>1110-185-FONT1110-05-02-0020-Personal de apoyo transversal a la gestión institucional</v>
      </c>
      <c r="B204" s="626" t="str">
        <f t="shared" si="54"/>
        <v>1110-185-FONT1110-05-02-0020</v>
      </c>
      <c r="C204" s="626" t="str">
        <f t="shared" si="55"/>
        <v>1110-185-FONT1110-Personal de apoyo transversal a la gestión institucional</v>
      </c>
      <c r="D204" s="626" t="str">
        <f t="shared" si="56"/>
        <v>1110-185-12-Otros Distrito-05-02-0020</v>
      </c>
      <c r="E204" s="626" t="str">
        <f t="shared" si="57"/>
        <v>Personal de apoyo transversal a la gestión institucional-12-Otros Distrito-0020-Personal contratado para las actividades propias de los procesos de mejoramiento de gestión de la entidad</v>
      </c>
      <c r="F204" s="627">
        <v>159</v>
      </c>
      <c r="G204" s="628">
        <f t="shared" si="58"/>
        <v>159</v>
      </c>
      <c r="H204" s="629" t="b">
        <f t="shared" si="59"/>
        <v>0</v>
      </c>
      <c r="I204" s="630" t="s">
        <v>594</v>
      </c>
      <c r="J204" s="627" t="s">
        <v>178</v>
      </c>
      <c r="K204" s="631" t="str">
        <f>+IFERROR(VLOOKUP(J204,Listas!$A$108:$B$114,2,FALSE),"Alerta: Seleccione la celda en la comumna B con el nombre del proyecto")</f>
        <v>3-3-1-15-07-42-1110-185</v>
      </c>
      <c r="L204" s="632">
        <v>80111600</v>
      </c>
      <c r="M204" s="633" t="s">
        <v>761</v>
      </c>
      <c r="N204" s="634" t="str">
        <f t="shared" si="60"/>
        <v>(Cód. 159) Prestar servicios profesionales al Instituto Distrital de Patrimonio Cultural apoyando la proyección y trámite de los documentos precontractuales, seguimiento, control y modificaciones al plan de adquisiciones de la Subdirección de Gestión Corporativa.</v>
      </c>
      <c r="O204" s="635">
        <v>43480</v>
      </c>
      <c r="P204" s="636">
        <f>IFERROR(VLOOKUP(W204,'Estimación CRP'!$D$21:$E$30,2,FALSE),0)</f>
        <v>10</v>
      </c>
      <c r="Q204" s="637">
        <f>IF(O204="No aplica","No aplica",WORKDAY.INTL(O204,P204,1,'Estimación CRP'!A390:A406))</f>
        <v>43494</v>
      </c>
      <c r="R204" s="636">
        <f t="shared" si="61"/>
        <v>1</v>
      </c>
      <c r="S204" s="636">
        <f t="shared" si="62"/>
        <v>1</v>
      </c>
      <c r="T204" s="636">
        <f t="shared" si="63"/>
        <v>1</v>
      </c>
      <c r="U204" s="712">
        <v>11</v>
      </c>
      <c r="V204" s="638">
        <v>1</v>
      </c>
      <c r="W204" s="639" t="s">
        <v>274</v>
      </c>
      <c r="X204" s="640" t="str">
        <f>IFERROR(VLOOKUP(W204,Listas!$A$60:$B$73,2,FALSE),"Alerta: Seleccione primero Modalidad de selección")</f>
        <v>CCE-16</v>
      </c>
      <c r="Y204" s="641">
        <v>0</v>
      </c>
      <c r="Z204" s="641" t="s">
        <v>346</v>
      </c>
      <c r="AA204" s="641" t="s">
        <v>1231</v>
      </c>
      <c r="AB204" s="642">
        <f t="shared" si="64"/>
        <v>49500000</v>
      </c>
      <c r="AC204" s="642">
        <f t="shared" si="65"/>
        <v>49500000</v>
      </c>
      <c r="AD204" s="641">
        <v>0</v>
      </c>
      <c r="AE204" s="643">
        <v>0</v>
      </c>
      <c r="AF204" s="639" t="s">
        <v>276</v>
      </c>
      <c r="AG204" s="639" t="s">
        <v>277</v>
      </c>
      <c r="AH204" s="639" t="s">
        <v>283</v>
      </c>
      <c r="AI204" s="626" t="str">
        <f>IFERROR(VLOOKUP(AH204,Listas!$A$77:$C$83,2,FALSE),"Alerta: Seleccione primero el responsable")</f>
        <v>3550800</v>
      </c>
      <c r="AJ204" s="640" t="str">
        <f>IFERROR(VLOOKUP(AH204,Listas!$A$77:$C$83,3,FALSE),"Alerta: Seleccione primero el responsable")</f>
        <v>juan.acosta@idpc.gov.co</v>
      </c>
      <c r="AK204" s="640" t="str">
        <f>IF(J204="Funcionamiento Gastos Generales","No aplica",IF(J204="Funcionamiento Servicios Personales indirectos","No aplica",IFERROR(VLOOKUP(J204,Listas!$A$127:$E$139,3,FALSE),"Alerta: Seleccione la celda en la comumna B con el nombre del proyecto")))</f>
        <v>ME20181110</v>
      </c>
      <c r="AL204" s="640" t="str">
        <f>IF(J204="Funcionamiento Gastos Generales","No aplica",IF(J204="Funcionamiento Servicios Personales","No aplica",IFERROR(VLOOKUP(J204,Listas!$A$220:$D$224,2,FALSE),"Alerta: Seleccione la celda en la comumna B con el nombre del proyecto")))</f>
        <v>COMP1110</v>
      </c>
      <c r="AM204" s="640" t="str">
        <f>IF(J204="Funcionamiento Gastos Generales","No aplica",IF(J204="Funcionamiento Servicios Personales","No aplica",IFERROR(VLOOKUP(J204,Listas!$A$220:$D$224,3,FALSE),"Alerta: Seleccione la celda en la comumna B con el nombre del proyecto")))</f>
        <v>CONC1110</v>
      </c>
      <c r="AN204" s="633" t="s">
        <v>789</v>
      </c>
      <c r="AO204" s="633" t="s">
        <v>124</v>
      </c>
      <c r="AP204" s="634" t="str">
        <f>IFERROR(VLOOKUP(J204,Listas!$A$182:$E$215,5,FALSE),"Alerta: Seleccione la celda en la comumna B con el nombre del proyecto")</f>
        <v>10. Procesos articulados dentro del sistema integrado de gestión.</v>
      </c>
      <c r="AQ204" s="634" t="str">
        <f>IF(J204="Funcionamiento Gastos Generales","No aplica",IF(J204="Funcionamiento Servicios Personales","No aplica",IFERROR(VLOOKUP(J204,Listas!$A$220:$D$224,4,FALSE),"Alerta: Seleccione la celda en la comumna B con el nombre del proyecto")))</f>
        <v>FONT1110</v>
      </c>
      <c r="AR204" s="633" t="s">
        <v>198</v>
      </c>
      <c r="AS204" s="634" t="str">
        <f>IFERROR(VLOOKUP(AU204,Listas!$E$85:$L$105,7,FALSE),"Alerta: Seleccione la celda en la comumna AI con el concepto de gasto")</f>
        <v>05-ADMINISTRACION INSTITUCIONAL</v>
      </c>
      <c r="AT204" s="634" t="str">
        <f>IFERROR(VLOOKUP(AU204,Listas!$E$85:$L$105,8,FALSE),"Alerta: Seleccione la celda en la comumna AI con el concepto de gasto")</f>
        <v>02-ADMINISTRACIÓN, CONTROL Y ORGANIZACIÓN INSTITUCIONAL PARA APOYO A LA GESTIÓN DEL DISTRITO</v>
      </c>
      <c r="AU204" s="633" t="s">
        <v>243</v>
      </c>
      <c r="AV204" s="634">
        <f>IFERROR(VLOOKUP(AU204,Listas!$E$85:$F$105,2,FALSE),"Alerta: Seleccione el Concepto de Gasto primero")</f>
        <v>0</v>
      </c>
      <c r="AW204" s="644">
        <v>49500000</v>
      </c>
      <c r="AX204" s="645"/>
      <c r="AY204" s="645"/>
      <c r="AZ204" s="645"/>
      <c r="BA204" s="646">
        <f t="shared" si="66"/>
        <v>49500000</v>
      </c>
      <c r="BB204" s="647"/>
      <c r="BC204" s="648"/>
      <c r="BD204" s="649"/>
      <c r="BE204" s="647"/>
      <c r="BF204" s="644"/>
      <c r="BG204" s="646">
        <f t="shared" si="67"/>
        <v>49500000</v>
      </c>
      <c r="BH204" s="650"/>
      <c r="BI204" s="647"/>
      <c r="BJ204" s="644"/>
      <c r="BK204" s="646">
        <f t="shared" si="68"/>
        <v>0</v>
      </c>
      <c r="BL204" s="651"/>
      <c r="BM204" s="652">
        <f t="shared" si="69"/>
        <v>1</v>
      </c>
      <c r="BN204" s="628"/>
      <c r="BO204" s="670"/>
      <c r="BP204" s="644"/>
      <c r="BQ204" s="644"/>
      <c r="BR204" s="644"/>
      <c r="BS204" s="644"/>
      <c r="BT204" s="644"/>
      <c r="BU204" s="644"/>
      <c r="BV204" s="644"/>
      <c r="BW204" s="644"/>
      <c r="BX204" s="644"/>
      <c r="BY204" s="644"/>
      <c r="BZ204" s="644"/>
      <c r="CA204" s="644"/>
      <c r="CB204" s="646">
        <f t="shared" si="70"/>
        <v>0</v>
      </c>
      <c r="CC204" s="646">
        <f t="shared" si="71"/>
        <v>0</v>
      </c>
      <c r="CD204" s="614"/>
    </row>
    <row r="205" spans="1:85" s="561" customFormat="1" ht="61.5" customHeight="1">
      <c r="A205" s="625" t="str">
        <f t="shared" si="53"/>
        <v>1110-185-FONT1110-05-02-0020-Personal de apoyo transversal a la gestión institucional</v>
      </c>
      <c r="B205" s="626" t="str">
        <f t="shared" si="54"/>
        <v>1110-185-FONT1110-05-02-0020</v>
      </c>
      <c r="C205" s="626" t="str">
        <f t="shared" si="55"/>
        <v>1110-185-FONT1110-Personal de apoyo transversal a la gestión institucional</v>
      </c>
      <c r="D205" s="626" t="str">
        <f t="shared" si="56"/>
        <v>1110-185-12-Otros Distrito-05-02-0020</v>
      </c>
      <c r="E205" s="626" t="str">
        <f t="shared" si="57"/>
        <v>Personal de apoyo transversal a la gestión institucional-12-Otros Distrito-0020-Personal contratado para las actividades propias de los procesos de mejoramiento de gestión de la entidad</v>
      </c>
      <c r="F205" s="627">
        <v>160</v>
      </c>
      <c r="G205" s="628">
        <f t="shared" si="58"/>
        <v>160</v>
      </c>
      <c r="H205" s="629" t="b">
        <f t="shared" si="59"/>
        <v>0</v>
      </c>
      <c r="I205" s="630" t="s">
        <v>594</v>
      </c>
      <c r="J205" s="627" t="s">
        <v>178</v>
      </c>
      <c r="K205" s="631" t="str">
        <f>+IFERROR(VLOOKUP(J205,Listas!$A$108:$B$114,2,FALSE),"Alerta: Seleccione la celda en la comumna B con el nombre del proyecto")</f>
        <v>3-3-1-15-07-42-1110-185</v>
      </c>
      <c r="L205" s="632">
        <v>80111600</v>
      </c>
      <c r="M205" s="633" t="s">
        <v>762</v>
      </c>
      <c r="N205" s="634" t="str">
        <f t="shared" si="60"/>
        <v>(Cód. 160) Prestar servicios profesionales al Instituto Distrital de Patrimonio Cultural para apoyar la Implementacion del modelo de participación ciudadana y control social.</v>
      </c>
      <c r="O205" s="635">
        <v>43480</v>
      </c>
      <c r="P205" s="636">
        <f>IFERROR(VLOOKUP(W205,'Estimación CRP'!$D$21:$E$30,2,FALSE),0)</f>
        <v>10</v>
      </c>
      <c r="Q205" s="637">
        <f>IF(O205="No aplica","No aplica",WORKDAY.INTL(O205,P205,1,'Estimación CRP'!A391:A407))</f>
        <v>43494</v>
      </c>
      <c r="R205" s="636">
        <f t="shared" si="61"/>
        <v>1</v>
      </c>
      <c r="S205" s="636">
        <f t="shared" si="62"/>
        <v>1</v>
      </c>
      <c r="T205" s="636">
        <f t="shared" si="63"/>
        <v>1</v>
      </c>
      <c r="U205" s="712">
        <v>11</v>
      </c>
      <c r="V205" s="638">
        <v>1</v>
      </c>
      <c r="W205" s="639" t="s">
        <v>274</v>
      </c>
      <c r="X205" s="640" t="str">
        <f>IFERROR(VLOOKUP(W205,Listas!$A$60:$B$73,2,FALSE),"Alerta: Seleccione primero Modalidad de selección")</f>
        <v>CCE-16</v>
      </c>
      <c r="Y205" s="641">
        <v>0</v>
      </c>
      <c r="Z205" s="641" t="s">
        <v>346</v>
      </c>
      <c r="AA205" s="641" t="s">
        <v>1232</v>
      </c>
      <c r="AB205" s="642">
        <f t="shared" si="64"/>
        <v>66000000</v>
      </c>
      <c r="AC205" s="642">
        <f t="shared" si="65"/>
        <v>66000000</v>
      </c>
      <c r="AD205" s="641">
        <v>0</v>
      </c>
      <c r="AE205" s="643">
        <v>0</v>
      </c>
      <c r="AF205" s="639" t="s">
        <v>276</v>
      </c>
      <c r="AG205" s="639" t="s">
        <v>277</v>
      </c>
      <c r="AH205" s="639" t="s">
        <v>285</v>
      </c>
      <c r="AI205" s="626" t="str">
        <f>IFERROR(VLOOKUP(AH205,Listas!$A$77:$C$83,2,FALSE),"Alerta: Seleccione primero el responsable")</f>
        <v>3550800</v>
      </c>
      <c r="AJ205" s="640" t="str">
        <f>IFERROR(VLOOKUP(AH205,Listas!$A$77:$C$83,3,FALSE),"Alerta: Seleccione primero el responsable")</f>
        <v>maria.villamil@idpc.gov.co</v>
      </c>
      <c r="AK205" s="640" t="str">
        <f>IF(J205="Funcionamiento Gastos Generales","No aplica",IF(J205="Funcionamiento Servicios Personales indirectos","No aplica",IFERROR(VLOOKUP(J205,Listas!$A$127:$E$139,3,FALSE),"Alerta: Seleccione la celda en la comumna B con el nombre del proyecto")))</f>
        <v>ME20181110</v>
      </c>
      <c r="AL205" s="640" t="str">
        <f>IF(J205="Funcionamiento Gastos Generales","No aplica",IF(J205="Funcionamiento Servicios Personales","No aplica",IFERROR(VLOOKUP(J205,Listas!$A$220:$D$224,2,FALSE),"Alerta: Seleccione la celda en la comumna B con el nombre del proyecto")))</f>
        <v>COMP1110</v>
      </c>
      <c r="AM205" s="640" t="str">
        <f>IF(J205="Funcionamiento Gastos Generales","No aplica",IF(J205="Funcionamiento Servicios Personales","No aplica",IFERROR(VLOOKUP(J205,Listas!$A$220:$D$224,3,FALSE),"Alerta: Seleccione la celda en la comumna B con el nombre del proyecto")))</f>
        <v>CONC1110</v>
      </c>
      <c r="AN205" s="633" t="s">
        <v>789</v>
      </c>
      <c r="AO205" s="633" t="s">
        <v>124</v>
      </c>
      <c r="AP205" s="634" t="str">
        <f>IFERROR(VLOOKUP(J205,Listas!$A$182:$E$215,5,FALSE),"Alerta: Seleccione la celda en la comumna B con el nombre del proyecto")</f>
        <v>10. Procesos articulados dentro del sistema integrado de gestión.</v>
      </c>
      <c r="AQ205" s="634" t="str">
        <f>IF(J205="Funcionamiento Gastos Generales","No aplica",IF(J205="Funcionamiento Servicios Personales","No aplica",IFERROR(VLOOKUP(J205,Listas!$A$220:$D$224,4,FALSE),"Alerta: Seleccione la celda en la comumna B con el nombre del proyecto")))</f>
        <v>FONT1110</v>
      </c>
      <c r="AR205" s="633" t="s">
        <v>198</v>
      </c>
      <c r="AS205" s="634" t="str">
        <f>IFERROR(VLOOKUP(AU205,Listas!$E$85:$L$105,7,FALSE),"Alerta: Seleccione la celda en la comumna AI con el concepto de gasto")</f>
        <v>05-ADMINISTRACION INSTITUCIONAL</v>
      </c>
      <c r="AT205" s="634" t="str">
        <f>IFERROR(VLOOKUP(AU205,Listas!$E$85:$L$105,8,FALSE),"Alerta: Seleccione la celda en la comumna AI con el concepto de gasto")</f>
        <v>02-ADMINISTRACIÓN, CONTROL Y ORGANIZACIÓN INSTITUCIONAL PARA APOYO A LA GESTIÓN DEL DISTRITO</v>
      </c>
      <c r="AU205" s="633" t="s">
        <v>243</v>
      </c>
      <c r="AV205" s="634">
        <f>IFERROR(VLOOKUP(AU205,Listas!$E$85:$F$105,2,FALSE),"Alerta: Seleccione el Concepto de Gasto primero")</f>
        <v>0</v>
      </c>
      <c r="AW205" s="644">
        <v>66000000</v>
      </c>
      <c r="AX205" s="645"/>
      <c r="AY205" s="645"/>
      <c r="AZ205" s="645"/>
      <c r="BA205" s="646">
        <f t="shared" si="66"/>
        <v>66000000</v>
      </c>
      <c r="BB205" s="647"/>
      <c r="BC205" s="648"/>
      <c r="BD205" s="649"/>
      <c r="BE205" s="647"/>
      <c r="BF205" s="644"/>
      <c r="BG205" s="646">
        <f t="shared" si="67"/>
        <v>66000000</v>
      </c>
      <c r="BH205" s="650"/>
      <c r="BI205" s="647"/>
      <c r="BJ205" s="644"/>
      <c r="BK205" s="646">
        <f t="shared" si="68"/>
        <v>0</v>
      </c>
      <c r="BL205" s="651"/>
      <c r="BM205" s="652">
        <f t="shared" si="69"/>
        <v>1</v>
      </c>
      <c r="BN205" s="628"/>
      <c r="BO205" s="670"/>
      <c r="BP205" s="644"/>
      <c r="BQ205" s="644"/>
      <c r="BR205" s="644"/>
      <c r="BS205" s="644"/>
      <c r="BT205" s="644"/>
      <c r="BU205" s="644"/>
      <c r="BV205" s="644"/>
      <c r="BW205" s="644"/>
      <c r="BX205" s="644"/>
      <c r="BY205" s="644"/>
      <c r="BZ205" s="644"/>
      <c r="CA205" s="644"/>
      <c r="CB205" s="646">
        <f t="shared" si="70"/>
        <v>0</v>
      </c>
      <c r="CC205" s="646">
        <f t="shared" si="71"/>
        <v>0</v>
      </c>
      <c r="CD205" s="614"/>
    </row>
    <row r="206" spans="1:85" s="653" customFormat="1" ht="61.5" customHeight="1">
      <c r="A206" s="625" t="str">
        <f t="shared" si="53"/>
        <v>1110-185-FONT1110-05-02-0020-Personal de apoyo transversal a la gestión institucional</v>
      </c>
      <c r="B206" s="626" t="str">
        <f t="shared" si="54"/>
        <v>1110-185-FONT1110-05-02-0020</v>
      </c>
      <c r="C206" s="626" t="str">
        <f t="shared" si="55"/>
        <v>1110-185-FONT1110-Personal de apoyo transversal a la gestión institucional</v>
      </c>
      <c r="D206" s="626" t="str">
        <f t="shared" si="56"/>
        <v>1110-185-12-Otros Distrito-05-02-0020</v>
      </c>
      <c r="E206" s="626" t="str">
        <f t="shared" si="57"/>
        <v>Personal de apoyo transversal a la gestión institucional-12-Otros Distrito-0020-Personal contratado para las actividades propias de los procesos de mejoramiento de gestión de la entidad</v>
      </c>
      <c r="F206" s="627">
        <v>161</v>
      </c>
      <c r="G206" s="628">
        <f t="shared" si="58"/>
        <v>161</v>
      </c>
      <c r="H206" s="629" t="b">
        <f t="shared" si="59"/>
        <v>0</v>
      </c>
      <c r="I206" s="630" t="s">
        <v>594</v>
      </c>
      <c r="J206" s="627" t="s">
        <v>178</v>
      </c>
      <c r="K206" s="631" t="str">
        <f>+IFERROR(VLOOKUP(J206,Listas!$A$108:$B$114,2,FALSE),"Alerta: Seleccione la celda en la comumna B con el nombre del proyecto")</f>
        <v>3-3-1-15-07-42-1110-185</v>
      </c>
      <c r="L206" s="632">
        <v>80111600</v>
      </c>
      <c r="M206" s="633" t="s">
        <v>763</v>
      </c>
      <c r="N206" s="634" t="str">
        <f t="shared" si="60"/>
        <v>(Cód. 161) Prestar servicios profesionales al Instituto Distrital de Patrimonio Cultural para apoyar las actividades relacionadas con el proceso de Direccionamiento Estratégico.</v>
      </c>
      <c r="O206" s="635">
        <v>43480</v>
      </c>
      <c r="P206" s="636">
        <f>IFERROR(VLOOKUP(W206,'Estimación CRP'!$D$21:$E$30,2,FALSE),0)</f>
        <v>10</v>
      </c>
      <c r="Q206" s="637">
        <f>IF(O206="No aplica","No aplica",WORKDAY.INTL(O206,P206,1,'Estimación CRP'!A392:A408))</f>
        <v>43494</v>
      </c>
      <c r="R206" s="636">
        <f t="shared" si="61"/>
        <v>1</v>
      </c>
      <c r="S206" s="636">
        <f t="shared" si="62"/>
        <v>1</v>
      </c>
      <c r="T206" s="636">
        <f t="shared" si="63"/>
        <v>1</v>
      </c>
      <c r="U206" s="712">
        <v>2</v>
      </c>
      <c r="V206" s="638">
        <v>1</v>
      </c>
      <c r="W206" s="639" t="s">
        <v>274</v>
      </c>
      <c r="X206" s="640" t="str">
        <f>IFERROR(VLOOKUP(W206,Listas!$A$60:$B$73,2,FALSE),"Alerta: Seleccione primero Modalidad de selección")</f>
        <v>CCE-16</v>
      </c>
      <c r="Y206" s="641">
        <v>0</v>
      </c>
      <c r="Z206" s="641" t="s">
        <v>346</v>
      </c>
      <c r="AA206" s="641" t="s">
        <v>1233</v>
      </c>
      <c r="AB206" s="642">
        <f t="shared" si="64"/>
        <v>12000000</v>
      </c>
      <c r="AC206" s="642">
        <f t="shared" si="65"/>
        <v>12000000</v>
      </c>
      <c r="AD206" s="641">
        <v>0</v>
      </c>
      <c r="AE206" s="643">
        <v>0</v>
      </c>
      <c r="AF206" s="639" t="s">
        <v>276</v>
      </c>
      <c r="AG206" s="639" t="s">
        <v>277</v>
      </c>
      <c r="AH206" s="639" t="s">
        <v>285</v>
      </c>
      <c r="AI206" s="626" t="str">
        <f>IFERROR(VLOOKUP(AH206,Listas!$A$77:$C$83,2,FALSE),"Alerta: Seleccione primero el responsable")</f>
        <v>3550800</v>
      </c>
      <c r="AJ206" s="640" t="str">
        <f>IFERROR(VLOOKUP(AH206,Listas!$A$77:$C$83,3,FALSE),"Alerta: Seleccione primero el responsable")</f>
        <v>maria.villamil@idpc.gov.co</v>
      </c>
      <c r="AK206" s="640" t="str">
        <f>IF(J206="Funcionamiento Gastos Generales","No aplica",IF(J206="Funcionamiento Servicios Personales indirectos","No aplica",IFERROR(VLOOKUP(J206,Listas!$A$127:$E$139,3,FALSE),"Alerta: Seleccione la celda en la comumna B con el nombre del proyecto")))</f>
        <v>ME20181110</v>
      </c>
      <c r="AL206" s="640" t="str">
        <f>IF(J206="Funcionamiento Gastos Generales","No aplica",IF(J206="Funcionamiento Servicios Personales","No aplica",IFERROR(VLOOKUP(J206,Listas!$A$220:$D$224,2,FALSE),"Alerta: Seleccione la celda en la comumna B con el nombre del proyecto")))</f>
        <v>COMP1110</v>
      </c>
      <c r="AM206" s="640" t="str">
        <f>IF(J206="Funcionamiento Gastos Generales","No aplica",IF(J206="Funcionamiento Servicios Personales","No aplica",IFERROR(VLOOKUP(J206,Listas!$A$220:$D$224,3,FALSE),"Alerta: Seleccione la celda en la comumna B con el nombre del proyecto")))</f>
        <v>CONC1110</v>
      </c>
      <c r="AN206" s="633" t="s">
        <v>789</v>
      </c>
      <c r="AO206" s="633" t="s">
        <v>124</v>
      </c>
      <c r="AP206" s="634" t="str">
        <f>IFERROR(VLOOKUP(J206,Listas!$A$182:$E$215,5,FALSE),"Alerta: Seleccione la celda en la comumna B con el nombre del proyecto")</f>
        <v>10. Procesos articulados dentro del sistema integrado de gestión.</v>
      </c>
      <c r="AQ206" s="634" t="str">
        <f>IF(J206="Funcionamiento Gastos Generales","No aplica",IF(J206="Funcionamiento Servicios Personales","No aplica",IFERROR(VLOOKUP(J206,Listas!$A$220:$D$224,4,FALSE),"Alerta: Seleccione la celda en la comumna B con el nombre del proyecto")))</f>
        <v>FONT1110</v>
      </c>
      <c r="AR206" s="633" t="s">
        <v>198</v>
      </c>
      <c r="AS206" s="634" t="str">
        <f>IFERROR(VLOOKUP(AU206,Listas!$E$85:$L$105,7,FALSE),"Alerta: Seleccione la celda en la comumna AI con el concepto de gasto")</f>
        <v>05-ADMINISTRACION INSTITUCIONAL</v>
      </c>
      <c r="AT206" s="634" t="str">
        <f>IFERROR(VLOOKUP(AU206,Listas!$E$85:$L$105,8,FALSE),"Alerta: Seleccione la celda en la comumna AI con el concepto de gasto")</f>
        <v>02-ADMINISTRACIÓN, CONTROL Y ORGANIZACIÓN INSTITUCIONAL PARA APOYO A LA GESTIÓN DEL DISTRITO</v>
      </c>
      <c r="AU206" s="633" t="s">
        <v>243</v>
      </c>
      <c r="AV206" s="634">
        <f>IFERROR(VLOOKUP(AU206,Listas!$E$85:$F$105,2,FALSE),"Alerta: Seleccione el Concepto de Gasto primero")</f>
        <v>0</v>
      </c>
      <c r="AW206" s="644">
        <v>12000000</v>
      </c>
      <c r="AX206" s="645"/>
      <c r="AY206" s="645"/>
      <c r="AZ206" s="645"/>
      <c r="BA206" s="646">
        <f t="shared" si="66"/>
        <v>12000000</v>
      </c>
      <c r="BB206" s="647"/>
      <c r="BC206" s="648"/>
      <c r="BD206" s="649"/>
      <c r="BE206" s="647"/>
      <c r="BF206" s="644"/>
      <c r="BG206" s="646">
        <f t="shared" si="67"/>
        <v>12000000</v>
      </c>
      <c r="BH206" s="650"/>
      <c r="BI206" s="647"/>
      <c r="BJ206" s="644"/>
      <c r="BK206" s="646">
        <f t="shared" si="68"/>
        <v>0</v>
      </c>
      <c r="BL206" s="651"/>
      <c r="BM206" s="652">
        <f t="shared" si="69"/>
        <v>1</v>
      </c>
      <c r="BN206" s="628"/>
      <c r="BO206" s="670"/>
      <c r="BP206" s="644"/>
      <c r="BQ206" s="644"/>
      <c r="BR206" s="644"/>
      <c r="BS206" s="644"/>
      <c r="BT206" s="644"/>
      <c r="BU206" s="644"/>
      <c r="BV206" s="644"/>
      <c r="BW206" s="644"/>
      <c r="BX206" s="644"/>
      <c r="BY206" s="644"/>
      <c r="BZ206" s="644"/>
      <c r="CA206" s="644"/>
      <c r="CB206" s="646">
        <f t="shared" si="70"/>
        <v>0</v>
      </c>
      <c r="CC206" s="646">
        <f t="shared" si="71"/>
        <v>0</v>
      </c>
      <c r="CD206" s="614"/>
    </row>
    <row r="207" spans="1:85" s="653" customFormat="1" ht="61.5" customHeight="1">
      <c r="A207" s="625" t="str">
        <f t="shared" si="53"/>
        <v>1110-185-FONT1110-05-02-0020-Personal de apoyo transversal a la gestión institucional</v>
      </c>
      <c r="B207" s="626" t="str">
        <f t="shared" si="54"/>
        <v>1110-185-FONT1110-05-02-0020</v>
      </c>
      <c r="C207" s="626" t="str">
        <f t="shared" si="55"/>
        <v>1110-185-FONT1110-Personal de apoyo transversal a la gestión institucional</v>
      </c>
      <c r="D207" s="626" t="str">
        <f t="shared" si="56"/>
        <v>1110-185-12-Otros Distrito-05-02-0020</v>
      </c>
      <c r="E207" s="626" t="str">
        <f t="shared" si="57"/>
        <v>Personal de apoyo transversal a la gestión institucional-12-Otros Distrito-0020-Personal contratado para las actividades propias de los procesos de mejoramiento de gestión de la entidad</v>
      </c>
      <c r="F207" s="627">
        <v>162</v>
      </c>
      <c r="G207" s="628">
        <f t="shared" si="58"/>
        <v>162</v>
      </c>
      <c r="H207" s="629" t="b">
        <f t="shared" si="59"/>
        <v>0</v>
      </c>
      <c r="I207" s="630" t="s">
        <v>594</v>
      </c>
      <c r="J207" s="627" t="s">
        <v>178</v>
      </c>
      <c r="K207" s="631" t="str">
        <f>+IFERROR(VLOOKUP(J207,Listas!$A$108:$B$114,2,FALSE),"Alerta: Seleccione la celda en la comumna B con el nombre del proyecto")</f>
        <v>3-3-1-15-07-42-1110-185</v>
      </c>
      <c r="L207" s="632">
        <v>80111600</v>
      </c>
      <c r="M207" s="633" t="s">
        <v>764</v>
      </c>
      <c r="N207" s="634" t="str">
        <f t="shared" si="60"/>
        <v>(Cód. 162) Prestar servicios de apoyo a la gestión al Instituto Distrital de Patrimonio Cultural en las actividades operativas requeridas en el área de almacén e inventarios.</v>
      </c>
      <c r="O207" s="635">
        <v>43480</v>
      </c>
      <c r="P207" s="636">
        <f>IFERROR(VLOOKUP(W207,'Estimación CRP'!$D$21:$E$30,2,FALSE),0)</f>
        <v>10</v>
      </c>
      <c r="Q207" s="637">
        <f>IF(O207="No aplica","No aplica",WORKDAY.INTL(O207,P207,1,'Estimación CRP'!A393:A409))</f>
        <v>43494</v>
      </c>
      <c r="R207" s="636">
        <f t="shared" si="61"/>
        <v>1</v>
      </c>
      <c r="S207" s="636">
        <f t="shared" si="62"/>
        <v>1</v>
      </c>
      <c r="T207" s="636">
        <f t="shared" si="63"/>
        <v>1</v>
      </c>
      <c r="U207" s="712">
        <v>11</v>
      </c>
      <c r="V207" s="638">
        <v>1</v>
      </c>
      <c r="W207" s="639" t="s">
        <v>274</v>
      </c>
      <c r="X207" s="640" t="str">
        <f>IFERROR(VLOOKUP(W207,Listas!$A$60:$B$73,2,FALSE),"Alerta: Seleccione primero Modalidad de selección")</f>
        <v>CCE-16</v>
      </c>
      <c r="Y207" s="641">
        <v>0</v>
      </c>
      <c r="Z207" s="641" t="s">
        <v>346</v>
      </c>
      <c r="AA207" s="641" t="s">
        <v>1234</v>
      </c>
      <c r="AB207" s="642">
        <f t="shared" si="64"/>
        <v>33990000</v>
      </c>
      <c r="AC207" s="642">
        <f t="shared" si="65"/>
        <v>33990000</v>
      </c>
      <c r="AD207" s="641">
        <v>0</v>
      </c>
      <c r="AE207" s="643">
        <v>0</v>
      </c>
      <c r="AF207" s="639" t="s">
        <v>276</v>
      </c>
      <c r="AG207" s="639" t="s">
        <v>277</v>
      </c>
      <c r="AH207" s="639" t="s">
        <v>283</v>
      </c>
      <c r="AI207" s="626" t="str">
        <f>IFERROR(VLOOKUP(AH207,Listas!$A$77:$C$83,2,FALSE),"Alerta: Seleccione primero el responsable")</f>
        <v>3550800</v>
      </c>
      <c r="AJ207" s="640" t="str">
        <f>IFERROR(VLOOKUP(AH207,Listas!$A$77:$C$83,3,FALSE),"Alerta: Seleccione primero el responsable")</f>
        <v>juan.acosta@idpc.gov.co</v>
      </c>
      <c r="AK207" s="640" t="str">
        <f>IF(J207="Funcionamiento Gastos Generales","No aplica",IF(J207="Funcionamiento Servicios Personales indirectos","No aplica",IFERROR(VLOOKUP(J207,Listas!$A$127:$E$139,3,FALSE),"Alerta: Seleccione la celda en la comumna B con el nombre del proyecto")))</f>
        <v>ME20181110</v>
      </c>
      <c r="AL207" s="640" t="str">
        <f>IF(J207="Funcionamiento Gastos Generales","No aplica",IF(J207="Funcionamiento Servicios Personales","No aplica",IFERROR(VLOOKUP(J207,Listas!$A$220:$D$224,2,FALSE),"Alerta: Seleccione la celda en la comumna B con el nombre del proyecto")))</f>
        <v>COMP1110</v>
      </c>
      <c r="AM207" s="640" t="str">
        <f>IF(J207="Funcionamiento Gastos Generales","No aplica",IF(J207="Funcionamiento Servicios Personales","No aplica",IFERROR(VLOOKUP(J207,Listas!$A$220:$D$224,3,FALSE),"Alerta: Seleccione la celda en la comumna B con el nombre del proyecto")))</f>
        <v>CONC1110</v>
      </c>
      <c r="AN207" s="633" t="s">
        <v>789</v>
      </c>
      <c r="AO207" s="633" t="s">
        <v>124</v>
      </c>
      <c r="AP207" s="634" t="str">
        <f>IFERROR(VLOOKUP(J207,Listas!$A$182:$E$215,5,FALSE),"Alerta: Seleccione la celda en la comumna B con el nombre del proyecto")</f>
        <v>10. Procesos articulados dentro del sistema integrado de gestión.</v>
      </c>
      <c r="AQ207" s="634" t="str">
        <f>IF(J207="Funcionamiento Gastos Generales","No aplica",IF(J207="Funcionamiento Servicios Personales","No aplica",IFERROR(VLOOKUP(J207,Listas!$A$220:$D$224,4,FALSE),"Alerta: Seleccione la celda en la comumna B con el nombre del proyecto")))</f>
        <v>FONT1110</v>
      </c>
      <c r="AR207" s="633" t="s">
        <v>198</v>
      </c>
      <c r="AS207" s="634" t="str">
        <f>IFERROR(VLOOKUP(AU207,Listas!$E$85:$L$105,7,FALSE),"Alerta: Seleccione la celda en la comumna AI con el concepto de gasto")</f>
        <v>05-ADMINISTRACION INSTITUCIONAL</v>
      </c>
      <c r="AT207" s="634" t="str">
        <f>IFERROR(VLOOKUP(AU207,Listas!$E$85:$L$105,8,FALSE),"Alerta: Seleccione la celda en la comumna AI con el concepto de gasto")</f>
        <v>02-ADMINISTRACIÓN, CONTROL Y ORGANIZACIÓN INSTITUCIONAL PARA APOYO A LA GESTIÓN DEL DISTRITO</v>
      </c>
      <c r="AU207" s="633" t="s">
        <v>243</v>
      </c>
      <c r="AV207" s="634">
        <f>IFERROR(VLOOKUP(AU207,Listas!$E$85:$F$105,2,FALSE),"Alerta: Seleccione el Concepto de Gasto primero")</f>
        <v>0</v>
      </c>
      <c r="AW207" s="644">
        <v>33990000</v>
      </c>
      <c r="AX207" s="645"/>
      <c r="AY207" s="645"/>
      <c r="AZ207" s="645"/>
      <c r="BA207" s="646">
        <f t="shared" si="66"/>
        <v>33990000</v>
      </c>
      <c r="BB207" s="647"/>
      <c r="BC207" s="648"/>
      <c r="BD207" s="649"/>
      <c r="BE207" s="647"/>
      <c r="BF207" s="644"/>
      <c r="BG207" s="646">
        <f t="shared" si="67"/>
        <v>33990000</v>
      </c>
      <c r="BH207" s="650"/>
      <c r="BI207" s="647"/>
      <c r="BJ207" s="644"/>
      <c r="BK207" s="646">
        <f t="shared" si="68"/>
        <v>0</v>
      </c>
      <c r="BL207" s="651"/>
      <c r="BM207" s="652">
        <f t="shared" si="69"/>
        <v>1</v>
      </c>
      <c r="BN207" s="628"/>
      <c r="BO207" s="670"/>
      <c r="BP207" s="644"/>
      <c r="BQ207" s="644"/>
      <c r="BR207" s="644"/>
      <c r="BS207" s="644"/>
      <c r="BT207" s="644"/>
      <c r="BU207" s="644"/>
      <c r="BV207" s="644"/>
      <c r="BW207" s="644"/>
      <c r="BX207" s="644"/>
      <c r="BY207" s="644"/>
      <c r="BZ207" s="644"/>
      <c r="CA207" s="644"/>
      <c r="CB207" s="646">
        <f t="shared" si="70"/>
        <v>0</v>
      </c>
      <c r="CC207" s="646">
        <f t="shared" si="71"/>
        <v>0</v>
      </c>
      <c r="CD207" s="614"/>
    </row>
    <row r="208" spans="1:85" s="653" customFormat="1" ht="61.5" customHeight="1">
      <c r="A208" s="625" t="str">
        <f t="shared" si="53"/>
        <v>1110-185-FONT1110-05-02-0020-Personal de apoyo transversal a la gestión institucional</v>
      </c>
      <c r="B208" s="626" t="str">
        <f t="shared" si="54"/>
        <v>1110-185-FONT1110-05-02-0020</v>
      </c>
      <c r="C208" s="626" t="str">
        <f t="shared" si="55"/>
        <v>1110-185-FONT1110-Personal de apoyo transversal a la gestión institucional</v>
      </c>
      <c r="D208" s="626" t="str">
        <f t="shared" si="56"/>
        <v>1110-185-12-Otros Distrito-05-02-0020</v>
      </c>
      <c r="E208" s="626" t="str">
        <f t="shared" si="57"/>
        <v>Personal de apoyo transversal a la gestión institucional-12-Otros Distrito-0020-Personal contratado para las actividades propias de los procesos de mejoramiento de gestión de la entidad</v>
      </c>
      <c r="F208" s="627">
        <v>163</v>
      </c>
      <c r="G208" s="628">
        <f t="shared" si="58"/>
        <v>163</v>
      </c>
      <c r="H208" s="629" t="b">
        <f t="shared" si="59"/>
        <v>0</v>
      </c>
      <c r="I208" s="630" t="s">
        <v>594</v>
      </c>
      <c r="J208" s="627" t="s">
        <v>178</v>
      </c>
      <c r="K208" s="631" t="str">
        <f>+IFERROR(VLOOKUP(J208,Listas!$A$108:$B$114,2,FALSE),"Alerta: Seleccione la celda en la comumna B con el nombre del proyecto")</f>
        <v>3-3-1-15-07-42-1110-185</v>
      </c>
      <c r="L208" s="632">
        <v>80111600</v>
      </c>
      <c r="M208" s="633" t="s">
        <v>765</v>
      </c>
      <c r="N208" s="634" t="str">
        <f t="shared" si="60"/>
        <v>(Cód. 163) Prestar servicios profesionales al Instituto Distrital de Patrimonio Cultural para apoyar los procesos de planeación relacionados con los programas, planes y proyectos del Instituto.</v>
      </c>
      <c r="O208" s="635">
        <v>43480</v>
      </c>
      <c r="P208" s="636">
        <f>IFERROR(VLOOKUP(W208,'Estimación CRP'!$D$21:$E$30,2,FALSE),0)</f>
        <v>10</v>
      </c>
      <c r="Q208" s="637">
        <f>IF(O208="No aplica","No aplica",WORKDAY.INTL(O208,P208,1,'Estimación CRP'!A394:A410))</f>
        <v>43494</v>
      </c>
      <c r="R208" s="636">
        <f t="shared" si="61"/>
        <v>1</v>
      </c>
      <c r="S208" s="636">
        <f t="shared" si="62"/>
        <v>1</v>
      </c>
      <c r="T208" s="636">
        <f t="shared" si="63"/>
        <v>1</v>
      </c>
      <c r="U208" s="712">
        <v>2</v>
      </c>
      <c r="V208" s="638">
        <v>1</v>
      </c>
      <c r="W208" s="639" t="s">
        <v>274</v>
      </c>
      <c r="X208" s="640" t="str">
        <f>IFERROR(VLOOKUP(W208,Listas!$A$60:$B$73,2,FALSE),"Alerta: Seleccione primero Modalidad de selección")</f>
        <v>CCE-16</v>
      </c>
      <c r="Y208" s="641">
        <v>0</v>
      </c>
      <c r="Z208" s="641" t="s">
        <v>346</v>
      </c>
      <c r="AA208" s="641" t="s">
        <v>1235</v>
      </c>
      <c r="AB208" s="642">
        <f t="shared" si="64"/>
        <v>12000000</v>
      </c>
      <c r="AC208" s="642">
        <f t="shared" si="65"/>
        <v>12000000</v>
      </c>
      <c r="AD208" s="641">
        <v>0</v>
      </c>
      <c r="AE208" s="643">
        <v>0</v>
      </c>
      <c r="AF208" s="639" t="s">
        <v>276</v>
      </c>
      <c r="AG208" s="639" t="s">
        <v>277</v>
      </c>
      <c r="AH208" s="639" t="s">
        <v>285</v>
      </c>
      <c r="AI208" s="626" t="str">
        <f>IFERROR(VLOOKUP(AH208,Listas!$A$77:$C$83,2,FALSE),"Alerta: Seleccione primero el responsable")</f>
        <v>3550800</v>
      </c>
      <c r="AJ208" s="640" t="str">
        <f>IFERROR(VLOOKUP(AH208,Listas!$A$77:$C$83,3,FALSE),"Alerta: Seleccione primero el responsable")</f>
        <v>maria.villamil@idpc.gov.co</v>
      </c>
      <c r="AK208" s="640" t="str">
        <f>IF(J208="Funcionamiento Gastos Generales","No aplica",IF(J208="Funcionamiento Servicios Personales indirectos","No aplica",IFERROR(VLOOKUP(J208,Listas!$A$127:$E$139,3,FALSE),"Alerta: Seleccione la celda en la comumna B con el nombre del proyecto")))</f>
        <v>ME20181110</v>
      </c>
      <c r="AL208" s="640" t="str">
        <f>IF(J208="Funcionamiento Gastos Generales","No aplica",IF(J208="Funcionamiento Servicios Personales","No aplica",IFERROR(VLOOKUP(J208,Listas!$A$220:$D$224,2,FALSE),"Alerta: Seleccione la celda en la comumna B con el nombre del proyecto")))</f>
        <v>COMP1110</v>
      </c>
      <c r="AM208" s="640" t="str">
        <f>IF(J208="Funcionamiento Gastos Generales","No aplica",IF(J208="Funcionamiento Servicios Personales","No aplica",IFERROR(VLOOKUP(J208,Listas!$A$220:$D$224,3,FALSE),"Alerta: Seleccione la celda en la comumna B con el nombre del proyecto")))</f>
        <v>CONC1110</v>
      </c>
      <c r="AN208" s="633" t="s">
        <v>789</v>
      </c>
      <c r="AO208" s="633" t="s">
        <v>124</v>
      </c>
      <c r="AP208" s="634" t="str">
        <f>IFERROR(VLOOKUP(J208,Listas!$A$182:$E$215,5,FALSE),"Alerta: Seleccione la celda en la comumna B con el nombre del proyecto")</f>
        <v>10. Procesos articulados dentro del sistema integrado de gestión.</v>
      </c>
      <c r="AQ208" s="634" t="str">
        <f>IF(J208="Funcionamiento Gastos Generales","No aplica",IF(J208="Funcionamiento Servicios Personales","No aplica",IFERROR(VLOOKUP(J208,Listas!$A$220:$D$224,4,FALSE),"Alerta: Seleccione la celda en la comumna B con el nombre del proyecto")))</f>
        <v>FONT1110</v>
      </c>
      <c r="AR208" s="633" t="s">
        <v>198</v>
      </c>
      <c r="AS208" s="634" t="str">
        <f>IFERROR(VLOOKUP(AU208,Listas!$E$85:$L$105,7,FALSE),"Alerta: Seleccione la celda en la comumna AI con el concepto de gasto")</f>
        <v>05-ADMINISTRACION INSTITUCIONAL</v>
      </c>
      <c r="AT208" s="634" t="str">
        <f>IFERROR(VLOOKUP(AU208,Listas!$E$85:$L$105,8,FALSE),"Alerta: Seleccione la celda en la comumna AI con el concepto de gasto")</f>
        <v>02-ADMINISTRACIÓN, CONTROL Y ORGANIZACIÓN INSTITUCIONAL PARA APOYO A LA GESTIÓN DEL DISTRITO</v>
      </c>
      <c r="AU208" s="633" t="s">
        <v>243</v>
      </c>
      <c r="AV208" s="634">
        <f>IFERROR(VLOOKUP(AU208,Listas!$E$85:$F$105,2,FALSE),"Alerta: Seleccione el Concepto de Gasto primero")</f>
        <v>0</v>
      </c>
      <c r="AW208" s="644">
        <v>12000000</v>
      </c>
      <c r="AX208" s="645"/>
      <c r="AY208" s="645"/>
      <c r="AZ208" s="645"/>
      <c r="BA208" s="646">
        <f t="shared" si="66"/>
        <v>12000000</v>
      </c>
      <c r="BB208" s="647"/>
      <c r="BC208" s="648"/>
      <c r="BD208" s="649"/>
      <c r="BE208" s="647"/>
      <c r="BF208" s="644"/>
      <c r="BG208" s="646">
        <f t="shared" si="67"/>
        <v>12000000</v>
      </c>
      <c r="BH208" s="650"/>
      <c r="BI208" s="647"/>
      <c r="BJ208" s="644"/>
      <c r="BK208" s="646">
        <f t="shared" si="68"/>
        <v>0</v>
      </c>
      <c r="BL208" s="651"/>
      <c r="BM208" s="652">
        <f t="shared" si="69"/>
        <v>1</v>
      </c>
      <c r="BN208" s="628"/>
      <c r="BO208" s="670"/>
      <c r="BP208" s="644"/>
      <c r="BQ208" s="644"/>
      <c r="BR208" s="644"/>
      <c r="BS208" s="644"/>
      <c r="BT208" s="644"/>
      <c r="BU208" s="644"/>
      <c r="BV208" s="644"/>
      <c r="BW208" s="644"/>
      <c r="BX208" s="644"/>
      <c r="BY208" s="644"/>
      <c r="BZ208" s="644"/>
      <c r="CA208" s="644"/>
      <c r="CB208" s="646">
        <f t="shared" si="70"/>
        <v>0</v>
      </c>
      <c r="CC208" s="646">
        <f t="shared" si="71"/>
        <v>0</v>
      </c>
      <c r="CD208" s="614"/>
    </row>
    <row r="209" spans="1:82" s="653" customFormat="1" ht="61.5" customHeight="1">
      <c r="A209" s="625" t="str">
        <f t="shared" si="53"/>
        <v>1110-185-FONT1110-05-02-0020-Fortalecimiento de los subsistemas del sistema integrado de gestión</v>
      </c>
      <c r="B209" s="626" t="str">
        <f t="shared" si="54"/>
        <v>1110-185-FONT1110-05-02-0020</v>
      </c>
      <c r="C209" s="626" t="str">
        <f t="shared" si="55"/>
        <v>1110-185-FONT1110-Fortalecimiento de los subsistemas del sistema integrado de gestión</v>
      </c>
      <c r="D209" s="626" t="str">
        <f t="shared" si="56"/>
        <v>1110-185-12-Otros Distrito-05-02-0020</v>
      </c>
      <c r="E209" s="626" t="str">
        <f t="shared" si="57"/>
        <v>Fortalecimiento de los subsistemas del sistema integrado de gestión-12-Otros Distrito-0020-Personal contratado para las actividades propias de los procesos de mejoramiento de gestión de la entidad</v>
      </c>
      <c r="F209" s="627">
        <v>164</v>
      </c>
      <c r="G209" s="628">
        <f t="shared" si="58"/>
        <v>164</v>
      </c>
      <c r="H209" s="629" t="b">
        <f t="shared" si="59"/>
        <v>0</v>
      </c>
      <c r="I209" s="630" t="s">
        <v>594</v>
      </c>
      <c r="J209" s="627" t="s">
        <v>178</v>
      </c>
      <c r="K209" s="631" t="str">
        <f>+IFERROR(VLOOKUP(J209,Listas!$A$108:$B$114,2,FALSE),"Alerta: Seleccione la celda en la comumna B con el nombre del proyecto")</f>
        <v>3-3-1-15-07-42-1110-185</v>
      </c>
      <c r="L209" s="632">
        <v>80111600</v>
      </c>
      <c r="M209" s="633" t="s">
        <v>766</v>
      </c>
      <c r="N209" s="634" t="str">
        <f t="shared" si="60"/>
        <v>(Cód. 164) Prestar servicios profesionales al Instituto Distrital de Patrimonio Cultural para desarrollar actividades de apoyo al proceso de operación del Subsistema Interno de Gestión Documental y Archivos -SIGA.</v>
      </c>
      <c r="O209" s="635">
        <v>43480</v>
      </c>
      <c r="P209" s="636">
        <f>IFERROR(VLOOKUP(W209,'Estimación CRP'!$D$21:$E$30,2,FALSE),0)</f>
        <v>10</v>
      </c>
      <c r="Q209" s="637">
        <f>IF(O209="No aplica","No aplica",WORKDAY.INTL(O209,P209,1,'Estimación CRP'!A395:A411))</f>
        <v>43494</v>
      </c>
      <c r="R209" s="636">
        <f t="shared" si="61"/>
        <v>1</v>
      </c>
      <c r="S209" s="636">
        <f t="shared" si="62"/>
        <v>1</v>
      </c>
      <c r="T209" s="636">
        <f t="shared" si="63"/>
        <v>1</v>
      </c>
      <c r="U209" s="712">
        <v>11</v>
      </c>
      <c r="V209" s="638">
        <v>1</v>
      </c>
      <c r="W209" s="639" t="s">
        <v>274</v>
      </c>
      <c r="X209" s="640" t="str">
        <f>IFERROR(VLOOKUP(W209,Listas!$A$60:$B$73,2,FALSE),"Alerta: Seleccione primero Modalidad de selección")</f>
        <v>CCE-16</v>
      </c>
      <c r="Y209" s="641">
        <v>0</v>
      </c>
      <c r="Z209" s="641" t="s">
        <v>346</v>
      </c>
      <c r="AA209" s="641" t="s">
        <v>1236</v>
      </c>
      <c r="AB209" s="642">
        <f t="shared" si="64"/>
        <v>47300000</v>
      </c>
      <c r="AC209" s="642">
        <f t="shared" si="65"/>
        <v>47300000</v>
      </c>
      <c r="AD209" s="641">
        <v>0</v>
      </c>
      <c r="AE209" s="643">
        <v>0</v>
      </c>
      <c r="AF209" s="639" t="s">
        <v>276</v>
      </c>
      <c r="AG209" s="639" t="s">
        <v>277</v>
      </c>
      <c r="AH209" s="639" t="s">
        <v>285</v>
      </c>
      <c r="AI209" s="626" t="str">
        <f>IFERROR(VLOOKUP(AH209,Listas!$A$77:$C$83,2,FALSE),"Alerta: Seleccione primero el responsable")</f>
        <v>3550800</v>
      </c>
      <c r="AJ209" s="640" t="str">
        <f>IFERROR(VLOOKUP(AH209,Listas!$A$77:$C$83,3,FALSE),"Alerta: Seleccione primero el responsable")</f>
        <v>maria.villamil@idpc.gov.co</v>
      </c>
      <c r="AK209" s="640" t="str">
        <f>IF(J209="Funcionamiento Gastos Generales","No aplica",IF(J209="Funcionamiento Servicios Personales indirectos","No aplica",IFERROR(VLOOKUP(J209,Listas!$A$127:$E$139,3,FALSE),"Alerta: Seleccione la celda en la comumna B con el nombre del proyecto")))</f>
        <v>ME20181110</v>
      </c>
      <c r="AL209" s="640" t="str">
        <f>IF(J209="Funcionamiento Gastos Generales","No aplica",IF(J209="Funcionamiento Servicios Personales","No aplica",IFERROR(VLOOKUP(J209,Listas!$A$220:$D$224,2,FALSE),"Alerta: Seleccione la celda en la comumna B con el nombre del proyecto")))</f>
        <v>COMP1110</v>
      </c>
      <c r="AM209" s="640" t="str">
        <f>IF(J209="Funcionamiento Gastos Generales","No aplica",IF(J209="Funcionamiento Servicios Personales","No aplica",IFERROR(VLOOKUP(J209,Listas!$A$220:$D$224,3,FALSE),"Alerta: Seleccione la celda en la comumna B con el nombre del proyecto")))</f>
        <v>CONC1110</v>
      </c>
      <c r="AN209" s="633" t="s">
        <v>789</v>
      </c>
      <c r="AO209" s="633" t="s">
        <v>123</v>
      </c>
      <c r="AP209" s="634" t="str">
        <f>IFERROR(VLOOKUP(J209,Listas!$A$182:$E$215,5,FALSE),"Alerta: Seleccione la celda en la comumna B con el nombre del proyecto")</f>
        <v>10. Procesos articulados dentro del sistema integrado de gestión.</v>
      </c>
      <c r="AQ209" s="634" t="str">
        <f>IF(J209="Funcionamiento Gastos Generales","No aplica",IF(J209="Funcionamiento Servicios Personales","No aplica",IFERROR(VLOOKUP(J209,Listas!$A$220:$D$224,4,FALSE),"Alerta: Seleccione la celda en la comumna B con el nombre del proyecto")))</f>
        <v>FONT1110</v>
      </c>
      <c r="AR209" s="633" t="s">
        <v>198</v>
      </c>
      <c r="AS209" s="634" t="str">
        <f>IFERROR(VLOOKUP(AU209,Listas!$E$85:$L$105,7,FALSE),"Alerta: Seleccione la celda en la comumna AI con el concepto de gasto")</f>
        <v>05-ADMINISTRACION INSTITUCIONAL</v>
      </c>
      <c r="AT209" s="634" t="str">
        <f>IFERROR(VLOOKUP(AU209,Listas!$E$85:$L$105,8,FALSE),"Alerta: Seleccione la celda en la comumna AI con el concepto de gasto")</f>
        <v>02-ADMINISTRACIÓN, CONTROL Y ORGANIZACIÓN INSTITUCIONAL PARA APOYO A LA GESTIÓN DEL DISTRITO</v>
      </c>
      <c r="AU209" s="633" t="s">
        <v>243</v>
      </c>
      <c r="AV209" s="634">
        <f>IFERROR(VLOOKUP(AU209,Listas!$E$85:$F$105,2,FALSE),"Alerta: Seleccione el Concepto de Gasto primero")</f>
        <v>0</v>
      </c>
      <c r="AW209" s="644">
        <v>47300000</v>
      </c>
      <c r="AX209" s="645"/>
      <c r="AY209" s="645"/>
      <c r="AZ209" s="645"/>
      <c r="BA209" s="646">
        <f t="shared" si="66"/>
        <v>47300000</v>
      </c>
      <c r="BB209" s="647"/>
      <c r="BC209" s="648"/>
      <c r="BD209" s="649"/>
      <c r="BE209" s="647"/>
      <c r="BF209" s="644"/>
      <c r="BG209" s="646">
        <f t="shared" si="67"/>
        <v>47300000</v>
      </c>
      <c r="BH209" s="650"/>
      <c r="BI209" s="647"/>
      <c r="BJ209" s="644"/>
      <c r="BK209" s="646">
        <f t="shared" si="68"/>
        <v>0</v>
      </c>
      <c r="BL209" s="651"/>
      <c r="BM209" s="652">
        <f t="shared" si="69"/>
        <v>1</v>
      </c>
      <c r="BN209" s="628"/>
      <c r="BO209" s="670"/>
      <c r="BP209" s="644"/>
      <c r="BQ209" s="644"/>
      <c r="BR209" s="644"/>
      <c r="BS209" s="644"/>
      <c r="BT209" s="644"/>
      <c r="BU209" s="644"/>
      <c r="BV209" s="644"/>
      <c r="BW209" s="644"/>
      <c r="BX209" s="644"/>
      <c r="BY209" s="644"/>
      <c r="BZ209" s="644"/>
      <c r="CA209" s="644"/>
      <c r="CB209" s="646">
        <f t="shared" si="70"/>
        <v>0</v>
      </c>
      <c r="CC209" s="646">
        <f t="shared" si="71"/>
        <v>0</v>
      </c>
      <c r="CD209" s="614"/>
    </row>
    <row r="210" spans="1:82" s="653" customFormat="1" ht="61.5" customHeight="1">
      <c r="A210" s="625" t="str">
        <f t="shared" si="53"/>
        <v>1110-185-FONT1110-05-02-0020-Personal de apoyo transversal a la gestión institucional</v>
      </c>
      <c r="B210" s="626" t="str">
        <f t="shared" si="54"/>
        <v>1110-185-FONT1110-05-02-0020</v>
      </c>
      <c r="C210" s="626" t="str">
        <f t="shared" si="55"/>
        <v>1110-185-FONT1110-Personal de apoyo transversal a la gestión institucional</v>
      </c>
      <c r="D210" s="626" t="str">
        <f t="shared" si="56"/>
        <v>1110-185-12-Otros Distrito-05-02-0020</v>
      </c>
      <c r="E210" s="626" t="str">
        <f t="shared" si="57"/>
        <v>Personal de apoyo transversal a la gestión institucional-12-Otros Distrito-0020-Personal contratado para las actividades propias de los procesos de mejoramiento de gestión de la entidad</v>
      </c>
      <c r="F210" s="627">
        <v>165</v>
      </c>
      <c r="G210" s="628">
        <f t="shared" si="58"/>
        <v>165</v>
      </c>
      <c r="H210" s="629" t="b">
        <f t="shared" si="59"/>
        <v>0</v>
      </c>
      <c r="I210" s="630" t="s">
        <v>594</v>
      </c>
      <c r="J210" s="627" t="s">
        <v>178</v>
      </c>
      <c r="K210" s="631" t="str">
        <f>+IFERROR(VLOOKUP(J210,Listas!$A$108:$B$114,2,FALSE),"Alerta: Seleccione la celda en la comumna B con el nombre del proyecto")</f>
        <v>3-3-1-15-07-42-1110-185</v>
      </c>
      <c r="L210" s="632">
        <v>80111600</v>
      </c>
      <c r="M210" s="633" t="s">
        <v>767</v>
      </c>
      <c r="N210" s="634" t="str">
        <f t="shared" si="60"/>
        <v xml:space="preserve">(Cód. 165) Prestar servicios de apoyo a la gestión al Instituto Distrital de Patrimonio Cultural para ejecutar actividades operativas requeridas por la Subdirección General o quien haga sus veces. </v>
      </c>
      <c r="O210" s="635">
        <v>43480</v>
      </c>
      <c r="P210" s="636">
        <f>IFERROR(VLOOKUP(W210,'Estimación CRP'!$D$21:$E$30,2,FALSE),0)</f>
        <v>10</v>
      </c>
      <c r="Q210" s="637">
        <f>IF(O210="No aplica","No aplica",WORKDAY.INTL(O210,P210,1,'Estimación CRP'!A396:A412))</f>
        <v>43494</v>
      </c>
      <c r="R210" s="636">
        <f t="shared" si="61"/>
        <v>1</v>
      </c>
      <c r="S210" s="636">
        <f t="shared" si="62"/>
        <v>1</v>
      </c>
      <c r="T210" s="636">
        <f t="shared" si="63"/>
        <v>1</v>
      </c>
      <c r="U210" s="712">
        <v>11</v>
      </c>
      <c r="V210" s="638">
        <v>1</v>
      </c>
      <c r="W210" s="639" t="s">
        <v>274</v>
      </c>
      <c r="X210" s="640" t="str">
        <f>IFERROR(VLOOKUP(W210,Listas!$A$60:$B$73,2,FALSE),"Alerta: Seleccione primero Modalidad de selección")</f>
        <v>CCE-16</v>
      </c>
      <c r="Y210" s="641">
        <v>0</v>
      </c>
      <c r="Z210" s="641" t="s">
        <v>346</v>
      </c>
      <c r="AA210" s="641" t="s">
        <v>1237</v>
      </c>
      <c r="AB210" s="642">
        <f t="shared" si="64"/>
        <v>25520000</v>
      </c>
      <c r="AC210" s="642">
        <f t="shared" si="65"/>
        <v>25520000</v>
      </c>
      <c r="AD210" s="641">
        <v>0</v>
      </c>
      <c r="AE210" s="643">
        <v>0</v>
      </c>
      <c r="AF210" s="639" t="s">
        <v>276</v>
      </c>
      <c r="AG210" s="639" t="s">
        <v>277</v>
      </c>
      <c r="AH210" s="639" t="s">
        <v>285</v>
      </c>
      <c r="AI210" s="626" t="str">
        <f>IFERROR(VLOOKUP(AH210,Listas!$A$77:$C$83,2,FALSE),"Alerta: Seleccione primero el responsable")</f>
        <v>3550800</v>
      </c>
      <c r="AJ210" s="640" t="str">
        <f>IFERROR(VLOOKUP(AH210,Listas!$A$77:$C$83,3,FALSE),"Alerta: Seleccione primero el responsable")</f>
        <v>maria.villamil@idpc.gov.co</v>
      </c>
      <c r="AK210" s="640" t="str">
        <f>IF(J210="Funcionamiento Gastos Generales","No aplica",IF(J210="Funcionamiento Servicios Personales indirectos","No aplica",IFERROR(VLOOKUP(J210,Listas!$A$127:$E$139,3,FALSE),"Alerta: Seleccione la celda en la comumna B con el nombre del proyecto")))</f>
        <v>ME20181110</v>
      </c>
      <c r="AL210" s="640" t="str">
        <f>IF(J210="Funcionamiento Gastos Generales","No aplica",IF(J210="Funcionamiento Servicios Personales","No aplica",IFERROR(VLOOKUP(J210,Listas!$A$220:$D$224,2,FALSE),"Alerta: Seleccione la celda en la comumna B con el nombre del proyecto")))</f>
        <v>COMP1110</v>
      </c>
      <c r="AM210" s="640" t="str">
        <f>IF(J210="Funcionamiento Gastos Generales","No aplica",IF(J210="Funcionamiento Servicios Personales","No aplica",IFERROR(VLOOKUP(J210,Listas!$A$220:$D$224,3,FALSE),"Alerta: Seleccione la celda en la comumna B con el nombre del proyecto")))</f>
        <v>CONC1110</v>
      </c>
      <c r="AN210" s="633" t="s">
        <v>789</v>
      </c>
      <c r="AO210" s="633" t="s">
        <v>124</v>
      </c>
      <c r="AP210" s="634" t="str">
        <f>IFERROR(VLOOKUP(J210,Listas!$A$182:$E$215,5,FALSE),"Alerta: Seleccione la celda en la comumna B con el nombre del proyecto")</f>
        <v>10. Procesos articulados dentro del sistema integrado de gestión.</v>
      </c>
      <c r="AQ210" s="634" t="str">
        <f>IF(J210="Funcionamiento Gastos Generales","No aplica",IF(J210="Funcionamiento Servicios Personales","No aplica",IFERROR(VLOOKUP(J210,Listas!$A$220:$D$224,4,FALSE),"Alerta: Seleccione la celda en la comumna B con el nombre del proyecto")))</f>
        <v>FONT1110</v>
      </c>
      <c r="AR210" s="633" t="s">
        <v>198</v>
      </c>
      <c r="AS210" s="634" t="str">
        <f>IFERROR(VLOOKUP(AU210,Listas!$E$85:$L$105,7,FALSE),"Alerta: Seleccione la celda en la comumna AI con el concepto de gasto")</f>
        <v>05-ADMINISTRACION INSTITUCIONAL</v>
      </c>
      <c r="AT210" s="634" t="str">
        <f>IFERROR(VLOOKUP(AU210,Listas!$E$85:$L$105,8,FALSE),"Alerta: Seleccione la celda en la comumna AI con el concepto de gasto")</f>
        <v>02-ADMINISTRACIÓN, CONTROL Y ORGANIZACIÓN INSTITUCIONAL PARA APOYO A LA GESTIÓN DEL DISTRITO</v>
      </c>
      <c r="AU210" s="633" t="s">
        <v>243</v>
      </c>
      <c r="AV210" s="634">
        <f>IFERROR(VLOOKUP(AU210,Listas!$E$85:$F$105,2,FALSE),"Alerta: Seleccione el Concepto de Gasto primero")</f>
        <v>0</v>
      </c>
      <c r="AW210" s="644">
        <v>25520000</v>
      </c>
      <c r="AX210" s="645"/>
      <c r="AY210" s="645"/>
      <c r="AZ210" s="645"/>
      <c r="BA210" s="646">
        <f t="shared" si="66"/>
        <v>25520000</v>
      </c>
      <c r="BB210" s="647"/>
      <c r="BC210" s="648"/>
      <c r="BD210" s="649"/>
      <c r="BE210" s="647"/>
      <c r="BF210" s="644"/>
      <c r="BG210" s="646">
        <f t="shared" si="67"/>
        <v>25520000</v>
      </c>
      <c r="BH210" s="650"/>
      <c r="BI210" s="647"/>
      <c r="BJ210" s="644"/>
      <c r="BK210" s="646">
        <f t="shared" si="68"/>
        <v>0</v>
      </c>
      <c r="BL210" s="651"/>
      <c r="BM210" s="652">
        <f t="shared" si="69"/>
        <v>1</v>
      </c>
      <c r="BN210" s="628"/>
      <c r="BO210" s="670"/>
      <c r="BP210" s="644"/>
      <c r="BQ210" s="644"/>
      <c r="BR210" s="644"/>
      <c r="BS210" s="644"/>
      <c r="BT210" s="644"/>
      <c r="BU210" s="644"/>
      <c r="BV210" s="644"/>
      <c r="BW210" s="644"/>
      <c r="BX210" s="644"/>
      <c r="BY210" s="644"/>
      <c r="BZ210" s="644"/>
      <c r="CA210" s="644"/>
      <c r="CB210" s="646">
        <f t="shared" si="70"/>
        <v>0</v>
      </c>
      <c r="CC210" s="646">
        <f t="shared" si="71"/>
        <v>0</v>
      </c>
      <c r="CD210" s="614"/>
    </row>
    <row r="211" spans="1:82" s="653" customFormat="1" ht="61.5" customHeight="1">
      <c r="A211" s="625" t="str">
        <f t="shared" si="53"/>
        <v>1110-185-FONT1110-05-02-0020-Personal de apoyo transversal a la gestión institucional</v>
      </c>
      <c r="B211" s="626" t="str">
        <f t="shared" si="54"/>
        <v>1110-185-FONT1110-05-02-0020</v>
      </c>
      <c r="C211" s="626" t="str">
        <f t="shared" si="55"/>
        <v>1110-185-FONT1110-Personal de apoyo transversal a la gestión institucional</v>
      </c>
      <c r="D211" s="626" t="str">
        <f t="shared" si="56"/>
        <v>1110-185-12-Otros Distrito-05-02-0020</v>
      </c>
      <c r="E211" s="626" t="str">
        <f t="shared" si="57"/>
        <v>Personal de apoyo transversal a la gestión institucional-12-Otros Distrito-0020-Personal contratado para las actividades propias de los procesos de mejoramiento de gestión de la entidad</v>
      </c>
      <c r="F211" s="627">
        <v>166</v>
      </c>
      <c r="G211" s="628">
        <f t="shared" si="58"/>
        <v>166</v>
      </c>
      <c r="H211" s="629" t="b">
        <f t="shared" si="59"/>
        <v>0</v>
      </c>
      <c r="I211" s="630" t="s">
        <v>594</v>
      </c>
      <c r="J211" s="627" t="s">
        <v>178</v>
      </c>
      <c r="K211" s="631" t="str">
        <f>+IFERROR(VLOOKUP(J211,Listas!$A$108:$B$114,2,FALSE),"Alerta: Seleccione la celda en la comumna B con el nombre del proyecto")</f>
        <v>3-3-1-15-07-42-1110-185</v>
      </c>
      <c r="L211" s="632">
        <v>80111600</v>
      </c>
      <c r="M211" s="633" t="s">
        <v>768</v>
      </c>
      <c r="N211" s="634" t="str">
        <f t="shared" si="60"/>
        <v>(Cód. 166) Prestar servicios profesionales al Instituto Distrital de Patrimonio Cultural para orientar, consolidar e implementar el modelo de participación ciudadana y control social.</v>
      </c>
      <c r="O211" s="635">
        <v>43480</v>
      </c>
      <c r="P211" s="636">
        <f>IFERROR(VLOOKUP(W211,'Estimación CRP'!$D$21:$E$30,2,FALSE),0)</f>
        <v>10</v>
      </c>
      <c r="Q211" s="637">
        <f>IF(O211="No aplica","No aplica",WORKDAY.INTL(O211,P211,1,'Estimación CRP'!A397:A413))</f>
        <v>43494</v>
      </c>
      <c r="R211" s="636">
        <f t="shared" si="61"/>
        <v>1</v>
      </c>
      <c r="S211" s="636">
        <f t="shared" si="62"/>
        <v>1</v>
      </c>
      <c r="T211" s="636">
        <f t="shared" si="63"/>
        <v>1</v>
      </c>
      <c r="U211" s="712">
        <v>11</v>
      </c>
      <c r="V211" s="638">
        <v>1</v>
      </c>
      <c r="W211" s="639" t="s">
        <v>274</v>
      </c>
      <c r="X211" s="640" t="str">
        <f>IFERROR(VLOOKUP(W211,Listas!$A$60:$B$73,2,FALSE),"Alerta: Seleccione primero Modalidad de selección")</f>
        <v>CCE-16</v>
      </c>
      <c r="Y211" s="641">
        <v>0</v>
      </c>
      <c r="Z211" s="641" t="s">
        <v>346</v>
      </c>
      <c r="AA211" s="641" t="s">
        <v>1238</v>
      </c>
      <c r="AB211" s="642">
        <f t="shared" si="64"/>
        <v>93500000</v>
      </c>
      <c r="AC211" s="642">
        <f t="shared" si="65"/>
        <v>93500000</v>
      </c>
      <c r="AD211" s="641">
        <v>0</v>
      </c>
      <c r="AE211" s="643">
        <v>0</v>
      </c>
      <c r="AF211" s="639" t="s">
        <v>276</v>
      </c>
      <c r="AG211" s="639" t="s">
        <v>277</v>
      </c>
      <c r="AH211" s="639" t="s">
        <v>285</v>
      </c>
      <c r="AI211" s="626" t="str">
        <f>IFERROR(VLOOKUP(AH211,Listas!$A$77:$C$83,2,FALSE),"Alerta: Seleccione primero el responsable")</f>
        <v>3550800</v>
      </c>
      <c r="AJ211" s="640" t="str">
        <f>IFERROR(VLOOKUP(AH211,Listas!$A$77:$C$83,3,FALSE),"Alerta: Seleccione primero el responsable")</f>
        <v>maria.villamil@idpc.gov.co</v>
      </c>
      <c r="AK211" s="640" t="str">
        <f>IF(J211="Funcionamiento Gastos Generales","No aplica",IF(J211="Funcionamiento Servicios Personales indirectos","No aplica",IFERROR(VLOOKUP(J211,Listas!$A$127:$E$139,3,FALSE),"Alerta: Seleccione la celda en la comumna B con el nombre del proyecto")))</f>
        <v>ME20181110</v>
      </c>
      <c r="AL211" s="640" t="str">
        <f>IF(J211="Funcionamiento Gastos Generales","No aplica",IF(J211="Funcionamiento Servicios Personales","No aplica",IFERROR(VLOOKUP(J211,Listas!$A$220:$D$224,2,FALSE),"Alerta: Seleccione la celda en la comumna B con el nombre del proyecto")))</f>
        <v>COMP1110</v>
      </c>
      <c r="AM211" s="640" t="str">
        <f>IF(J211="Funcionamiento Gastos Generales","No aplica",IF(J211="Funcionamiento Servicios Personales","No aplica",IFERROR(VLOOKUP(J211,Listas!$A$220:$D$224,3,FALSE),"Alerta: Seleccione la celda en la comumna B con el nombre del proyecto")))</f>
        <v>CONC1110</v>
      </c>
      <c r="AN211" s="633" t="s">
        <v>789</v>
      </c>
      <c r="AO211" s="633" t="s">
        <v>124</v>
      </c>
      <c r="AP211" s="634" t="str">
        <f>IFERROR(VLOOKUP(J211,Listas!$A$182:$E$215,5,FALSE),"Alerta: Seleccione la celda en la comumna B con el nombre del proyecto")</f>
        <v>10. Procesos articulados dentro del sistema integrado de gestión.</v>
      </c>
      <c r="AQ211" s="634" t="str">
        <f>IF(J211="Funcionamiento Gastos Generales","No aplica",IF(J211="Funcionamiento Servicios Personales","No aplica",IFERROR(VLOOKUP(J211,Listas!$A$220:$D$224,4,FALSE),"Alerta: Seleccione la celda en la comumna B con el nombre del proyecto")))</f>
        <v>FONT1110</v>
      </c>
      <c r="AR211" s="633" t="s">
        <v>198</v>
      </c>
      <c r="AS211" s="634" t="str">
        <f>IFERROR(VLOOKUP(AU211,Listas!$E$85:$L$105,7,FALSE),"Alerta: Seleccione la celda en la comumna AI con el concepto de gasto")</f>
        <v>05-ADMINISTRACION INSTITUCIONAL</v>
      </c>
      <c r="AT211" s="634" t="str">
        <f>IFERROR(VLOOKUP(AU211,Listas!$E$85:$L$105,8,FALSE),"Alerta: Seleccione la celda en la comumna AI con el concepto de gasto")</f>
        <v>02-ADMINISTRACIÓN, CONTROL Y ORGANIZACIÓN INSTITUCIONAL PARA APOYO A LA GESTIÓN DEL DISTRITO</v>
      </c>
      <c r="AU211" s="633" t="s">
        <v>243</v>
      </c>
      <c r="AV211" s="634">
        <f>IFERROR(VLOOKUP(AU211,Listas!$E$85:$F$105,2,FALSE),"Alerta: Seleccione el Concepto de Gasto primero")</f>
        <v>0</v>
      </c>
      <c r="AW211" s="644">
        <v>93500000</v>
      </c>
      <c r="AX211" s="645"/>
      <c r="AY211" s="645"/>
      <c r="AZ211" s="645"/>
      <c r="BA211" s="646">
        <f t="shared" si="66"/>
        <v>93500000</v>
      </c>
      <c r="BB211" s="647"/>
      <c r="BC211" s="648"/>
      <c r="BD211" s="649"/>
      <c r="BE211" s="647"/>
      <c r="BF211" s="644"/>
      <c r="BG211" s="646">
        <f t="shared" si="67"/>
        <v>93500000</v>
      </c>
      <c r="BH211" s="650"/>
      <c r="BI211" s="647"/>
      <c r="BJ211" s="644"/>
      <c r="BK211" s="646">
        <f t="shared" si="68"/>
        <v>0</v>
      </c>
      <c r="BL211" s="651"/>
      <c r="BM211" s="652">
        <f t="shared" si="69"/>
        <v>1</v>
      </c>
      <c r="BN211" s="628"/>
      <c r="BO211" s="670"/>
      <c r="BP211" s="644"/>
      <c r="BQ211" s="644"/>
      <c r="BR211" s="644"/>
      <c r="BS211" s="644"/>
      <c r="BT211" s="644"/>
      <c r="BU211" s="644"/>
      <c r="BV211" s="644"/>
      <c r="BW211" s="644"/>
      <c r="BX211" s="644"/>
      <c r="BY211" s="644"/>
      <c r="BZ211" s="644"/>
      <c r="CA211" s="644"/>
      <c r="CB211" s="646">
        <f t="shared" si="70"/>
        <v>0</v>
      </c>
      <c r="CC211" s="646">
        <f t="shared" si="71"/>
        <v>0</v>
      </c>
      <c r="CD211" s="614"/>
    </row>
    <row r="212" spans="1:82" s="561" customFormat="1" ht="61.5" customHeight="1">
      <c r="A212" s="625" t="str">
        <f t="shared" si="53"/>
        <v>1110-185-FONT1110-05-02-0152-Adquisición de equipos, materiales y suministros</v>
      </c>
      <c r="B212" s="626" t="str">
        <f t="shared" si="54"/>
        <v>1110-185-FONT1110-05-02-0152</v>
      </c>
      <c r="C212" s="626" t="str">
        <f t="shared" si="55"/>
        <v>1110-185-FONT1110-Adquisición de equipos, materiales y suministros</v>
      </c>
      <c r="D212" s="626" t="str">
        <f t="shared" si="56"/>
        <v>1110-185-12-Otros Distrito-05-02-0152</v>
      </c>
      <c r="E212" s="626" t="str">
        <f t="shared" si="57"/>
        <v>Adquisición de equipos, materiales y suministros-12-Otros Distrito-0152-Adquisición de equipos y software para el mejoramiento de la gestión institucional</v>
      </c>
      <c r="F212" s="627">
        <v>167</v>
      </c>
      <c r="G212" s="628">
        <f t="shared" si="58"/>
        <v>167</v>
      </c>
      <c r="H212" s="629" t="b">
        <f t="shared" si="59"/>
        <v>0</v>
      </c>
      <c r="I212" s="630" t="s">
        <v>594</v>
      </c>
      <c r="J212" s="627" t="s">
        <v>178</v>
      </c>
      <c r="K212" s="631" t="str">
        <f>+IFERROR(VLOOKUP(J212,Listas!$A$108:$B$114,2,FALSE),"Alerta: Seleccione la celda en la comumna B con el nombre del proyecto")</f>
        <v>3-3-1-15-07-42-1110-185</v>
      </c>
      <c r="L212" s="632" t="s">
        <v>672</v>
      </c>
      <c r="M212" s="633" t="s">
        <v>769</v>
      </c>
      <c r="N212" s="634" t="str">
        <f t="shared" si="60"/>
        <v>(Cód. 167) Adquisición de licencias de software especializados para los equipos de cómputo del IDPC</v>
      </c>
      <c r="O212" s="635">
        <v>43504</v>
      </c>
      <c r="P212" s="636">
        <f>IFERROR(VLOOKUP(W212,'Estimación CRP'!$D$21:$E$30,2,FALSE),0)</f>
        <v>10</v>
      </c>
      <c r="Q212" s="637">
        <f>IF(O212="No aplica","No aplica",WORKDAY.INTL(O212,P212,1,'Estimación CRP'!A398:A414))</f>
        <v>43518</v>
      </c>
      <c r="R212" s="636">
        <f t="shared" si="61"/>
        <v>2</v>
      </c>
      <c r="S212" s="636">
        <f t="shared" si="62"/>
        <v>2</v>
      </c>
      <c r="T212" s="636">
        <f t="shared" si="63"/>
        <v>2</v>
      </c>
      <c r="U212" s="712">
        <v>1</v>
      </c>
      <c r="V212" s="638">
        <v>1</v>
      </c>
      <c r="W212" s="639" t="s">
        <v>349</v>
      </c>
      <c r="X212" s="640" t="str">
        <f>IFERROR(VLOOKUP(W212,Listas!$A$60:$B$73,2,FALSE),"Alerta: Seleccione primero Modalidad de selección")</f>
        <v>CCE-99</v>
      </c>
      <c r="Y212" s="641">
        <v>0</v>
      </c>
      <c r="Z212" s="641" t="s">
        <v>1142</v>
      </c>
      <c r="AA212" s="641" t="s">
        <v>1239</v>
      </c>
      <c r="AB212" s="642">
        <f t="shared" si="64"/>
        <v>50000000</v>
      </c>
      <c r="AC212" s="642">
        <f t="shared" si="65"/>
        <v>50000000</v>
      </c>
      <c r="AD212" s="641">
        <v>0</v>
      </c>
      <c r="AE212" s="643">
        <v>0</v>
      </c>
      <c r="AF212" s="639" t="s">
        <v>276</v>
      </c>
      <c r="AG212" s="639" t="s">
        <v>277</v>
      </c>
      <c r="AH212" s="639" t="s">
        <v>285</v>
      </c>
      <c r="AI212" s="626" t="str">
        <f>IFERROR(VLOOKUP(AH212,Listas!$A$77:$C$83,2,FALSE),"Alerta: Seleccione primero el responsable")</f>
        <v>3550800</v>
      </c>
      <c r="AJ212" s="640" t="str">
        <f>IFERROR(VLOOKUP(AH212,Listas!$A$77:$C$83,3,FALSE),"Alerta: Seleccione primero el responsable")</f>
        <v>maria.villamil@idpc.gov.co</v>
      </c>
      <c r="AK212" s="640" t="str">
        <f>IF(J212="Funcionamiento Gastos Generales","No aplica",IF(J212="Funcionamiento Servicios Personales indirectos","No aplica",IFERROR(VLOOKUP(J212,Listas!$A$127:$E$139,3,FALSE),"Alerta: Seleccione la celda en la comumna B con el nombre del proyecto")))</f>
        <v>ME20181110</v>
      </c>
      <c r="AL212" s="640" t="str">
        <f>IF(J212="Funcionamiento Gastos Generales","No aplica",IF(J212="Funcionamiento Servicios Personales","No aplica",IFERROR(VLOOKUP(J212,Listas!$A$220:$D$224,2,FALSE),"Alerta: Seleccione la celda en la comumna B con el nombre del proyecto")))</f>
        <v>COMP1110</v>
      </c>
      <c r="AM212" s="640" t="str">
        <f>IF(J212="Funcionamiento Gastos Generales","No aplica",IF(J212="Funcionamiento Servicios Personales","No aplica",IFERROR(VLOOKUP(J212,Listas!$A$220:$D$224,3,FALSE),"Alerta: Seleccione la celda en la comumna B con el nombre del proyecto")))</f>
        <v>CONC1110</v>
      </c>
      <c r="AN212" s="633" t="s">
        <v>789</v>
      </c>
      <c r="AO212" s="633" t="s">
        <v>104</v>
      </c>
      <c r="AP212" s="634" t="str">
        <f>IFERROR(VLOOKUP(J212,Listas!$A$182:$E$215,5,FALSE),"Alerta: Seleccione la celda en la comumna B con el nombre del proyecto")</f>
        <v>10. Procesos articulados dentro del sistema integrado de gestión.</v>
      </c>
      <c r="AQ212" s="634" t="str">
        <f>IF(J212="Funcionamiento Gastos Generales","No aplica",IF(J212="Funcionamiento Servicios Personales","No aplica",IFERROR(VLOOKUP(J212,Listas!$A$220:$D$224,4,FALSE),"Alerta: Seleccione la celda en la comumna B con el nombre del proyecto")))</f>
        <v>FONT1110</v>
      </c>
      <c r="AR212" s="633" t="s">
        <v>198</v>
      </c>
      <c r="AS212" s="634" t="str">
        <f>IFERROR(VLOOKUP(AU212,Listas!$E$85:$L$105,7,FALSE),"Alerta: Seleccione la celda en la comumna AI con el concepto de gasto")</f>
        <v>05-ADMINISTRACION INSTITUCIONAL</v>
      </c>
      <c r="AT212" s="634" t="str">
        <f>IFERROR(VLOOKUP(AU212,Listas!$E$85:$L$105,8,FALSE),"Alerta: Seleccione la celda en la comumna AI con el concepto de gasto")</f>
        <v>02-ADMINISTRACIÓN, CONTROL Y ORGANIZACIÓN INSTITUCIONAL PARA APOYO A LA GESTIÓN DEL DISTRITO</v>
      </c>
      <c r="AU212" s="633" t="s">
        <v>244</v>
      </c>
      <c r="AV212" s="634">
        <f>IFERROR(VLOOKUP(AU212,Listas!$E$85:$F$105,2,FALSE),"Alerta: Seleccione el Concepto de Gasto primero")</f>
        <v>0</v>
      </c>
      <c r="AW212" s="644">
        <v>50000000</v>
      </c>
      <c r="AX212" s="645"/>
      <c r="AY212" s="645"/>
      <c r="AZ212" s="645"/>
      <c r="BA212" s="646">
        <f t="shared" si="66"/>
        <v>50000000</v>
      </c>
      <c r="BB212" s="647"/>
      <c r="BC212" s="648"/>
      <c r="BD212" s="649"/>
      <c r="BE212" s="647"/>
      <c r="BF212" s="644"/>
      <c r="BG212" s="646">
        <f t="shared" si="67"/>
        <v>50000000</v>
      </c>
      <c r="BH212" s="650"/>
      <c r="BI212" s="647"/>
      <c r="BJ212" s="644"/>
      <c r="BK212" s="646">
        <f t="shared" si="68"/>
        <v>0</v>
      </c>
      <c r="BL212" s="651"/>
      <c r="BM212" s="652">
        <f t="shared" si="69"/>
        <v>1</v>
      </c>
      <c r="BN212" s="628"/>
      <c r="BO212" s="670"/>
      <c r="BP212" s="644"/>
      <c r="BQ212" s="644"/>
      <c r="BR212" s="644"/>
      <c r="BS212" s="644"/>
      <c r="BT212" s="644"/>
      <c r="BU212" s="644"/>
      <c r="BV212" s="644"/>
      <c r="BW212" s="644"/>
      <c r="BX212" s="644"/>
      <c r="BY212" s="644"/>
      <c r="BZ212" s="644"/>
      <c r="CA212" s="644"/>
      <c r="CB212" s="646">
        <f t="shared" si="70"/>
        <v>0</v>
      </c>
      <c r="CC212" s="646">
        <f t="shared" si="71"/>
        <v>0</v>
      </c>
      <c r="CD212" s="614"/>
    </row>
    <row r="213" spans="1:82" s="561" customFormat="1" ht="61.5" customHeight="1">
      <c r="A213" s="625" t="str">
        <f t="shared" si="53"/>
        <v>1110-185-FONT1110-05-02-0020-Personal de apoyo transversal a la gestión institucional</v>
      </c>
      <c r="B213" s="626" t="str">
        <f t="shared" si="54"/>
        <v>1110-185-FONT1110-05-02-0020</v>
      </c>
      <c r="C213" s="626" t="str">
        <f t="shared" si="55"/>
        <v>1110-185-FONT1110-Personal de apoyo transversal a la gestión institucional</v>
      </c>
      <c r="D213" s="626" t="str">
        <f t="shared" si="56"/>
        <v>1110-185-12-Otros Distrito-05-02-0020</v>
      </c>
      <c r="E213" s="626" t="str">
        <f t="shared" si="57"/>
        <v>Personal de apoyo transversal a la gestión institucional-12-Otros Distrito-0020-Personal contratado para las actividades propias de los procesos de mejoramiento de gestión de la entidad</v>
      </c>
      <c r="F213" s="627">
        <v>168</v>
      </c>
      <c r="G213" s="628">
        <f t="shared" si="58"/>
        <v>168</v>
      </c>
      <c r="H213" s="629" t="b">
        <f t="shared" si="59"/>
        <v>0</v>
      </c>
      <c r="I213" s="630" t="s">
        <v>594</v>
      </c>
      <c r="J213" s="627" t="s">
        <v>178</v>
      </c>
      <c r="K213" s="631" t="str">
        <f>+IFERROR(VLOOKUP(J213,Listas!$A$108:$B$114,2,FALSE),"Alerta: Seleccione la celda en la comumna B con el nombre del proyecto")</f>
        <v>3-3-1-15-07-42-1110-185</v>
      </c>
      <c r="L213" s="632">
        <v>80111600</v>
      </c>
      <c r="M213" s="633" t="s">
        <v>770</v>
      </c>
      <c r="N213" s="634" t="str">
        <f t="shared" si="60"/>
        <v>(Cód. 168) Prestar servicios profesionales al Instituto Distrital de Patrimonio Cultural para asesorar a la Dirección General en el manejo de las relaciones interinstitucionales e internacionales, a través del acompañamiento y gestión de estrategias, planes y proyectos, para el fomento y apropiación del patrimonio cultural en el Distrito Capital.</v>
      </c>
      <c r="O213" s="635">
        <v>43480</v>
      </c>
      <c r="P213" s="636">
        <f>IFERROR(VLOOKUP(W213,'Estimación CRP'!$D$21:$E$30,2,FALSE),0)</f>
        <v>10</v>
      </c>
      <c r="Q213" s="637">
        <f>IF(O213="No aplica","No aplica",WORKDAY.INTL(O213,P213,1,'Estimación CRP'!A399:A415))</f>
        <v>43494</v>
      </c>
      <c r="R213" s="636">
        <f t="shared" si="61"/>
        <v>1</v>
      </c>
      <c r="S213" s="636">
        <f t="shared" si="62"/>
        <v>1</v>
      </c>
      <c r="T213" s="636">
        <f t="shared" si="63"/>
        <v>1</v>
      </c>
      <c r="U213" s="712">
        <v>11</v>
      </c>
      <c r="V213" s="638">
        <v>1</v>
      </c>
      <c r="W213" s="639" t="s">
        <v>274</v>
      </c>
      <c r="X213" s="640" t="str">
        <f>IFERROR(VLOOKUP(W213,Listas!$A$60:$B$73,2,FALSE),"Alerta: Seleccione primero Modalidad de selección")</f>
        <v>CCE-16</v>
      </c>
      <c r="Y213" s="641">
        <v>0</v>
      </c>
      <c r="Z213" s="641" t="s">
        <v>346</v>
      </c>
      <c r="AA213" s="641" t="s">
        <v>1240</v>
      </c>
      <c r="AB213" s="642">
        <f t="shared" si="64"/>
        <v>94820000</v>
      </c>
      <c r="AC213" s="642">
        <f t="shared" si="65"/>
        <v>94820000</v>
      </c>
      <c r="AD213" s="641">
        <v>0</v>
      </c>
      <c r="AE213" s="643">
        <v>0</v>
      </c>
      <c r="AF213" s="639" t="s">
        <v>276</v>
      </c>
      <c r="AG213" s="639" t="s">
        <v>277</v>
      </c>
      <c r="AH213" s="639" t="s">
        <v>1040</v>
      </c>
      <c r="AI213" s="626" t="str">
        <f>IFERROR(VLOOKUP(AH213,Listas!$A$77:$C$83,2,FALSE),"Alerta: Seleccione primero el responsable")</f>
        <v>3550800</v>
      </c>
      <c r="AJ213" s="640" t="str">
        <f>IFERROR(VLOOKUP(AH213,Listas!$A$77:$C$83,3,FALSE),"Alerta: Seleccione primero el responsable")</f>
        <v>juan.acosta@idpc.gov.co</v>
      </c>
      <c r="AK213" s="640" t="str">
        <f>IF(J213="Funcionamiento Gastos Generales","No aplica",IF(J213="Funcionamiento Servicios Personales indirectos","No aplica",IFERROR(VLOOKUP(J213,Listas!$A$127:$E$139,3,FALSE),"Alerta: Seleccione la celda en la comumna B con el nombre del proyecto")))</f>
        <v>ME20181110</v>
      </c>
      <c r="AL213" s="640" t="str">
        <f>IF(J213="Funcionamiento Gastos Generales","No aplica",IF(J213="Funcionamiento Servicios Personales","No aplica",IFERROR(VLOOKUP(J213,Listas!$A$220:$D$224,2,FALSE),"Alerta: Seleccione la celda en la comumna B con el nombre del proyecto")))</f>
        <v>COMP1110</v>
      </c>
      <c r="AM213" s="640" t="str">
        <f>IF(J213="Funcionamiento Gastos Generales","No aplica",IF(J213="Funcionamiento Servicios Personales","No aplica",IFERROR(VLOOKUP(J213,Listas!$A$220:$D$224,3,FALSE),"Alerta: Seleccione la celda en la comumna B con el nombre del proyecto")))</f>
        <v>CONC1110</v>
      </c>
      <c r="AN213" s="633" t="s">
        <v>789</v>
      </c>
      <c r="AO213" s="633" t="s">
        <v>124</v>
      </c>
      <c r="AP213" s="634" t="str">
        <f>IFERROR(VLOOKUP(J213,Listas!$A$182:$E$215,5,FALSE),"Alerta: Seleccione la celda en la comumna B con el nombre del proyecto")</f>
        <v>10. Procesos articulados dentro del sistema integrado de gestión.</v>
      </c>
      <c r="AQ213" s="634" t="str">
        <f>IF(J213="Funcionamiento Gastos Generales","No aplica",IF(J213="Funcionamiento Servicios Personales","No aplica",IFERROR(VLOOKUP(J213,Listas!$A$220:$D$224,4,FALSE),"Alerta: Seleccione la celda en la comumna B con el nombre del proyecto")))</f>
        <v>FONT1110</v>
      </c>
      <c r="AR213" s="633" t="s">
        <v>198</v>
      </c>
      <c r="AS213" s="634" t="str">
        <f>IFERROR(VLOOKUP(AU213,Listas!$E$85:$L$105,7,FALSE),"Alerta: Seleccione la celda en la comumna AI con el concepto de gasto")</f>
        <v>05-ADMINISTRACION INSTITUCIONAL</v>
      </c>
      <c r="AT213" s="634" t="str">
        <f>IFERROR(VLOOKUP(AU213,Listas!$E$85:$L$105,8,FALSE),"Alerta: Seleccione la celda en la comumna AI con el concepto de gasto")</f>
        <v>02-ADMINISTRACIÓN, CONTROL Y ORGANIZACIÓN INSTITUCIONAL PARA APOYO A LA GESTIÓN DEL DISTRITO</v>
      </c>
      <c r="AU213" s="633" t="s">
        <v>243</v>
      </c>
      <c r="AV213" s="634">
        <f>IFERROR(VLOOKUP(AU213,Listas!$E$85:$F$105,2,FALSE),"Alerta: Seleccione el Concepto de Gasto primero")</f>
        <v>0</v>
      </c>
      <c r="AW213" s="644">
        <v>94820000</v>
      </c>
      <c r="AX213" s="645"/>
      <c r="AY213" s="645"/>
      <c r="AZ213" s="645"/>
      <c r="BA213" s="646">
        <f t="shared" si="66"/>
        <v>94820000</v>
      </c>
      <c r="BB213" s="647"/>
      <c r="BC213" s="648"/>
      <c r="BD213" s="649"/>
      <c r="BE213" s="647"/>
      <c r="BF213" s="644"/>
      <c r="BG213" s="646">
        <f t="shared" si="67"/>
        <v>94820000</v>
      </c>
      <c r="BH213" s="650"/>
      <c r="BI213" s="647"/>
      <c r="BJ213" s="644"/>
      <c r="BK213" s="646">
        <f t="shared" si="68"/>
        <v>0</v>
      </c>
      <c r="BL213" s="651"/>
      <c r="BM213" s="652">
        <f t="shared" si="69"/>
        <v>1</v>
      </c>
      <c r="BN213" s="628"/>
      <c r="BO213" s="670"/>
      <c r="BP213" s="644"/>
      <c r="BQ213" s="644"/>
      <c r="BR213" s="644"/>
      <c r="BS213" s="644"/>
      <c r="BT213" s="644"/>
      <c r="BU213" s="644"/>
      <c r="BV213" s="644"/>
      <c r="BW213" s="644"/>
      <c r="BX213" s="644"/>
      <c r="BY213" s="644"/>
      <c r="BZ213" s="644"/>
      <c r="CA213" s="644"/>
      <c r="CB213" s="646">
        <f t="shared" si="70"/>
        <v>0</v>
      </c>
      <c r="CC213" s="646">
        <f t="shared" si="71"/>
        <v>0</v>
      </c>
      <c r="CD213" s="614"/>
    </row>
    <row r="214" spans="1:82" s="561" customFormat="1" ht="61.5" customHeight="1">
      <c r="A214" s="625" t="str">
        <f t="shared" si="53"/>
        <v>1110-185-FONT1110-05-02-0020-Fortalecimiento de los subsistemas del sistema integrado de gestión</v>
      </c>
      <c r="B214" s="626" t="str">
        <f t="shared" si="54"/>
        <v>1110-185-FONT1110-05-02-0020</v>
      </c>
      <c r="C214" s="626" t="str">
        <f t="shared" si="55"/>
        <v>1110-185-FONT1110-Fortalecimiento de los subsistemas del sistema integrado de gestión</v>
      </c>
      <c r="D214" s="626" t="str">
        <f t="shared" si="56"/>
        <v>1110-185-12-Otros Distrito-05-02-0020</v>
      </c>
      <c r="E214" s="626" t="str">
        <f t="shared" si="57"/>
        <v>Fortalecimiento de los subsistemas del sistema integrado de gestión-12-Otros Distrito-0020-Personal contratado para las actividades propias de los procesos de mejoramiento de gestión de la entidad</v>
      </c>
      <c r="F214" s="627">
        <v>169</v>
      </c>
      <c r="G214" s="628">
        <f t="shared" si="58"/>
        <v>169</v>
      </c>
      <c r="H214" s="629" t="b">
        <f t="shared" si="59"/>
        <v>0</v>
      </c>
      <c r="I214" s="630" t="s">
        <v>594</v>
      </c>
      <c r="J214" s="627" t="s">
        <v>178</v>
      </c>
      <c r="K214" s="631" t="str">
        <f>+IFERROR(VLOOKUP(J214,Listas!$A$108:$B$114,2,FALSE),"Alerta: Seleccione la celda en la comumna B con el nombre del proyecto")</f>
        <v>3-3-1-15-07-42-1110-185</v>
      </c>
      <c r="L214" s="632">
        <v>80111600</v>
      </c>
      <c r="M214" s="633" t="s">
        <v>771</v>
      </c>
      <c r="N214" s="634" t="str">
        <f t="shared" si="60"/>
        <v>(Cód. 169) Prestar servicios asistenciales al Instituto Distrital de Patrimonio Cultural para apoyar la gestión requerida en la digitalización y organización de archivos relacionada con el Subsistema Interno de Gestión Documental y Archivos -SIGA.</v>
      </c>
      <c r="O214" s="635">
        <v>43480</v>
      </c>
      <c r="P214" s="636">
        <f>IFERROR(VLOOKUP(W214,'Estimación CRP'!$D$21:$E$30,2,FALSE),0)</f>
        <v>10</v>
      </c>
      <c r="Q214" s="637">
        <f>IF(O214="No aplica","No aplica",WORKDAY.INTL(O214,P214,1,'Estimación CRP'!A400:A416))</f>
        <v>43494</v>
      </c>
      <c r="R214" s="636">
        <f t="shared" si="61"/>
        <v>1</v>
      </c>
      <c r="S214" s="636">
        <f t="shared" si="62"/>
        <v>1</v>
      </c>
      <c r="T214" s="636">
        <f t="shared" si="63"/>
        <v>1</v>
      </c>
      <c r="U214" s="712">
        <v>11</v>
      </c>
      <c r="V214" s="638">
        <v>1</v>
      </c>
      <c r="W214" s="639" t="s">
        <v>274</v>
      </c>
      <c r="X214" s="640" t="str">
        <f>IFERROR(VLOOKUP(W214,Listas!$A$60:$B$73,2,FALSE),"Alerta: Seleccione primero Modalidad de selección")</f>
        <v>CCE-16</v>
      </c>
      <c r="Y214" s="641">
        <v>0</v>
      </c>
      <c r="Z214" s="641" t="s">
        <v>346</v>
      </c>
      <c r="AA214" s="641" t="s">
        <v>1241</v>
      </c>
      <c r="AB214" s="642">
        <f t="shared" si="64"/>
        <v>29700000</v>
      </c>
      <c r="AC214" s="642">
        <f t="shared" si="65"/>
        <v>29700000</v>
      </c>
      <c r="AD214" s="641">
        <v>0</v>
      </c>
      <c r="AE214" s="643">
        <v>0</v>
      </c>
      <c r="AF214" s="639" t="s">
        <v>276</v>
      </c>
      <c r="AG214" s="639" t="s">
        <v>277</v>
      </c>
      <c r="AH214" s="639" t="s">
        <v>285</v>
      </c>
      <c r="AI214" s="626" t="str">
        <f>IFERROR(VLOOKUP(AH214,Listas!$A$77:$C$83,2,FALSE),"Alerta: Seleccione primero el responsable")</f>
        <v>3550800</v>
      </c>
      <c r="AJ214" s="640" t="str">
        <f>IFERROR(VLOOKUP(AH214,Listas!$A$77:$C$83,3,FALSE),"Alerta: Seleccione primero el responsable")</f>
        <v>maria.villamil@idpc.gov.co</v>
      </c>
      <c r="AK214" s="640" t="str">
        <f>IF(J214="Funcionamiento Gastos Generales","No aplica",IF(J214="Funcionamiento Servicios Personales indirectos","No aplica",IFERROR(VLOOKUP(J214,Listas!$A$127:$E$139,3,FALSE),"Alerta: Seleccione la celda en la comumna B con el nombre del proyecto")))</f>
        <v>ME20181110</v>
      </c>
      <c r="AL214" s="640" t="str">
        <f>IF(J214="Funcionamiento Gastos Generales","No aplica",IF(J214="Funcionamiento Servicios Personales","No aplica",IFERROR(VLOOKUP(J214,Listas!$A$220:$D$224,2,FALSE),"Alerta: Seleccione la celda en la comumna B con el nombre del proyecto")))</f>
        <v>COMP1110</v>
      </c>
      <c r="AM214" s="640" t="str">
        <f>IF(J214="Funcionamiento Gastos Generales","No aplica",IF(J214="Funcionamiento Servicios Personales","No aplica",IFERROR(VLOOKUP(J214,Listas!$A$220:$D$224,3,FALSE),"Alerta: Seleccione la celda en la comumna B con el nombre del proyecto")))</f>
        <v>CONC1110</v>
      </c>
      <c r="AN214" s="633" t="s">
        <v>789</v>
      </c>
      <c r="AO214" s="633" t="s">
        <v>123</v>
      </c>
      <c r="AP214" s="634" t="str">
        <f>IFERROR(VLOOKUP(J214,Listas!$A$182:$E$215,5,FALSE),"Alerta: Seleccione la celda en la comumna B con el nombre del proyecto")</f>
        <v>10. Procesos articulados dentro del sistema integrado de gestión.</v>
      </c>
      <c r="AQ214" s="634" t="str">
        <f>IF(J214="Funcionamiento Gastos Generales","No aplica",IF(J214="Funcionamiento Servicios Personales","No aplica",IFERROR(VLOOKUP(J214,Listas!$A$220:$D$224,4,FALSE),"Alerta: Seleccione la celda en la comumna B con el nombre del proyecto")))</f>
        <v>FONT1110</v>
      </c>
      <c r="AR214" s="633" t="s">
        <v>198</v>
      </c>
      <c r="AS214" s="634" t="str">
        <f>IFERROR(VLOOKUP(AU214,Listas!$E$85:$L$105,7,FALSE),"Alerta: Seleccione la celda en la comumna AI con el concepto de gasto")</f>
        <v>05-ADMINISTRACION INSTITUCIONAL</v>
      </c>
      <c r="AT214" s="634" t="str">
        <f>IFERROR(VLOOKUP(AU214,Listas!$E$85:$L$105,8,FALSE),"Alerta: Seleccione la celda en la comumna AI con el concepto de gasto")</f>
        <v>02-ADMINISTRACIÓN, CONTROL Y ORGANIZACIÓN INSTITUCIONAL PARA APOYO A LA GESTIÓN DEL DISTRITO</v>
      </c>
      <c r="AU214" s="633" t="s">
        <v>243</v>
      </c>
      <c r="AV214" s="634">
        <f>IFERROR(VLOOKUP(AU214,Listas!$E$85:$F$105,2,FALSE),"Alerta: Seleccione el Concepto de Gasto primero")</f>
        <v>0</v>
      </c>
      <c r="AW214" s="644">
        <v>29700000</v>
      </c>
      <c r="AX214" s="645"/>
      <c r="AY214" s="645"/>
      <c r="AZ214" s="645"/>
      <c r="BA214" s="646">
        <f t="shared" si="66"/>
        <v>29700000</v>
      </c>
      <c r="BB214" s="647"/>
      <c r="BC214" s="648"/>
      <c r="BD214" s="649"/>
      <c r="BE214" s="647"/>
      <c r="BF214" s="644"/>
      <c r="BG214" s="646">
        <f t="shared" si="67"/>
        <v>29700000</v>
      </c>
      <c r="BH214" s="650"/>
      <c r="BI214" s="647"/>
      <c r="BJ214" s="644"/>
      <c r="BK214" s="646">
        <f t="shared" si="68"/>
        <v>0</v>
      </c>
      <c r="BL214" s="651"/>
      <c r="BM214" s="652">
        <f t="shared" si="69"/>
        <v>1</v>
      </c>
      <c r="BN214" s="628"/>
      <c r="BO214" s="670"/>
      <c r="BP214" s="644"/>
      <c r="BQ214" s="644"/>
      <c r="BR214" s="644"/>
      <c r="BS214" s="644"/>
      <c r="BT214" s="644"/>
      <c r="BU214" s="644"/>
      <c r="BV214" s="644"/>
      <c r="BW214" s="644"/>
      <c r="BX214" s="644"/>
      <c r="BY214" s="644"/>
      <c r="BZ214" s="644"/>
      <c r="CA214" s="644"/>
      <c r="CB214" s="646">
        <f t="shared" si="70"/>
        <v>0</v>
      </c>
      <c r="CC214" s="646">
        <f t="shared" si="71"/>
        <v>0</v>
      </c>
      <c r="CD214" s="614"/>
    </row>
    <row r="215" spans="1:82" s="653" customFormat="1" ht="61.5" customHeight="1">
      <c r="A215" s="625" t="str">
        <f t="shared" si="53"/>
        <v>1110-185-FONT1110-05-02-0020-Personal de apoyo transversal a la gestión institucional</v>
      </c>
      <c r="B215" s="626" t="str">
        <f t="shared" si="54"/>
        <v>1110-185-FONT1110-05-02-0020</v>
      </c>
      <c r="C215" s="626" t="str">
        <f t="shared" si="55"/>
        <v>1110-185-FONT1110-Personal de apoyo transversal a la gestión institucional</v>
      </c>
      <c r="D215" s="626" t="str">
        <f t="shared" si="56"/>
        <v>1110-185-12-Otros Distrito-05-02-0020</v>
      </c>
      <c r="E215" s="626" t="str">
        <f t="shared" si="57"/>
        <v>Personal de apoyo transversal a la gestión institucional-12-Otros Distrito-0020-Personal contratado para las actividades propias de los procesos de mejoramiento de gestión de la entidad</v>
      </c>
      <c r="F215" s="627">
        <v>170</v>
      </c>
      <c r="G215" s="628">
        <f t="shared" si="58"/>
        <v>170</v>
      </c>
      <c r="H215" s="629" t="b">
        <f t="shared" si="59"/>
        <v>0</v>
      </c>
      <c r="I215" s="630" t="s">
        <v>594</v>
      </c>
      <c r="J215" s="627" t="s">
        <v>178</v>
      </c>
      <c r="K215" s="631" t="str">
        <f>+IFERROR(VLOOKUP(J215,Listas!$A$108:$B$114,2,FALSE),"Alerta: Seleccione la celda en la comumna B con el nombre del proyecto")</f>
        <v>3-3-1-15-07-42-1110-185</v>
      </c>
      <c r="L215" s="632">
        <v>80111600</v>
      </c>
      <c r="M215" s="633" t="s">
        <v>772</v>
      </c>
      <c r="N215" s="634" t="str">
        <f t="shared" si="60"/>
        <v xml:space="preserve">(Cód. 170) Prestar servicios profesionales al Instituto Distrital de Patrimonio Cultural para dar lineamientos en la Planeación Estratégica Institucional. </v>
      </c>
      <c r="O215" s="635">
        <v>43480</v>
      </c>
      <c r="P215" s="636">
        <f>IFERROR(VLOOKUP(W215,'Estimación CRP'!$D$21:$E$30,2,FALSE),0)</f>
        <v>10</v>
      </c>
      <c r="Q215" s="637">
        <f>IF(O215="No aplica","No aplica",WORKDAY.INTL(O215,P215,1,'Estimación CRP'!A401:A417))</f>
        <v>43494</v>
      </c>
      <c r="R215" s="636">
        <f t="shared" si="61"/>
        <v>1</v>
      </c>
      <c r="S215" s="636">
        <f t="shared" si="62"/>
        <v>1</v>
      </c>
      <c r="T215" s="636">
        <f t="shared" si="63"/>
        <v>1</v>
      </c>
      <c r="U215" s="712">
        <v>2</v>
      </c>
      <c r="V215" s="638">
        <v>1</v>
      </c>
      <c r="W215" s="639" t="s">
        <v>274</v>
      </c>
      <c r="X215" s="640" t="str">
        <f>IFERROR(VLOOKUP(W215,Listas!$A$60:$B$73,2,FALSE),"Alerta: Seleccione primero Modalidad de selección")</f>
        <v>CCE-16</v>
      </c>
      <c r="Y215" s="641">
        <v>0</v>
      </c>
      <c r="Z215" s="641" t="s">
        <v>346</v>
      </c>
      <c r="AA215" s="641" t="s">
        <v>1242</v>
      </c>
      <c r="AB215" s="642">
        <f t="shared" si="64"/>
        <v>18540000</v>
      </c>
      <c r="AC215" s="642">
        <f t="shared" si="65"/>
        <v>18540000</v>
      </c>
      <c r="AD215" s="641">
        <v>0</v>
      </c>
      <c r="AE215" s="643">
        <v>0</v>
      </c>
      <c r="AF215" s="639" t="s">
        <v>276</v>
      </c>
      <c r="AG215" s="639" t="s">
        <v>277</v>
      </c>
      <c r="AH215" s="639" t="s">
        <v>285</v>
      </c>
      <c r="AI215" s="626" t="str">
        <f>IFERROR(VLOOKUP(AH215,Listas!$A$77:$C$83,2,FALSE),"Alerta: Seleccione primero el responsable")</f>
        <v>3550800</v>
      </c>
      <c r="AJ215" s="640" t="str">
        <f>IFERROR(VLOOKUP(AH215,Listas!$A$77:$C$83,3,FALSE),"Alerta: Seleccione primero el responsable")</f>
        <v>maria.villamil@idpc.gov.co</v>
      </c>
      <c r="AK215" s="640" t="str">
        <f>IF(J215="Funcionamiento Gastos Generales","No aplica",IF(J215="Funcionamiento Servicios Personales indirectos","No aplica",IFERROR(VLOOKUP(J215,Listas!$A$127:$E$139,3,FALSE),"Alerta: Seleccione la celda en la comumna B con el nombre del proyecto")))</f>
        <v>ME20181110</v>
      </c>
      <c r="AL215" s="640" t="str">
        <f>IF(J215="Funcionamiento Gastos Generales","No aplica",IF(J215="Funcionamiento Servicios Personales","No aplica",IFERROR(VLOOKUP(J215,Listas!$A$220:$D$224,2,FALSE),"Alerta: Seleccione la celda en la comumna B con el nombre del proyecto")))</f>
        <v>COMP1110</v>
      </c>
      <c r="AM215" s="640" t="str">
        <f>IF(J215="Funcionamiento Gastos Generales","No aplica",IF(J215="Funcionamiento Servicios Personales","No aplica",IFERROR(VLOOKUP(J215,Listas!$A$220:$D$224,3,FALSE),"Alerta: Seleccione la celda en la comumna B con el nombre del proyecto")))</f>
        <v>CONC1110</v>
      </c>
      <c r="AN215" s="633" t="s">
        <v>789</v>
      </c>
      <c r="AO215" s="633" t="s">
        <v>124</v>
      </c>
      <c r="AP215" s="634" t="str">
        <f>IFERROR(VLOOKUP(J215,Listas!$A$182:$E$215,5,FALSE),"Alerta: Seleccione la celda en la comumna B con el nombre del proyecto")</f>
        <v>10. Procesos articulados dentro del sistema integrado de gestión.</v>
      </c>
      <c r="AQ215" s="634" t="str">
        <f>IF(J215="Funcionamiento Gastos Generales","No aplica",IF(J215="Funcionamiento Servicios Personales","No aplica",IFERROR(VLOOKUP(J215,Listas!$A$220:$D$224,4,FALSE),"Alerta: Seleccione la celda en la comumna B con el nombre del proyecto")))</f>
        <v>FONT1110</v>
      </c>
      <c r="AR215" s="633" t="s">
        <v>198</v>
      </c>
      <c r="AS215" s="634" t="str">
        <f>IFERROR(VLOOKUP(AU215,Listas!$E$85:$L$105,7,FALSE),"Alerta: Seleccione la celda en la comumna AI con el concepto de gasto")</f>
        <v>05-ADMINISTRACION INSTITUCIONAL</v>
      </c>
      <c r="AT215" s="634" t="str">
        <f>IFERROR(VLOOKUP(AU215,Listas!$E$85:$L$105,8,FALSE),"Alerta: Seleccione la celda en la comumna AI con el concepto de gasto")</f>
        <v>02-ADMINISTRACIÓN, CONTROL Y ORGANIZACIÓN INSTITUCIONAL PARA APOYO A LA GESTIÓN DEL DISTRITO</v>
      </c>
      <c r="AU215" s="633" t="s">
        <v>243</v>
      </c>
      <c r="AV215" s="634">
        <f>IFERROR(VLOOKUP(AU215,Listas!$E$85:$F$105,2,FALSE),"Alerta: Seleccione el Concepto de Gasto primero")</f>
        <v>0</v>
      </c>
      <c r="AW215" s="644">
        <v>18540000</v>
      </c>
      <c r="AX215" s="645"/>
      <c r="AY215" s="645"/>
      <c r="AZ215" s="645"/>
      <c r="BA215" s="646">
        <f t="shared" si="66"/>
        <v>18540000</v>
      </c>
      <c r="BB215" s="647"/>
      <c r="BC215" s="648"/>
      <c r="BD215" s="649"/>
      <c r="BE215" s="647"/>
      <c r="BF215" s="644"/>
      <c r="BG215" s="646">
        <f t="shared" si="67"/>
        <v>18540000</v>
      </c>
      <c r="BH215" s="650"/>
      <c r="BI215" s="647"/>
      <c r="BJ215" s="644"/>
      <c r="BK215" s="646">
        <f t="shared" si="68"/>
        <v>0</v>
      </c>
      <c r="BL215" s="651"/>
      <c r="BM215" s="652">
        <f t="shared" si="69"/>
        <v>1</v>
      </c>
      <c r="BN215" s="628"/>
      <c r="BO215" s="670"/>
      <c r="BP215" s="644"/>
      <c r="BQ215" s="644"/>
      <c r="BR215" s="644"/>
      <c r="BS215" s="644"/>
      <c r="BT215" s="644"/>
      <c r="BU215" s="644"/>
      <c r="BV215" s="644"/>
      <c r="BW215" s="644"/>
      <c r="BX215" s="644"/>
      <c r="BY215" s="644"/>
      <c r="BZ215" s="644"/>
      <c r="CA215" s="644"/>
      <c r="CB215" s="646">
        <f t="shared" si="70"/>
        <v>0</v>
      </c>
      <c r="CC215" s="646">
        <f t="shared" si="71"/>
        <v>0</v>
      </c>
      <c r="CD215" s="614"/>
    </row>
    <row r="216" spans="1:82" s="561" customFormat="1" ht="61.5" customHeight="1">
      <c r="A216" s="625" t="str">
        <f t="shared" si="53"/>
        <v>1110-185-FONT1110-05-02-0020-Personal de apoyo transversal a la gestión institucional</v>
      </c>
      <c r="B216" s="626" t="str">
        <f t="shared" si="54"/>
        <v>1110-185-FONT1110-05-02-0020</v>
      </c>
      <c r="C216" s="626" t="str">
        <f t="shared" si="55"/>
        <v>1110-185-FONT1110-Personal de apoyo transversal a la gestión institucional</v>
      </c>
      <c r="D216" s="626" t="str">
        <f t="shared" si="56"/>
        <v>1110-185-12-Otros Distrito-05-02-0020</v>
      </c>
      <c r="E216" s="626" t="str">
        <f t="shared" si="57"/>
        <v>Personal de apoyo transversal a la gestión institucional-12-Otros Distrito-0020-Personal contratado para las actividades propias de los procesos de mejoramiento de gestión de la entidad</v>
      </c>
      <c r="F216" s="627">
        <v>171</v>
      </c>
      <c r="G216" s="628">
        <f t="shared" si="58"/>
        <v>171</v>
      </c>
      <c r="H216" s="629" t="b">
        <f t="shared" si="59"/>
        <v>0</v>
      </c>
      <c r="I216" s="630" t="s">
        <v>594</v>
      </c>
      <c r="J216" s="627" t="s">
        <v>178</v>
      </c>
      <c r="K216" s="631" t="str">
        <f>+IFERROR(VLOOKUP(J216,Listas!$A$108:$B$114,2,FALSE),"Alerta: Seleccione la celda en la comumna B con el nombre del proyecto")</f>
        <v>3-3-1-15-07-42-1110-185</v>
      </c>
      <c r="L216" s="632">
        <v>80111600</v>
      </c>
      <c r="M216" s="633" t="s">
        <v>745</v>
      </c>
      <c r="N216" s="634" t="str">
        <f t="shared" si="60"/>
        <v>(Cód. 171) Prestar servicios de apoyo a la gestión al Instituto Distrital de Patrimonio Cultural en las actividades operativas relacionadas con la recepción, organización documental y de correspondencia de la entidad.</v>
      </c>
      <c r="O216" s="635">
        <v>43480</v>
      </c>
      <c r="P216" s="636">
        <f>IFERROR(VLOOKUP(W216,'Estimación CRP'!$D$21:$E$30,2,FALSE),0)</f>
        <v>10</v>
      </c>
      <c r="Q216" s="637">
        <f>IF(O216="No aplica","No aplica",WORKDAY.INTL(O216,P216,1,'Estimación CRP'!A402:A418))</f>
        <v>43494</v>
      </c>
      <c r="R216" s="636">
        <f t="shared" si="61"/>
        <v>1</v>
      </c>
      <c r="S216" s="636">
        <f t="shared" si="62"/>
        <v>1</v>
      </c>
      <c r="T216" s="636">
        <f t="shared" si="63"/>
        <v>1</v>
      </c>
      <c r="U216" s="712">
        <v>11</v>
      </c>
      <c r="V216" s="638">
        <v>1</v>
      </c>
      <c r="W216" s="639" t="s">
        <v>274</v>
      </c>
      <c r="X216" s="640" t="str">
        <f>IFERROR(VLOOKUP(W216,Listas!$A$60:$B$73,2,FALSE),"Alerta: Seleccione primero Modalidad de selección")</f>
        <v>CCE-16</v>
      </c>
      <c r="Y216" s="641">
        <v>0</v>
      </c>
      <c r="Z216" s="641" t="s">
        <v>346</v>
      </c>
      <c r="AA216" s="641" t="s">
        <v>1243</v>
      </c>
      <c r="AB216" s="642">
        <f t="shared" si="64"/>
        <v>33990000</v>
      </c>
      <c r="AC216" s="642">
        <f t="shared" si="65"/>
        <v>33990000</v>
      </c>
      <c r="AD216" s="641">
        <v>0</v>
      </c>
      <c r="AE216" s="643">
        <v>0</v>
      </c>
      <c r="AF216" s="639" t="s">
        <v>276</v>
      </c>
      <c r="AG216" s="639" t="s">
        <v>277</v>
      </c>
      <c r="AH216" s="639" t="s">
        <v>283</v>
      </c>
      <c r="AI216" s="626" t="str">
        <f>IFERROR(VLOOKUP(AH216,Listas!$A$77:$C$83,2,FALSE),"Alerta: Seleccione primero el responsable")</f>
        <v>3550800</v>
      </c>
      <c r="AJ216" s="640" t="str">
        <f>IFERROR(VLOOKUP(AH216,Listas!$A$77:$C$83,3,FALSE),"Alerta: Seleccione primero el responsable")</f>
        <v>juan.acosta@idpc.gov.co</v>
      </c>
      <c r="AK216" s="640" t="str">
        <f>IF(J216="Funcionamiento Gastos Generales","No aplica",IF(J216="Funcionamiento Servicios Personales indirectos","No aplica",IFERROR(VLOOKUP(J216,Listas!$A$127:$E$139,3,FALSE),"Alerta: Seleccione la celda en la comumna B con el nombre del proyecto")))</f>
        <v>ME20181110</v>
      </c>
      <c r="AL216" s="640" t="str">
        <f>IF(J216="Funcionamiento Gastos Generales","No aplica",IF(J216="Funcionamiento Servicios Personales","No aplica",IFERROR(VLOOKUP(J216,Listas!$A$220:$D$224,2,FALSE),"Alerta: Seleccione la celda en la comumna B con el nombre del proyecto")))</f>
        <v>COMP1110</v>
      </c>
      <c r="AM216" s="640" t="str">
        <f>IF(J216="Funcionamiento Gastos Generales","No aplica",IF(J216="Funcionamiento Servicios Personales","No aplica",IFERROR(VLOOKUP(J216,Listas!$A$220:$D$224,3,FALSE),"Alerta: Seleccione la celda en la comumna B con el nombre del proyecto")))</f>
        <v>CONC1110</v>
      </c>
      <c r="AN216" s="633" t="s">
        <v>789</v>
      </c>
      <c r="AO216" s="633" t="s">
        <v>124</v>
      </c>
      <c r="AP216" s="634" t="str">
        <f>IFERROR(VLOOKUP(J216,Listas!$A$182:$E$215,5,FALSE),"Alerta: Seleccione la celda en la comumna B con el nombre del proyecto")</f>
        <v>10. Procesos articulados dentro del sistema integrado de gestión.</v>
      </c>
      <c r="AQ216" s="634" t="str">
        <f>IF(J216="Funcionamiento Gastos Generales","No aplica",IF(J216="Funcionamiento Servicios Personales","No aplica",IFERROR(VLOOKUP(J216,Listas!$A$220:$D$224,4,FALSE),"Alerta: Seleccione la celda en la comumna B con el nombre del proyecto")))</f>
        <v>FONT1110</v>
      </c>
      <c r="AR216" s="633" t="s">
        <v>198</v>
      </c>
      <c r="AS216" s="634" t="str">
        <f>IFERROR(VLOOKUP(AU216,Listas!$E$85:$L$105,7,FALSE),"Alerta: Seleccione la celda en la comumna AI con el concepto de gasto")</f>
        <v>05-ADMINISTRACION INSTITUCIONAL</v>
      </c>
      <c r="AT216" s="634" t="str">
        <f>IFERROR(VLOOKUP(AU216,Listas!$E$85:$L$105,8,FALSE),"Alerta: Seleccione la celda en la comumna AI con el concepto de gasto")</f>
        <v>02-ADMINISTRACIÓN, CONTROL Y ORGANIZACIÓN INSTITUCIONAL PARA APOYO A LA GESTIÓN DEL DISTRITO</v>
      </c>
      <c r="AU216" s="633" t="s">
        <v>243</v>
      </c>
      <c r="AV216" s="634">
        <f>IFERROR(VLOOKUP(AU216,Listas!$E$85:$F$105,2,FALSE),"Alerta: Seleccione el Concepto de Gasto primero")</f>
        <v>0</v>
      </c>
      <c r="AW216" s="644">
        <v>33990000</v>
      </c>
      <c r="AX216" s="645"/>
      <c r="AY216" s="645"/>
      <c r="AZ216" s="645"/>
      <c r="BA216" s="646">
        <f t="shared" si="66"/>
        <v>33990000</v>
      </c>
      <c r="BB216" s="647"/>
      <c r="BC216" s="648"/>
      <c r="BD216" s="649"/>
      <c r="BE216" s="647"/>
      <c r="BF216" s="644"/>
      <c r="BG216" s="646">
        <f t="shared" si="67"/>
        <v>33990000</v>
      </c>
      <c r="BH216" s="650"/>
      <c r="BI216" s="647"/>
      <c r="BJ216" s="644"/>
      <c r="BK216" s="646">
        <f t="shared" si="68"/>
        <v>0</v>
      </c>
      <c r="BL216" s="651"/>
      <c r="BM216" s="652">
        <f t="shared" si="69"/>
        <v>1</v>
      </c>
      <c r="BN216" s="628"/>
      <c r="BO216" s="670"/>
      <c r="BP216" s="644"/>
      <c r="BQ216" s="644"/>
      <c r="BR216" s="644"/>
      <c r="BS216" s="644"/>
      <c r="BT216" s="644"/>
      <c r="BU216" s="644"/>
      <c r="BV216" s="644"/>
      <c r="BW216" s="644"/>
      <c r="BX216" s="644"/>
      <c r="BY216" s="644"/>
      <c r="BZ216" s="644"/>
      <c r="CA216" s="644"/>
      <c r="CB216" s="646">
        <f t="shared" si="70"/>
        <v>0</v>
      </c>
      <c r="CC216" s="646">
        <f t="shared" si="71"/>
        <v>0</v>
      </c>
      <c r="CD216" s="614"/>
    </row>
    <row r="217" spans="1:82" s="653" customFormat="1" ht="61.5" customHeight="1">
      <c r="A217" s="625" t="str">
        <f t="shared" si="53"/>
        <v>1110-185-FONT1110-05-02-0020-Personal de apoyo transversal a la gestión institucional</v>
      </c>
      <c r="B217" s="626" t="str">
        <f t="shared" si="54"/>
        <v>1110-185-FONT1110-05-02-0020</v>
      </c>
      <c r="C217" s="626" t="str">
        <f t="shared" si="55"/>
        <v>1110-185-FONT1110-Personal de apoyo transversal a la gestión institucional</v>
      </c>
      <c r="D217" s="626" t="str">
        <f t="shared" si="56"/>
        <v>1110-185-12-Otros Distrito-05-02-0020</v>
      </c>
      <c r="E217" s="626" t="str">
        <f t="shared" si="57"/>
        <v>Personal de apoyo transversal a la gestión institucional-12-Otros Distrito-0020-Personal contratado para las actividades propias de los procesos de mejoramiento de gestión de la entidad</v>
      </c>
      <c r="F217" s="627">
        <v>172</v>
      </c>
      <c r="G217" s="628">
        <f t="shared" si="58"/>
        <v>172</v>
      </c>
      <c r="H217" s="629" t="b">
        <f t="shared" si="59"/>
        <v>0</v>
      </c>
      <c r="I217" s="630" t="s">
        <v>594</v>
      </c>
      <c r="J217" s="627" t="s">
        <v>178</v>
      </c>
      <c r="K217" s="631" t="str">
        <f>+IFERROR(VLOOKUP(J217,Listas!$A$108:$B$114,2,FALSE),"Alerta: Seleccione la celda en la comumna B con el nombre del proyecto")</f>
        <v>3-3-1-15-07-42-1110-185</v>
      </c>
      <c r="L217" s="632">
        <v>80111600</v>
      </c>
      <c r="M217" s="633" t="s">
        <v>773</v>
      </c>
      <c r="N217" s="634" t="str">
        <f t="shared" si="60"/>
        <v>(Cód. 172) Prestar servicios profesionales al Instituto Distrital de Patrimonio Cultural para apoyar jurídicamente en la realización de las actividades de la gestión del Talento Humano de la entidad.</v>
      </c>
      <c r="O217" s="635">
        <v>43480</v>
      </c>
      <c r="P217" s="636">
        <f>IFERROR(VLOOKUP(W217,'Estimación CRP'!$D$21:$E$30,2,FALSE),0)</f>
        <v>10</v>
      </c>
      <c r="Q217" s="637">
        <f>IF(O217="No aplica","No aplica",WORKDAY.INTL(O217,P217,1,'Estimación CRP'!A403:A419))</f>
        <v>43494</v>
      </c>
      <c r="R217" s="636">
        <f t="shared" si="61"/>
        <v>1</v>
      </c>
      <c r="S217" s="636">
        <f t="shared" si="62"/>
        <v>1</v>
      </c>
      <c r="T217" s="636">
        <f t="shared" si="63"/>
        <v>1</v>
      </c>
      <c r="U217" s="712">
        <v>11</v>
      </c>
      <c r="V217" s="638">
        <v>1</v>
      </c>
      <c r="W217" s="639" t="s">
        <v>274</v>
      </c>
      <c r="X217" s="640" t="str">
        <f>IFERROR(VLOOKUP(W217,Listas!$A$60:$B$73,2,FALSE),"Alerta: Seleccione primero Modalidad de selección")</f>
        <v>CCE-16</v>
      </c>
      <c r="Y217" s="641">
        <v>0</v>
      </c>
      <c r="Z217" s="641" t="s">
        <v>346</v>
      </c>
      <c r="AA217" s="641" t="s">
        <v>1244</v>
      </c>
      <c r="AB217" s="642">
        <f t="shared" si="64"/>
        <v>44000000</v>
      </c>
      <c r="AC217" s="642">
        <f t="shared" si="65"/>
        <v>44000000</v>
      </c>
      <c r="AD217" s="641">
        <v>0</v>
      </c>
      <c r="AE217" s="643">
        <v>0</v>
      </c>
      <c r="AF217" s="639" t="s">
        <v>276</v>
      </c>
      <c r="AG217" s="639" t="s">
        <v>277</v>
      </c>
      <c r="AH217" s="639" t="s">
        <v>283</v>
      </c>
      <c r="AI217" s="626" t="str">
        <f>IFERROR(VLOOKUP(AH217,Listas!$A$77:$C$83,2,FALSE),"Alerta: Seleccione primero el responsable")</f>
        <v>3550800</v>
      </c>
      <c r="AJ217" s="640" t="str">
        <f>IFERROR(VLOOKUP(AH217,Listas!$A$77:$C$83,3,FALSE),"Alerta: Seleccione primero el responsable")</f>
        <v>juan.acosta@idpc.gov.co</v>
      </c>
      <c r="AK217" s="640" t="str">
        <f>IF(J217="Funcionamiento Gastos Generales","No aplica",IF(J217="Funcionamiento Servicios Personales indirectos","No aplica",IFERROR(VLOOKUP(J217,Listas!$A$127:$E$139,3,FALSE),"Alerta: Seleccione la celda en la comumna B con el nombre del proyecto")))</f>
        <v>ME20181110</v>
      </c>
      <c r="AL217" s="640" t="str">
        <f>IF(J217="Funcionamiento Gastos Generales","No aplica",IF(J217="Funcionamiento Servicios Personales","No aplica",IFERROR(VLOOKUP(J217,Listas!$A$220:$D$224,2,FALSE),"Alerta: Seleccione la celda en la comumna B con el nombre del proyecto")))</f>
        <v>COMP1110</v>
      </c>
      <c r="AM217" s="640" t="str">
        <f>IF(J217="Funcionamiento Gastos Generales","No aplica",IF(J217="Funcionamiento Servicios Personales","No aplica",IFERROR(VLOOKUP(J217,Listas!$A$220:$D$224,3,FALSE),"Alerta: Seleccione la celda en la comumna B con el nombre del proyecto")))</f>
        <v>CONC1110</v>
      </c>
      <c r="AN217" s="633" t="s">
        <v>789</v>
      </c>
      <c r="AO217" s="633" t="s">
        <v>124</v>
      </c>
      <c r="AP217" s="634" t="str">
        <f>IFERROR(VLOOKUP(J217,Listas!$A$182:$E$215,5,FALSE),"Alerta: Seleccione la celda en la comumna B con el nombre del proyecto")</f>
        <v>10. Procesos articulados dentro del sistema integrado de gestión.</v>
      </c>
      <c r="AQ217" s="634" t="str">
        <f>IF(J217="Funcionamiento Gastos Generales","No aplica",IF(J217="Funcionamiento Servicios Personales","No aplica",IFERROR(VLOOKUP(J217,Listas!$A$220:$D$224,4,FALSE),"Alerta: Seleccione la celda en la comumna B con el nombre del proyecto")))</f>
        <v>FONT1110</v>
      </c>
      <c r="AR217" s="633" t="s">
        <v>198</v>
      </c>
      <c r="AS217" s="634" t="str">
        <f>IFERROR(VLOOKUP(AU217,Listas!$E$85:$L$105,7,FALSE),"Alerta: Seleccione la celda en la comumna AI con el concepto de gasto")</f>
        <v>05-ADMINISTRACION INSTITUCIONAL</v>
      </c>
      <c r="AT217" s="634" t="str">
        <f>IFERROR(VLOOKUP(AU217,Listas!$E$85:$L$105,8,FALSE),"Alerta: Seleccione la celda en la comumna AI con el concepto de gasto")</f>
        <v>02-ADMINISTRACIÓN, CONTROL Y ORGANIZACIÓN INSTITUCIONAL PARA APOYO A LA GESTIÓN DEL DISTRITO</v>
      </c>
      <c r="AU217" s="633" t="s">
        <v>243</v>
      </c>
      <c r="AV217" s="634">
        <f>IFERROR(VLOOKUP(AU217,Listas!$E$85:$F$105,2,FALSE),"Alerta: Seleccione el Concepto de Gasto primero")</f>
        <v>0</v>
      </c>
      <c r="AW217" s="644">
        <v>44000000</v>
      </c>
      <c r="AX217" s="645"/>
      <c r="AY217" s="645"/>
      <c r="AZ217" s="645"/>
      <c r="BA217" s="646">
        <f t="shared" si="66"/>
        <v>44000000</v>
      </c>
      <c r="BB217" s="647"/>
      <c r="BC217" s="648"/>
      <c r="BD217" s="649"/>
      <c r="BE217" s="647"/>
      <c r="BF217" s="644"/>
      <c r="BG217" s="646">
        <f t="shared" si="67"/>
        <v>44000000</v>
      </c>
      <c r="BH217" s="650"/>
      <c r="BI217" s="647"/>
      <c r="BJ217" s="644"/>
      <c r="BK217" s="646">
        <f t="shared" si="68"/>
        <v>0</v>
      </c>
      <c r="BL217" s="651"/>
      <c r="BM217" s="652">
        <f t="shared" si="69"/>
        <v>1</v>
      </c>
      <c r="BN217" s="628"/>
      <c r="BO217" s="670"/>
      <c r="BP217" s="644"/>
      <c r="BQ217" s="644"/>
      <c r="BR217" s="644"/>
      <c r="BS217" s="644"/>
      <c r="BT217" s="644"/>
      <c r="BU217" s="644"/>
      <c r="BV217" s="644"/>
      <c r="BW217" s="644"/>
      <c r="BX217" s="644"/>
      <c r="BY217" s="644"/>
      <c r="BZ217" s="644"/>
      <c r="CA217" s="644"/>
      <c r="CB217" s="646">
        <f t="shared" si="70"/>
        <v>0</v>
      </c>
      <c r="CC217" s="646">
        <f t="shared" si="71"/>
        <v>0</v>
      </c>
      <c r="CD217" s="614"/>
    </row>
    <row r="218" spans="1:82" s="653" customFormat="1" ht="61.5" customHeight="1">
      <c r="A218" s="625" t="str">
        <f t="shared" si="53"/>
        <v>1110-185-FONT1110-05-02-0020-Desarrollar actividades de comunicación e información</v>
      </c>
      <c r="B218" s="626" t="str">
        <f t="shared" si="54"/>
        <v>1110-185-FONT1110-05-02-0020</v>
      </c>
      <c r="C218" s="626" t="str">
        <f t="shared" si="55"/>
        <v>1110-185-FONT1110-Desarrollar actividades de comunicación e información</v>
      </c>
      <c r="D218" s="626" t="str">
        <f t="shared" si="56"/>
        <v>1110-185-12-Otros Distrito-05-02-0020</v>
      </c>
      <c r="E218" s="626" t="str">
        <f t="shared" si="57"/>
        <v>Desarrollar actividades de comunicación e información-12-Otros Distrito-0020-Personal contratado para las actividades propias de los procesos de mejoramiento de gestión de la entidad</v>
      </c>
      <c r="F218" s="627">
        <v>173</v>
      </c>
      <c r="G218" s="628">
        <f t="shared" si="58"/>
        <v>173</v>
      </c>
      <c r="H218" s="629" t="b">
        <f t="shared" si="59"/>
        <v>0</v>
      </c>
      <c r="I218" s="630" t="s">
        <v>594</v>
      </c>
      <c r="J218" s="627" t="s">
        <v>178</v>
      </c>
      <c r="K218" s="631" t="str">
        <f>+IFERROR(VLOOKUP(J218,Listas!$A$108:$B$114,2,FALSE),"Alerta: Seleccione la celda en la comumna B con el nombre del proyecto")</f>
        <v>3-3-1-15-07-42-1110-185</v>
      </c>
      <c r="L218" s="632">
        <v>80111600</v>
      </c>
      <c r="M218" s="633" t="s">
        <v>774</v>
      </c>
      <c r="N218" s="634" t="str">
        <f t="shared" si="60"/>
        <v>(Cód. 173) Prestar servicios profesionales al Instituto Distrital de Patrimonio Cultural para realizar acciones relacionadas con la implementación y consolidación del Sistema de Información Geográfica -SIG_PC-.</v>
      </c>
      <c r="O218" s="635">
        <v>43480</v>
      </c>
      <c r="P218" s="636">
        <f>IFERROR(VLOOKUP(W218,'Estimación CRP'!$D$21:$E$30,2,FALSE),0)</f>
        <v>10</v>
      </c>
      <c r="Q218" s="637">
        <f>IF(O218="No aplica","No aplica",WORKDAY.INTL(O218,P218,1,'Estimación CRP'!A404:A420))</f>
        <v>43494</v>
      </c>
      <c r="R218" s="636">
        <f t="shared" si="61"/>
        <v>1</v>
      </c>
      <c r="S218" s="636">
        <f t="shared" si="62"/>
        <v>1</v>
      </c>
      <c r="T218" s="636">
        <f t="shared" si="63"/>
        <v>1</v>
      </c>
      <c r="U218" s="712">
        <v>11</v>
      </c>
      <c r="V218" s="638">
        <v>1</v>
      </c>
      <c r="W218" s="639" t="s">
        <v>274</v>
      </c>
      <c r="X218" s="640" t="str">
        <f>IFERROR(VLOOKUP(W218,Listas!$A$60:$B$73,2,FALSE),"Alerta: Seleccione primero Modalidad de selección")</f>
        <v>CCE-16</v>
      </c>
      <c r="Y218" s="641">
        <v>0</v>
      </c>
      <c r="Z218" s="641" t="s">
        <v>346</v>
      </c>
      <c r="AA218" s="641" t="s">
        <v>1245</v>
      </c>
      <c r="AB218" s="642">
        <f t="shared" si="64"/>
        <v>62480000</v>
      </c>
      <c r="AC218" s="642">
        <f t="shared" si="65"/>
        <v>62480000</v>
      </c>
      <c r="AD218" s="641">
        <v>0</v>
      </c>
      <c r="AE218" s="643">
        <v>0</v>
      </c>
      <c r="AF218" s="639" t="s">
        <v>276</v>
      </c>
      <c r="AG218" s="639" t="s">
        <v>277</v>
      </c>
      <c r="AH218" s="639" t="s">
        <v>285</v>
      </c>
      <c r="AI218" s="626" t="str">
        <f>IFERROR(VLOOKUP(AH218,Listas!$A$77:$C$83,2,FALSE),"Alerta: Seleccione primero el responsable")</f>
        <v>3550800</v>
      </c>
      <c r="AJ218" s="640" t="str">
        <f>IFERROR(VLOOKUP(AH218,Listas!$A$77:$C$83,3,FALSE),"Alerta: Seleccione primero el responsable")</f>
        <v>maria.villamil@idpc.gov.co</v>
      </c>
      <c r="AK218" s="640" t="str">
        <f>IF(J218="Funcionamiento Gastos Generales","No aplica",IF(J218="Funcionamiento Servicios Personales indirectos","No aplica",IFERROR(VLOOKUP(J218,Listas!$A$127:$E$139,3,FALSE),"Alerta: Seleccione la celda en la comumna B con el nombre del proyecto")))</f>
        <v>ME20181110</v>
      </c>
      <c r="AL218" s="640" t="str">
        <f>IF(J218="Funcionamiento Gastos Generales","No aplica",IF(J218="Funcionamiento Servicios Personales","No aplica",IFERROR(VLOOKUP(J218,Listas!$A$220:$D$224,2,FALSE),"Alerta: Seleccione la celda en la comumna B con el nombre del proyecto")))</f>
        <v>COMP1110</v>
      </c>
      <c r="AM218" s="640" t="str">
        <f>IF(J218="Funcionamiento Gastos Generales","No aplica",IF(J218="Funcionamiento Servicios Personales","No aplica",IFERROR(VLOOKUP(J218,Listas!$A$220:$D$224,3,FALSE),"Alerta: Seleccione la celda en la comumna B con el nombre del proyecto")))</f>
        <v>CONC1110</v>
      </c>
      <c r="AN218" s="633" t="s">
        <v>789</v>
      </c>
      <c r="AO218" s="633" t="s">
        <v>125</v>
      </c>
      <c r="AP218" s="634" t="str">
        <f>IFERROR(VLOOKUP(J218,Listas!$A$182:$E$215,5,FALSE),"Alerta: Seleccione la celda en la comumna B con el nombre del proyecto")</f>
        <v>10. Procesos articulados dentro del sistema integrado de gestión.</v>
      </c>
      <c r="AQ218" s="634" t="str">
        <f>IF(J218="Funcionamiento Gastos Generales","No aplica",IF(J218="Funcionamiento Servicios Personales","No aplica",IFERROR(VLOOKUP(J218,Listas!$A$220:$D$224,4,FALSE),"Alerta: Seleccione la celda en la comumna B con el nombre del proyecto")))</f>
        <v>FONT1110</v>
      </c>
      <c r="AR218" s="633" t="s">
        <v>198</v>
      </c>
      <c r="AS218" s="634" t="str">
        <f>IFERROR(VLOOKUP(AU218,Listas!$E$85:$L$105,7,FALSE),"Alerta: Seleccione la celda en la comumna AI con el concepto de gasto")</f>
        <v>05-ADMINISTRACION INSTITUCIONAL</v>
      </c>
      <c r="AT218" s="634" t="str">
        <f>IFERROR(VLOOKUP(AU218,Listas!$E$85:$L$105,8,FALSE),"Alerta: Seleccione la celda en la comumna AI con el concepto de gasto")</f>
        <v>02-ADMINISTRACIÓN, CONTROL Y ORGANIZACIÓN INSTITUCIONAL PARA APOYO A LA GESTIÓN DEL DISTRITO</v>
      </c>
      <c r="AU218" s="633" t="s">
        <v>243</v>
      </c>
      <c r="AV218" s="634">
        <f>IFERROR(VLOOKUP(AU218,Listas!$E$85:$F$105,2,FALSE),"Alerta: Seleccione el Concepto de Gasto primero")</f>
        <v>0</v>
      </c>
      <c r="AW218" s="644">
        <v>62480000</v>
      </c>
      <c r="AX218" s="645"/>
      <c r="AY218" s="645"/>
      <c r="AZ218" s="645"/>
      <c r="BA218" s="646">
        <f t="shared" si="66"/>
        <v>62480000</v>
      </c>
      <c r="BB218" s="647"/>
      <c r="BC218" s="648"/>
      <c r="BD218" s="649"/>
      <c r="BE218" s="647"/>
      <c r="BF218" s="644"/>
      <c r="BG218" s="646">
        <f t="shared" si="67"/>
        <v>62480000</v>
      </c>
      <c r="BH218" s="650"/>
      <c r="BI218" s="647"/>
      <c r="BJ218" s="644"/>
      <c r="BK218" s="646">
        <f t="shared" si="68"/>
        <v>0</v>
      </c>
      <c r="BL218" s="651"/>
      <c r="BM218" s="652">
        <f t="shared" si="69"/>
        <v>1</v>
      </c>
      <c r="BN218" s="628"/>
      <c r="BO218" s="670"/>
      <c r="BP218" s="644"/>
      <c r="BQ218" s="644"/>
      <c r="BR218" s="644"/>
      <c r="BS218" s="644"/>
      <c r="BT218" s="644"/>
      <c r="BU218" s="644"/>
      <c r="BV218" s="644"/>
      <c r="BW218" s="644"/>
      <c r="BX218" s="644"/>
      <c r="BY218" s="644"/>
      <c r="BZ218" s="644"/>
      <c r="CA218" s="644"/>
      <c r="CB218" s="646">
        <f t="shared" si="70"/>
        <v>0</v>
      </c>
      <c r="CC218" s="646">
        <f t="shared" si="71"/>
        <v>0</v>
      </c>
      <c r="CD218" s="614"/>
    </row>
    <row r="219" spans="1:82" s="561" customFormat="1" ht="61.5" customHeight="1">
      <c r="A219" s="625" t="str">
        <f t="shared" si="53"/>
        <v>1110-185-FONT1110-05-02-0020-Personal de apoyo transversal a la gestión institucional</v>
      </c>
      <c r="B219" s="626" t="str">
        <f t="shared" si="54"/>
        <v>1110-185-FONT1110-05-02-0020</v>
      </c>
      <c r="C219" s="626" t="str">
        <f t="shared" si="55"/>
        <v>1110-185-FONT1110-Personal de apoyo transversal a la gestión institucional</v>
      </c>
      <c r="D219" s="626" t="str">
        <f t="shared" si="56"/>
        <v>1110-185-12-Otros Distrito-05-02-0020</v>
      </c>
      <c r="E219" s="626" t="str">
        <f t="shared" si="57"/>
        <v>Personal de apoyo transversal a la gestión institucional-12-Otros Distrito-0020-Personal contratado para las actividades propias de los procesos de mejoramiento de gestión de la entidad</v>
      </c>
      <c r="F219" s="627">
        <v>174</v>
      </c>
      <c r="G219" s="628">
        <f t="shared" si="58"/>
        <v>174</v>
      </c>
      <c r="H219" s="629" t="b">
        <f t="shared" si="59"/>
        <v>0</v>
      </c>
      <c r="I219" s="630" t="s">
        <v>594</v>
      </c>
      <c r="J219" s="627" t="s">
        <v>178</v>
      </c>
      <c r="K219" s="631" t="str">
        <f>+IFERROR(VLOOKUP(J219,Listas!$A$108:$B$114,2,FALSE),"Alerta: Seleccione la celda en la comumna B con el nombre del proyecto")</f>
        <v>3-3-1-15-07-42-1110-185</v>
      </c>
      <c r="L219" s="632">
        <v>80111600</v>
      </c>
      <c r="M219" s="633" t="s">
        <v>775</v>
      </c>
      <c r="N219" s="634" t="str">
        <f t="shared" si="60"/>
        <v>(Cód. 174) Prestar servicios de apoyo a la gestión al Instituto Distrital de Patrimonio Cultural en el desarrollo de actividades administrativas de la Subdirección de Gestión Corporativa.</v>
      </c>
      <c r="O219" s="635">
        <v>43480</v>
      </c>
      <c r="P219" s="636">
        <f>IFERROR(VLOOKUP(W219,'Estimación CRP'!$D$21:$E$30,2,FALSE),0)</f>
        <v>10</v>
      </c>
      <c r="Q219" s="637">
        <f>IF(O219="No aplica","No aplica",WORKDAY.INTL(O219,P219,1,'Estimación CRP'!A405:A421))</f>
        <v>43494</v>
      </c>
      <c r="R219" s="636">
        <f t="shared" si="61"/>
        <v>1</v>
      </c>
      <c r="S219" s="636">
        <f t="shared" si="62"/>
        <v>1</v>
      </c>
      <c r="T219" s="636">
        <f t="shared" si="63"/>
        <v>1</v>
      </c>
      <c r="U219" s="712">
        <v>11</v>
      </c>
      <c r="V219" s="638">
        <v>1</v>
      </c>
      <c r="W219" s="639" t="s">
        <v>274</v>
      </c>
      <c r="X219" s="640" t="str">
        <f>IFERROR(VLOOKUP(W219,Listas!$A$60:$B$73,2,FALSE),"Alerta: Seleccione primero Modalidad de selección")</f>
        <v>CCE-16</v>
      </c>
      <c r="Y219" s="641">
        <v>0</v>
      </c>
      <c r="Z219" s="641" t="s">
        <v>346</v>
      </c>
      <c r="AA219" s="641" t="s">
        <v>1246</v>
      </c>
      <c r="AB219" s="642">
        <f t="shared" si="64"/>
        <v>38280000</v>
      </c>
      <c r="AC219" s="642">
        <f t="shared" si="65"/>
        <v>38280000</v>
      </c>
      <c r="AD219" s="641">
        <v>0</v>
      </c>
      <c r="AE219" s="643">
        <v>0</v>
      </c>
      <c r="AF219" s="639" t="s">
        <v>276</v>
      </c>
      <c r="AG219" s="639" t="s">
        <v>277</v>
      </c>
      <c r="AH219" s="639" t="s">
        <v>283</v>
      </c>
      <c r="AI219" s="626" t="str">
        <f>IFERROR(VLOOKUP(AH219,Listas!$A$77:$C$83,2,FALSE),"Alerta: Seleccione primero el responsable")</f>
        <v>3550800</v>
      </c>
      <c r="AJ219" s="640" t="str">
        <f>IFERROR(VLOOKUP(AH219,Listas!$A$77:$C$83,3,FALSE),"Alerta: Seleccione primero el responsable")</f>
        <v>juan.acosta@idpc.gov.co</v>
      </c>
      <c r="AK219" s="640" t="str">
        <f>IF(J219="Funcionamiento Gastos Generales","No aplica",IF(J219="Funcionamiento Servicios Personales indirectos","No aplica",IFERROR(VLOOKUP(J219,Listas!$A$127:$E$139,3,FALSE),"Alerta: Seleccione la celda en la comumna B con el nombre del proyecto")))</f>
        <v>ME20181110</v>
      </c>
      <c r="AL219" s="640" t="str">
        <f>IF(J219="Funcionamiento Gastos Generales","No aplica",IF(J219="Funcionamiento Servicios Personales","No aplica",IFERROR(VLOOKUP(J219,Listas!$A$220:$D$224,2,FALSE),"Alerta: Seleccione la celda en la comumna B con el nombre del proyecto")))</f>
        <v>COMP1110</v>
      </c>
      <c r="AM219" s="640" t="str">
        <f>IF(J219="Funcionamiento Gastos Generales","No aplica",IF(J219="Funcionamiento Servicios Personales","No aplica",IFERROR(VLOOKUP(J219,Listas!$A$220:$D$224,3,FALSE),"Alerta: Seleccione la celda en la comumna B con el nombre del proyecto")))</f>
        <v>CONC1110</v>
      </c>
      <c r="AN219" s="633" t="s">
        <v>789</v>
      </c>
      <c r="AO219" s="633" t="s">
        <v>124</v>
      </c>
      <c r="AP219" s="634" t="str">
        <f>IFERROR(VLOOKUP(J219,Listas!$A$182:$E$215,5,FALSE),"Alerta: Seleccione la celda en la comumna B con el nombre del proyecto")</f>
        <v>10. Procesos articulados dentro del sistema integrado de gestión.</v>
      </c>
      <c r="AQ219" s="634" t="str">
        <f>IF(J219="Funcionamiento Gastos Generales","No aplica",IF(J219="Funcionamiento Servicios Personales","No aplica",IFERROR(VLOOKUP(J219,Listas!$A$220:$D$224,4,FALSE),"Alerta: Seleccione la celda en la comumna B con el nombre del proyecto")))</f>
        <v>FONT1110</v>
      </c>
      <c r="AR219" s="633" t="s">
        <v>198</v>
      </c>
      <c r="AS219" s="634" t="str">
        <f>IFERROR(VLOOKUP(AU219,Listas!$E$85:$L$105,7,FALSE),"Alerta: Seleccione la celda en la comumna AI con el concepto de gasto")</f>
        <v>05-ADMINISTRACION INSTITUCIONAL</v>
      </c>
      <c r="AT219" s="634" t="str">
        <f>IFERROR(VLOOKUP(AU219,Listas!$E$85:$L$105,8,FALSE),"Alerta: Seleccione la celda en la comumna AI con el concepto de gasto")</f>
        <v>02-ADMINISTRACIÓN, CONTROL Y ORGANIZACIÓN INSTITUCIONAL PARA APOYO A LA GESTIÓN DEL DISTRITO</v>
      </c>
      <c r="AU219" s="633" t="s">
        <v>243</v>
      </c>
      <c r="AV219" s="634">
        <f>IFERROR(VLOOKUP(AU219,Listas!$E$85:$F$105,2,FALSE),"Alerta: Seleccione el Concepto de Gasto primero")</f>
        <v>0</v>
      </c>
      <c r="AW219" s="644">
        <v>38280000</v>
      </c>
      <c r="AX219" s="645"/>
      <c r="AY219" s="645"/>
      <c r="AZ219" s="645"/>
      <c r="BA219" s="646">
        <f t="shared" si="66"/>
        <v>38280000</v>
      </c>
      <c r="BB219" s="647"/>
      <c r="BC219" s="648"/>
      <c r="BD219" s="649"/>
      <c r="BE219" s="647"/>
      <c r="BF219" s="644"/>
      <c r="BG219" s="646">
        <f t="shared" si="67"/>
        <v>38280000</v>
      </c>
      <c r="BH219" s="650"/>
      <c r="BI219" s="647"/>
      <c r="BJ219" s="644"/>
      <c r="BK219" s="646">
        <f t="shared" si="68"/>
        <v>0</v>
      </c>
      <c r="BL219" s="651"/>
      <c r="BM219" s="652">
        <f t="shared" si="69"/>
        <v>1</v>
      </c>
      <c r="BN219" s="628"/>
      <c r="BO219" s="670"/>
      <c r="BP219" s="644"/>
      <c r="BQ219" s="644"/>
      <c r="BR219" s="644"/>
      <c r="BS219" s="644"/>
      <c r="BT219" s="644"/>
      <c r="BU219" s="644"/>
      <c r="BV219" s="644"/>
      <c r="BW219" s="644"/>
      <c r="BX219" s="644"/>
      <c r="BY219" s="644"/>
      <c r="BZ219" s="644"/>
      <c r="CA219" s="644"/>
      <c r="CB219" s="646">
        <f t="shared" si="70"/>
        <v>0</v>
      </c>
      <c r="CC219" s="646">
        <f t="shared" si="71"/>
        <v>0</v>
      </c>
      <c r="CD219" s="614"/>
    </row>
    <row r="220" spans="1:82" s="561" customFormat="1" ht="61.5" customHeight="1">
      <c r="A220" s="625" t="str">
        <f t="shared" si="53"/>
        <v>1110-185-FONT1110-05-02-0020-Fortalecimiento de los subsistemas del sistema integrado de gestión</v>
      </c>
      <c r="B220" s="626" t="str">
        <f t="shared" si="54"/>
        <v>1110-185-FONT1110-05-02-0020</v>
      </c>
      <c r="C220" s="626" t="str">
        <f t="shared" si="55"/>
        <v>1110-185-FONT1110-Fortalecimiento de los subsistemas del sistema integrado de gestión</v>
      </c>
      <c r="D220" s="626" t="str">
        <f t="shared" si="56"/>
        <v>1110-185-12-Otros Distrito-05-02-0020</v>
      </c>
      <c r="E220" s="626" t="str">
        <f t="shared" si="57"/>
        <v>Fortalecimiento de los subsistemas del sistema integrado de gestión-12-Otros Distrito-0020-Personal contratado para las actividades propias de los procesos de mejoramiento de gestión de la entidad</v>
      </c>
      <c r="F220" s="627">
        <v>175</v>
      </c>
      <c r="G220" s="628">
        <f t="shared" si="58"/>
        <v>175</v>
      </c>
      <c r="H220" s="629" t="b">
        <f t="shared" si="59"/>
        <v>0</v>
      </c>
      <c r="I220" s="630" t="s">
        <v>594</v>
      </c>
      <c r="J220" s="627" t="s">
        <v>178</v>
      </c>
      <c r="K220" s="631" t="str">
        <f>+IFERROR(VLOOKUP(J220,Listas!$A$108:$B$114,2,FALSE),"Alerta: Seleccione la celda en la comumna B con el nombre del proyecto")</f>
        <v>3-3-1-15-07-42-1110-185</v>
      </c>
      <c r="L220" s="632">
        <v>80111600</v>
      </c>
      <c r="M220" s="633" t="s">
        <v>776</v>
      </c>
      <c r="N220" s="634" t="str">
        <f t="shared" si="60"/>
        <v>(Cód. 175) Prestar servicios profesionales al Instituto Distrital de Patrimonio Cultural para dar lineamientos, formular y orientar las acciones para la sostenibilidad del Subsistema Interno de Gestión Documental y Archivos -SIGA.</v>
      </c>
      <c r="O220" s="635">
        <v>43480</v>
      </c>
      <c r="P220" s="636">
        <f>IFERROR(VLOOKUP(W220,'Estimación CRP'!$D$21:$E$30,2,FALSE),0)</f>
        <v>10</v>
      </c>
      <c r="Q220" s="637">
        <f>IF(O220="No aplica","No aplica",WORKDAY.INTL(O220,P220,1,'Estimación CRP'!A406:A422))</f>
        <v>43494</v>
      </c>
      <c r="R220" s="636">
        <f t="shared" si="61"/>
        <v>1</v>
      </c>
      <c r="S220" s="636">
        <f t="shared" si="62"/>
        <v>1</v>
      </c>
      <c r="T220" s="636">
        <f t="shared" si="63"/>
        <v>1</v>
      </c>
      <c r="U220" s="712">
        <v>11</v>
      </c>
      <c r="V220" s="638">
        <v>1</v>
      </c>
      <c r="W220" s="639" t="s">
        <v>274</v>
      </c>
      <c r="X220" s="640" t="str">
        <f>IFERROR(VLOOKUP(W220,Listas!$A$60:$B$73,2,FALSE),"Alerta: Seleccione primero Modalidad de selección")</f>
        <v>CCE-16</v>
      </c>
      <c r="Y220" s="641">
        <v>0</v>
      </c>
      <c r="Z220" s="641" t="s">
        <v>346</v>
      </c>
      <c r="AA220" s="641" t="s">
        <v>1247</v>
      </c>
      <c r="AB220" s="642">
        <f t="shared" si="64"/>
        <v>56100000</v>
      </c>
      <c r="AC220" s="642">
        <f t="shared" si="65"/>
        <v>56100000</v>
      </c>
      <c r="AD220" s="641">
        <v>0</v>
      </c>
      <c r="AE220" s="643">
        <v>0</v>
      </c>
      <c r="AF220" s="639" t="s">
        <v>276</v>
      </c>
      <c r="AG220" s="639" t="s">
        <v>277</v>
      </c>
      <c r="AH220" s="639" t="s">
        <v>285</v>
      </c>
      <c r="AI220" s="626" t="str">
        <f>IFERROR(VLOOKUP(AH220,Listas!$A$77:$C$83,2,FALSE),"Alerta: Seleccione primero el responsable")</f>
        <v>3550800</v>
      </c>
      <c r="AJ220" s="640" t="str">
        <f>IFERROR(VLOOKUP(AH220,Listas!$A$77:$C$83,3,FALSE),"Alerta: Seleccione primero el responsable")</f>
        <v>maria.villamil@idpc.gov.co</v>
      </c>
      <c r="AK220" s="640" t="str">
        <f>IF(J220="Funcionamiento Gastos Generales","No aplica",IF(J220="Funcionamiento Servicios Personales indirectos","No aplica",IFERROR(VLOOKUP(J220,Listas!$A$127:$E$139,3,FALSE),"Alerta: Seleccione la celda en la comumna B con el nombre del proyecto")))</f>
        <v>ME20181110</v>
      </c>
      <c r="AL220" s="640" t="str">
        <f>IF(J220="Funcionamiento Gastos Generales","No aplica",IF(J220="Funcionamiento Servicios Personales","No aplica",IFERROR(VLOOKUP(J220,Listas!$A$220:$D$224,2,FALSE),"Alerta: Seleccione la celda en la comumna B con el nombre del proyecto")))</f>
        <v>COMP1110</v>
      </c>
      <c r="AM220" s="640" t="str">
        <f>IF(J220="Funcionamiento Gastos Generales","No aplica",IF(J220="Funcionamiento Servicios Personales","No aplica",IFERROR(VLOOKUP(J220,Listas!$A$220:$D$224,3,FALSE),"Alerta: Seleccione la celda en la comumna B con el nombre del proyecto")))</f>
        <v>CONC1110</v>
      </c>
      <c r="AN220" s="633" t="s">
        <v>789</v>
      </c>
      <c r="AO220" s="633" t="s">
        <v>123</v>
      </c>
      <c r="AP220" s="634" t="str">
        <f>IFERROR(VLOOKUP(J220,Listas!$A$182:$E$215,5,FALSE),"Alerta: Seleccione la celda en la comumna B con el nombre del proyecto")</f>
        <v>10. Procesos articulados dentro del sistema integrado de gestión.</v>
      </c>
      <c r="AQ220" s="634" t="str">
        <f>IF(J220="Funcionamiento Gastos Generales","No aplica",IF(J220="Funcionamiento Servicios Personales","No aplica",IFERROR(VLOOKUP(J220,Listas!$A$220:$D$224,4,FALSE),"Alerta: Seleccione la celda en la comumna B con el nombre del proyecto")))</f>
        <v>FONT1110</v>
      </c>
      <c r="AR220" s="633" t="s">
        <v>198</v>
      </c>
      <c r="AS220" s="634" t="str">
        <f>IFERROR(VLOOKUP(AU220,Listas!$E$85:$L$105,7,FALSE),"Alerta: Seleccione la celda en la comumna AI con el concepto de gasto")</f>
        <v>05-ADMINISTRACION INSTITUCIONAL</v>
      </c>
      <c r="AT220" s="634" t="str">
        <f>IFERROR(VLOOKUP(AU220,Listas!$E$85:$L$105,8,FALSE),"Alerta: Seleccione la celda en la comumna AI con el concepto de gasto")</f>
        <v>02-ADMINISTRACIÓN, CONTROL Y ORGANIZACIÓN INSTITUCIONAL PARA APOYO A LA GESTIÓN DEL DISTRITO</v>
      </c>
      <c r="AU220" s="633" t="s">
        <v>243</v>
      </c>
      <c r="AV220" s="634">
        <f>IFERROR(VLOOKUP(AU220,Listas!$E$85:$F$105,2,FALSE),"Alerta: Seleccione el Concepto de Gasto primero")</f>
        <v>0</v>
      </c>
      <c r="AW220" s="644">
        <v>56100000</v>
      </c>
      <c r="AX220" s="645"/>
      <c r="AY220" s="645"/>
      <c r="AZ220" s="645"/>
      <c r="BA220" s="646">
        <f t="shared" si="66"/>
        <v>56100000</v>
      </c>
      <c r="BB220" s="647"/>
      <c r="BC220" s="648"/>
      <c r="BD220" s="649"/>
      <c r="BE220" s="647"/>
      <c r="BF220" s="644"/>
      <c r="BG220" s="646">
        <f t="shared" si="67"/>
        <v>56100000</v>
      </c>
      <c r="BH220" s="650"/>
      <c r="BI220" s="647"/>
      <c r="BJ220" s="644"/>
      <c r="BK220" s="646">
        <f t="shared" si="68"/>
        <v>0</v>
      </c>
      <c r="BL220" s="651"/>
      <c r="BM220" s="652">
        <f t="shared" si="69"/>
        <v>1</v>
      </c>
      <c r="BN220" s="628"/>
      <c r="BO220" s="670"/>
      <c r="BP220" s="644"/>
      <c r="BQ220" s="644"/>
      <c r="BR220" s="644"/>
      <c r="BS220" s="644"/>
      <c r="BT220" s="644"/>
      <c r="BU220" s="644"/>
      <c r="BV220" s="644"/>
      <c r="BW220" s="644"/>
      <c r="BX220" s="644"/>
      <c r="BY220" s="644"/>
      <c r="BZ220" s="644"/>
      <c r="CA220" s="644"/>
      <c r="CB220" s="646">
        <f t="shared" si="70"/>
        <v>0</v>
      </c>
      <c r="CC220" s="646">
        <f t="shared" si="71"/>
        <v>0</v>
      </c>
      <c r="CD220" s="614"/>
    </row>
    <row r="221" spans="1:82" s="561" customFormat="1" ht="61.5" customHeight="1">
      <c r="A221" s="625" t="str">
        <f t="shared" si="53"/>
        <v>1110-185-FONT1110-02-03-0114-Adquisición de equipos, materiales y suministros</v>
      </c>
      <c r="B221" s="626" t="str">
        <f t="shared" si="54"/>
        <v>1110-185-FONT1110-02-03-0114</v>
      </c>
      <c r="C221" s="626" t="str">
        <f t="shared" si="55"/>
        <v>1110-185-FONT1110-Adquisición de equipos, materiales y suministros</v>
      </c>
      <c r="D221" s="626" t="str">
        <f t="shared" si="56"/>
        <v>1110-185-12-Otros Distrito-02-03-0114</v>
      </c>
      <c r="E221" s="626" t="str">
        <f t="shared" si="57"/>
        <v>Adquisición de equipos, materiales y suministros-12-Otros Distrito-0114-Adquisición de Equipos, materiales, suministros</v>
      </c>
      <c r="F221" s="627">
        <v>176</v>
      </c>
      <c r="G221" s="628">
        <f t="shared" si="58"/>
        <v>176</v>
      </c>
      <c r="H221" s="629" t="b">
        <f t="shared" si="59"/>
        <v>0</v>
      </c>
      <c r="I221" s="630" t="s">
        <v>594</v>
      </c>
      <c r="J221" s="627" t="s">
        <v>178</v>
      </c>
      <c r="K221" s="631" t="str">
        <f>+IFERROR(VLOOKUP(J221,Listas!$A$108:$B$114,2,FALSE),"Alerta: Seleccione la celda en la comumna B con el nombre del proyecto")</f>
        <v>3-3-1-15-07-42-1110-185</v>
      </c>
      <c r="L221" s="632">
        <v>81141504</v>
      </c>
      <c r="M221" s="633" t="s">
        <v>639</v>
      </c>
      <c r="N221" s="634" t="str">
        <f t="shared" si="60"/>
        <v>(Cód. 176) Adquisición de equipos de control ambiental para las salas de exposición del Museo de Bogotá y para el archivo de gestión del Instituto Distrital de Patrimonio Cultural.</v>
      </c>
      <c r="O221" s="635">
        <v>43496</v>
      </c>
      <c r="P221" s="636">
        <f>IFERROR(VLOOKUP(W221,'Estimación CRP'!$D$21:$E$30,2,FALSE),0)</f>
        <v>25</v>
      </c>
      <c r="Q221" s="637">
        <f>IF(O221="No aplica","No aplica",WORKDAY.INTL(O221,P221,1,'Estimación CRP'!A407:A423))</f>
        <v>43531</v>
      </c>
      <c r="R221" s="636">
        <f t="shared" si="61"/>
        <v>3</v>
      </c>
      <c r="S221" s="636">
        <f t="shared" si="62"/>
        <v>1</v>
      </c>
      <c r="T221" s="636">
        <f t="shared" si="63"/>
        <v>1</v>
      </c>
      <c r="U221" s="712">
        <v>3</v>
      </c>
      <c r="V221" s="638">
        <v>1</v>
      </c>
      <c r="W221" s="639" t="s">
        <v>267</v>
      </c>
      <c r="X221" s="640" t="str">
        <f>IFERROR(VLOOKUP(W221,Listas!$A$60:$B$73,2,FALSE),"Alerta: Seleccione primero Modalidad de selección")</f>
        <v>CCE-10</v>
      </c>
      <c r="Y221" s="641">
        <v>0</v>
      </c>
      <c r="Z221" s="641" t="s">
        <v>1109</v>
      </c>
      <c r="AA221" s="641" t="s">
        <v>1248</v>
      </c>
      <c r="AB221" s="642">
        <f t="shared" si="64"/>
        <v>5718016</v>
      </c>
      <c r="AC221" s="642">
        <f t="shared" si="65"/>
        <v>5718016</v>
      </c>
      <c r="AD221" s="641">
        <v>0</v>
      </c>
      <c r="AE221" s="643">
        <v>0</v>
      </c>
      <c r="AF221" s="639" t="s">
        <v>276</v>
      </c>
      <c r="AG221" s="639" t="s">
        <v>277</v>
      </c>
      <c r="AH221" s="639" t="s">
        <v>285</v>
      </c>
      <c r="AI221" s="626" t="str">
        <f>IFERROR(VLOOKUP(AH221,Listas!$A$77:$C$83,2,FALSE),"Alerta: Seleccione primero el responsable")</f>
        <v>3550800</v>
      </c>
      <c r="AJ221" s="640" t="str">
        <f>IFERROR(VLOOKUP(AH221,Listas!$A$77:$C$83,3,FALSE),"Alerta: Seleccione primero el responsable")</f>
        <v>maria.villamil@idpc.gov.co</v>
      </c>
      <c r="AK221" s="640" t="str">
        <f>IF(J221="Funcionamiento Gastos Generales","No aplica",IF(J221="Funcionamiento Servicios Personales indirectos","No aplica",IFERROR(VLOOKUP(J221,Listas!$A$127:$E$139,3,FALSE),"Alerta: Seleccione la celda en la comumna B con el nombre del proyecto")))</f>
        <v>ME20181110</v>
      </c>
      <c r="AL221" s="640" t="str">
        <f>IF(J221="Funcionamiento Gastos Generales","No aplica",IF(J221="Funcionamiento Servicios Personales","No aplica",IFERROR(VLOOKUP(J221,Listas!$A$220:$D$224,2,FALSE),"Alerta: Seleccione la celda en la comumna B con el nombre del proyecto")))</f>
        <v>COMP1110</v>
      </c>
      <c r="AM221" s="640" t="str">
        <f>IF(J221="Funcionamiento Gastos Generales","No aplica",IF(J221="Funcionamiento Servicios Personales","No aplica",IFERROR(VLOOKUP(J221,Listas!$A$220:$D$224,3,FALSE),"Alerta: Seleccione la celda en la comumna B con el nombre del proyecto")))</f>
        <v>CONC1110</v>
      </c>
      <c r="AN221" s="633" t="s">
        <v>1049</v>
      </c>
      <c r="AO221" s="633" t="s">
        <v>104</v>
      </c>
      <c r="AP221" s="634" t="str">
        <f>IFERROR(VLOOKUP(J221,Listas!$A$182:$E$215,5,FALSE),"Alerta: Seleccione la celda en la comumna B con el nombre del proyecto")</f>
        <v>10. Procesos articulados dentro del sistema integrado de gestión.</v>
      </c>
      <c r="AQ221" s="634" t="str">
        <f>IF(J221="Funcionamiento Gastos Generales","No aplica",IF(J221="Funcionamiento Servicios Personales","No aplica",IFERROR(VLOOKUP(J221,Listas!$A$220:$D$224,4,FALSE),"Alerta: Seleccione la celda en la comumna B con el nombre del proyecto")))</f>
        <v>FONT1110</v>
      </c>
      <c r="AR221" s="633" t="s">
        <v>198</v>
      </c>
      <c r="AS221" s="634" t="str">
        <f>IFERROR(VLOOKUP(AU221,Listas!$E$85:$L$105,7,FALSE),"Alerta: Seleccione la celda en la comumna AI con el concepto de gasto")</f>
        <v>02-DOTACION</v>
      </c>
      <c r="AT221" s="634" t="str">
        <f>IFERROR(VLOOKUP(AU221,Listas!$E$85:$L$105,8,FALSE),"Alerta: Seleccione la celda en la comumna AI con el concepto de gasto")</f>
        <v>03-ADQUISICIÓN DE EQUIPOS, MATERIALES, SUMINISTROS Y SERVICIOS ADMISTRATIVOS</v>
      </c>
      <c r="AU221" s="633" t="s">
        <v>239</v>
      </c>
      <c r="AV221" s="634">
        <f>IFERROR(VLOOKUP(AU221,Listas!$E$85:$F$105,2,FALSE),"Alerta: Seleccione el Concepto de Gasto primero")</f>
        <v>0</v>
      </c>
      <c r="AW221" s="644">
        <v>5718016</v>
      </c>
      <c r="AX221" s="645"/>
      <c r="AY221" s="645"/>
      <c r="AZ221" s="645"/>
      <c r="BA221" s="646">
        <f t="shared" si="66"/>
        <v>5718016</v>
      </c>
      <c r="BB221" s="647"/>
      <c r="BC221" s="648"/>
      <c r="BD221" s="649"/>
      <c r="BE221" s="647"/>
      <c r="BF221" s="644"/>
      <c r="BG221" s="646">
        <f t="shared" si="67"/>
        <v>5718016</v>
      </c>
      <c r="BH221" s="650"/>
      <c r="BI221" s="647"/>
      <c r="BJ221" s="644"/>
      <c r="BK221" s="646">
        <f t="shared" si="68"/>
        <v>0</v>
      </c>
      <c r="BL221" s="651"/>
      <c r="BM221" s="652">
        <f t="shared" si="69"/>
        <v>1</v>
      </c>
      <c r="BN221" s="628"/>
      <c r="BO221" s="670"/>
      <c r="BP221" s="644"/>
      <c r="BQ221" s="644"/>
      <c r="BR221" s="644"/>
      <c r="BS221" s="644"/>
      <c r="BT221" s="644"/>
      <c r="BU221" s="644"/>
      <c r="BV221" s="644"/>
      <c r="BW221" s="644"/>
      <c r="BX221" s="644"/>
      <c r="BY221" s="644"/>
      <c r="BZ221" s="644"/>
      <c r="CA221" s="644"/>
      <c r="CB221" s="646">
        <f t="shared" si="70"/>
        <v>0</v>
      </c>
      <c r="CC221" s="646">
        <f t="shared" si="71"/>
        <v>0</v>
      </c>
      <c r="CD221" s="614"/>
    </row>
    <row r="222" spans="1:82" s="561" customFormat="1" ht="61.5" customHeight="1">
      <c r="A222" s="625" t="str">
        <f t="shared" si="53"/>
        <v>1110-185-FONT1110-05-02-0020-Fortalecimiento de los subsistemas del sistema integrado de gestión</v>
      </c>
      <c r="B222" s="626" t="str">
        <f t="shared" si="54"/>
        <v>1110-185-FONT1110-05-02-0020</v>
      </c>
      <c r="C222" s="626" t="str">
        <f t="shared" si="55"/>
        <v>1110-185-FONT1110-Fortalecimiento de los subsistemas del sistema integrado de gestión</v>
      </c>
      <c r="D222" s="626" t="str">
        <f t="shared" si="56"/>
        <v>1110-185-12-Otros Distrito-05-02-0020</v>
      </c>
      <c r="E222" s="626" t="str">
        <f t="shared" si="57"/>
        <v>Fortalecimiento de los subsistemas del sistema integrado de gestión-12-Otros Distrito-0020-Personal contratado para las actividades propias de los procesos de mejoramiento de gestión de la entidad</v>
      </c>
      <c r="F222" s="627">
        <v>177</v>
      </c>
      <c r="G222" s="628">
        <f t="shared" si="58"/>
        <v>177</v>
      </c>
      <c r="H222" s="629" t="b">
        <f t="shared" si="59"/>
        <v>0</v>
      </c>
      <c r="I222" s="630" t="s">
        <v>594</v>
      </c>
      <c r="J222" s="627" t="s">
        <v>178</v>
      </c>
      <c r="K222" s="631" t="str">
        <f>+IFERROR(VLOOKUP(J222,Listas!$A$108:$B$114,2,FALSE),"Alerta: Seleccione la celda en la comumna B con el nombre del proyecto")</f>
        <v>3-3-1-15-07-42-1110-185</v>
      </c>
      <c r="L222" s="632">
        <v>80111600</v>
      </c>
      <c r="M222" s="633" t="s">
        <v>777</v>
      </c>
      <c r="N222" s="634" t="str">
        <f t="shared" si="60"/>
        <v>(Cód. 177) Prestar servicios profesionales al Instituto Distrital de Patrimonio Cultural para orientar y formular acciones para el fortalecimiento y mantenimiento del Subsistema de Gestión Ambiental en el marco del Sistema Integrado de Gestión.</v>
      </c>
      <c r="O222" s="635">
        <v>43480</v>
      </c>
      <c r="P222" s="636">
        <f>IFERROR(VLOOKUP(W222,'Estimación CRP'!$D$21:$E$30,2,FALSE),0)</f>
        <v>10</v>
      </c>
      <c r="Q222" s="637">
        <f>IF(O222="No aplica","No aplica",WORKDAY.INTL(O222,P222,1,'Estimación CRP'!A408:A424))</f>
        <v>43494</v>
      </c>
      <c r="R222" s="636">
        <f t="shared" si="61"/>
        <v>1</v>
      </c>
      <c r="S222" s="636">
        <f t="shared" si="62"/>
        <v>1</v>
      </c>
      <c r="T222" s="636">
        <f t="shared" si="63"/>
        <v>1</v>
      </c>
      <c r="U222" s="712">
        <v>11</v>
      </c>
      <c r="V222" s="638">
        <v>1</v>
      </c>
      <c r="W222" s="639" t="s">
        <v>274</v>
      </c>
      <c r="X222" s="640" t="str">
        <f>IFERROR(VLOOKUP(W222,Listas!$A$60:$B$73,2,FALSE),"Alerta: Seleccione primero Modalidad de selección")</f>
        <v>CCE-16</v>
      </c>
      <c r="Y222" s="641">
        <v>0</v>
      </c>
      <c r="Z222" s="641" t="s">
        <v>346</v>
      </c>
      <c r="AA222" s="641" t="s">
        <v>1249</v>
      </c>
      <c r="AB222" s="642">
        <f t="shared" si="64"/>
        <v>57640000</v>
      </c>
      <c r="AC222" s="642">
        <f t="shared" si="65"/>
        <v>57640000</v>
      </c>
      <c r="AD222" s="641">
        <v>0</v>
      </c>
      <c r="AE222" s="643">
        <v>0</v>
      </c>
      <c r="AF222" s="639" t="s">
        <v>276</v>
      </c>
      <c r="AG222" s="639" t="s">
        <v>277</v>
      </c>
      <c r="AH222" s="639" t="s">
        <v>285</v>
      </c>
      <c r="AI222" s="626" t="str">
        <f>IFERROR(VLOOKUP(AH222,Listas!$A$77:$C$83,2,FALSE),"Alerta: Seleccione primero el responsable")</f>
        <v>3550800</v>
      </c>
      <c r="AJ222" s="640" t="str">
        <f>IFERROR(VLOOKUP(AH222,Listas!$A$77:$C$83,3,FALSE),"Alerta: Seleccione primero el responsable")</f>
        <v>maria.villamil@idpc.gov.co</v>
      </c>
      <c r="AK222" s="640" t="str">
        <f>IF(J222="Funcionamiento Gastos Generales","No aplica",IF(J222="Funcionamiento Servicios Personales indirectos","No aplica",IFERROR(VLOOKUP(J222,Listas!$A$127:$E$139,3,FALSE),"Alerta: Seleccione la celda en la comumna B con el nombre del proyecto")))</f>
        <v>ME20181110</v>
      </c>
      <c r="AL222" s="640" t="str">
        <f>IF(J222="Funcionamiento Gastos Generales","No aplica",IF(J222="Funcionamiento Servicios Personales","No aplica",IFERROR(VLOOKUP(J222,Listas!$A$220:$D$224,2,FALSE),"Alerta: Seleccione la celda en la comumna B con el nombre del proyecto")))</f>
        <v>COMP1110</v>
      </c>
      <c r="AM222" s="640" t="str">
        <f>IF(J222="Funcionamiento Gastos Generales","No aplica",IF(J222="Funcionamiento Servicios Personales","No aplica",IFERROR(VLOOKUP(J222,Listas!$A$220:$D$224,3,FALSE),"Alerta: Seleccione la celda en la comumna B con el nombre del proyecto")))</f>
        <v>CONC1110</v>
      </c>
      <c r="AN222" s="633" t="s">
        <v>789</v>
      </c>
      <c r="AO222" s="633" t="s">
        <v>123</v>
      </c>
      <c r="AP222" s="634" t="str">
        <f>IFERROR(VLOOKUP(J222,Listas!$A$182:$E$215,5,FALSE),"Alerta: Seleccione la celda en la comumna B con el nombre del proyecto")</f>
        <v>10. Procesos articulados dentro del sistema integrado de gestión.</v>
      </c>
      <c r="AQ222" s="634" t="str">
        <f>IF(J222="Funcionamiento Gastos Generales","No aplica",IF(J222="Funcionamiento Servicios Personales","No aplica",IFERROR(VLOOKUP(J222,Listas!$A$220:$D$224,4,FALSE),"Alerta: Seleccione la celda en la comumna B con el nombre del proyecto")))</f>
        <v>FONT1110</v>
      </c>
      <c r="AR222" s="633" t="s">
        <v>198</v>
      </c>
      <c r="AS222" s="634" t="str">
        <f>IFERROR(VLOOKUP(AU222,Listas!$E$85:$L$105,7,FALSE),"Alerta: Seleccione la celda en la comumna AI con el concepto de gasto")</f>
        <v>05-ADMINISTRACION INSTITUCIONAL</v>
      </c>
      <c r="AT222" s="634" t="str">
        <f>IFERROR(VLOOKUP(AU222,Listas!$E$85:$L$105,8,FALSE),"Alerta: Seleccione la celda en la comumna AI con el concepto de gasto")</f>
        <v>02-ADMINISTRACIÓN, CONTROL Y ORGANIZACIÓN INSTITUCIONAL PARA APOYO A LA GESTIÓN DEL DISTRITO</v>
      </c>
      <c r="AU222" s="633" t="s">
        <v>243</v>
      </c>
      <c r="AV222" s="634">
        <f>IFERROR(VLOOKUP(AU222,Listas!$E$85:$F$105,2,FALSE),"Alerta: Seleccione el Concepto de Gasto primero")</f>
        <v>0</v>
      </c>
      <c r="AW222" s="644">
        <v>57640000</v>
      </c>
      <c r="AX222" s="645"/>
      <c r="AY222" s="645"/>
      <c r="AZ222" s="645"/>
      <c r="BA222" s="646">
        <f t="shared" si="66"/>
        <v>57640000</v>
      </c>
      <c r="BB222" s="647"/>
      <c r="BC222" s="648"/>
      <c r="BD222" s="649"/>
      <c r="BE222" s="647"/>
      <c r="BF222" s="644"/>
      <c r="BG222" s="646">
        <f t="shared" si="67"/>
        <v>57640000</v>
      </c>
      <c r="BH222" s="650"/>
      <c r="BI222" s="647"/>
      <c r="BJ222" s="644"/>
      <c r="BK222" s="646">
        <f t="shared" si="68"/>
        <v>0</v>
      </c>
      <c r="BL222" s="651"/>
      <c r="BM222" s="652">
        <f t="shared" si="69"/>
        <v>1</v>
      </c>
      <c r="BN222" s="628"/>
      <c r="BO222" s="670"/>
      <c r="BP222" s="644"/>
      <c r="BQ222" s="644"/>
      <c r="BR222" s="644"/>
      <c r="BS222" s="644"/>
      <c r="BT222" s="644"/>
      <c r="BU222" s="644"/>
      <c r="BV222" s="644"/>
      <c r="BW222" s="644"/>
      <c r="BX222" s="644"/>
      <c r="BY222" s="644"/>
      <c r="BZ222" s="644"/>
      <c r="CA222" s="644"/>
      <c r="CB222" s="646">
        <f t="shared" si="70"/>
        <v>0</v>
      </c>
      <c r="CC222" s="646">
        <f t="shared" si="71"/>
        <v>0</v>
      </c>
      <c r="CD222" s="614"/>
    </row>
    <row r="223" spans="1:82" s="561" customFormat="1" ht="61.5" customHeight="1">
      <c r="A223" s="625" t="str">
        <f t="shared" si="53"/>
        <v>1110-185-FONT1110-02-03-0114-Adquisición de equipos, materiales y suministros</v>
      </c>
      <c r="B223" s="626" t="str">
        <f t="shared" si="54"/>
        <v>1110-185-FONT1110-02-03-0114</v>
      </c>
      <c r="C223" s="626" t="str">
        <f t="shared" si="55"/>
        <v>1110-185-FONT1110-Adquisición de equipos, materiales y suministros</v>
      </c>
      <c r="D223" s="626" t="str">
        <f t="shared" si="56"/>
        <v>1110-185-12-Otros Distrito-02-03-0114</v>
      </c>
      <c r="E223" s="626" t="str">
        <f t="shared" si="57"/>
        <v>Adquisición de equipos, materiales y suministros-12-Otros Distrito-0114-Adquisición de Equipos, materiales, suministros</v>
      </c>
      <c r="F223" s="627">
        <v>178</v>
      </c>
      <c r="G223" s="628">
        <f t="shared" si="58"/>
        <v>178</v>
      </c>
      <c r="H223" s="629" t="b">
        <f t="shared" si="59"/>
        <v>0</v>
      </c>
      <c r="I223" s="630" t="s">
        <v>594</v>
      </c>
      <c r="J223" s="627" t="s">
        <v>178</v>
      </c>
      <c r="K223" s="631" t="str">
        <f>+IFERROR(VLOOKUP(J223,Listas!$A$108:$B$114,2,FALSE),"Alerta: Seleccione la celda en la comumna B con el nombre del proyecto")</f>
        <v>3-3-1-15-07-42-1110-185</v>
      </c>
      <c r="L223" s="632" t="s">
        <v>778</v>
      </c>
      <c r="M223" s="633" t="s">
        <v>779</v>
      </c>
      <c r="N223" s="634" t="str">
        <f t="shared" si="60"/>
        <v>(Cód. 178) Adquisición de mobiliario para la sede administrativa del Instituto Distrital de Patrimonio Cultural.</v>
      </c>
      <c r="O223" s="635">
        <v>43631</v>
      </c>
      <c r="P223" s="636">
        <f>IFERROR(VLOOKUP(W223,'Estimación CRP'!$D$21:$E$30,2,FALSE),0)</f>
        <v>45</v>
      </c>
      <c r="Q223" s="637">
        <f>IF(O223="No aplica","No aplica",WORKDAY.INTL(O223,P223,1,'Estimación CRP'!A409:A425))</f>
        <v>43693</v>
      </c>
      <c r="R223" s="636">
        <f t="shared" si="61"/>
        <v>8</v>
      </c>
      <c r="S223" s="636">
        <f t="shared" si="62"/>
        <v>6</v>
      </c>
      <c r="T223" s="636">
        <f t="shared" si="63"/>
        <v>6</v>
      </c>
      <c r="U223" s="712">
        <v>2</v>
      </c>
      <c r="V223" s="638">
        <v>1</v>
      </c>
      <c r="W223" s="639" t="s">
        <v>348</v>
      </c>
      <c r="X223" s="640" t="str">
        <f>IFERROR(VLOOKUP(W223,Listas!$A$60:$B$73,2,FALSE),"Alerta: Seleccione primero Modalidad de selección")</f>
        <v>CCE-06</v>
      </c>
      <c r="Y223" s="641">
        <v>0</v>
      </c>
      <c r="Z223" s="641" t="s">
        <v>1172</v>
      </c>
      <c r="AA223" s="641" t="s">
        <v>1250</v>
      </c>
      <c r="AB223" s="642">
        <f t="shared" si="64"/>
        <v>113341984</v>
      </c>
      <c r="AC223" s="642">
        <f t="shared" si="65"/>
        <v>113341984</v>
      </c>
      <c r="AD223" s="641">
        <v>0</v>
      </c>
      <c r="AE223" s="643">
        <v>0</v>
      </c>
      <c r="AF223" s="639" t="s">
        <v>276</v>
      </c>
      <c r="AG223" s="639" t="s">
        <v>277</v>
      </c>
      <c r="AH223" s="639" t="s">
        <v>283</v>
      </c>
      <c r="AI223" s="626" t="str">
        <f>IFERROR(VLOOKUP(AH223,Listas!$A$77:$C$83,2,FALSE),"Alerta: Seleccione primero el responsable")</f>
        <v>3550800</v>
      </c>
      <c r="AJ223" s="640" t="str">
        <f>IFERROR(VLOOKUP(AH223,Listas!$A$77:$C$83,3,FALSE),"Alerta: Seleccione primero el responsable")</f>
        <v>juan.acosta@idpc.gov.co</v>
      </c>
      <c r="AK223" s="640" t="str">
        <f>IF(J223="Funcionamiento Gastos Generales","No aplica",IF(J223="Funcionamiento Servicios Personales indirectos","No aplica",IFERROR(VLOOKUP(J223,Listas!$A$127:$E$139,3,FALSE),"Alerta: Seleccione la celda en la comumna B con el nombre del proyecto")))</f>
        <v>ME20181110</v>
      </c>
      <c r="AL223" s="640" t="str">
        <f>IF(J223="Funcionamiento Gastos Generales","No aplica",IF(J223="Funcionamiento Servicios Personales","No aplica",IFERROR(VLOOKUP(J223,Listas!$A$220:$D$224,2,FALSE),"Alerta: Seleccione la celda en la comumna B con el nombre del proyecto")))</f>
        <v>COMP1110</v>
      </c>
      <c r="AM223" s="640" t="str">
        <f>IF(J223="Funcionamiento Gastos Generales","No aplica",IF(J223="Funcionamiento Servicios Personales","No aplica",IFERROR(VLOOKUP(J223,Listas!$A$220:$D$224,3,FALSE),"Alerta: Seleccione la celda en la comumna B con el nombre del proyecto")))</f>
        <v>CONC1110</v>
      </c>
      <c r="AN223" s="633" t="s">
        <v>789</v>
      </c>
      <c r="AO223" s="633" t="s">
        <v>104</v>
      </c>
      <c r="AP223" s="634" t="str">
        <f>IFERROR(VLOOKUP(J223,Listas!$A$182:$E$215,5,FALSE),"Alerta: Seleccione la celda en la comumna B con el nombre del proyecto")</f>
        <v>10. Procesos articulados dentro del sistema integrado de gestión.</v>
      </c>
      <c r="AQ223" s="634" t="str">
        <f>IF(J223="Funcionamiento Gastos Generales","No aplica",IF(J223="Funcionamiento Servicios Personales","No aplica",IFERROR(VLOOKUP(J223,Listas!$A$220:$D$224,4,FALSE),"Alerta: Seleccione la celda en la comumna B con el nombre del proyecto")))</f>
        <v>FONT1110</v>
      </c>
      <c r="AR223" s="633" t="s">
        <v>198</v>
      </c>
      <c r="AS223" s="634" t="str">
        <f>IFERROR(VLOOKUP(AU223,Listas!$E$85:$L$105,7,FALSE),"Alerta: Seleccione la celda en la comumna AI con el concepto de gasto")</f>
        <v>02-DOTACION</v>
      </c>
      <c r="AT223" s="634" t="str">
        <f>IFERROR(VLOOKUP(AU223,Listas!$E$85:$L$105,8,FALSE),"Alerta: Seleccione la celda en la comumna AI con el concepto de gasto")</f>
        <v>03-ADQUISICIÓN DE EQUIPOS, MATERIALES, SUMINISTROS Y SERVICIOS ADMISTRATIVOS</v>
      </c>
      <c r="AU223" s="633" t="s">
        <v>239</v>
      </c>
      <c r="AV223" s="634">
        <f>IFERROR(VLOOKUP(AU223,Listas!$E$85:$F$105,2,FALSE),"Alerta: Seleccione el Concepto de Gasto primero")</f>
        <v>0</v>
      </c>
      <c r="AW223" s="644">
        <v>113341984</v>
      </c>
      <c r="AX223" s="645"/>
      <c r="AY223" s="645"/>
      <c r="AZ223" s="645"/>
      <c r="BA223" s="646">
        <f t="shared" si="66"/>
        <v>113341984</v>
      </c>
      <c r="BB223" s="647"/>
      <c r="BC223" s="648"/>
      <c r="BD223" s="649"/>
      <c r="BE223" s="647"/>
      <c r="BF223" s="644"/>
      <c r="BG223" s="646">
        <f t="shared" si="67"/>
        <v>113341984</v>
      </c>
      <c r="BH223" s="650"/>
      <c r="BI223" s="647"/>
      <c r="BJ223" s="644"/>
      <c r="BK223" s="646">
        <f t="shared" si="68"/>
        <v>0</v>
      </c>
      <c r="BL223" s="651"/>
      <c r="BM223" s="652">
        <f t="shared" si="69"/>
        <v>1</v>
      </c>
      <c r="BN223" s="628"/>
      <c r="BO223" s="670"/>
      <c r="BP223" s="644"/>
      <c r="BQ223" s="644"/>
      <c r="BR223" s="644"/>
      <c r="BS223" s="644"/>
      <c r="BT223" s="644"/>
      <c r="BU223" s="644"/>
      <c r="BV223" s="644"/>
      <c r="BW223" s="644"/>
      <c r="BX223" s="644"/>
      <c r="BY223" s="644"/>
      <c r="BZ223" s="644"/>
      <c r="CA223" s="644"/>
      <c r="CB223" s="646">
        <f t="shared" si="70"/>
        <v>0</v>
      </c>
      <c r="CC223" s="646">
        <f t="shared" si="71"/>
        <v>0</v>
      </c>
      <c r="CD223" s="614"/>
    </row>
    <row r="224" spans="1:82" s="561" customFormat="1" ht="61.5" customHeight="1">
      <c r="A224" s="625" t="str">
        <f t="shared" ref="A224:A287" si="72">+CONCATENATE(B224,"-",AO224)</f>
        <v>1110-185-FONT1110-05-02-0020-Fortalecimiento de los subsistemas del sistema integrado de gestión</v>
      </c>
      <c r="B224" s="626" t="str">
        <f t="shared" ref="B224:B287" si="73">CONCATENATE(RIGHT(K224,8),"-",AQ224,"-",LEFT(AS224,2),"-",LEFT(AT224,2),"-",LEFT(AU224,4))</f>
        <v>1110-185-FONT1110-05-02-0020</v>
      </c>
      <c r="C224" s="626" t="str">
        <f t="shared" ref="C224:C287" si="74">+CONCATENATE(RIGHT(K224,8),"-",AQ224,"-",AO224)</f>
        <v>1110-185-FONT1110-Fortalecimiento de los subsistemas del sistema integrado de gestión</v>
      </c>
      <c r="D224" s="626" t="str">
        <f t="shared" ref="D224:D287" si="75">+CONCATENATE(RIGHT(K224,8),"-",AR224,"-",LEFT(AS224,2),"-",LEFT(AT224,2),"-",LEFT(AU224,4))</f>
        <v>1110-185-12-Otros Distrito-05-02-0020</v>
      </c>
      <c r="E224" s="626" t="str">
        <f t="shared" si="57"/>
        <v>Fortalecimiento de los subsistemas del sistema integrado de gestión-12-Otros Distrito-0020-Personal contratado para las actividades propias de los procesos de mejoramiento de gestión de la entidad</v>
      </c>
      <c r="F224" s="627">
        <v>179</v>
      </c>
      <c r="G224" s="628">
        <f t="shared" si="58"/>
        <v>179</v>
      </c>
      <c r="H224" s="629" t="b">
        <f t="shared" si="59"/>
        <v>0</v>
      </c>
      <c r="I224" s="630" t="s">
        <v>594</v>
      </c>
      <c r="J224" s="627" t="s">
        <v>178</v>
      </c>
      <c r="K224" s="631" t="str">
        <f>+IFERROR(VLOOKUP(J224,Listas!$A$108:$B$114,2,FALSE),"Alerta: Seleccione la celda en la comumna B con el nombre del proyecto")</f>
        <v>3-3-1-15-07-42-1110-185</v>
      </c>
      <c r="L224" s="632">
        <v>80111600</v>
      </c>
      <c r="M224" s="633" t="s">
        <v>726</v>
      </c>
      <c r="N224" s="634" t="str">
        <f t="shared" si="60"/>
        <v>(Cód. 179) Prestar servicios de apoyo a la gestión  al Instituto Distrital de Patrimonio Cultural para ejecutar las actividades relacionadas con el Programa de gestión Documental - PGD  y el Plan Institucional de Archivos PINAR.</v>
      </c>
      <c r="O224" s="635">
        <v>43480</v>
      </c>
      <c r="P224" s="636">
        <f>IFERROR(VLOOKUP(W224,'Estimación CRP'!$D$21:$E$30,2,FALSE),0)</f>
        <v>10</v>
      </c>
      <c r="Q224" s="637">
        <f>IF(O224="No aplica","No aplica",WORKDAY.INTL(O224,P224,1,'Estimación CRP'!A410:A426))</f>
        <v>43494</v>
      </c>
      <c r="R224" s="636">
        <f t="shared" si="61"/>
        <v>1</v>
      </c>
      <c r="S224" s="636">
        <f t="shared" si="62"/>
        <v>1</v>
      </c>
      <c r="T224" s="636">
        <f t="shared" si="63"/>
        <v>1</v>
      </c>
      <c r="U224" s="712">
        <v>11</v>
      </c>
      <c r="V224" s="638">
        <v>1</v>
      </c>
      <c r="W224" s="639" t="s">
        <v>274</v>
      </c>
      <c r="X224" s="640" t="str">
        <f>IFERROR(VLOOKUP(W224,Listas!$A$60:$B$73,2,FALSE),"Alerta: Seleccione primero Modalidad de selección")</f>
        <v>CCE-16</v>
      </c>
      <c r="Y224" s="641">
        <v>0</v>
      </c>
      <c r="Z224" s="641" t="s">
        <v>346</v>
      </c>
      <c r="AA224" s="641" t="s">
        <v>1251</v>
      </c>
      <c r="AB224" s="642">
        <f t="shared" si="64"/>
        <v>36300000</v>
      </c>
      <c r="AC224" s="642">
        <f t="shared" si="65"/>
        <v>36300000</v>
      </c>
      <c r="AD224" s="641">
        <v>0</v>
      </c>
      <c r="AE224" s="643">
        <v>0</v>
      </c>
      <c r="AF224" s="639" t="s">
        <v>276</v>
      </c>
      <c r="AG224" s="639" t="s">
        <v>277</v>
      </c>
      <c r="AH224" s="639" t="s">
        <v>285</v>
      </c>
      <c r="AI224" s="626" t="str">
        <f>IFERROR(VLOOKUP(AH224,Listas!$A$77:$C$83,2,FALSE),"Alerta: Seleccione primero el responsable")</f>
        <v>3550800</v>
      </c>
      <c r="AJ224" s="640" t="str">
        <f>IFERROR(VLOOKUP(AH224,Listas!$A$77:$C$83,3,FALSE),"Alerta: Seleccione primero el responsable")</f>
        <v>maria.villamil@idpc.gov.co</v>
      </c>
      <c r="AK224" s="640" t="str">
        <f>IF(J224="Funcionamiento Gastos Generales","No aplica",IF(J224="Funcionamiento Servicios Personales indirectos","No aplica",IFERROR(VLOOKUP(J224,Listas!$A$127:$E$139,3,FALSE),"Alerta: Seleccione la celda en la comumna B con el nombre del proyecto")))</f>
        <v>ME20181110</v>
      </c>
      <c r="AL224" s="640" t="str">
        <f>IF(J224="Funcionamiento Gastos Generales","No aplica",IF(J224="Funcionamiento Servicios Personales","No aplica",IFERROR(VLOOKUP(J224,Listas!$A$220:$D$224,2,FALSE),"Alerta: Seleccione la celda en la comumna B con el nombre del proyecto")))</f>
        <v>COMP1110</v>
      </c>
      <c r="AM224" s="640" t="str">
        <f>IF(J224="Funcionamiento Gastos Generales","No aplica",IF(J224="Funcionamiento Servicios Personales","No aplica",IFERROR(VLOOKUP(J224,Listas!$A$220:$D$224,3,FALSE),"Alerta: Seleccione la celda en la comumna B con el nombre del proyecto")))</f>
        <v>CONC1110</v>
      </c>
      <c r="AN224" s="633" t="s">
        <v>789</v>
      </c>
      <c r="AO224" s="633" t="s">
        <v>123</v>
      </c>
      <c r="AP224" s="634" t="str">
        <f>IFERROR(VLOOKUP(J224,Listas!$A$182:$E$215,5,FALSE),"Alerta: Seleccione la celda en la comumna B con el nombre del proyecto")</f>
        <v>10. Procesos articulados dentro del sistema integrado de gestión.</v>
      </c>
      <c r="AQ224" s="634" t="str">
        <f>IF(J224="Funcionamiento Gastos Generales","No aplica",IF(J224="Funcionamiento Servicios Personales","No aplica",IFERROR(VLOOKUP(J224,Listas!$A$220:$D$224,4,FALSE),"Alerta: Seleccione la celda en la comumna B con el nombre del proyecto")))</f>
        <v>FONT1110</v>
      </c>
      <c r="AR224" s="633" t="s">
        <v>198</v>
      </c>
      <c r="AS224" s="634" t="str">
        <f>IFERROR(VLOOKUP(AU224,Listas!$E$85:$L$105,7,FALSE),"Alerta: Seleccione la celda en la comumna AI con el concepto de gasto")</f>
        <v>05-ADMINISTRACION INSTITUCIONAL</v>
      </c>
      <c r="AT224" s="634" t="str">
        <f>IFERROR(VLOOKUP(AU224,Listas!$E$85:$L$105,8,FALSE),"Alerta: Seleccione la celda en la comumna AI con el concepto de gasto")</f>
        <v>02-ADMINISTRACIÓN, CONTROL Y ORGANIZACIÓN INSTITUCIONAL PARA APOYO A LA GESTIÓN DEL DISTRITO</v>
      </c>
      <c r="AU224" s="633" t="s">
        <v>243</v>
      </c>
      <c r="AV224" s="634">
        <f>IFERROR(VLOOKUP(AU224,Listas!$E$85:$F$105,2,FALSE),"Alerta: Seleccione el Concepto de Gasto primero")</f>
        <v>0</v>
      </c>
      <c r="AW224" s="644">
        <v>36300000</v>
      </c>
      <c r="AX224" s="645"/>
      <c r="AY224" s="645"/>
      <c r="AZ224" s="645"/>
      <c r="BA224" s="646">
        <f t="shared" si="66"/>
        <v>36300000</v>
      </c>
      <c r="BB224" s="647"/>
      <c r="BC224" s="648"/>
      <c r="BD224" s="649"/>
      <c r="BE224" s="647"/>
      <c r="BF224" s="644"/>
      <c r="BG224" s="646">
        <f t="shared" si="67"/>
        <v>36300000</v>
      </c>
      <c r="BH224" s="650"/>
      <c r="BI224" s="647"/>
      <c r="BJ224" s="644"/>
      <c r="BK224" s="646">
        <f t="shared" si="68"/>
        <v>0</v>
      </c>
      <c r="BL224" s="651"/>
      <c r="BM224" s="652">
        <f t="shared" si="69"/>
        <v>1</v>
      </c>
      <c r="BN224" s="628"/>
      <c r="BO224" s="670"/>
      <c r="BP224" s="644"/>
      <c r="BQ224" s="644"/>
      <c r="BR224" s="644"/>
      <c r="BS224" s="644"/>
      <c r="BT224" s="644"/>
      <c r="BU224" s="644"/>
      <c r="BV224" s="644"/>
      <c r="BW224" s="644"/>
      <c r="BX224" s="644"/>
      <c r="BY224" s="644"/>
      <c r="BZ224" s="644"/>
      <c r="CA224" s="644"/>
      <c r="CB224" s="646">
        <f t="shared" si="70"/>
        <v>0</v>
      </c>
      <c r="CC224" s="646">
        <f t="shared" si="71"/>
        <v>0</v>
      </c>
      <c r="CD224" s="614"/>
    </row>
    <row r="225" spans="1:82" s="561" customFormat="1" ht="61.5" customHeight="1">
      <c r="A225" s="625" t="str">
        <f t="shared" si="72"/>
        <v>1110-185-FONT1110-05-02-0020-Personal de apoyo transversal a la gestión institucional</v>
      </c>
      <c r="B225" s="626" t="str">
        <f t="shared" si="73"/>
        <v>1110-185-FONT1110-05-02-0020</v>
      </c>
      <c r="C225" s="626" t="str">
        <f t="shared" si="74"/>
        <v>1110-185-FONT1110-Personal de apoyo transversal a la gestión institucional</v>
      </c>
      <c r="D225" s="626" t="str">
        <f t="shared" si="75"/>
        <v>1110-185-12-Otros Distrito-05-02-0020</v>
      </c>
      <c r="E225" s="626" t="str">
        <f t="shared" ref="E225:E288" si="76">+CONCATENATE(AO225,"-",AR225,"-",AU225)</f>
        <v>Personal de apoyo transversal a la gestión institucional-12-Otros Distrito-0020-Personal contratado para las actividades propias de los procesos de mejoramiento de gestión de la entidad</v>
      </c>
      <c r="F225" s="627">
        <v>180</v>
      </c>
      <c r="G225" s="628">
        <f t="shared" ref="G225:G288" si="77">+F225</f>
        <v>180</v>
      </c>
      <c r="H225" s="629" t="b">
        <f t="shared" ref="H225:H288" si="78">+G225=G224</f>
        <v>0</v>
      </c>
      <c r="I225" s="630" t="s">
        <v>594</v>
      </c>
      <c r="J225" s="627" t="s">
        <v>178</v>
      </c>
      <c r="K225" s="631" t="str">
        <f>+IFERROR(VLOOKUP(J225,Listas!$A$108:$B$114,2,FALSE),"Alerta: Seleccione la celda en la comumna B con el nombre del proyecto")</f>
        <v>3-3-1-15-07-42-1110-185</v>
      </c>
      <c r="L225" s="632">
        <v>80111600</v>
      </c>
      <c r="M225" s="633" t="s">
        <v>780</v>
      </c>
      <c r="N225" s="634" t="str">
        <f t="shared" ref="N225:N288" si="79">+CONCATENATE("(Cód. ",F225,") ",M225)</f>
        <v>(Cód. 180) Prestar servicios profesionales al Instituto Distrital de Patrimonio Cultural en las actividades relacionadas con la vinculación, permanencia, retiro de los servidores públicos y demás temas relacionados con la gestión del talento humano de la entidad.</v>
      </c>
      <c r="O225" s="635">
        <v>43480</v>
      </c>
      <c r="P225" s="636">
        <f>IFERROR(VLOOKUP(W225,'Estimación CRP'!$D$21:$E$30,2,FALSE),0)</f>
        <v>10</v>
      </c>
      <c r="Q225" s="637">
        <f>IF(O225="No aplica","No aplica",WORKDAY.INTL(O225,P225,1,'Estimación CRP'!A411:A427))</f>
        <v>43494</v>
      </c>
      <c r="R225" s="636">
        <f t="shared" ref="R225:R288" si="80">IF(O225="No aplica","No aplica",MONTH(Q225))</f>
        <v>1</v>
      </c>
      <c r="S225" s="636">
        <f t="shared" ref="S225:S288" si="81">IF(O225="No aplica","No aplica",MONTH(O225))</f>
        <v>1</v>
      </c>
      <c r="T225" s="636">
        <f t="shared" ref="T225:T288" si="82">IF(O225="No aplica","No aplica",S225)</f>
        <v>1</v>
      </c>
      <c r="U225" s="712">
        <v>11</v>
      </c>
      <c r="V225" s="638">
        <v>1</v>
      </c>
      <c r="W225" s="639" t="s">
        <v>274</v>
      </c>
      <c r="X225" s="640" t="str">
        <f>IFERROR(VLOOKUP(W225,Listas!$A$60:$B$73,2,FALSE),"Alerta: Seleccione primero Modalidad de selección")</f>
        <v>CCE-16</v>
      </c>
      <c r="Y225" s="641">
        <v>0</v>
      </c>
      <c r="Z225" s="641" t="s">
        <v>346</v>
      </c>
      <c r="AA225" s="641" t="s">
        <v>1252</v>
      </c>
      <c r="AB225" s="642">
        <f t="shared" ref="AB225:AB288" si="83">+BA225</f>
        <v>40700000</v>
      </c>
      <c r="AC225" s="642">
        <f t="shared" ref="AC225:AC288" si="84">+AB225</f>
        <v>40700000</v>
      </c>
      <c r="AD225" s="641">
        <v>0</v>
      </c>
      <c r="AE225" s="643">
        <v>0</v>
      </c>
      <c r="AF225" s="639" t="s">
        <v>276</v>
      </c>
      <c r="AG225" s="639" t="s">
        <v>277</v>
      </c>
      <c r="AH225" s="639" t="s">
        <v>283</v>
      </c>
      <c r="AI225" s="626" t="str">
        <f>IFERROR(VLOOKUP(AH225,Listas!$A$77:$C$83,2,FALSE),"Alerta: Seleccione primero el responsable")</f>
        <v>3550800</v>
      </c>
      <c r="AJ225" s="640" t="str">
        <f>IFERROR(VLOOKUP(AH225,Listas!$A$77:$C$83,3,FALSE),"Alerta: Seleccione primero el responsable")</f>
        <v>juan.acosta@idpc.gov.co</v>
      </c>
      <c r="AK225" s="640" t="str">
        <f>IF(J225="Funcionamiento Gastos Generales","No aplica",IF(J225="Funcionamiento Servicios Personales indirectos","No aplica",IFERROR(VLOOKUP(J225,Listas!$A$127:$E$139,3,FALSE),"Alerta: Seleccione la celda en la comumna B con el nombre del proyecto")))</f>
        <v>ME20181110</v>
      </c>
      <c r="AL225" s="640" t="str">
        <f>IF(J225="Funcionamiento Gastos Generales","No aplica",IF(J225="Funcionamiento Servicios Personales","No aplica",IFERROR(VLOOKUP(J225,Listas!$A$220:$D$224,2,FALSE),"Alerta: Seleccione la celda en la comumna B con el nombre del proyecto")))</f>
        <v>COMP1110</v>
      </c>
      <c r="AM225" s="640" t="str">
        <f>IF(J225="Funcionamiento Gastos Generales","No aplica",IF(J225="Funcionamiento Servicios Personales","No aplica",IFERROR(VLOOKUP(J225,Listas!$A$220:$D$224,3,FALSE),"Alerta: Seleccione la celda en la comumna B con el nombre del proyecto")))</f>
        <v>CONC1110</v>
      </c>
      <c r="AN225" s="633" t="s">
        <v>789</v>
      </c>
      <c r="AO225" s="633" t="s">
        <v>124</v>
      </c>
      <c r="AP225" s="634" t="str">
        <f>IFERROR(VLOOKUP(J225,Listas!$A$182:$E$215,5,FALSE),"Alerta: Seleccione la celda en la comumna B con el nombre del proyecto")</f>
        <v>10. Procesos articulados dentro del sistema integrado de gestión.</v>
      </c>
      <c r="AQ225" s="634" t="str">
        <f>IF(J225="Funcionamiento Gastos Generales","No aplica",IF(J225="Funcionamiento Servicios Personales","No aplica",IFERROR(VLOOKUP(J225,Listas!$A$220:$D$224,4,FALSE),"Alerta: Seleccione la celda en la comumna B con el nombre del proyecto")))</f>
        <v>FONT1110</v>
      </c>
      <c r="AR225" s="633" t="s">
        <v>198</v>
      </c>
      <c r="AS225" s="634" t="str">
        <f>IFERROR(VLOOKUP(AU225,Listas!$E$85:$L$105,7,FALSE),"Alerta: Seleccione la celda en la comumna AI con el concepto de gasto")</f>
        <v>05-ADMINISTRACION INSTITUCIONAL</v>
      </c>
      <c r="AT225" s="634" t="str">
        <f>IFERROR(VLOOKUP(AU225,Listas!$E$85:$L$105,8,FALSE),"Alerta: Seleccione la celda en la comumna AI con el concepto de gasto")</f>
        <v>02-ADMINISTRACIÓN, CONTROL Y ORGANIZACIÓN INSTITUCIONAL PARA APOYO A LA GESTIÓN DEL DISTRITO</v>
      </c>
      <c r="AU225" s="633" t="s">
        <v>243</v>
      </c>
      <c r="AV225" s="634">
        <f>IFERROR(VLOOKUP(AU225,Listas!$E$85:$F$105,2,FALSE),"Alerta: Seleccione el Concepto de Gasto primero")</f>
        <v>0</v>
      </c>
      <c r="AW225" s="644">
        <v>40700000</v>
      </c>
      <c r="AX225" s="645"/>
      <c r="AY225" s="645"/>
      <c r="AZ225" s="645"/>
      <c r="BA225" s="646">
        <f t="shared" ref="BA225:BA288" si="85">+AW225+AX225+AY225-AZ225</f>
        <v>40700000</v>
      </c>
      <c r="BB225" s="647"/>
      <c r="BC225" s="648"/>
      <c r="BD225" s="649"/>
      <c r="BE225" s="647"/>
      <c r="BF225" s="644"/>
      <c r="BG225" s="646">
        <f t="shared" ref="BG225:BG288" si="86">+BA225-BF225</f>
        <v>40700000</v>
      </c>
      <c r="BH225" s="650"/>
      <c r="BI225" s="647"/>
      <c r="BJ225" s="644"/>
      <c r="BK225" s="646">
        <f t="shared" ref="BK225:BK288" si="87">BF225-BJ225</f>
        <v>0</v>
      </c>
      <c r="BL225" s="651"/>
      <c r="BM225" s="652">
        <f t="shared" ref="BM225:BM288" si="88">MONTH(BL225)</f>
        <v>1</v>
      </c>
      <c r="BN225" s="628"/>
      <c r="BO225" s="670"/>
      <c r="BP225" s="644"/>
      <c r="BQ225" s="644"/>
      <c r="BR225" s="644"/>
      <c r="BS225" s="644"/>
      <c r="BT225" s="644"/>
      <c r="BU225" s="644"/>
      <c r="BV225" s="644"/>
      <c r="BW225" s="644"/>
      <c r="BX225" s="644"/>
      <c r="BY225" s="644"/>
      <c r="BZ225" s="644"/>
      <c r="CA225" s="644"/>
      <c r="CB225" s="646">
        <f t="shared" ref="CB225:CB288" si="89">+SUM(BP225:CA225)</f>
        <v>0</v>
      </c>
      <c r="CC225" s="646">
        <f t="shared" ref="CC225:CC288" si="90">BJ225-CB225</f>
        <v>0</v>
      </c>
      <c r="CD225" s="614"/>
    </row>
    <row r="226" spans="1:82" s="561" customFormat="1" ht="61.5" customHeight="1">
      <c r="A226" s="625" t="str">
        <f t="shared" si="72"/>
        <v>1110-185-FONT1110-05-02-0020-Personal de apoyo transversal a la gestión institucional</v>
      </c>
      <c r="B226" s="626" t="str">
        <f t="shared" si="73"/>
        <v>1110-185-FONT1110-05-02-0020</v>
      </c>
      <c r="C226" s="626" t="str">
        <f t="shared" si="74"/>
        <v>1110-185-FONT1110-Personal de apoyo transversal a la gestión institucional</v>
      </c>
      <c r="D226" s="626" t="str">
        <f t="shared" si="75"/>
        <v>1110-185-12-Otros Distrito-05-02-0020</v>
      </c>
      <c r="E226" s="626" t="str">
        <f t="shared" si="76"/>
        <v>Personal de apoyo transversal a la gestión institucional-12-Otros Distrito-0020-Personal contratado para las actividades propias de los procesos de mejoramiento de gestión de la entidad</v>
      </c>
      <c r="F226" s="627">
        <v>181</v>
      </c>
      <c r="G226" s="628">
        <f t="shared" si="77"/>
        <v>181</v>
      </c>
      <c r="H226" s="629" t="b">
        <f t="shared" si="78"/>
        <v>0</v>
      </c>
      <c r="I226" s="630" t="s">
        <v>594</v>
      </c>
      <c r="J226" s="627" t="s">
        <v>178</v>
      </c>
      <c r="K226" s="631" t="str">
        <f>+IFERROR(VLOOKUP(J226,Listas!$A$108:$B$114,2,FALSE),"Alerta: Seleccione la celda en la comumna B con el nombre del proyecto")</f>
        <v>3-3-1-15-07-42-1110-185</v>
      </c>
      <c r="L226" s="632">
        <v>80111600</v>
      </c>
      <c r="M226" s="633" t="s">
        <v>781</v>
      </c>
      <c r="N226" s="634" t="str">
        <f t="shared" si="79"/>
        <v>(Cód. 181) Prestar servicios profesionales al Instituto Distrital de Patrimonio Cultural para apoyar las actividades relacionadas con el procesamiento de datos que permita la obtención de información confiable y oportuna de carácter financiero, contable y tributario de la entidad.</v>
      </c>
      <c r="O226" s="635">
        <v>43480</v>
      </c>
      <c r="P226" s="636">
        <f>IFERROR(VLOOKUP(W226,'Estimación CRP'!$D$21:$E$30,2,FALSE),0)</f>
        <v>10</v>
      </c>
      <c r="Q226" s="637">
        <f>IF(O226="No aplica","No aplica",WORKDAY.INTL(O226,P226,1,'Estimación CRP'!A412:A428))</f>
        <v>43494</v>
      </c>
      <c r="R226" s="636">
        <f t="shared" si="80"/>
        <v>1</v>
      </c>
      <c r="S226" s="636">
        <f t="shared" si="81"/>
        <v>1</v>
      </c>
      <c r="T226" s="636">
        <f t="shared" si="82"/>
        <v>1</v>
      </c>
      <c r="U226" s="712">
        <v>11</v>
      </c>
      <c r="V226" s="638">
        <v>1</v>
      </c>
      <c r="W226" s="639" t="s">
        <v>274</v>
      </c>
      <c r="X226" s="640" t="str">
        <f>IFERROR(VLOOKUP(W226,Listas!$A$60:$B$73,2,FALSE),"Alerta: Seleccione primero Modalidad de selección")</f>
        <v>CCE-16</v>
      </c>
      <c r="Y226" s="641">
        <v>0</v>
      </c>
      <c r="Z226" s="641" t="s">
        <v>346</v>
      </c>
      <c r="AA226" s="641" t="s">
        <v>1253</v>
      </c>
      <c r="AB226" s="642">
        <f t="shared" si="83"/>
        <v>40700000</v>
      </c>
      <c r="AC226" s="642">
        <f t="shared" si="84"/>
        <v>40700000</v>
      </c>
      <c r="AD226" s="641">
        <v>0</v>
      </c>
      <c r="AE226" s="643">
        <v>0</v>
      </c>
      <c r="AF226" s="639" t="s">
        <v>276</v>
      </c>
      <c r="AG226" s="639" t="s">
        <v>277</v>
      </c>
      <c r="AH226" s="639" t="s">
        <v>283</v>
      </c>
      <c r="AI226" s="626" t="str">
        <f>IFERROR(VLOOKUP(AH226,Listas!$A$77:$C$83,2,FALSE),"Alerta: Seleccione primero el responsable")</f>
        <v>3550800</v>
      </c>
      <c r="AJ226" s="640" t="str">
        <f>IFERROR(VLOOKUP(AH226,Listas!$A$77:$C$83,3,FALSE),"Alerta: Seleccione primero el responsable")</f>
        <v>juan.acosta@idpc.gov.co</v>
      </c>
      <c r="AK226" s="640" t="str">
        <f>IF(J226="Funcionamiento Gastos Generales","No aplica",IF(J226="Funcionamiento Servicios Personales indirectos","No aplica",IFERROR(VLOOKUP(J226,Listas!$A$127:$E$139,3,FALSE),"Alerta: Seleccione la celda en la comumna B con el nombre del proyecto")))</f>
        <v>ME20181110</v>
      </c>
      <c r="AL226" s="640" t="str">
        <f>IF(J226="Funcionamiento Gastos Generales","No aplica",IF(J226="Funcionamiento Servicios Personales","No aplica",IFERROR(VLOOKUP(J226,Listas!$A$220:$D$224,2,FALSE),"Alerta: Seleccione la celda en la comumna B con el nombre del proyecto")))</f>
        <v>COMP1110</v>
      </c>
      <c r="AM226" s="640" t="str">
        <f>IF(J226="Funcionamiento Gastos Generales","No aplica",IF(J226="Funcionamiento Servicios Personales","No aplica",IFERROR(VLOOKUP(J226,Listas!$A$220:$D$224,3,FALSE),"Alerta: Seleccione la celda en la comumna B con el nombre del proyecto")))</f>
        <v>CONC1110</v>
      </c>
      <c r="AN226" s="633" t="s">
        <v>789</v>
      </c>
      <c r="AO226" s="633" t="s">
        <v>124</v>
      </c>
      <c r="AP226" s="634" t="str">
        <f>IFERROR(VLOOKUP(J226,Listas!$A$182:$E$215,5,FALSE),"Alerta: Seleccione la celda en la comumna B con el nombre del proyecto")</f>
        <v>10. Procesos articulados dentro del sistema integrado de gestión.</v>
      </c>
      <c r="AQ226" s="634" t="str">
        <f>IF(J226="Funcionamiento Gastos Generales","No aplica",IF(J226="Funcionamiento Servicios Personales","No aplica",IFERROR(VLOOKUP(J226,Listas!$A$220:$D$224,4,FALSE),"Alerta: Seleccione la celda en la comumna B con el nombre del proyecto")))</f>
        <v>FONT1110</v>
      </c>
      <c r="AR226" s="633" t="s">
        <v>198</v>
      </c>
      <c r="AS226" s="634" t="str">
        <f>IFERROR(VLOOKUP(AU226,Listas!$E$85:$L$105,7,FALSE),"Alerta: Seleccione la celda en la comumna AI con el concepto de gasto")</f>
        <v>05-ADMINISTRACION INSTITUCIONAL</v>
      </c>
      <c r="AT226" s="634" t="str">
        <f>IFERROR(VLOOKUP(AU226,Listas!$E$85:$L$105,8,FALSE),"Alerta: Seleccione la celda en la comumna AI con el concepto de gasto")</f>
        <v>02-ADMINISTRACIÓN, CONTROL Y ORGANIZACIÓN INSTITUCIONAL PARA APOYO A LA GESTIÓN DEL DISTRITO</v>
      </c>
      <c r="AU226" s="633" t="s">
        <v>243</v>
      </c>
      <c r="AV226" s="634">
        <f>IFERROR(VLOOKUP(AU226,Listas!$E$85:$F$105,2,FALSE),"Alerta: Seleccione el Concepto de Gasto primero")</f>
        <v>0</v>
      </c>
      <c r="AW226" s="644">
        <v>40700000</v>
      </c>
      <c r="AX226" s="645"/>
      <c r="AY226" s="645"/>
      <c r="AZ226" s="645"/>
      <c r="BA226" s="646">
        <f t="shared" si="85"/>
        <v>40700000</v>
      </c>
      <c r="BB226" s="647"/>
      <c r="BC226" s="648"/>
      <c r="BD226" s="649"/>
      <c r="BE226" s="647"/>
      <c r="BF226" s="644"/>
      <c r="BG226" s="646">
        <f t="shared" si="86"/>
        <v>40700000</v>
      </c>
      <c r="BH226" s="650"/>
      <c r="BI226" s="647"/>
      <c r="BJ226" s="644"/>
      <c r="BK226" s="646">
        <f t="shared" si="87"/>
        <v>0</v>
      </c>
      <c r="BL226" s="651"/>
      <c r="BM226" s="652">
        <f t="shared" si="88"/>
        <v>1</v>
      </c>
      <c r="BN226" s="628"/>
      <c r="BO226" s="670"/>
      <c r="BP226" s="644"/>
      <c r="BQ226" s="644"/>
      <c r="BR226" s="644"/>
      <c r="BS226" s="644"/>
      <c r="BT226" s="644"/>
      <c r="BU226" s="644"/>
      <c r="BV226" s="644"/>
      <c r="BW226" s="644"/>
      <c r="BX226" s="644"/>
      <c r="BY226" s="644"/>
      <c r="BZ226" s="644"/>
      <c r="CA226" s="644"/>
      <c r="CB226" s="646">
        <f t="shared" si="89"/>
        <v>0</v>
      </c>
      <c r="CC226" s="646">
        <f t="shared" si="90"/>
        <v>0</v>
      </c>
      <c r="CD226" s="614"/>
    </row>
    <row r="227" spans="1:82" s="561" customFormat="1" ht="61.5" customHeight="1">
      <c r="A227" s="625" t="str">
        <f t="shared" si="72"/>
        <v>1110-185-FONT1110-05-02-0020-Personal de apoyo transversal a la gestión institucional</v>
      </c>
      <c r="B227" s="626" t="str">
        <f t="shared" si="73"/>
        <v>1110-185-FONT1110-05-02-0020</v>
      </c>
      <c r="C227" s="626" t="str">
        <f t="shared" si="74"/>
        <v>1110-185-FONT1110-Personal de apoyo transversal a la gestión institucional</v>
      </c>
      <c r="D227" s="626" t="str">
        <f t="shared" si="75"/>
        <v>1110-185-12-Otros Distrito-05-02-0020</v>
      </c>
      <c r="E227" s="626" t="str">
        <f t="shared" si="76"/>
        <v>Personal de apoyo transversal a la gestión institucional-12-Otros Distrito-0020-Personal contratado para las actividades propias de los procesos de mejoramiento de gestión de la entidad</v>
      </c>
      <c r="F227" s="627">
        <v>182</v>
      </c>
      <c r="G227" s="628">
        <f t="shared" si="77"/>
        <v>182</v>
      </c>
      <c r="H227" s="629" t="b">
        <f t="shared" si="78"/>
        <v>0</v>
      </c>
      <c r="I227" s="630" t="s">
        <v>594</v>
      </c>
      <c r="J227" s="627" t="s">
        <v>178</v>
      </c>
      <c r="K227" s="631" t="str">
        <f>+IFERROR(VLOOKUP(J227,Listas!$A$108:$B$114,2,FALSE),"Alerta: Seleccione la celda en la comumna B con el nombre del proyecto")</f>
        <v>3-3-1-15-07-42-1110-185</v>
      </c>
      <c r="L227" s="632">
        <v>80111600</v>
      </c>
      <c r="M227" s="633" t="s">
        <v>782</v>
      </c>
      <c r="N227" s="634" t="str">
        <f t="shared" si="79"/>
        <v xml:space="preserve">(Cód. 182) Prestar servicios profesionales al Instituto Distrital de Patrimonio Cultural para apoyar los procesos   administrativos de la Subdirección General o quien haga sus veces. </v>
      </c>
      <c r="O227" s="635">
        <v>43480</v>
      </c>
      <c r="P227" s="636">
        <f>IFERROR(VLOOKUP(W227,'Estimación CRP'!$D$21:$E$30,2,FALSE),0)</f>
        <v>10</v>
      </c>
      <c r="Q227" s="637">
        <f>IF(O227="No aplica","No aplica",WORKDAY.INTL(O227,P227,1,'Estimación CRP'!A413:A429))</f>
        <v>43494</v>
      </c>
      <c r="R227" s="636">
        <f t="shared" si="80"/>
        <v>1</v>
      </c>
      <c r="S227" s="636">
        <f t="shared" si="81"/>
        <v>1</v>
      </c>
      <c r="T227" s="636">
        <f t="shared" si="82"/>
        <v>1</v>
      </c>
      <c r="U227" s="712">
        <v>11</v>
      </c>
      <c r="V227" s="638">
        <v>1</v>
      </c>
      <c r="W227" s="639" t="s">
        <v>274</v>
      </c>
      <c r="X227" s="640" t="str">
        <f>IFERROR(VLOOKUP(W227,Listas!$A$60:$B$73,2,FALSE),"Alerta: Seleccione primero Modalidad de selección")</f>
        <v>CCE-16</v>
      </c>
      <c r="Y227" s="641">
        <v>0</v>
      </c>
      <c r="Z227" s="641" t="s">
        <v>346</v>
      </c>
      <c r="AA227" s="641" t="s">
        <v>1254</v>
      </c>
      <c r="AB227" s="642">
        <f t="shared" si="83"/>
        <v>47520000</v>
      </c>
      <c r="AC227" s="642">
        <f t="shared" si="84"/>
        <v>47520000</v>
      </c>
      <c r="AD227" s="641">
        <v>0</v>
      </c>
      <c r="AE227" s="643">
        <v>0</v>
      </c>
      <c r="AF227" s="639" t="s">
        <v>276</v>
      </c>
      <c r="AG227" s="639" t="s">
        <v>277</v>
      </c>
      <c r="AH227" s="639" t="s">
        <v>285</v>
      </c>
      <c r="AI227" s="626" t="str">
        <f>IFERROR(VLOOKUP(AH227,Listas!$A$77:$C$83,2,FALSE),"Alerta: Seleccione primero el responsable")</f>
        <v>3550800</v>
      </c>
      <c r="AJ227" s="640" t="str">
        <f>IFERROR(VLOOKUP(AH227,Listas!$A$77:$C$83,3,FALSE),"Alerta: Seleccione primero el responsable")</f>
        <v>maria.villamil@idpc.gov.co</v>
      </c>
      <c r="AK227" s="640" t="str">
        <f>IF(J227="Funcionamiento Gastos Generales","No aplica",IF(J227="Funcionamiento Servicios Personales indirectos","No aplica",IFERROR(VLOOKUP(J227,Listas!$A$127:$E$139,3,FALSE),"Alerta: Seleccione la celda en la comumna B con el nombre del proyecto")))</f>
        <v>ME20181110</v>
      </c>
      <c r="AL227" s="640" t="str">
        <f>IF(J227="Funcionamiento Gastos Generales","No aplica",IF(J227="Funcionamiento Servicios Personales","No aplica",IFERROR(VLOOKUP(J227,Listas!$A$220:$D$224,2,FALSE),"Alerta: Seleccione la celda en la comumna B con el nombre del proyecto")))</f>
        <v>COMP1110</v>
      </c>
      <c r="AM227" s="640" t="str">
        <f>IF(J227="Funcionamiento Gastos Generales","No aplica",IF(J227="Funcionamiento Servicios Personales","No aplica",IFERROR(VLOOKUP(J227,Listas!$A$220:$D$224,3,FALSE),"Alerta: Seleccione la celda en la comumna B con el nombre del proyecto")))</f>
        <v>CONC1110</v>
      </c>
      <c r="AN227" s="633" t="s">
        <v>789</v>
      </c>
      <c r="AO227" s="633" t="s">
        <v>124</v>
      </c>
      <c r="AP227" s="634" t="str">
        <f>IFERROR(VLOOKUP(J227,Listas!$A$182:$E$215,5,FALSE),"Alerta: Seleccione la celda en la comumna B con el nombre del proyecto")</f>
        <v>10. Procesos articulados dentro del sistema integrado de gestión.</v>
      </c>
      <c r="AQ227" s="634" t="str">
        <f>IF(J227="Funcionamiento Gastos Generales","No aplica",IF(J227="Funcionamiento Servicios Personales","No aplica",IFERROR(VLOOKUP(J227,Listas!$A$220:$D$224,4,FALSE),"Alerta: Seleccione la celda en la comumna B con el nombre del proyecto")))</f>
        <v>FONT1110</v>
      </c>
      <c r="AR227" s="633" t="s">
        <v>198</v>
      </c>
      <c r="AS227" s="634" t="str">
        <f>IFERROR(VLOOKUP(AU227,Listas!$E$85:$L$105,7,FALSE),"Alerta: Seleccione la celda en la comumna AI con el concepto de gasto")</f>
        <v>05-ADMINISTRACION INSTITUCIONAL</v>
      </c>
      <c r="AT227" s="634" t="str">
        <f>IFERROR(VLOOKUP(AU227,Listas!$E$85:$L$105,8,FALSE),"Alerta: Seleccione la celda en la comumna AI con el concepto de gasto")</f>
        <v>02-ADMINISTRACIÓN, CONTROL Y ORGANIZACIÓN INSTITUCIONAL PARA APOYO A LA GESTIÓN DEL DISTRITO</v>
      </c>
      <c r="AU227" s="633" t="s">
        <v>243</v>
      </c>
      <c r="AV227" s="634">
        <f>IFERROR(VLOOKUP(AU227,Listas!$E$85:$F$105,2,FALSE),"Alerta: Seleccione el Concepto de Gasto primero")</f>
        <v>0</v>
      </c>
      <c r="AW227" s="644">
        <v>47520000</v>
      </c>
      <c r="AX227" s="645"/>
      <c r="AY227" s="645"/>
      <c r="AZ227" s="645"/>
      <c r="BA227" s="646">
        <f t="shared" si="85"/>
        <v>47520000</v>
      </c>
      <c r="BB227" s="647"/>
      <c r="BC227" s="648"/>
      <c r="BD227" s="649"/>
      <c r="BE227" s="647"/>
      <c r="BF227" s="644"/>
      <c r="BG227" s="646">
        <f t="shared" si="86"/>
        <v>47520000</v>
      </c>
      <c r="BH227" s="650"/>
      <c r="BI227" s="647"/>
      <c r="BJ227" s="644"/>
      <c r="BK227" s="646">
        <f t="shared" si="87"/>
        <v>0</v>
      </c>
      <c r="BL227" s="651"/>
      <c r="BM227" s="652">
        <f t="shared" si="88"/>
        <v>1</v>
      </c>
      <c r="BN227" s="628"/>
      <c r="BO227" s="670"/>
      <c r="BP227" s="644"/>
      <c r="BQ227" s="644"/>
      <c r="BR227" s="644"/>
      <c r="BS227" s="644"/>
      <c r="BT227" s="644"/>
      <c r="BU227" s="644"/>
      <c r="BV227" s="644"/>
      <c r="BW227" s="644"/>
      <c r="BX227" s="644"/>
      <c r="BY227" s="644"/>
      <c r="BZ227" s="644"/>
      <c r="CA227" s="644"/>
      <c r="CB227" s="646">
        <f t="shared" si="89"/>
        <v>0</v>
      </c>
      <c r="CC227" s="646">
        <f t="shared" si="90"/>
        <v>0</v>
      </c>
      <c r="CD227" s="614"/>
    </row>
    <row r="228" spans="1:82" s="561" customFormat="1" ht="61.5" customHeight="1">
      <c r="A228" s="625" t="str">
        <f t="shared" si="72"/>
        <v>1110-185-FONT1110-05-02-0020-Fortalecimiento de los subsistemas del sistema integrado de gestión</v>
      </c>
      <c r="B228" s="626" t="str">
        <f t="shared" si="73"/>
        <v>1110-185-FONT1110-05-02-0020</v>
      </c>
      <c r="C228" s="626" t="str">
        <f t="shared" si="74"/>
        <v>1110-185-FONT1110-Fortalecimiento de los subsistemas del sistema integrado de gestión</v>
      </c>
      <c r="D228" s="626" t="str">
        <f t="shared" si="75"/>
        <v>1110-185-12-Otros Distrito-05-02-0020</v>
      </c>
      <c r="E228" s="626" t="str">
        <f t="shared" si="76"/>
        <v>Fortalecimiento de los subsistemas del sistema integrado de gestión-12-Otros Distrito-0020-Personal contratado para las actividades propias de los procesos de mejoramiento de gestión de la entidad</v>
      </c>
      <c r="F228" s="627">
        <v>183</v>
      </c>
      <c r="G228" s="628">
        <f t="shared" si="77"/>
        <v>183</v>
      </c>
      <c r="H228" s="629" t="b">
        <f t="shared" si="78"/>
        <v>0</v>
      </c>
      <c r="I228" s="630" t="s">
        <v>594</v>
      </c>
      <c r="J228" s="627" t="s">
        <v>178</v>
      </c>
      <c r="K228" s="631" t="str">
        <f>+IFERROR(VLOOKUP(J228,Listas!$A$108:$B$114,2,FALSE),"Alerta: Seleccione la celda en la comumna B con el nombre del proyecto")</f>
        <v>3-3-1-15-07-42-1110-185</v>
      </c>
      <c r="L228" s="632">
        <v>80111600</v>
      </c>
      <c r="M228" s="633" t="s">
        <v>783</v>
      </c>
      <c r="N228" s="634" t="str">
        <f t="shared" si="79"/>
        <v xml:space="preserve">(Cód. 183) Prestar servicios de apoyo a la gestión al Instituto Distrital de Patrimonio Cultural para la organización de los archivos de la Entidad. </v>
      </c>
      <c r="O228" s="635">
        <v>43480</v>
      </c>
      <c r="P228" s="636">
        <f>IFERROR(VLOOKUP(W228,'Estimación CRP'!$D$21:$E$30,2,FALSE),0)</f>
        <v>10</v>
      </c>
      <c r="Q228" s="637">
        <f>IF(O228="No aplica","No aplica",WORKDAY.INTL(O228,P228,1,'Estimación CRP'!A414:A430))</f>
        <v>43494</v>
      </c>
      <c r="R228" s="636">
        <f t="shared" si="80"/>
        <v>1</v>
      </c>
      <c r="S228" s="636">
        <f t="shared" si="81"/>
        <v>1</v>
      </c>
      <c r="T228" s="636">
        <f t="shared" si="82"/>
        <v>1</v>
      </c>
      <c r="U228" s="712">
        <v>11</v>
      </c>
      <c r="V228" s="638">
        <v>1</v>
      </c>
      <c r="W228" s="639" t="s">
        <v>274</v>
      </c>
      <c r="X228" s="640" t="str">
        <f>IFERROR(VLOOKUP(W228,Listas!$A$60:$B$73,2,FALSE),"Alerta: Seleccione primero Modalidad de selección")</f>
        <v>CCE-16</v>
      </c>
      <c r="Y228" s="641">
        <v>0</v>
      </c>
      <c r="Z228" s="641" t="s">
        <v>346</v>
      </c>
      <c r="AA228" s="641" t="s">
        <v>1255</v>
      </c>
      <c r="AB228" s="642">
        <f t="shared" si="83"/>
        <v>25520000</v>
      </c>
      <c r="AC228" s="642">
        <f t="shared" si="84"/>
        <v>25520000</v>
      </c>
      <c r="AD228" s="641">
        <v>0</v>
      </c>
      <c r="AE228" s="643">
        <v>0</v>
      </c>
      <c r="AF228" s="639" t="s">
        <v>276</v>
      </c>
      <c r="AG228" s="639" t="s">
        <v>277</v>
      </c>
      <c r="AH228" s="639" t="s">
        <v>285</v>
      </c>
      <c r="AI228" s="626" t="str">
        <f>IFERROR(VLOOKUP(AH228,Listas!$A$77:$C$83,2,FALSE),"Alerta: Seleccione primero el responsable")</f>
        <v>3550800</v>
      </c>
      <c r="AJ228" s="640" t="str">
        <f>IFERROR(VLOOKUP(AH228,Listas!$A$77:$C$83,3,FALSE),"Alerta: Seleccione primero el responsable")</f>
        <v>maria.villamil@idpc.gov.co</v>
      </c>
      <c r="AK228" s="640" t="str">
        <f>IF(J228="Funcionamiento Gastos Generales","No aplica",IF(J228="Funcionamiento Servicios Personales indirectos","No aplica",IFERROR(VLOOKUP(J228,Listas!$A$127:$E$139,3,FALSE),"Alerta: Seleccione la celda en la comumna B con el nombre del proyecto")))</f>
        <v>ME20181110</v>
      </c>
      <c r="AL228" s="640" t="str">
        <f>IF(J228="Funcionamiento Gastos Generales","No aplica",IF(J228="Funcionamiento Servicios Personales","No aplica",IFERROR(VLOOKUP(J228,Listas!$A$220:$D$224,2,FALSE),"Alerta: Seleccione la celda en la comumna B con el nombre del proyecto")))</f>
        <v>COMP1110</v>
      </c>
      <c r="AM228" s="640" t="str">
        <f>IF(J228="Funcionamiento Gastos Generales","No aplica",IF(J228="Funcionamiento Servicios Personales","No aplica",IFERROR(VLOOKUP(J228,Listas!$A$220:$D$224,3,FALSE),"Alerta: Seleccione la celda en la comumna B con el nombre del proyecto")))</f>
        <v>CONC1110</v>
      </c>
      <c r="AN228" s="633" t="s">
        <v>789</v>
      </c>
      <c r="AO228" s="633" t="s">
        <v>123</v>
      </c>
      <c r="AP228" s="634" t="str">
        <f>IFERROR(VLOOKUP(J228,Listas!$A$182:$E$215,5,FALSE),"Alerta: Seleccione la celda en la comumna B con el nombre del proyecto")</f>
        <v>10. Procesos articulados dentro del sistema integrado de gestión.</v>
      </c>
      <c r="AQ228" s="634" t="str">
        <f>IF(J228="Funcionamiento Gastos Generales","No aplica",IF(J228="Funcionamiento Servicios Personales","No aplica",IFERROR(VLOOKUP(J228,Listas!$A$220:$D$224,4,FALSE),"Alerta: Seleccione la celda en la comumna B con el nombre del proyecto")))</f>
        <v>FONT1110</v>
      </c>
      <c r="AR228" s="633" t="s">
        <v>198</v>
      </c>
      <c r="AS228" s="634" t="str">
        <f>IFERROR(VLOOKUP(AU228,Listas!$E$85:$L$105,7,FALSE),"Alerta: Seleccione la celda en la comumna AI con el concepto de gasto")</f>
        <v>05-ADMINISTRACION INSTITUCIONAL</v>
      </c>
      <c r="AT228" s="634" t="str">
        <f>IFERROR(VLOOKUP(AU228,Listas!$E$85:$L$105,8,FALSE),"Alerta: Seleccione la celda en la comumna AI con el concepto de gasto")</f>
        <v>02-ADMINISTRACIÓN, CONTROL Y ORGANIZACIÓN INSTITUCIONAL PARA APOYO A LA GESTIÓN DEL DISTRITO</v>
      </c>
      <c r="AU228" s="633" t="s">
        <v>243</v>
      </c>
      <c r="AV228" s="634">
        <f>IFERROR(VLOOKUP(AU228,Listas!$E$85:$F$105,2,FALSE),"Alerta: Seleccione el Concepto de Gasto primero")</f>
        <v>0</v>
      </c>
      <c r="AW228" s="644">
        <v>25520000</v>
      </c>
      <c r="AX228" s="645"/>
      <c r="AY228" s="645"/>
      <c r="AZ228" s="645"/>
      <c r="BA228" s="646">
        <f t="shared" si="85"/>
        <v>25520000</v>
      </c>
      <c r="BB228" s="647"/>
      <c r="BC228" s="648"/>
      <c r="BD228" s="649"/>
      <c r="BE228" s="647"/>
      <c r="BF228" s="644"/>
      <c r="BG228" s="646">
        <f t="shared" si="86"/>
        <v>25520000</v>
      </c>
      <c r="BH228" s="650"/>
      <c r="BI228" s="647"/>
      <c r="BJ228" s="644"/>
      <c r="BK228" s="646">
        <f t="shared" si="87"/>
        <v>0</v>
      </c>
      <c r="BL228" s="651"/>
      <c r="BM228" s="652">
        <f t="shared" si="88"/>
        <v>1</v>
      </c>
      <c r="BN228" s="628"/>
      <c r="BO228" s="670"/>
      <c r="BP228" s="644"/>
      <c r="BQ228" s="644"/>
      <c r="BR228" s="644"/>
      <c r="BS228" s="644"/>
      <c r="BT228" s="644"/>
      <c r="BU228" s="644"/>
      <c r="BV228" s="644"/>
      <c r="BW228" s="644"/>
      <c r="BX228" s="644"/>
      <c r="BY228" s="644"/>
      <c r="BZ228" s="644"/>
      <c r="CA228" s="644"/>
      <c r="CB228" s="646">
        <f t="shared" si="89"/>
        <v>0</v>
      </c>
      <c r="CC228" s="646">
        <f t="shared" si="90"/>
        <v>0</v>
      </c>
      <c r="CD228" s="614"/>
    </row>
    <row r="229" spans="1:82" s="561" customFormat="1" ht="61.5" customHeight="1">
      <c r="A229" s="625" t="str">
        <f t="shared" si="72"/>
        <v>1110-185-FONT1110-05-02-0020-Personal de apoyo transversal a la gestión institucional</v>
      </c>
      <c r="B229" s="626" t="str">
        <f t="shared" si="73"/>
        <v>1110-185-FONT1110-05-02-0020</v>
      </c>
      <c r="C229" s="626" t="str">
        <f t="shared" si="74"/>
        <v>1110-185-FONT1110-Personal de apoyo transversal a la gestión institucional</v>
      </c>
      <c r="D229" s="626" t="str">
        <f t="shared" si="75"/>
        <v>1110-185-12-Otros Distrito-05-02-0020</v>
      </c>
      <c r="E229" s="626" t="str">
        <f t="shared" si="76"/>
        <v>Personal de apoyo transversal a la gestión institucional-12-Otros Distrito-0020-Personal contratado para las actividades propias de los procesos de mejoramiento de gestión de la entidad</v>
      </c>
      <c r="F229" s="627">
        <v>184</v>
      </c>
      <c r="G229" s="628">
        <f t="shared" si="77"/>
        <v>184</v>
      </c>
      <c r="H229" s="629" t="b">
        <f t="shared" si="78"/>
        <v>0</v>
      </c>
      <c r="I229" s="630" t="s">
        <v>594</v>
      </c>
      <c r="J229" s="627" t="s">
        <v>178</v>
      </c>
      <c r="K229" s="631" t="str">
        <f>+IFERROR(VLOOKUP(J229,Listas!$A$108:$B$114,2,FALSE),"Alerta: Seleccione la celda en la comumna B con el nombre del proyecto")</f>
        <v>3-3-1-15-07-42-1110-185</v>
      </c>
      <c r="L229" s="632">
        <v>80111600</v>
      </c>
      <c r="M229" s="633" t="s">
        <v>784</v>
      </c>
      <c r="N229" s="634" t="str">
        <f t="shared" si="79"/>
        <v xml:space="preserve">(Cód. 184) 
Prestar servicios profesionales al Instituto Distrital de Patrimonio Cultural para apoyar las actividades requeridas en el seguimiento a la ejecución presupuestal de inversión y a las metas de los proyectos de inversión del Instituto.
</v>
      </c>
      <c r="O229" s="635">
        <v>43480</v>
      </c>
      <c r="P229" s="636">
        <f>IFERROR(VLOOKUP(W229,'Estimación CRP'!$D$21:$E$30,2,FALSE),0)</f>
        <v>10</v>
      </c>
      <c r="Q229" s="637">
        <f>IF(O229="No aplica","No aplica",WORKDAY.INTL(O229,P229,1,'Estimación CRP'!A415:A431))</f>
        <v>43494</v>
      </c>
      <c r="R229" s="636">
        <f t="shared" si="80"/>
        <v>1</v>
      </c>
      <c r="S229" s="636">
        <f t="shared" si="81"/>
        <v>1</v>
      </c>
      <c r="T229" s="636">
        <f t="shared" si="82"/>
        <v>1</v>
      </c>
      <c r="U229" s="712">
        <v>11</v>
      </c>
      <c r="V229" s="638">
        <v>1</v>
      </c>
      <c r="W229" s="639" t="s">
        <v>274</v>
      </c>
      <c r="X229" s="640" t="str">
        <f>IFERROR(VLOOKUP(W229,Listas!$A$60:$B$73,2,FALSE),"Alerta: Seleccione primero Modalidad de selección")</f>
        <v>CCE-16</v>
      </c>
      <c r="Y229" s="641">
        <v>0</v>
      </c>
      <c r="Z229" s="641" t="s">
        <v>346</v>
      </c>
      <c r="AA229" s="641" t="s">
        <v>1256</v>
      </c>
      <c r="AB229" s="642">
        <f t="shared" si="83"/>
        <v>46200000</v>
      </c>
      <c r="AC229" s="642">
        <f t="shared" si="84"/>
        <v>46200000</v>
      </c>
      <c r="AD229" s="641">
        <v>0</v>
      </c>
      <c r="AE229" s="643">
        <v>0</v>
      </c>
      <c r="AF229" s="639" t="s">
        <v>276</v>
      </c>
      <c r="AG229" s="639" t="s">
        <v>277</v>
      </c>
      <c r="AH229" s="639" t="s">
        <v>285</v>
      </c>
      <c r="AI229" s="626" t="str">
        <f>IFERROR(VLOOKUP(AH229,Listas!$A$77:$C$83,2,FALSE),"Alerta: Seleccione primero el responsable")</f>
        <v>3550800</v>
      </c>
      <c r="AJ229" s="640" t="str">
        <f>IFERROR(VLOOKUP(AH229,Listas!$A$77:$C$83,3,FALSE),"Alerta: Seleccione primero el responsable")</f>
        <v>maria.villamil@idpc.gov.co</v>
      </c>
      <c r="AK229" s="640" t="str">
        <f>IF(J229="Funcionamiento Gastos Generales","No aplica",IF(J229="Funcionamiento Servicios Personales indirectos","No aplica",IFERROR(VLOOKUP(J229,Listas!$A$127:$E$139,3,FALSE),"Alerta: Seleccione la celda en la comumna B con el nombre del proyecto")))</f>
        <v>ME20181110</v>
      </c>
      <c r="AL229" s="640" t="str">
        <f>IF(J229="Funcionamiento Gastos Generales","No aplica",IF(J229="Funcionamiento Servicios Personales","No aplica",IFERROR(VLOOKUP(J229,Listas!$A$220:$D$224,2,FALSE),"Alerta: Seleccione la celda en la comumna B con el nombre del proyecto")))</f>
        <v>COMP1110</v>
      </c>
      <c r="AM229" s="640" t="str">
        <f>IF(J229="Funcionamiento Gastos Generales","No aplica",IF(J229="Funcionamiento Servicios Personales","No aplica",IFERROR(VLOOKUP(J229,Listas!$A$220:$D$224,3,FALSE),"Alerta: Seleccione la celda en la comumna B con el nombre del proyecto")))</f>
        <v>CONC1110</v>
      </c>
      <c r="AN229" s="633" t="s">
        <v>789</v>
      </c>
      <c r="AO229" s="633" t="s">
        <v>124</v>
      </c>
      <c r="AP229" s="634" t="str">
        <f>IFERROR(VLOOKUP(J229,Listas!$A$182:$E$215,5,FALSE),"Alerta: Seleccione la celda en la comumna B con el nombre del proyecto")</f>
        <v>10. Procesos articulados dentro del sistema integrado de gestión.</v>
      </c>
      <c r="AQ229" s="634" t="str">
        <f>IF(J229="Funcionamiento Gastos Generales","No aplica",IF(J229="Funcionamiento Servicios Personales","No aplica",IFERROR(VLOOKUP(J229,Listas!$A$220:$D$224,4,FALSE),"Alerta: Seleccione la celda en la comumna B con el nombre del proyecto")))</f>
        <v>FONT1110</v>
      </c>
      <c r="AR229" s="633" t="s">
        <v>198</v>
      </c>
      <c r="AS229" s="634" t="str">
        <f>IFERROR(VLOOKUP(AU229,Listas!$E$85:$L$105,7,FALSE),"Alerta: Seleccione la celda en la comumna AI con el concepto de gasto")</f>
        <v>05-ADMINISTRACION INSTITUCIONAL</v>
      </c>
      <c r="AT229" s="634" t="str">
        <f>IFERROR(VLOOKUP(AU229,Listas!$E$85:$L$105,8,FALSE),"Alerta: Seleccione la celda en la comumna AI con el concepto de gasto")</f>
        <v>02-ADMINISTRACIÓN, CONTROL Y ORGANIZACIÓN INSTITUCIONAL PARA APOYO A LA GESTIÓN DEL DISTRITO</v>
      </c>
      <c r="AU229" s="633" t="s">
        <v>243</v>
      </c>
      <c r="AV229" s="634">
        <f>IFERROR(VLOOKUP(AU229,Listas!$E$85:$F$105,2,FALSE),"Alerta: Seleccione el Concepto de Gasto primero")</f>
        <v>0</v>
      </c>
      <c r="AW229" s="644">
        <v>46200000</v>
      </c>
      <c r="AX229" s="645"/>
      <c r="AY229" s="645"/>
      <c r="AZ229" s="645"/>
      <c r="BA229" s="646">
        <f t="shared" si="85"/>
        <v>46200000</v>
      </c>
      <c r="BB229" s="647"/>
      <c r="BC229" s="648"/>
      <c r="BD229" s="649"/>
      <c r="BE229" s="647"/>
      <c r="BF229" s="644"/>
      <c r="BG229" s="646">
        <f t="shared" si="86"/>
        <v>46200000</v>
      </c>
      <c r="BH229" s="650"/>
      <c r="BI229" s="647"/>
      <c r="BJ229" s="644"/>
      <c r="BK229" s="646">
        <f t="shared" si="87"/>
        <v>0</v>
      </c>
      <c r="BL229" s="651"/>
      <c r="BM229" s="652">
        <f t="shared" si="88"/>
        <v>1</v>
      </c>
      <c r="BN229" s="628"/>
      <c r="BO229" s="670"/>
      <c r="BP229" s="644"/>
      <c r="BQ229" s="644"/>
      <c r="BR229" s="644"/>
      <c r="BS229" s="644"/>
      <c r="BT229" s="644"/>
      <c r="BU229" s="644"/>
      <c r="BV229" s="644"/>
      <c r="BW229" s="644"/>
      <c r="BX229" s="644"/>
      <c r="BY229" s="644"/>
      <c r="BZ229" s="644"/>
      <c r="CA229" s="644"/>
      <c r="CB229" s="646">
        <f t="shared" si="89"/>
        <v>0</v>
      </c>
      <c r="CC229" s="646">
        <f t="shared" si="90"/>
        <v>0</v>
      </c>
      <c r="CD229" s="614"/>
    </row>
    <row r="230" spans="1:82" s="561" customFormat="1" ht="61.5" customHeight="1">
      <c r="A230" s="625" t="str">
        <f t="shared" si="72"/>
        <v>1110-185-FONT1110-05-02-0020-Fortalecimiento de los subsistemas del sistema integrado de gestión</v>
      </c>
      <c r="B230" s="626" t="str">
        <f t="shared" si="73"/>
        <v>1110-185-FONT1110-05-02-0020</v>
      </c>
      <c r="C230" s="626" t="str">
        <f t="shared" si="74"/>
        <v>1110-185-FONT1110-Fortalecimiento de los subsistemas del sistema integrado de gestión</v>
      </c>
      <c r="D230" s="626" t="str">
        <f t="shared" si="75"/>
        <v>1110-185-12-Otros Distrito-05-02-0020</v>
      </c>
      <c r="E230" s="626" t="str">
        <f t="shared" si="76"/>
        <v>Fortalecimiento de los subsistemas del sistema integrado de gestión-12-Otros Distrito-0020-Personal contratado para las actividades propias de los procesos de mejoramiento de gestión de la entidad</v>
      </c>
      <c r="F230" s="627">
        <v>185</v>
      </c>
      <c r="G230" s="628">
        <f t="shared" si="77"/>
        <v>185</v>
      </c>
      <c r="H230" s="629" t="b">
        <f t="shared" si="78"/>
        <v>0</v>
      </c>
      <c r="I230" s="630" t="s">
        <v>594</v>
      </c>
      <c r="J230" s="627" t="s">
        <v>178</v>
      </c>
      <c r="K230" s="631" t="str">
        <f>+IFERROR(VLOOKUP(J230,Listas!$A$108:$B$114,2,FALSE),"Alerta: Seleccione la celda en la comumna B con el nombre del proyecto")</f>
        <v>3-3-1-15-07-42-1110-185</v>
      </c>
      <c r="L230" s="632">
        <v>80111600</v>
      </c>
      <c r="M230" s="633" t="s">
        <v>783</v>
      </c>
      <c r="N230" s="634" t="str">
        <f t="shared" si="79"/>
        <v xml:space="preserve">(Cód. 185) Prestar servicios de apoyo a la gestión al Instituto Distrital de Patrimonio Cultural para la organización de los archivos de la Entidad. </v>
      </c>
      <c r="O230" s="635">
        <v>43480</v>
      </c>
      <c r="P230" s="636">
        <f>IFERROR(VLOOKUP(W230,'Estimación CRP'!$D$21:$E$30,2,FALSE),0)</f>
        <v>10</v>
      </c>
      <c r="Q230" s="637">
        <f>IF(O230="No aplica","No aplica",WORKDAY.INTL(O230,P230,1,'Estimación CRP'!A416:A432))</f>
        <v>43494</v>
      </c>
      <c r="R230" s="636">
        <f t="shared" si="80"/>
        <v>1</v>
      </c>
      <c r="S230" s="636">
        <f t="shared" si="81"/>
        <v>1</v>
      </c>
      <c r="T230" s="636">
        <f t="shared" si="82"/>
        <v>1</v>
      </c>
      <c r="U230" s="712">
        <v>11</v>
      </c>
      <c r="V230" s="638">
        <v>1</v>
      </c>
      <c r="W230" s="639" t="s">
        <v>274</v>
      </c>
      <c r="X230" s="640" t="str">
        <f>IFERROR(VLOOKUP(W230,Listas!$A$60:$B$73,2,FALSE),"Alerta: Seleccione primero Modalidad de selección")</f>
        <v>CCE-16</v>
      </c>
      <c r="Y230" s="641">
        <v>0</v>
      </c>
      <c r="Z230" s="641" t="s">
        <v>346</v>
      </c>
      <c r="AA230" s="641" t="s">
        <v>1257</v>
      </c>
      <c r="AB230" s="642">
        <f t="shared" si="83"/>
        <v>25520000</v>
      </c>
      <c r="AC230" s="642">
        <f t="shared" si="84"/>
        <v>25520000</v>
      </c>
      <c r="AD230" s="641">
        <v>0</v>
      </c>
      <c r="AE230" s="643">
        <v>0</v>
      </c>
      <c r="AF230" s="639" t="s">
        <v>276</v>
      </c>
      <c r="AG230" s="639" t="s">
        <v>277</v>
      </c>
      <c r="AH230" s="639" t="s">
        <v>285</v>
      </c>
      <c r="AI230" s="626" t="str">
        <f>IFERROR(VLOOKUP(AH230,Listas!$A$77:$C$83,2,FALSE),"Alerta: Seleccione primero el responsable")</f>
        <v>3550800</v>
      </c>
      <c r="AJ230" s="640" t="str">
        <f>IFERROR(VLOOKUP(AH230,Listas!$A$77:$C$83,3,FALSE),"Alerta: Seleccione primero el responsable")</f>
        <v>maria.villamil@idpc.gov.co</v>
      </c>
      <c r="AK230" s="640" t="str">
        <f>IF(J230="Funcionamiento Gastos Generales","No aplica",IF(J230="Funcionamiento Servicios Personales indirectos","No aplica",IFERROR(VLOOKUP(J230,Listas!$A$127:$E$139,3,FALSE),"Alerta: Seleccione la celda en la comumna B con el nombre del proyecto")))</f>
        <v>ME20181110</v>
      </c>
      <c r="AL230" s="640" t="str">
        <f>IF(J230="Funcionamiento Gastos Generales","No aplica",IF(J230="Funcionamiento Servicios Personales","No aplica",IFERROR(VLOOKUP(J230,Listas!$A$220:$D$224,2,FALSE),"Alerta: Seleccione la celda en la comumna B con el nombre del proyecto")))</f>
        <v>COMP1110</v>
      </c>
      <c r="AM230" s="640" t="str">
        <f>IF(J230="Funcionamiento Gastos Generales","No aplica",IF(J230="Funcionamiento Servicios Personales","No aplica",IFERROR(VLOOKUP(J230,Listas!$A$220:$D$224,3,FALSE),"Alerta: Seleccione la celda en la comumna B con el nombre del proyecto")))</f>
        <v>CONC1110</v>
      </c>
      <c r="AN230" s="633" t="s">
        <v>789</v>
      </c>
      <c r="AO230" s="633" t="s">
        <v>123</v>
      </c>
      <c r="AP230" s="634" t="str">
        <f>IFERROR(VLOOKUP(J230,Listas!$A$182:$E$215,5,FALSE),"Alerta: Seleccione la celda en la comumna B con el nombre del proyecto")</f>
        <v>10. Procesos articulados dentro del sistema integrado de gestión.</v>
      </c>
      <c r="AQ230" s="634" t="str">
        <f>IF(J230="Funcionamiento Gastos Generales","No aplica",IF(J230="Funcionamiento Servicios Personales","No aplica",IFERROR(VLOOKUP(J230,Listas!$A$220:$D$224,4,FALSE),"Alerta: Seleccione la celda en la comumna B con el nombre del proyecto")))</f>
        <v>FONT1110</v>
      </c>
      <c r="AR230" s="633" t="s">
        <v>198</v>
      </c>
      <c r="AS230" s="634" t="str">
        <f>IFERROR(VLOOKUP(AU230,Listas!$E$85:$L$105,7,FALSE),"Alerta: Seleccione la celda en la comumna AI con el concepto de gasto")</f>
        <v>05-ADMINISTRACION INSTITUCIONAL</v>
      </c>
      <c r="AT230" s="634" t="str">
        <f>IFERROR(VLOOKUP(AU230,Listas!$E$85:$L$105,8,FALSE),"Alerta: Seleccione la celda en la comumna AI con el concepto de gasto")</f>
        <v>02-ADMINISTRACIÓN, CONTROL Y ORGANIZACIÓN INSTITUCIONAL PARA APOYO A LA GESTIÓN DEL DISTRITO</v>
      </c>
      <c r="AU230" s="633" t="s">
        <v>243</v>
      </c>
      <c r="AV230" s="634">
        <f>IFERROR(VLOOKUP(AU230,Listas!$E$85:$F$105,2,FALSE),"Alerta: Seleccione el Concepto de Gasto primero")</f>
        <v>0</v>
      </c>
      <c r="AW230" s="644">
        <v>25520000</v>
      </c>
      <c r="AX230" s="645"/>
      <c r="AY230" s="645"/>
      <c r="AZ230" s="645"/>
      <c r="BA230" s="646">
        <f t="shared" si="85"/>
        <v>25520000</v>
      </c>
      <c r="BB230" s="647"/>
      <c r="BC230" s="648"/>
      <c r="BD230" s="649"/>
      <c r="BE230" s="647"/>
      <c r="BF230" s="644"/>
      <c r="BG230" s="646">
        <f t="shared" si="86"/>
        <v>25520000</v>
      </c>
      <c r="BH230" s="650"/>
      <c r="BI230" s="647"/>
      <c r="BJ230" s="644"/>
      <c r="BK230" s="646">
        <f t="shared" si="87"/>
        <v>0</v>
      </c>
      <c r="BL230" s="651"/>
      <c r="BM230" s="652">
        <f t="shared" si="88"/>
        <v>1</v>
      </c>
      <c r="BN230" s="628"/>
      <c r="BO230" s="670"/>
      <c r="BP230" s="644"/>
      <c r="BQ230" s="644"/>
      <c r="BR230" s="644"/>
      <c r="BS230" s="644"/>
      <c r="BT230" s="644"/>
      <c r="BU230" s="644"/>
      <c r="BV230" s="644"/>
      <c r="BW230" s="644"/>
      <c r="BX230" s="644"/>
      <c r="BY230" s="644"/>
      <c r="BZ230" s="644"/>
      <c r="CA230" s="644"/>
      <c r="CB230" s="646">
        <f t="shared" si="89"/>
        <v>0</v>
      </c>
      <c r="CC230" s="646">
        <f t="shared" si="90"/>
        <v>0</v>
      </c>
      <c r="CD230" s="614"/>
    </row>
    <row r="231" spans="1:82" s="561" customFormat="1" ht="61.5" customHeight="1">
      <c r="A231" s="625" t="str">
        <f t="shared" si="72"/>
        <v>1110-185-FONT1110-05-02-0020-Personal de apoyo transversal a la gestión institucional</v>
      </c>
      <c r="B231" s="626" t="str">
        <f t="shared" si="73"/>
        <v>1110-185-FONT1110-05-02-0020</v>
      </c>
      <c r="C231" s="626" t="str">
        <f t="shared" si="74"/>
        <v>1110-185-FONT1110-Personal de apoyo transversal a la gestión institucional</v>
      </c>
      <c r="D231" s="626" t="str">
        <f t="shared" si="75"/>
        <v>1110-185-12-Otros Distrito-05-02-0020</v>
      </c>
      <c r="E231" s="626" t="str">
        <f t="shared" si="76"/>
        <v>Personal de apoyo transversal a la gestión institucional-12-Otros Distrito-0020-Personal contratado para las actividades propias de los procesos de mejoramiento de gestión de la entidad</v>
      </c>
      <c r="F231" s="627">
        <v>186</v>
      </c>
      <c r="G231" s="628">
        <f t="shared" si="77"/>
        <v>186</v>
      </c>
      <c r="H231" s="629" t="b">
        <f t="shared" si="78"/>
        <v>0</v>
      </c>
      <c r="I231" s="630" t="s">
        <v>594</v>
      </c>
      <c r="J231" s="627" t="s">
        <v>178</v>
      </c>
      <c r="K231" s="631" t="str">
        <f>+IFERROR(VLOOKUP(J231,Listas!$A$108:$B$114,2,FALSE),"Alerta: Seleccione la celda en la comumna B con el nombre del proyecto")</f>
        <v>3-3-1-15-07-42-1110-185</v>
      </c>
      <c r="L231" s="632">
        <v>80111600</v>
      </c>
      <c r="M231" s="633" t="s">
        <v>785</v>
      </c>
      <c r="N231" s="634" t="str">
        <f t="shared" si="79"/>
        <v>(Cód. 186) Prestar servicios de apoyo a la gestión al Instituto Distrital de Patrimonio Cultural en las actividades relacionadas con los préstamos, consultas y organización de los archivos de la Asesoría Jurídica o quien haga sus veces, en el marco del Subsistema Interno de Gestión Documental y Archivos (SIGA).</v>
      </c>
      <c r="O231" s="635">
        <v>43480</v>
      </c>
      <c r="P231" s="636">
        <f>IFERROR(VLOOKUP(W231,'Estimación CRP'!$D$21:$E$30,2,FALSE),0)</f>
        <v>10</v>
      </c>
      <c r="Q231" s="637">
        <f>IF(O231="No aplica","No aplica",WORKDAY.INTL(O231,P231,1,'Estimación CRP'!A417:A433))</f>
        <v>43494</v>
      </c>
      <c r="R231" s="636">
        <f t="shared" si="80"/>
        <v>1</v>
      </c>
      <c r="S231" s="636">
        <f t="shared" si="81"/>
        <v>1</v>
      </c>
      <c r="T231" s="636">
        <f t="shared" si="82"/>
        <v>1</v>
      </c>
      <c r="U231" s="712">
        <v>11</v>
      </c>
      <c r="V231" s="638">
        <v>1</v>
      </c>
      <c r="W231" s="639" t="s">
        <v>274</v>
      </c>
      <c r="X231" s="640" t="str">
        <f>IFERROR(VLOOKUP(W231,Listas!$A$60:$B$73,2,FALSE),"Alerta: Seleccione primero Modalidad de selección")</f>
        <v>CCE-16</v>
      </c>
      <c r="Y231" s="641">
        <v>0</v>
      </c>
      <c r="Z231" s="641" t="s">
        <v>346</v>
      </c>
      <c r="AA231" s="641" t="s">
        <v>1258</v>
      </c>
      <c r="AB231" s="642">
        <f t="shared" si="83"/>
        <v>31570000</v>
      </c>
      <c r="AC231" s="642">
        <f t="shared" si="84"/>
        <v>31570000</v>
      </c>
      <c r="AD231" s="641">
        <v>0</v>
      </c>
      <c r="AE231" s="643">
        <v>0</v>
      </c>
      <c r="AF231" s="639" t="s">
        <v>276</v>
      </c>
      <c r="AG231" s="639" t="s">
        <v>277</v>
      </c>
      <c r="AH231" s="639" t="s">
        <v>283</v>
      </c>
      <c r="AI231" s="626" t="str">
        <f>IFERROR(VLOOKUP(AH231,Listas!$A$77:$C$83,2,FALSE),"Alerta: Seleccione primero el responsable")</f>
        <v>3550800</v>
      </c>
      <c r="AJ231" s="640" t="str">
        <f>IFERROR(VLOOKUP(AH231,Listas!$A$77:$C$83,3,FALSE),"Alerta: Seleccione primero el responsable")</f>
        <v>juan.acosta@idpc.gov.co</v>
      </c>
      <c r="AK231" s="640" t="str">
        <f>IF(J231="Funcionamiento Gastos Generales","No aplica",IF(J231="Funcionamiento Servicios Personales indirectos","No aplica",IFERROR(VLOOKUP(J231,Listas!$A$127:$E$139,3,FALSE),"Alerta: Seleccione la celda en la comumna B con el nombre del proyecto")))</f>
        <v>ME20181110</v>
      </c>
      <c r="AL231" s="640" t="str">
        <f>IF(J231="Funcionamiento Gastos Generales","No aplica",IF(J231="Funcionamiento Servicios Personales","No aplica",IFERROR(VLOOKUP(J231,Listas!$A$220:$D$224,2,FALSE),"Alerta: Seleccione la celda en la comumna B con el nombre del proyecto")))</f>
        <v>COMP1110</v>
      </c>
      <c r="AM231" s="640" t="str">
        <f>IF(J231="Funcionamiento Gastos Generales","No aplica",IF(J231="Funcionamiento Servicios Personales","No aplica",IFERROR(VLOOKUP(J231,Listas!$A$220:$D$224,3,FALSE),"Alerta: Seleccione la celda en la comumna B con el nombre del proyecto")))</f>
        <v>CONC1110</v>
      </c>
      <c r="AN231" s="633" t="s">
        <v>789</v>
      </c>
      <c r="AO231" s="633" t="s">
        <v>124</v>
      </c>
      <c r="AP231" s="634" t="str">
        <f>IFERROR(VLOOKUP(J231,Listas!$A$182:$E$215,5,FALSE),"Alerta: Seleccione la celda en la comumna B con el nombre del proyecto")</f>
        <v>10. Procesos articulados dentro del sistema integrado de gestión.</v>
      </c>
      <c r="AQ231" s="634" t="str">
        <f>IF(J231="Funcionamiento Gastos Generales","No aplica",IF(J231="Funcionamiento Servicios Personales","No aplica",IFERROR(VLOOKUP(J231,Listas!$A$220:$D$224,4,FALSE),"Alerta: Seleccione la celda en la comumna B con el nombre del proyecto")))</f>
        <v>FONT1110</v>
      </c>
      <c r="AR231" s="633" t="s">
        <v>198</v>
      </c>
      <c r="AS231" s="634" t="str">
        <f>IFERROR(VLOOKUP(AU231,Listas!$E$85:$L$105,7,FALSE),"Alerta: Seleccione la celda en la comumna AI con el concepto de gasto")</f>
        <v>05-ADMINISTRACION INSTITUCIONAL</v>
      </c>
      <c r="AT231" s="634" t="str">
        <f>IFERROR(VLOOKUP(AU231,Listas!$E$85:$L$105,8,FALSE),"Alerta: Seleccione la celda en la comumna AI con el concepto de gasto")</f>
        <v>02-ADMINISTRACIÓN, CONTROL Y ORGANIZACIÓN INSTITUCIONAL PARA APOYO A LA GESTIÓN DEL DISTRITO</v>
      </c>
      <c r="AU231" s="633" t="s">
        <v>243</v>
      </c>
      <c r="AV231" s="634">
        <f>IFERROR(VLOOKUP(AU231,Listas!$E$85:$F$105,2,FALSE),"Alerta: Seleccione el Concepto de Gasto primero")</f>
        <v>0</v>
      </c>
      <c r="AW231" s="644">
        <v>31570000</v>
      </c>
      <c r="AX231" s="645"/>
      <c r="AY231" s="645"/>
      <c r="AZ231" s="645"/>
      <c r="BA231" s="646">
        <f t="shared" si="85"/>
        <v>31570000</v>
      </c>
      <c r="BB231" s="647"/>
      <c r="BC231" s="648"/>
      <c r="BD231" s="649"/>
      <c r="BE231" s="647"/>
      <c r="BF231" s="644"/>
      <c r="BG231" s="646">
        <f t="shared" si="86"/>
        <v>31570000</v>
      </c>
      <c r="BH231" s="650"/>
      <c r="BI231" s="647"/>
      <c r="BJ231" s="644"/>
      <c r="BK231" s="646">
        <f t="shared" si="87"/>
        <v>0</v>
      </c>
      <c r="BL231" s="651"/>
      <c r="BM231" s="652">
        <f t="shared" si="88"/>
        <v>1</v>
      </c>
      <c r="BN231" s="628"/>
      <c r="BO231" s="670"/>
      <c r="BP231" s="644"/>
      <c r="BQ231" s="644"/>
      <c r="BR231" s="644"/>
      <c r="BS231" s="644"/>
      <c r="BT231" s="644"/>
      <c r="BU231" s="644"/>
      <c r="BV231" s="644"/>
      <c r="BW231" s="644"/>
      <c r="BX231" s="644"/>
      <c r="BY231" s="644"/>
      <c r="BZ231" s="644"/>
      <c r="CA231" s="644"/>
      <c r="CB231" s="646">
        <f t="shared" si="89"/>
        <v>0</v>
      </c>
      <c r="CC231" s="646">
        <f t="shared" si="90"/>
        <v>0</v>
      </c>
      <c r="CD231" s="614"/>
    </row>
    <row r="232" spans="1:82" s="561" customFormat="1" ht="61.5" customHeight="1">
      <c r="A232" s="625" t="str">
        <f t="shared" si="72"/>
        <v>1110-185-FONT1110-05-02-0020-Personal de apoyo transversal a la gestión institucional</v>
      </c>
      <c r="B232" s="626" t="str">
        <f t="shared" si="73"/>
        <v>1110-185-FONT1110-05-02-0020</v>
      </c>
      <c r="C232" s="626" t="str">
        <f t="shared" si="74"/>
        <v>1110-185-FONT1110-Personal de apoyo transversal a la gestión institucional</v>
      </c>
      <c r="D232" s="626" t="str">
        <f t="shared" si="75"/>
        <v>1110-185-12-Otros Distrito-05-02-0020</v>
      </c>
      <c r="E232" s="626" t="str">
        <f t="shared" si="76"/>
        <v>Personal de apoyo transversal a la gestión institucional-12-Otros Distrito-0020-Personal contratado para las actividades propias de los procesos de mejoramiento de gestión de la entidad</v>
      </c>
      <c r="F232" s="627">
        <v>187</v>
      </c>
      <c r="G232" s="628">
        <f t="shared" si="77"/>
        <v>187</v>
      </c>
      <c r="H232" s="629" t="b">
        <f t="shared" si="78"/>
        <v>0</v>
      </c>
      <c r="I232" s="630" t="s">
        <v>594</v>
      </c>
      <c r="J232" s="627" t="s">
        <v>178</v>
      </c>
      <c r="K232" s="631" t="str">
        <f>+IFERROR(VLOOKUP(J232,Listas!$A$108:$B$114,2,FALSE),"Alerta: Seleccione la celda en la comumna B con el nombre del proyecto")</f>
        <v>3-3-1-15-07-42-1110-185</v>
      </c>
      <c r="L232" s="632">
        <v>80111600</v>
      </c>
      <c r="M232" s="633" t="s">
        <v>786</v>
      </c>
      <c r="N232" s="634" t="str">
        <f t="shared" si="79"/>
        <v>(Cód. 187) Prestar servicios profesionales al Instituto Distrital de Patrimonio Cultural para adelantar acciones relacionadas con los procesos de planeación, seguimiento y control de los programas, planes y proyectos del Instituto.</v>
      </c>
      <c r="O232" s="635">
        <v>43511</v>
      </c>
      <c r="P232" s="636">
        <f>IFERROR(VLOOKUP(W232,'Estimación CRP'!$D$21:$E$30,2,FALSE),0)</f>
        <v>10</v>
      </c>
      <c r="Q232" s="637">
        <f>IF(O232="No aplica","No aplica",WORKDAY.INTL(O232,P232,1,'Estimación CRP'!A418:A434))</f>
        <v>43525</v>
      </c>
      <c r="R232" s="636">
        <f t="shared" si="80"/>
        <v>3</v>
      </c>
      <c r="S232" s="636">
        <f t="shared" si="81"/>
        <v>2</v>
      </c>
      <c r="T232" s="636">
        <f t="shared" si="82"/>
        <v>2</v>
      </c>
      <c r="U232" s="712">
        <v>9</v>
      </c>
      <c r="V232" s="638">
        <v>1</v>
      </c>
      <c r="W232" s="639" t="s">
        <v>274</v>
      </c>
      <c r="X232" s="640" t="str">
        <f>IFERROR(VLOOKUP(W232,Listas!$A$60:$B$73,2,FALSE),"Alerta: Seleccione primero Modalidad de selección")</f>
        <v>CCE-16</v>
      </c>
      <c r="Y232" s="641">
        <v>0</v>
      </c>
      <c r="Z232" s="641" t="s">
        <v>346</v>
      </c>
      <c r="AA232" s="641" t="s">
        <v>1259</v>
      </c>
      <c r="AB232" s="642">
        <f t="shared" si="83"/>
        <v>45000000</v>
      </c>
      <c r="AC232" s="642">
        <f t="shared" si="84"/>
        <v>45000000</v>
      </c>
      <c r="AD232" s="641">
        <v>0</v>
      </c>
      <c r="AE232" s="643">
        <v>0</v>
      </c>
      <c r="AF232" s="639" t="s">
        <v>276</v>
      </c>
      <c r="AG232" s="639" t="s">
        <v>277</v>
      </c>
      <c r="AH232" s="639" t="s">
        <v>285</v>
      </c>
      <c r="AI232" s="626" t="str">
        <f>IFERROR(VLOOKUP(AH232,Listas!$A$77:$C$83,2,FALSE),"Alerta: Seleccione primero el responsable")</f>
        <v>3550800</v>
      </c>
      <c r="AJ232" s="640" t="str">
        <f>IFERROR(VLOOKUP(AH232,Listas!$A$77:$C$83,3,FALSE),"Alerta: Seleccione primero el responsable")</f>
        <v>maria.villamil@idpc.gov.co</v>
      </c>
      <c r="AK232" s="640" t="str">
        <f>IF(J232="Funcionamiento Gastos Generales","No aplica",IF(J232="Funcionamiento Servicios Personales indirectos","No aplica",IFERROR(VLOOKUP(J232,Listas!$A$127:$E$139,3,FALSE),"Alerta: Seleccione la celda en la comumna B con el nombre del proyecto")))</f>
        <v>ME20181110</v>
      </c>
      <c r="AL232" s="640" t="str">
        <f>IF(J232="Funcionamiento Gastos Generales","No aplica",IF(J232="Funcionamiento Servicios Personales","No aplica",IFERROR(VLOOKUP(J232,Listas!$A$220:$D$224,2,FALSE),"Alerta: Seleccione la celda en la comumna B con el nombre del proyecto")))</f>
        <v>COMP1110</v>
      </c>
      <c r="AM232" s="640" t="str">
        <f>IF(J232="Funcionamiento Gastos Generales","No aplica",IF(J232="Funcionamiento Servicios Personales","No aplica",IFERROR(VLOOKUP(J232,Listas!$A$220:$D$224,3,FALSE),"Alerta: Seleccione la celda en la comumna B con el nombre del proyecto")))</f>
        <v>CONC1110</v>
      </c>
      <c r="AN232" s="633" t="s">
        <v>789</v>
      </c>
      <c r="AO232" s="633" t="s">
        <v>124</v>
      </c>
      <c r="AP232" s="634" t="str">
        <f>IFERROR(VLOOKUP(J232,Listas!$A$182:$E$215,5,FALSE),"Alerta: Seleccione la celda en la comumna B con el nombre del proyecto")</f>
        <v>10. Procesos articulados dentro del sistema integrado de gestión.</v>
      </c>
      <c r="AQ232" s="634" t="str">
        <f>IF(J232="Funcionamiento Gastos Generales","No aplica",IF(J232="Funcionamiento Servicios Personales","No aplica",IFERROR(VLOOKUP(J232,Listas!$A$220:$D$224,4,FALSE),"Alerta: Seleccione la celda en la comumna B con el nombre del proyecto")))</f>
        <v>FONT1110</v>
      </c>
      <c r="AR232" s="633" t="s">
        <v>198</v>
      </c>
      <c r="AS232" s="634" t="str">
        <f>IFERROR(VLOOKUP(AU232,Listas!$E$85:$L$105,7,FALSE),"Alerta: Seleccione la celda en la comumna AI con el concepto de gasto")</f>
        <v>05-ADMINISTRACION INSTITUCIONAL</v>
      </c>
      <c r="AT232" s="634" t="str">
        <f>IFERROR(VLOOKUP(AU232,Listas!$E$85:$L$105,8,FALSE),"Alerta: Seleccione la celda en la comumna AI con el concepto de gasto")</f>
        <v>02-ADMINISTRACIÓN, CONTROL Y ORGANIZACIÓN INSTITUCIONAL PARA APOYO A LA GESTIÓN DEL DISTRITO</v>
      </c>
      <c r="AU232" s="633" t="s">
        <v>243</v>
      </c>
      <c r="AV232" s="634">
        <f>IFERROR(VLOOKUP(AU232,Listas!$E$85:$F$105,2,FALSE),"Alerta: Seleccione el Concepto de Gasto primero")</f>
        <v>0</v>
      </c>
      <c r="AW232" s="644">
        <v>45000000</v>
      </c>
      <c r="AX232" s="645"/>
      <c r="AY232" s="645"/>
      <c r="AZ232" s="645"/>
      <c r="BA232" s="646">
        <f t="shared" si="85"/>
        <v>45000000</v>
      </c>
      <c r="BB232" s="647"/>
      <c r="BC232" s="648"/>
      <c r="BD232" s="649"/>
      <c r="BE232" s="647"/>
      <c r="BF232" s="644"/>
      <c r="BG232" s="646">
        <f t="shared" si="86"/>
        <v>45000000</v>
      </c>
      <c r="BH232" s="650"/>
      <c r="BI232" s="647"/>
      <c r="BJ232" s="644"/>
      <c r="BK232" s="646">
        <f t="shared" si="87"/>
        <v>0</v>
      </c>
      <c r="BL232" s="651"/>
      <c r="BM232" s="652">
        <f t="shared" si="88"/>
        <v>1</v>
      </c>
      <c r="BN232" s="628"/>
      <c r="BO232" s="670"/>
      <c r="BP232" s="644"/>
      <c r="BQ232" s="644"/>
      <c r="BR232" s="644"/>
      <c r="BS232" s="644"/>
      <c r="BT232" s="644"/>
      <c r="BU232" s="644"/>
      <c r="BV232" s="644"/>
      <c r="BW232" s="644"/>
      <c r="BX232" s="644"/>
      <c r="BY232" s="644"/>
      <c r="BZ232" s="644"/>
      <c r="CA232" s="644"/>
      <c r="CB232" s="646">
        <f t="shared" si="89"/>
        <v>0</v>
      </c>
      <c r="CC232" s="646">
        <f t="shared" si="90"/>
        <v>0</v>
      </c>
      <c r="CD232" s="614"/>
    </row>
    <row r="233" spans="1:82" s="561" customFormat="1" ht="61.5" customHeight="1">
      <c r="A233" s="625" t="str">
        <f t="shared" si="72"/>
        <v>1110-185-FONT1110-05-02-0020-Personal de apoyo transversal a la gestión institucional</v>
      </c>
      <c r="B233" s="626" t="str">
        <f t="shared" si="73"/>
        <v>1110-185-FONT1110-05-02-0020</v>
      </c>
      <c r="C233" s="626" t="str">
        <f t="shared" si="74"/>
        <v>1110-185-FONT1110-Personal de apoyo transversal a la gestión institucional</v>
      </c>
      <c r="D233" s="626" t="str">
        <f t="shared" si="75"/>
        <v>1110-185-12-Otros Distrito-05-02-0020</v>
      </c>
      <c r="E233" s="626" t="str">
        <f t="shared" si="76"/>
        <v>Personal de apoyo transversal a la gestión institucional-12-Otros Distrito-0020-Personal contratado para las actividades propias de los procesos de mejoramiento de gestión de la entidad</v>
      </c>
      <c r="F233" s="627">
        <v>188</v>
      </c>
      <c r="G233" s="628">
        <f t="shared" si="77"/>
        <v>188</v>
      </c>
      <c r="H233" s="629" t="b">
        <f t="shared" si="78"/>
        <v>0</v>
      </c>
      <c r="I233" s="630" t="s">
        <v>594</v>
      </c>
      <c r="J233" s="627" t="s">
        <v>178</v>
      </c>
      <c r="K233" s="631" t="str">
        <f>+IFERROR(VLOOKUP(J233,Listas!$A$108:$B$114,2,FALSE),"Alerta: Seleccione la celda en la comumna B con el nombre del proyecto")</f>
        <v>3-3-1-15-07-42-1110-185</v>
      </c>
      <c r="L233" s="632">
        <v>80111600</v>
      </c>
      <c r="M233" s="633" t="s">
        <v>787</v>
      </c>
      <c r="N233" s="634" t="str">
        <f t="shared" si="79"/>
        <v xml:space="preserve">(Cód. 188) Prestar servicios profesionales al Instituto Distrital de Patrimonio Cultural para apoyar el control y seguimiento a presupuesto, metas e indicadores y  Sistema Integrado de Gestión requerido. </v>
      </c>
      <c r="O233" s="635">
        <v>43505</v>
      </c>
      <c r="P233" s="636">
        <f>IFERROR(VLOOKUP(W233,'Estimación CRP'!$D$21:$E$30,2,FALSE),0)</f>
        <v>10</v>
      </c>
      <c r="Q233" s="637">
        <f>IF(O233="No aplica","No aplica",WORKDAY.INTL(O233,P233,1,'Estimación CRP'!A419:A435))</f>
        <v>43518</v>
      </c>
      <c r="R233" s="636">
        <f t="shared" si="80"/>
        <v>2</v>
      </c>
      <c r="S233" s="636">
        <f t="shared" si="81"/>
        <v>2</v>
      </c>
      <c r="T233" s="636">
        <f t="shared" si="82"/>
        <v>2</v>
      </c>
      <c r="U233" s="712">
        <v>10</v>
      </c>
      <c r="V233" s="638">
        <v>1</v>
      </c>
      <c r="W233" s="639" t="s">
        <v>274</v>
      </c>
      <c r="X233" s="640" t="str">
        <f>IFERROR(VLOOKUP(W233,Listas!$A$60:$B$73,2,FALSE),"Alerta: Seleccione primero Modalidad de selección")</f>
        <v>CCE-16</v>
      </c>
      <c r="Y233" s="641">
        <v>0</v>
      </c>
      <c r="Z233" s="641" t="s">
        <v>346</v>
      </c>
      <c r="AA233" s="641" t="s">
        <v>1260</v>
      </c>
      <c r="AB233" s="642">
        <f t="shared" si="83"/>
        <v>56000000</v>
      </c>
      <c r="AC233" s="642">
        <f t="shared" si="84"/>
        <v>56000000</v>
      </c>
      <c r="AD233" s="641">
        <v>0</v>
      </c>
      <c r="AE233" s="643">
        <v>0</v>
      </c>
      <c r="AF233" s="639" t="s">
        <v>276</v>
      </c>
      <c r="AG233" s="639" t="s">
        <v>277</v>
      </c>
      <c r="AH233" s="639" t="s">
        <v>285</v>
      </c>
      <c r="AI233" s="626" t="str">
        <f>IFERROR(VLOOKUP(AH233,Listas!$A$77:$C$83,2,FALSE),"Alerta: Seleccione primero el responsable")</f>
        <v>3550800</v>
      </c>
      <c r="AJ233" s="640" t="str">
        <f>IFERROR(VLOOKUP(AH233,Listas!$A$77:$C$83,3,FALSE),"Alerta: Seleccione primero el responsable")</f>
        <v>maria.villamil@idpc.gov.co</v>
      </c>
      <c r="AK233" s="640" t="str">
        <f>IF(J233="Funcionamiento Gastos Generales","No aplica",IF(J233="Funcionamiento Servicios Personales indirectos","No aplica",IFERROR(VLOOKUP(J233,Listas!$A$127:$E$139,3,FALSE),"Alerta: Seleccione la celda en la comumna B con el nombre del proyecto")))</f>
        <v>ME20181110</v>
      </c>
      <c r="AL233" s="640" t="str">
        <f>IF(J233="Funcionamiento Gastos Generales","No aplica",IF(J233="Funcionamiento Servicios Personales","No aplica",IFERROR(VLOOKUP(J233,Listas!$A$220:$D$224,2,FALSE),"Alerta: Seleccione la celda en la comumna B con el nombre del proyecto")))</f>
        <v>COMP1110</v>
      </c>
      <c r="AM233" s="640" t="str">
        <f>IF(J233="Funcionamiento Gastos Generales","No aplica",IF(J233="Funcionamiento Servicios Personales","No aplica",IFERROR(VLOOKUP(J233,Listas!$A$220:$D$224,3,FALSE),"Alerta: Seleccione la celda en la comumna B con el nombre del proyecto")))</f>
        <v>CONC1110</v>
      </c>
      <c r="AN233" s="633" t="s">
        <v>789</v>
      </c>
      <c r="AO233" s="633" t="s">
        <v>124</v>
      </c>
      <c r="AP233" s="634" t="str">
        <f>IFERROR(VLOOKUP(J233,Listas!$A$182:$E$215,5,FALSE),"Alerta: Seleccione la celda en la comumna B con el nombre del proyecto")</f>
        <v>10. Procesos articulados dentro del sistema integrado de gestión.</v>
      </c>
      <c r="AQ233" s="634" t="str">
        <f>IF(J233="Funcionamiento Gastos Generales","No aplica",IF(J233="Funcionamiento Servicios Personales","No aplica",IFERROR(VLOOKUP(J233,Listas!$A$220:$D$224,4,FALSE),"Alerta: Seleccione la celda en la comumna B con el nombre del proyecto")))</f>
        <v>FONT1110</v>
      </c>
      <c r="AR233" s="633" t="s">
        <v>198</v>
      </c>
      <c r="AS233" s="634" t="str">
        <f>IFERROR(VLOOKUP(AU233,Listas!$E$85:$L$105,7,FALSE),"Alerta: Seleccione la celda en la comumna AI con el concepto de gasto")</f>
        <v>05-ADMINISTRACION INSTITUCIONAL</v>
      </c>
      <c r="AT233" s="634" t="str">
        <f>IFERROR(VLOOKUP(AU233,Listas!$E$85:$L$105,8,FALSE),"Alerta: Seleccione la celda en la comumna AI con el concepto de gasto")</f>
        <v>02-ADMINISTRACIÓN, CONTROL Y ORGANIZACIÓN INSTITUCIONAL PARA APOYO A LA GESTIÓN DEL DISTRITO</v>
      </c>
      <c r="AU233" s="633" t="s">
        <v>243</v>
      </c>
      <c r="AV233" s="634">
        <f>IFERROR(VLOOKUP(AU233,Listas!$E$85:$F$105,2,FALSE),"Alerta: Seleccione el Concepto de Gasto primero")</f>
        <v>0</v>
      </c>
      <c r="AW233" s="644">
        <v>56000000</v>
      </c>
      <c r="AX233" s="645"/>
      <c r="AY233" s="645"/>
      <c r="AZ233" s="645"/>
      <c r="BA233" s="646">
        <f t="shared" si="85"/>
        <v>56000000</v>
      </c>
      <c r="BB233" s="647"/>
      <c r="BC233" s="648"/>
      <c r="BD233" s="649"/>
      <c r="BE233" s="647"/>
      <c r="BF233" s="644"/>
      <c r="BG233" s="646">
        <f t="shared" si="86"/>
        <v>56000000</v>
      </c>
      <c r="BH233" s="650"/>
      <c r="BI233" s="647"/>
      <c r="BJ233" s="644"/>
      <c r="BK233" s="646">
        <f t="shared" si="87"/>
        <v>0</v>
      </c>
      <c r="BL233" s="651"/>
      <c r="BM233" s="652">
        <f t="shared" si="88"/>
        <v>1</v>
      </c>
      <c r="BN233" s="628"/>
      <c r="BO233" s="670"/>
      <c r="BP233" s="644"/>
      <c r="BQ233" s="644"/>
      <c r="BR233" s="644"/>
      <c r="BS233" s="644"/>
      <c r="BT233" s="644"/>
      <c r="BU233" s="644"/>
      <c r="BV233" s="644"/>
      <c r="BW233" s="644"/>
      <c r="BX233" s="644"/>
      <c r="BY233" s="644"/>
      <c r="BZ233" s="644"/>
      <c r="CA233" s="644"/>
      <c r="CB233" s="646">
        <f t="shared" si="89"/>
        <v>0</v>
      </c>
      <c r="CC233" s="646">
        <f t="shared" si="90"/>
        <v>0</v>
      </c>
      <c r="CD233" s="614"/>
    </row>
    <row r="234" spans="1:82" s="561" customFormat="1" ht="61.5" customHeight="1">
      <c r="A234" s="625" t="str">
        <f t="shared" si="72"/>
        <v>1110-185-FONT1110-05-02-0020-Personal de apoyo transversal a la gestión institucional</v>
      </c>
      <c r="B234" s="626" t="str">
        <f t="shared" si="73"/>
        <v>1110-185-FONT1110-05-02-0020</v>
      </c>
      <c r="C234" s="626" t="str">
        <f t="shared" si="74"/>
        <v>1110-185-FONT1110-Personal de apoyo transversal a la gestión institucional</v>
      </c>
      <c r="D234" s="626" t="str">
        <f t="shared" si="75"/>
        <v>1110-185-12-Otros Distrito-05-02-0020</v>
      </c>
      <c r="E234" s="626" t="str">
        <f t="shared" si="76"/>
        <v>Personal de apoyo transversal a la gestión institucional-12-Otros Distrito-0020-Personal contratado para las actividades propias de los procesos de mejoramiento de gestión de la entidad</v>
      </c>
      <c r="F234" s="627">
        <v>189</v>
      </c>
      <c r="G234" s="628">
        <f t="shared" si="77"/>
        <v>189</v>
      </c>
      <c r="H234" s="629" t="b">
        <f t="shared" si="78"/>
        <v>0</v>
      </c>
      <c r="I234" s="630" t="s">
        <v>594</v>
      </c>
      <c r="J234" s="627" t="s">
        <v>178</v>
      </c>
      <c r="K234" s="631" t="str">
        <f>+IFERROR(VLOOKUP(J234,Listas!$A$108:$B$114,2,FALSE),"Alerta: Seleccione la celda en la comumna B con el nombre del proyecto")</f>
        <v>3-3-1-15-07-42-1110-185</v>
      </c>
      <c r="L234" s="632">
        <v>80111600</v>
      </c>
      <c r="M234" s="633" t="s">
        <v>745</v>
      </c>
      <c r="N234" s="634" t="str">
        <f t="shared" si="79"/>
        <v>(Cód. 189) Prestar servicios de apoyo a la gestión al Instituto Distrital de Patrimonio Cultural en las actividades operativas relacionadas con la recepción, organización documental y de correspondencia de la entidad.</v>
      </c>
      <c r="O234" s="635">
        <v>43480</v>
      </c>
      <c r="P234" s="636">
        <f>IFERROR(VLOOKUP(W234,'Estimación CRP'!$D$21:$E$30,2,FALSE),0)</f>
        <v>10</v>
      </c>
      <c r="Q234" s="637">
        <f>IF(O234="No aplica","No aplica",WORKDAY.INTL(O234,P234,1,'Estimación CRP'!A420:A436))</f>
        <v>43494</v>
      </c>
      <c r="R234" s="636">
        <f t="shared" si="80"/>
        <v>1</v>
      </c>
      <c r="S234" s="636">
        <f t="shared" si="81"/>
        <v>1</v>
      </c>
      <c r="T234" s="636">
        <f t="shared" si="82"/>
        <v>1</v>
      </c>
      <c r="U234" s="712">
        <v>11</v>
      </c>
      <c r="V234" s="638">
        <v>1</v>
      </c>
      <c r="W234" s="639" t="s">
        <v>274</v>
      </c>
      <c r="X234" s="640" t="str">
        <f>IFERROR(VLOOKUP(W234,Listas!$A$60:$B$73,2,FALSE),"Alerta: Seleccione primero Modalidad de selección")</f>
        <v>CCE-16</v>
      </c>
      <c r="Y234" s="641">
        <v>0</v>
      </c>
      <c r="Z234" s="641" t="s">
        <v>346</v>
      </c>
      <c r="AA234" s="641" t="s">
        <v>1261</v>
      </c>
      <c r="AB234" s="642">
        <f t="shared" si="83"/>
        <v>33990000</v>
      </c>
      <c r="AC234" s="642">
        <f t="shared" si="84"/>
        <v>33990000</v>
      </c>
      <c r="AD234" s="641">
        <v>0</v>
      </c>
      <c r="AE234" s="643">
        <v>0</v>
      </c>
      <c r="AF234" s="639" t="s">
        <v>276</v>
      </c>
      <c r="AG234" s="639" t="s">
        <v>277</v>
      </c>
      <c r="AH234" s="639" t="s">
        <v>283</v>
      </c>
      <c r="AI234" s="626" t="str">
        <f>IFERROR(VLOOKUP(AH234,Listas!$A$77:$C$83,2,FALSE),"Alerta: Seleccione primero el responsable")</f>
        <v>3550800</v>
      </c>
      <c r="AJ234" s="640" t="str">
        <f>IFERROR(VLOOKUP(AH234,Listas!$A$77:$C$83,3,FALSE),"Alerta: Seleccione primero el responsable")</f>
        <v>juan.acosta@idpc.gov.co</v>
      </c>
      <c r="AK234" s="640" t="str">
        <f>IF(J234="Funcionamiento Gastos Generales","No aplica",IF(J234="Funcionamiento Servicios Personales indirectos","No aplica",IFERROR(VLOOKUP(J234,Listas!$A$127:$E$139,3,FALSE),"Alerta: Seleccione la celda en la comumna B con el nombre del proyecto")))</f>
        <v>ME20181110</v>
      </c>
      <c r="AL234" s="640" t="str">
        <f>IF(J234="Funcionamiento Gastos Generales","No aplica",IF(J234="Funcionamiento Servicios Personales","No aplica",IFERROR(VLOOKUP(J234,Listas!$A$220:$D$224,2,FALSE),"Alerta: Seleccione la celda en la comumna B con el nombre del proyecto")))</f>
        <v>COMP1110</v>
      </c>
      <c r="AM234" s="640" t="str">
        <f>IF(J234="Funcionamiento Gastos Generales","No aplica",IF(J234="Funcionamiento Servicios Personales","No aplica",IFERROR(VLOOKUP(J234,Listas!$A$220:$D$224,3,FALSE),"Alerta: Seleccione la celda en la comumna B con el nombre del proyecto")))</f>
        <v>CONC1110</v>
      </c>
      <c r="AN234" s="633" t="s">
        <v>789</v>
      </c>
      <c r="AO234" s="633" t="s">
        <v>124</v>
      </c>
      <c r="AP234" s="634" t="str">
        <f>IFERROR(VLOOKUP(J234,Listas!$A$182:$E$215,5,FALSE),"Alerta: Seleccione la celda en la comumna B con el nombre del proyecto")</f>
        <v>10. Procesos articulados dentro del sistema integrado de gestión.</v>
      </c>
      <c r="AQ234" s="634" t="str">
        <f>IF(J234="Funcionamiento Gastos Generales","No aplica",IF(J234="Funcionamiento Servicios Personales","No aplica",IFERROR(VLOOKUP(J234,Listas!$A$220:$D$224,4,FALSE),"Alerta: Seleccione la celda en la comumna B con el nombre del proyecto")))</f>
        <v>FONT1110</v>
      </c>
      <c r="AR234" s="633" t="s">
        <v>198</v>
      </c>
      <c r="AS234" s="634" t="str">
        <f>IFERROR(VLOOKUP(AU234,Listas!$E$85:$L$105,7,FALSE),"Alerta: Seleccione la celda en la comumna AI con el concepto de gasto")</f>
        <v>05-ADMINISTRACION INSTITUCIONAL</v>
      </c>
      <c r="AT234" s="634" t="str">
        <f>IFERROR(VLOOKUP(AU234,Listas!$E$85:$L$105,8,FALSE),"Alerta: Seleccione la celda en la comumna AI con el concepto de gasto")</f>
        <v>02-ADMINISTRACIÓN, CONTROL Y ORGANIZACIÓN INSTITUCIONAL PARA APOYO A LA GESTIÓN DEL DISTRITO</v>
      </c>
      <c r="AU234" s="633" t="s">
        <v>243</v>
      </c>
      <c r="AV234" s="634">
        <f>IFERROR(VLOOKUP(AU234,Listas!$E$85:$F$105,2,FALSE),"Alerta: Seleccione el Concepto de Gasto primero")</f>
        <v>0</v>
      </c>
      <c r="AW234" s="644">
        <v>33990000</v>
      </c>
      <c r="AX234" s="645"/>
      <c r="AY234" s="645"/>
      <c r="AZ234" s="645"/>
      <c r="BA234" s="646">
        <f t="shared" si="85"/>
        <v>33990000</v>
      </c>
      <c r="BB234" s="647"/>
      <c r="BC234" s="648"/>
      <c r="BD234" s="649"/>
      <c r="BE234" s="647"/>
      <c r="BF234" s="644"/>
      <c r="BG234" s="646">
        <f t="shared" si="86"/>
        <v>33990000</v>
      </c>
      <c r="BH234" s="650"/>
      <c r="BI234" s="647"/>
      <c r="BJ234" s="644"/>
      <c r="BK234" s="646">
        <f t="shared" si="87"/>
        <v>0</v>
      </c>
      <c r="BL234" s="651"/>
      <c r="BM234" s="652">
        <f t="shared" si="88"/>
        <v>1</v>
      </c>
      <c r="BN234" s="628"/>
      <c r="BO234" s="670"/>
      <c r="BP234" s="644"/>
      <c r="BQ234" s="644"/>
      <c r="BR234" s="644"/>
      <c r="BS234" s="644"/>
      <c r="BT234" s="644"/>
      <c r="BU234" s="644"/>
      <c r="BV234" s="644"/>
      <c r="BW234" s="644"/>
      <c r="BX234" s="644"/>
      <c r="BY234" s="644"/>
      <c r="BZ234" s="644"/>
      <c r="CA234" s="644"/>
      <c r="CB234" s="646">
        <f t="shared" si="89"/>
        <v>0</v>
      </c>
      <c r="CC234" s="646">
        <f t="shared" si="90"/>
        <v>0</v>
      </c>
      <c r="CD234" s="614"/>
    </row>
    <row r="235" spans="1:82" s="561" customFormat="1" ht="61.5" customHeight="1">
      <c r="A235" s="625" t="str">
        <f t="shared" si="72"/>
        <v>1110-185-FONT1110-05-02-0020-Personal de apoyo transversal a la gestión institucional</v>
      </c>
      <c r="B235" s="626" t="str">
        <f t="shared" si="73"/>
        <v>1110-185-FONT1110-05-02-0020</v>
      </c>
      <c r="C235" s="626" t="str">
        <f t="shared" si="74"/>
        <v>1110-185-FONT1110-Personal de apoyo transversal a la gestión institucional</v>
      </c>
      <c r="D235" s="626" t="str">
        <f t="shared" si="75"/>
        <v>1110-185-12-Otros Distrito-05-02-0020</v>
      </c>
      <c r="E235" s="626" t="str">
        <f t="shared" si="76"/>
        <v>Personal de apoyo transversal a la gestión institucional-12-Otros Distrito-0020-Personal contratado para las actividades propias de los procesos de mejoramiento de gestión de la entidad</v>
      </c>
      <c r="F235" s="627">
        <v>190</v>
      </c>
      <c r="G235" s="628">
        <f t="shared" si="77"/>
        <v>190</v>
      </c>
      <c r="H235" s="629" t="b">
        <f t="shared" si="78"/>
        <v>0</v>
      </c>
      <c r="I235" s="630" t="s">
        <v>594</v>
      </c>
      <c r="J235" s="627" t="s">
        <v>178</v>
      </c>
      <c r="K235" s="631" t="str">
        <f>+IFERROR(VLOOKUP(J235,Listas!$A$108:$B$114,2,FALSE),"Alerta: Seleccione la celda en la comumna B con el nombre del proyecto")</f>
        <v>3-3-1-15-07-42-1110-185</v>
      </c>
      <c r="L235" s="632">
        <v>80111600</v>
      </c>
      <c r="M235" s="633" t="s">
        <v>788</v>
      </c>
      <c r="N235" s="634" t="str">
        <f t="shared" si="79"/>
        <v>(Cód. 190) Prestar servicios profesionales al Instituto Distrital de Patrimonio Cultural para apoyar el diseño, formulación, actualización, seguimiento y mejoramiento del Sistema de Gestión de Seguridad y Salud en el Trabajo de la entidad.</v>
      </c>
      <c r="O235" s="635">
        <v>43501</v>
      </c>
      <c r="P235" s="636">
        <f>IFERROR(VLOOKUP(W235,'Estimación CRP'!$D$21:$E$30,2,FALSE),0)</f>
        <v>10</v>
      </c>
      <c r="Q235" s="637">
        <f>IF(O235="No aplica","No aplica",WORKDAY.INTL(O235,P235,1,'Estimación CRP'!A421:A437))</f>
        <v>43515</v>
      </c>
      <c r="R235" s="636">
        <f t="shared" si="80"/>
        <v>2</v>
      </c>
      <c r="S235" s="636">
        <f t="shared" si="81"/>
        <v>2</v>
      </c>
      <c r="T235" s="636">
        <f t="shared" si="82"/>
        <v>2</v>
      </c>
      <c r="U235" s="712">
        <v>9</v>
      </c>
      <c r="V235" s="638">
        <v>1</v>
      </c>
      <c r="W235" s="639" t="s">
        <v>274</v>
      </c>
      <c r="X235" s="640" t="str">
        <f>IFERROR(VLOOKUP(W235,Listas!$A$60:$B$73,2,FALSE),"Alerta: Seleccione primero Modalidad de selección")</f>
        <v>CCE-16</v>
      </c>
      <c r="Y235" s="641">
        <v>0</v>
      </c>
      <c r="Z235" s="641" t="s">
        <v>346</v>
      </c>
      <c r="AA235" s="641" t="s">
        <v>1262</v>
      </c>
      <c r="AB235" s="642">
        <f t="shared" si="83"/>
        <v>33300000</v>
      </c>
      <c r="AC235" s="642">
        <f t="shared" si="84"/>
        <v>33300000</v>
      </c>
      <c r="AD235" s="641">
        <v>0</v>
      </c>
      <c r="AE235" s="643">
        <v>0</v>
      </c>
      <c r="AF235" s="639" t="s">
        <v>276</v>
      </c>
      <c r="AG235" s="639" t="s">
        <v>277</v>
      </c>
      <c r="AH235" s="639" t="s">
        <v>283</v>
      </c>
      <c r="AI235" s="626" t="str">
        <f>IFERROR(VLOOKUP(AH235,Listas!$A$77:$C$83,2,FALSE),"Alerta: Seleccione primero el responsable")</f>
        <v>3550800</v>
      </c>
      <c r="AJ235" s="640" t="str">
        <f>IFERROR(VLOOKUP(AH235,Listas!$A$77:$C$83,3,FALSE),"Alerta: Seleccione primero el responsable")</f>
        <v>juan.acosta@idpc.gov.co</v>
      </c>
      <c r="AK235" s="640" t="str">
        <f>IF(J235="Funcionamiento Gastos Generales","No aplica",IF(J235="Funcionamiento Servicios Personales indirectos","No aplica",IFERROR(VLOOKUP(J235,Listas!$A$127:$E$139,3,FALSE),"Alerta: Seleccione la celda en la comumna B con el nombre del proyecto")))</f>
        <v>ME20181110</v>
      </c>
      <c r="AL235" s="640" t="str">
        <f>IF(J235="Funcionamiento Gastos Generales","No aplica",IF(J235="Funcionamiento Servicios Personales","No aplica",IFERROR(VLOOKUP(J235,Listas!$A$220:$D$224,2,FALSE),"Alerta: Seleccione la celda en la comumna B con el nombre del proyecto")))</f>
        <v>COMP1110</v>
      </c>
      <c r="AM235" s="640" t="str">
        <f>IF(J235="Funcionamiento Gastos Generales","No aplica",IF(J235="Funcionamiento Servicios Personales","No aplica",IFERROR(VLOOKUP(J235,Listas!$A$220:$D$224,3,FALSE),"Alerta: Seleccione la celda en la comumna B con el nombre del proyecto")))</f>
        <v>CONC1110</v>
      </c>
      <c r="AN235" s="633" t="s">
        <v>789</v>
      </c>
      <c r="AO235" s="633" t="s">
        <v>124</v>
      </c>
      <c r="AP235" s="634" t="str">
        <f>IFERROR(VLOOKUP(J235,Listas!$A$182:$E$215,5,FALSE),"Alerta: Seleccione la celda en la comumna B con el nombre del proyecto")</f>
        <v>10. Procesos articulados dentro del sistema integrado de gestión.</v>
      </c>
      <c r="AQ235" s="634" t="str">
        <f>IF(J235="Funcionamiento Gastos Generales","No aplica",IF(J235="Funcionamiento Servicios Personales","No aplica",IFERROR(VLOOKUP(J235,Listas!$A$220:$D$224,4,FALSE),"Alerta: Seleccione la celda en la comumna B con el nombre del proyecto")))</f>
        <v>FONT1110</v>
      </c>
      <c r="AR235" s="633" t="s">
        <v>198</v>
      </c>
      <c r="AS235" s="634" t="str">
        <f>IFERROR(VLOOKUP(AU235,Listas!$E$85:$L$105,7,FALSE),"Alerta: Seleccione la celda en la comumna AI con el concepto de gasto")</f>
        <v>05-ADMINISTRACION INSTITUCIONAL</v>
      </c>
      <c r="AT235" s="634" t="str">
        <f>IFERROR(VLOOKUP(AU235,Listas!$E$85:$L$105,8,FALSE),"Alerta: Seleccione la celda en la comumna AI con el concepto de gasto")</f>
        <v>02-ADMINISTRACIÓN, CONTROL Y ORGANIZACIÓN INSTITUCIONAL PARA APOYO A LA GESTIÓN DEL DISTRITO</v>
      </c>
      <c r="AU235" s="633" t="s">
        <v>243</v>
      </c>
      <c r="AV235" s="634">
        <f>IFERROR(VLOOKUP(AU235,Listas!$E$85:$F$105,2,FALSE),"Alerta: Seleccione el Concepto de Gasto primero")</f>
        <v>0</v>
      </c>
      <c r="AW235" s="644">
        <v>33300000</v>
      </c>
      <c r="AX235" s="645"/>
      <c r="AY235" s="645"/>
      <c r="AZ235" s="645"/>
      <c r="BA235" s="646">
        <f t="shared" si="85"/>
        <v>33300000</v>
      </c>
      <c r="BB235" s="647"/>
      <c r="BC235" s="648"/>
      <c r="BD235" s="649"/>
      <c r="BE235" s="647"/>
      <c r="BF235" s="644"/>
      <c r="BG235" s="646">
        <f t="shared" si="86"/>
        <v>33300000</v>
      </c>
      <c r="BH235" s="650"/>
      <c r="BI235" s="647"/>
      <c r="BJ235" s="644"/>
      <c r="BK235" s="646">
        <f t="shared" si="87"/>
        <v>0</v>
      </c>
      <c r="BL235" s="651"/>
      <c r="BM235" s="652">
        <f t="shared" si="88"/>
        <v>1</v>
      </c>
      <c r="BN235" s="628"/>
      <c r="BO235" s="670"/>
      <c r="BP235" s="644"/>
      <c r="BQ235" s="644"/>
      <c r="BR235" s="644"/>
      <c r="BS235" s="644"/>
      <c r="BT235" s="644"/>
      <c r="BU235" s="644"/>
      <c r="BV235" s="644"/>
      <c r="BW235" s="644"/>
      <c r="BX235" s="644"/>
      <c r="BY235" s="644"/>
      <c r="BZ235" s="644"/>
      <c r="CA235" s="644"/>
      <c r="CB235" s="646">
        <f t="shared" si="89"/>
        <v>0</v>
      </c>
      <c r="CC235" s="646">
        <f t="shared" si="90"/>
        <v>0</v>
      </c>
      <c r="CD235" s="614"/>
    </row>
    <row r="236" spans="1:82" s="561" customFormat="1" ht="61.5" customHeight="1">
      <c r="A236" s="625" t="str">
        <f t="shared" si="72"/>
        <v>1110-185-FONT1110-05-02-0020-Personal de apoyo transversal a la gestión institucional</v>
      </c>
      <c r="B236" s="626" t="str">
        <f t="shared" si="73"/>
        <v>1110-185-FONT1110-05-02-0020</v>
      </c>
      <c r="C236" s="626" t="str">
        <f t="shared" si="74"/>
        <v>1110-185-FONT1110-Personal de apoyo transversal a la gestión institucional</v>
      </c>
      <c r="D236" s="626" t="str">
        <f t="shared" si="75"/>
        <v>1110-185-12-Otros Distrito-05-02-0020</v>
      </c>
      <c r="E236" s="626" t="str">
        <f t="shared" si="76"/>
        <v>Personal de apoyo transversal a la gestión institucional-12-Otros Distrito-0020-Personal contratado para las actividades propias de los procesos de mejoramiento de gestión de la entidad</v>
      </c>
      <c r="F236" s="627">
        <v>191</v>
      </c>
      <c r="G236" s="628">
        <f t="shared" si="77"/>
        <v>191</v>
      </c>
      <c r="H236" s="629" t="b">
        <f t="shared" si="78"/>
        <v>0</v>
      </c>
      <c r="I236" s="630" t="s">
        <v>594</v>
      </c>
      <c r="J236" s="627" t="s">
        <v>178</v>
      </c>
      <c r="K236" s="631" t="str">
        <f>+IFERROR(VLOOKUP(J236,Listas!$A$108:$B$114,2,FALSE),"Alerta: Seleccione la celda en la comumna B con el nombre del proyecto")</f>
        <v>3-3-1-15-07-42-1110-185</v>
      </c>
      <c r="L236" s="632">
        <v>80111600</v>
      </c>
      <c r="M236" s="633" t="s">
        <v>789</v>
      </c>
      <c r="N236" s="634" t="str">
        <f t="shared" si="79"/>
        <v>(Cód. 191) Incrementar la sostenibilidad del sistema integrado de gestión, para prestar un mejor servicio en la atención a la ciudadanía.</v>
      </c>
      <c r="O236" s="635">
        <v>43480</v>
      </c>
      <c r="P236" s="636">
        <f>IFERROR(VLOOKUP(W236,'Estimación CRP'!$D$21:$E$30,2,FALSE),0)</f>
        <v>10</v>
      </c>
      <c r="Q236" s="637">
        <f>IF(O236="No aplica","No aplica",WORKDAY.INTL(O236,P236,1,'Estimación CRP'!A422:A438))</f>
        <v>43494</v>
      </c>
      <c r="R236" s="636">
        <f t="shared" si="80"/>
        <v>1</v>
      </c>
      <c r="S236" s="636">
        <f t="shared" si="81"/>
        <v>1</v>
      </c>
      <c r="T236" s="636">
        <f t="shared" si="82"/>
        <v>1</v>
      </c>
      <c r="U236" s="712">
        <v>11</v>
      </c>
      <c r="V236" s="638">
        <v>1</v>
      </c>
      <c r="W236" s="639" t="s">
        <v>274</v>
      </c>
      <c r="X236" s="640" t="str">
        <f>IFERROR(VLOOKUP(W236,Listas!$A$60:$B$73,2,FALSE),"Alerta: Seleccione primero Modalidad de selección")</f>
        <v>CCE-16</v>
      </c>
      <c r="Y236" s="641">
        <v>0</v>
      </c>
      <c r="Z236" s="641" t="s">
        <v>346</v>
      </c>
      <c r="AA236" s="641" t="s">
        <v>1263</v>
      </c>
      <c r="AB236" s="642">
        <f t="shared" si="83"/>
        <v>57200000</v>
      </c>
      <c r="AC236" s="642">
        <f t="shared" si="84"/>
        <v>57200000</v>
      </c>
      <c r="AD236" s="641">
        <v>0</v>
      </c>
      <c r="AE236" s="643">
        <v>0</v>
      </c>
      <c r="AF236" s="639" t="s">
        <v>276</v>
      </c>
      <c r="AG236" s="639" t="s">
        <v>277</v>
      </c>
      <c r="AH236" s="639" t="s">
        <v>285</v>
      </c>
      <c r="AI236" s="626" t="str">
        <f>IFERROR(VLOOKUP(AH236,Listas!$A$77:$C$83,2,FALSE),"Alerta: Seleccione primero el responsable")</f>
        <v>3550800</v>
      </c>
      <c r="AJ236" s="640" t="str">
        <f>IFERROR(VLOOKUP(AH236,Listas!$A$77:$C$83,3,FALSE),"Alerta: Seleccione primero el responsable")</f>
        <v>maria.villamil@idpc.gov.co</v>
      </c>
      <c r="AK236" s="640" t="str">
        <f>IF(J236="Funcionamiento Gastos Generales","No aplica",IF(J236="Funcionamiento Servicios Personales indirectos","No aplica",IFERROR(VLOOKUP(J236,Listas!$A$127:$E$139,3,FALSE),"Alerta: Seleccione la celda en la comumna B con el nombre del proyecto")))</f>
        <v>ME20181110</v>
      </c>
      <c r="AL236" s="640" t="str">
        <f>IF(J236="Funcionamiento Gastos Generales","No aplica",IF(J236="Funcionamiento Servicios Personales","No aplica",IFERROR(VLOOKUP(J236,Listas!$A$220:$D$224,2,FALSE),"Alerta: Seleccione la celda en la comumna B con el nombre del proyecto")))</f>
        <v>COMP1110</v>
      </c>
      <c r="AM236" s="640" t="str">
        <f>IF(J236="Funcionamiento Gastos Generales","No aplica",IF(J236="Funcionamiento Servicios Personales","No aplica",IFERROR(VLOOKUP(J236,Listas!$A$220:$D$224,3,FALSE),"Alerta: Seleccione la celda en la comumna B con el nombre del proyecto")))</f>
        <v>CONC1110</v>
      </c>
      <c r="AN236" s="633" t="s">
        <v>789</v>
      </c>
      <c r="AO236" s="633" t="s">
        <v>124</v>
      </c>
      <c r="AP236" s="634" t="str">
        <f>IFERROR(VLOOKUP(J236,Listas!$A$182:$E$215,5,FALSE),"Alerta: Seleccione la celda en la comumna B con el nombre del proyecto")</f>
        <v>10. Procesos articulados dentro del sistema integrado de gestión.</v>
      </c>
      <c r="AQ236" s="634" t="str">
        <f>IF(J236="Funcionamiento Gastos Generales","No aplica",IF(J236="Funcionamiento Servicios Personales","No aplica",IFERROR(VLOOKUP(J236,Listas!$A$220:$D$224,4,FALSE),"Alerta: Seleccione la celda en la comumna B con el nombre del proyecto")))</f>
        <v>FONT1110</v>
      </c>
      <c r="AR236" s="633" t="s">
        <v>198</v>
      </c>
      <c r="AS236" s="634" t="str">
        <f>IFERROR(VLOOKUP(AU236,Listas!$E$85:$L$105,7,FALSE),"Alerta: Seleccione la celda en la comumna AI con el concepto de gasto")</f>
        <v>05-ADMINISTRACION INSTITUCIONAL</v>
      </c>
      <c r="AT236" s="634" t="str">
        <f>IFERROR(VLOOKUP(AU236,Listas!$E$85:$L$105,8,FALSE),"Alerta: Seleccione la celda en la comumna AI con el concepto de gasto")</f>
        <v>02-ADMINISTRACIÓN, CONTROL Y ORGANIZACIÓN INSTITUCIONAL PARA APOYO A LA GESTIÓN DEL DISTRITO</v>
      </c>
      <c r="AU236" s="633" t="s">
        <v>243</v>
      </c>
      <c r="AV236" s="634">
        <f>IFERROR(VLOOKUP(AU236,Listas!$E$85:$F$105,2,FALSE),"Alerta: Seleccione el Concepto de Gasto primero")</f>
        <v>0</v>
      </c>
      <c r="AW236" s="644">
        <v>57200000</v>
      </c>
      <c r="AX236" s="645"/>
      <c r="AY236" s="645"/>
      <c r="AZ236" s="645"/>
      <c r="BA236" s="646">
        <f t="shared" si="85"/>
        <v>57200000</v>
      </c>
      <c r="BB236" s="647"/>
      <c r="BC236" s="648"/>
      <c r="BD236" s="649"/>
      <c r="BE236" s="647"/>
      <c r="BF236" s="644"/>
      <c r="BG236" s="646">
        <f t="shared" si="86"/>
        <v>57200000</v>
      </c>
      <c r="BH236" s="650"/>
      <c r="BI236" s="647"/>
      <c r="BJ236" s="644"/>
      <c r="BK236" s="646">
        <f t="shared" si="87"/>
        <v>0</v>
      </c>
      <c r="BL236" s="651"/>
      <c r="BM236" s="652">
        <f t="shared" si="88"/>
        <v>1</v>
      </c>
      <c r="BN236" s="628"/>
      <c r="BO236" s="670"/>
      <c r="BP236" s="644"/>
      <c r="BQ236" s="644"/>
      <c r="BR236" s="644"/>
      <c r="BS236" s="644"/>
      <c r="BT236" s="644"/>
      <c r="BU236" s="644"/>
      <c r="BV236" s="644"/>
      <c r="BW236" s="644"/>
      <c r="BX236" s="644"/>
      <c r="BY236" s="644"/>
      <c r="BZ236" s="644"/>
      <c r="CA236" s="644"/>
      <c r="CB236" s="646">
        <f t="shared" si="89"/>
        <v>0</v>
      </c>
      <c r="CC236" s="646">
        <f t="shared" si="90"/>
        <v>0</v>
      </c>
      <c r="CD236" s="614"/>
    </row>
    <row r="237" spans="1:82" s="561" customFormat="1" ht="61.5" customHeight="1">
      <c r="A237" s="625" t="str">
        <f t="shared" si="72"/>
        <v>1110-185-FONT1110-05-02-0020-Personal de apoyo transversal a la gestión institucional</v>
      </c>
      <c r="B237" s="626" t="str">
        <f t="shared" si="73"/>
        <v>1110-185-FONT1110-05-02-0020</v>
      </c>
      <c r="C237" s="626" t="str">
        <f t="shared" si="74"/>
        <v>1110-185-FONT1110-Personal de apoyo transversal a la gestión institucional</v>
      </c>
      <c r="D237" s="626" t="str">
        <f t="shared" si="75"/>
        <v>1110-185-12-Otros Distrito-05-02-0020</v>
      </c>
      <c r="E237" s="626" t="str">
        <f t="shared" si="76"/>
        <v>Personal de apoyo transversal a la gestión institucional-12-Otros Distrito-0020-Personal contratado para las actividades propias de los procesos de mejoramiento de gestión de la entidad</v>
      </c>
      <c r="F237" s="627">
        <v>192</v>
      </c>
      <c r="G237" s="628">
        <f t="shared" si="77"/>
        <v>192</v>
      </c>
      <c r="H237" s="629" t="b">
        <f t="shared" si="78"/>
        <v>0</v>
      </c>
      <c r="I237" s="630" t="s">
        <v>594</v>
      </c>
      <c r="J237" s="627" t="s">
        <v>178</v>
      </c>
      <c r="K237" s="631" t="str">
        <f>+IFERROR(VLOOKUP(J237,Listas!$A$108:$B$114,2,FALSE),"Alerta: Seleccione la celda en la comumna B con el nombre del proyecto")</f>
        <v>3-3-1-15-07-42-1110-185</v>
      </c>
      <c r="L237" s="632">
        <v>80111600</v>
      </c>
      <c r="M237" s="633" t="s">
        <v>790</v>
      </c>
      <c r="N237" s="634" t="str">
        <f t="shared" si="79"/>
        <v>(Cód. 192) Prestar servicios profesionales al Instituto Distrital de Patrimonio Cultural en las actividades relacionadas con el mantenimiento preventivo y correctivo de los bienes muebles e inmuebles propiedad de la entidad.</v>
      </c>
      <c r="O237" s="635">
        <v>43480</v>
      </c>
      <c r="P237" s="636">
        <f>IFERROR(VLOOKUP(W237,'Estimación CRP'!$D$21:$E$30,2,FALSE),0)</f>
        <v>10</v>
      </c>
      <c r="Q237" s="637">
        <f>IF(O237="No aplica","No aplica",WORKDAY.INTL(O237,P237,1,'Estimación CRP'!A423:A439))</f>
        <v>43494</v>
      </c>
      <c r="R237" s="636">
        <f t="shared" si="80"/>
        <v>1</v>
      </c>
      <c r="S237" s="636">
        <f t="shared" si="81"/>
        <v>1</v>
      </c>
      <c r="T237" s="636">
        <f t="shared" si="82"/>
        <v>1</v>
      </c>
      <c r="U237" s="712">
        <v>11</v>
      </c>
      <c r="V237" s="638">
        <v>1</v>
      </c>
      <c r="W237" s="639" t="s">
        <v>274</v>
      </c>
      <c r="X237" s="640" t="str">
        <f>IFERROR(VLOOKUP(W237,Listas!$A$60:$B$73,2,FALSE),"Alerta: Seleccione primero Modalidad de selección")</f>
        <v>CCE-16</v>
      </c>
      <c r="Y237" s="641">
        <v>0</v>
      </c>
      <c r="Z237" s="641" t="s">
        <v>346</v>
      </c>
      <c r="AA237" s="641" t="s">
        <v>1264</v>
      </c>
      <c r="AB237" s="642">
        <f t="shared" si="83"/>
        <v>38729000</v>
      </c>
      <c r="AC237" s="642">
        <f t="shared" si="84"/>
        <v>38729000</v>
      </c>
      <c r="AD237" s="641">
        <v>0</v>
      </c>
      <c r="AE237" s="643">
        <v>0</v>
      </c>
      <c r="AF237" s="639" t="s">
        <v>276</v>
      </c>
      <c r="AG237" s="639" t="s">
        <v>277</v>
      </c>
      <c r="AH237" s="639" t="s">
        <v>283</v>
      </c>
      <c r="AI237" s="626" t="str">
        <f>IFERROR(VLOOKUP(AH237,Listas!$A$77:$C$83,2,FALSE),"Alerta: Seleccione primero el responsable")</f>
        <v>3550800</v>
      </c>
      <c r="AJ237" s="640" t="str">
        <f>IFERROR(VLOOKUP(AH237,Listas!$A$77:$C$83,3,FALSE),"Alerta: Seleccione primero el responsable")</f>
        <v>juan.acosta@idpc.gov.co</v>
      </c>
      <c r="AK237" s="640" t="str">
        <f>IF(J237="Funcionamiento Gastos Generales","No aplica",IF(J237="Funcionamiento Servicios Personales indirectos","No aplica",IFERROR(VLOOKUP(J237,Listas!$A$127:$E$139,3,FALSE),"Alerta: Seleccione la celda en la comumna B con el nombre del proyecto")))</f>
        <v>ME20181110</v>
      </c>
      <c r="AL237" s="640" t="str">
        <f>IF(J237="Funcionamiento Gastos Generales","No aplica",IF(J237="Funcionamiento Servicios Personales","No aplica",IFERROR(VLOOKUP(J237,Listas!$A$220:$D$224,2,FALSE),"Alerta: Seleccione la celda en la comumna B con el nombre del proyecto")))</f>
        <v>COMP1110</v>
      </c>
      <c r="AM237" s="640" t="str">
        <f>IF(J237="Funcionamiento Gastos Generales","No aplica",IF(J237="Funcionamiento Servicios Personales","No aplica",IFERROR(VLOOKUP(J237,Listas!$A$220:$D$224,3,FALSE),"Alerta: Seleccione la celda en la comumna B con el nombre del proyecto")))</f>
        <v>CONC1110</v>
      </c>
      <c r="AN237" s="633" t="s">
        <v>789</v>
      </c>
      <c r="AO237" s="633" t="s">
        <v>124</v>
      </c>
      <c r="AP237" s="634" t="str">
        <f>IFERROR(VLOOKUP(J237,Listas!$A$182:$E$215,5,FALSE),"Alerta: Seleccione la celda en la comumna B con el nombre del proyecto")</f>
        <v>10. Procesos articulados dentro del sistema integrado de gestión.</v>
      </c>
      <c r="AQ237" s="634" t="str">
        <f>IF(J237="Funcionamiento Gastos Generales","No aplica",IF(J237="Funcionamiento Servicios Personales","No aplica",IFERROR(VLOOKUP(J237,Listas!$A$220:$D$224,4,FALSE),"Alerta: Seleccione la celda en la comumna B con el nombre del proyecto")))</f>
        <v>FONT1110</v>
      </c>
      <c r="AR237" s="633" t="s">
        <v>198</v>
      </c>
      <c r="AS237" s="634" t="str">
        <f>IFERROR(VLOOKUP(AU237,Listas!$E$85:$L$105,7,FALSE),"Alerta: Seleccione la celda en la comumna AI con el concepto de gasto")</f>
        <v>05-ADMINISTRACION INSTITUCIONAL</v>
      </c>
      <c r="AT237" s="634" t="str">
        <f>IFERROR(VLOOKUP(AU237,Listas!$E$85:$L$105,8,FALSE),"Alerta: Seleccione la celda en la comumna AI con el concepto de gasto")</f>
        <v>02-ADMINISTRACIÓN, CONTROL Y ORGANIZACIÓN INSTITUCIONAL PARA APOYO A LA GESTIÓN DEL DISTRITO</v>
      </c>
      <c r="AU237" s="633" t="s">
        <v>243</v>
      </c>
      <c r="AV237" s="634">
        <f>IFERROR(VLOOKUP(AU237,Listas!$E$85:$F$105,2,FALSE),"Alerta: Seleccione el Concepto de Gasto primero")</f>
        <v>0</v>
      </c>
      <c r="AW237" s="644">
        <v>38729000</v>
      </c>
      <c r="AX237" s="645"/>
      <c r="AY237" s="645"/>
      <c r="AZ237" s="645"/>
      <c r="BA237" s="646">
        <f t="shared" si="85"/>
        <v>38729000</v>
      </c>
      <c r="BB237" s="647"/>
      <c r="BC237" s="648"/>
      <c r="BD237" s="649"/>
      <c r="BE237" s="647"/>
      <c r="BF237" s="644"/>
      <c r="BG237" s="646">
        <f t="shared" si="86"/>
        <v>38729000</v>
      </c>
      <c r="BH237" s="650"/>
      <c r="BI237" s="647"/>
      <c r="BJ237" s="644"/>
      <c r="BK237" s="646">
        <f t="shared" si="87"/>
        <v>0</v>
      </c>
      <c r="BL237" s="651"/>
      <c r="BM237" s="652">
        <f t="shared" si="88"/>
        <v>1</v>
      </c>
      <c r="BN237" s="628"/>
      <c r="BO237" s="670"/>
      <c r="BP237" s="644"/>
      <c r="BQ237" s="644"/>
      <c r="BR237" s="644"/>
      <c r="BS237" s="644"/>
      <c r="BT237" s="644"/>
      <c r="BU237" s="644"/>
      <c r="BV237" s="644"/>
      <c r="BW237" s="644"/>
      <c r="BX237" s="644"/>
      <c r="BY237" s="644"/>
      <c r="BZ237" s="644"/>
      <c r="CA237" s="644"/>
      <c r="CB237" s="646">
        <f t="shared" si="89"/>
        <v>0</v>
      </c>
      <c r="CC237" s="646">
        <f t="shared" si="90"/>
        <v>0</v>
      </c>
      <c r="CD237" s="614"/>
    </row>
    <row r="238" spans="1:82" s="561" customFormat="1" ht="61.5" customHeight="1">
      <c r="A238" s="625" t="str">
        <f t="shared" si="72"/>
        <v>1110-185-FONT1110-05-02-0020-Personal de apoyo transversal a la gestión institucional</v>
      </c>
      <c r="B238" s="626" t="str">
        <f t="shared" si="73"/>
        <v>1110-185-FONT1110-05-02-0020</v>
      </c>
      <c r="C238" s="626" t="str">
        <f t="shared" si="74"/>
        <v>1110-185-FONT1110-Personal de apoyo transversal a la gestión institucional</v>
      </c>
      <c r="D238" s="626" t="str">
        <f t="shared" si="75"/>
        <v>1110-185-21-Administrados de Libre Destinación-05-02-0020</v>
      </c>
      <c r="E238" s="626" t="str">
        <f t="shared" si="76"/>
        <v>Personal de apoyo transversal a la gestión institucional-21-Administrados de Libre Destinación-0020-Personal contratado para las actividades propias de los procesos de mejoramiento de gestión de la entidad</v>
      </c>
      <c r="F238" s="627">
        <v>193</v>
      </c>
      <c r="G238" s="628">
        <f t="shared" si="77"/>
        <v>193</v>
      </c>
      <c r="H238" s="629" t="b">
        <f t="shared" si="78"/>
        <v>0</v>
      </c>
      <c r="I238" s="630" t="s">
        <v>594</v>
      </c>
      <c r="J238" s="627" t="s">
        <v>178</v>
      </c>
      <c r="K238" s="631" t="str">
        <f>+IFERROR(VLOOKUP(J238,Listas!$A$108:$B$114,2,FALSE),"Alerta: Seleccione la celda en la comumna B con el nombre del proyecto")</f>
        <v>3-3-1-15-07-42-1110-185</v>
      </c>
      <c r="L238" s="632">
        <v>80111600</v>
      </c>
      <c r="M238" s="633" t="s">
        <v>790</v>
      </c>
      <c r="N238" s="634" t="str">
        <f t="shared" si="79"/>
        <v>(Cód. 193) Prestar servicios profesionales al Instituto Distrital de Patrimonio Cultural en las actividades relacionadas con el mantenimiento preventivo y correctivo de los bienes muebles e inmuebles propiedad de la entidad.</v>
      </c>
      <c r="O238" s="635">
        <v>43480</v>
      </c>
      <c r="P238" s="636">
        <f>IFERROR(VLOOKUP(W238,'Estimación CRP'!$D$21:$E$30,2,FALSE),0)</f>
        <v>10</v>
      </c>
      <c r="Q238" s="637">
        <f>IF(O238="No aplica","No aplica",WORKDAY.INTL(O238,P238,1,'Estimación CRP'!A424:A440))</f>
        <v>43494</v>
      </c>
      <c r="R238" s="636">
        <f t="shared" si="80"/>
        <v>1</v>
      </c>
      <c r="S238" s="636">
        <f t="shared" si="81"/>
        <v>1</v>
      </c>
      <c r="T238" s="636">
        <f t="shared" si="82"/>
        <v>1</v>
      </c>
      <c r="U238" s="712">
        <v>1</v>
      </c>
      <c r="V238" s="638">
        <v>1</v>
      </c>
      <c r="W238" s="639" t="s">
        <v>274</v>
      </c>
      <c r="X238" s="640" t="str">
        <f>IFERROR(VLOOKUP(W238,Listas!$A$60:$B$73,2,FALSE),"Alerta: Seleccione primero Modalidad de selección")</f>
        <v>CCE-16</v>
      </c>
      <c r="Y238" s="641">
        <v>0</v>
      </c>
      <c r="Z238" s="641" t="s">
        <v>346</v>
      </c>
      <c r="AA238" s="641" t="s">
        <v>1264</v>
      </c>
      <c r="AB238" s="642">
        <f t="shared" si="83"/>
        <v>1971000</v>
      </c>
      <c r="AC238" s="642">
        <f t="shared" si="84"/>
        <v>1971000</v>
      </c>
      <c r="AD238" s="641">
        <v>0</v>
      </c>
      <c r="AE238" s="643">
        <v>0</v>
      </c>
      <c r="AF238" s="639" t="s">
        <v>276</v>
      </c>
      <c r="AG238" s="639" t="s">
        <v>277</v>
      </c>
      <c r="AH238" s="639" t="s">
        <v>283</v>
      </c>
      <c r="AI238" s="626" t="str">
        <f>IFERROR(VLOOKUP(AH238,Listas!$A$77:$C$83,2,FALSE),"Alerta: Seleccione primero el responsable")</f>
        <v>3550800</v>
      </c>
      <c r="AJ238" s="640" t="str">
        <f>IFERROR(VLOOKUP(AH238,Listas!$A$77:$C$83,3,FALSE),"Alerta: Seleccione primero el responsable")</f>
        <v>juan.acosta@idpc.gov.co</v>
      </c>
      <c r="AK238" s="640" t="str">
        <f>IF(J238="Funcionamiento Gastos Generales","No aplica",IF(J238="Funcionamiento Servicios Personales indirectos","No aplica",IFERROR(VLOOKUP(J238,Listas!$A$127:$E$139,3,FALSE),"Alerta: Seleccione la celda en la comumna B con el nombre del proyecto")))</f>
        <v>ME20181110</v>
      </c>
      <c r="AL238" s="640" t="str">
        <f>IF(J238="Funcionamiento Gastos Generales","No aplica",IF(J238="Funcionamiento Servicios Personales","No aplica",IFERROR(VLOOKUP(J238,Listas!$A$220:$D$224,2,FALSE),"Alerta: Seleccione la celda en la comumna B con el nombre del proyecto")))</f>
        <v>COMP1110</v>
      </c>
      <c r="AM238" s="640" t="str">
        <f>IF(J238="Funcionamiento Gastos Generales","No aplica",IF(J238="Funcionamiento Servicios Personales","No aplica",IFERROR(VLOOKUP(J238,Listas!$A$220:$D$224,3,FALSE),"Alerta: Seleccione la celda en la comumna B con el nombre del proyecto")))</f>
        <v>CONC1110</v>
      </c>
      <c r="AN238" s="633" t="s">
        <v>789</v>
      </c>
      <c r="AO238" s="633" t="s">
        <v>124</v>
      </c>
      <c r="AP238" s="634" t="str">
        <f>IFERROR(VLOOKUP(J238,Listas!$A$182:$E$215,5,FALSE),"Alerta: Seleccione la celda en la comumna B con el nombre del proyecto")</f>
        <v>10. Procesos articulados dentro del sistema integrado de gestión.</v>
      </c>
      <c r="AQ238" s="634" t="str">
        <f>IF(J238="Funcionamiento Gastos Generales","No aplica",IF(J238="Funcionamiento Servicios Personales","No aplica",IFERROR(VLOOKUP(J238,Listas!$A$220:$D$224,4,FALSE),"Alerta: Seleccione la celda en la comumna B con el nombre del proyecto")))</f>
        <v>FONT1110</v>
      </c>
      <c r="AR238" s="633" t="s">
        <v>222</v>
      </c>
      <c r="AS238" s="634" t="str">
        <f>IFERROR(VLOOKUP(AU238,Listas!$E$85:$L$105,7,FALSE),"Alerta: Seleccione la celda en la comumna AI con el concepto de gasto")</f>
        <v>05-ADMINISTRACION INSTITUCIONAL</v>
      </c>
      <c r="AT238" s="634" t="str">
        <f>IFERROR(VLOOKUP(AU238,Listas!$E$85:$L$105,8,FALSE),"Alerta: Seleccione la celda en la comumna AI con el concepto de gasto")</f>
        <v>02-ADMINISTRACIÓN, CONTROL Y ORGANIZACIÓN INSTITUCIONAL PARA APOYO A LA GESTIÓN DEL DISTRITO</v>
      </c>
      <c r="AU238" s="633" t="s">
        <v>243</v>
      </c>
      <c r="AV238" s="634">
        <f>IFERROR(VLOOKUP(AU238,Listas!$E$85:$F$105,2,FALSE),"Alerta: Seleccione el Concepto de Gasto primero")</f>
        <v>0</v>
      </c>
      <c r="AW238" s="644">
        <v>1971000</v>
      </c>
      <c r="AX238" s="645"/>
      <c r="AY238" s="645"/>
      <c r="AZ238" s="645"/>
      <c r="BA238" s="646">
        <f t="shared" si="85"/>
        <v>1971000</v>
      </c>
      <c r="BB238" s="647"/>
      <c r="BC238" s="648"/>
      <c r="BD238" s="649"/>
      <c r="BE238" s="647"/>
      <c r="BF238" s="644"/>
      <c r="BG238" s="646">
        <f t="shared" si="86"/>
        <v>1971000</v>
      </c>
      <c r="BH238" s="650"/>
      <c r="BI238" s="647"/>
      <c r="BJ238" s="644"/>
      <c r="BK238" s="646">
        <f t="shared" si="87"/>
        <v>0</v>
      </c>
      <c r="BL238" s="651"/>
      <c r="BM238" s="652">
        <f t="shared" si="88"/>
        <v>1</v>
      </c>
      <c r="BN238" s="628"/>
      <c r="BO238" s="670"/>
      <c r="BP238" s="644"/>
      <c r="BQ238" s="644"/>
      <c r="BR238" s="644"/>
      <c r="BS238" s="644"/>
      <c r="BT238" s="644"/>
      <c r="BU238" s="644"/>
      <c r="BV238" s="644"/>
      <c r="BW238" s="644"/>
      <c r="BX238" s="644"/>
      <c r="BY238" s="644"/>
      <c r="BZ238" s="644"/>
      <c r="CA238" s="644"/>
      <c r="CB238" s="646">
        <f t="shared" si="89"/>
        <v>0</v>
      </c>
      <c r="CC238" s="646">
        <f t="shared" si="90"/>
        <v>0</v>
      </c>
      <c r="CD238" s="614"/>
    </row>
    <row r="239" spans="1:82" s="561" customFormat="1" ht="61.5" customHeight="1">
      <c r="A239" s="625" t="str">
        <f t="shared" si="72"/>
        <v>1110-185-FONT1110-05-02-0020-Personal de apoyo transversal a la gestión institucional</v>
      </c>
      <c r="B239" s="626" t="str">
        <f t="shared" si="73"/>
        <v>1110-185-FONT1110-05-02-0020</v>
      </c>
      <c r="C239" s="626" t="str">
        <f t="shared" si="74"/>
        <v>1110-185-FONT1110-Personal de apoyo transversal a la gestión institucional</v>
      </c>
      <c r="D239" s="626" t="str">
        <f t="shared" si="75"/>
        <v>1110-185-12-Otros Distrito-05-02-0020</v>
      </c>
      <c r="E239" s="626" t="str">
        <f t="shared" si="76"/>
        <v>Personal de apoyo transversal a la gestión institucional-12-Otros Distrito-0020-Personal contratado para las actividades propias de los procesos de mejoramiento de gestión de la entidad</v>
      </c>
      <c r="F239" s="627">
        <v>194</v>
      </c>
      <c r="G239" s="628">
        <f t="shared" si="77"/>
        <v>194</v>
      </c>
      <c r="H239" s="629" t="b">
        <f t="shared" si="78"/>
        <v>0</v>
      </c>
      <c r="I239" s="630" t="s">
        <v>594</v>
      </c>
      <c r="J239" s="627" t="s">
        <v>178</v>
      </c>
      <c r="K239" s="631" t="str">
        <f>+IFERROR(VLOOKUP(J239,Listas!$A$108:$B$114,2,FALSE),"Alerta: Seleccione la celda en la comumna B con el nombre del proyecto")</f>
        <v>3-3-1-15-07-42-1110-185</v>
      </c>
      <c r="L239" s="632">
        <v>80111600</v>
      </c>
      <c r="M239" s="633" t="s">
        <v>791</v>
      </c>
      <c r="N239" s="634" t="str">
        <f t="shared" si="79"/>
        <v>(Cód. 194) Prestar servicios profesionales al Instituto Distrital de Patrimonio Cultural, acompañando jurídicamente los procesos contractuales, así como la revisión, seguimiento y control de la gestión administrativa a cargo de la Subdirección de Gestión Corporativa.</v>
      </c>
      <c r="O239" s="635">
        <v>43480</v>
      </c>
      <c r="P239" s="636">
        <f>IFERROR(VLOOKUP(W239,'Estimación CRP'!$D$21:$E$30,2,FALSE),0)</f>
        <v>10</v>
      </c>
      <c r="Q239" s="637">
        <f>IF(O239="No aplica","No aplica",WORKDAY.INTL(O239,P239,1,'Estimación CRP'!A425:A441))</f>
        <v>43494</v>
      </c>
      <c r="R239" s="636">
        <f t="shared" si="80"/>
        <v>1</v>
      </c>
      <c r="S239" s="636">
        <f t="shared" si="81"/>
        <v>1</v>
      </c>
      <c r="T239" s="636">
        <f t="shared" si="82"/>
        <v>1</v>
      </c>
      <c r="U239" s="712">
        <v>11</v>
      </c>
      <c r="V239" s="638">
        <v>1</v>
      </c>
      <c r="W239" s="639" t="s">
        <v>274</v>
      </c>
      <c r="X239" s="640" t="str">
        <f>IFERROR(VLOOKUP(W239,Listas!$A$60:$B$73,2,FALSE),"Alerta: Seleccione primero Modalidad de selección")</f>
        <v>CCE-16</v>
      </c>
      <c r="Y239" s="641">
        <v>0</v>
      </c>
      <c r="Z239" s="641" t="s">
        <v>346</v>
      </c>
      <c r="AA239" s="641" t="s">
        <v>1265</v>
      </c>
      <c r="AB239" s="642">
        <f t="shared" si="83"/>
        <v>70290000</v>
      </c>
      <c r="AC239" s="642">
        <f t="shared" si="84"/>
        <v>70290000</v>
      </c>
      <c r="AD239" s="641">
        <v>0</v>
      </c>
      <c r="AE239" s="643">
        <v>0</v>
      </c>
      <c r="AF239" s="639" t="s">
        <v>276</v>
      </c>
      <c r="AG239" s="639" t="s">
        <v>277</v>
      </c>
      <c r="AH239" s="639" t="s">
        <v>283</v>
      </c>
      <c r="AI239" s="626" t="str">
        <f>IFERROR(VLOOKUP(AH239,Listas!$A$77:$C$83,2,FALSE),"Alerta: Seleccione primero el responsable")</f>
        <v>3550800</v>
      </c>
      <c r="AJ239" s="640" t="str">
        <f>IFERROR(VLOOKUP(AH239,Listas!$A$77:$C$83,3,FALSE),"Alerta: Seleccione primero el responsable")</f>
        <v>juan.acosta@idpc.gov.co</v>
      </c>
      <c r="AK239" s="640" t="str">
        <f>IF(J239="Funcionamiento Gastos Generales","No aplica",IF(J239="Funcionamiento Servicios Personales indirectos","No aplica",IFERROR(VLOOKUP(J239,Listas!$A$127:$E$139,3,FALSE),"Alerta: Seleccione la celda en la comumna B con el nombre del proyecto")))</f>
        <v>ME20181110</v>
      </c>
      <c r="AL239" s="640" t="str">
        <f>IF(J239="Funcionamiento Gastos Generales","No aplica",IF(J239="Funcionamiento Servicios Personales","No aplica",IFERROR(VLOOKUP(J239,Listas!$A$220:$D$224,2,FALSE),"Alerta: Seleccione la celda en la comumna B con el nombre del proyecto")))</f>
        <v>COMP1110</v>
      </c>
      <c r="AM239" s="640" t="str">
        <f>IF(J239="Funcionamiento Gastos Generales","No aplica",IF(J239="Funcionamiento Servicios Personales","No aplica",IFERROR(VLOOKUP(J239,Listas!$A$220:$D$224,3,FALSE),"Alerta: Seleccione la celda en la comumna B con el nombre del proyecto")))</f>
        <v>CONC1110</v>
      </c>
      <c r="AN239" s="633" t="s">
        <v>789</v>
      </c>
      <c r="AO239" s="633" t="s">
        <v>124</v>
      </c>
      <c r="AP239" s="634" t="str">
        <f>IFERROR(VLOOKUP(J239,Listas!$A$182:$E$215,5,FALSE),"Alerta: Seleccione la celda en la comumna B con el nombre del proyecto")</f>
        <v>10. Procesos articulados dentro del sistema integrado de gestión.</v>
      </c>
      <c r="AQ239" s="634" t="str">
        <f>IF(J239="Funcionamiento Gastos Generales","No aplica",IF(J239="Funcionamiento Servicios Personales","No aplica",IFERROR(VLOOKUP(J239,Listas!$A$220:$D$224,4,FALSE),"Alerta: Seleccione la celda en la comumna B con el nombre del proyecto")))</f>
        <v>FONT1110</v>
      </c>
      <c r="AR239" s="633" t="s">
        <v>198</v>
      </c>
      <c r="AS239" s="634" t="str">
        <f>IFERROR(VLOOKUP(AU239,Listas!$E$85:$L$105,7,FALSE),"Alerta: Seleccione la celda en la comumna AI con el concepto de gasto")</f>
        <v>05-ADMINISTRACION INSTITUCIONAL</v>
      </c>
      <c r="AT239" s="634" t="str">
        <f>IFERROR(VLOOKUP(AU239,Listas!$E$85:$L$105,8,FALSE),"Alerta: Seleccione la celda en la comumna AI con el concepto de gasto")</f>
        <v>02-ADMINISTRACIÓN, CONTROL Y ORGANIZACIÓN INSTITUCIONAL PARA APOYO A LA GESTIÓN DEL DISTRITO</v>
      </c>
      <c r="AU239" s="633" t="s">
        <v>243</v>
      </c>
      <c r="AV239" s="634">
        <f>IFERROR(VLOOKUP(AU239,Listas!$E$85:$F$105,2,FALSE),"Alerta: Seleccione el Concepto de Gasto primero")</f>
        <v>0</v>
      </c>
      <c r="AW239" s="644">
        <v>70290000</v>
      </c>
      <c r="AX239" s="645"/>
      <c r="AY239" s="645"/>
      <c r="AZ239" s="645"/>
      <c r="BA239" s="646">
        <f t="shared" si="85"/>
        <v>70290000</v>
      </c>
      <c r="BB239" s="647"/>
      <c r="BC239" s="648"/>
      <c r="BD239" s="649"/>
      <c r="BE239" s="647"/>
      <c r="BF239" s="644"/>
      <c r="BG239" s="646">
        <f t="shared" si="86"/>
        <v>70290000</v>
      </c>
      <c r="BH239" s="650"/>
      <c r="BI239" s="647"/>
      <c r="BJ239" s="644"/>
      <c r="BK239" s="646">
        <f t="shared" si="87"/>
        <v>0</v>
      </c>
      <c r="BL239" s="651"/>
      <c r="BM239" s="652">
        <f t="shared" si="88"/>
        <v>1</v>
      </c>
      <c r="BN239" s="628"/>
      <c r="BO239" s="670"/>
      <c r="BP239" s="644"/>
      <c r="BQ239" s="644"/>
      <c r="BR239" s="644"/>
      <c r="BS239" s="644"/>
      <c r="BT239" s="644"/>
      <c r="BU239" s="644"/>
      <c r="BV239" s="644"/>
      <c r="BW239" s="644"/>
      <c r="BX239" s="644"/>
      <c r="BY239" s="644"/>
      <c r="BZ239" s="644"/>
      <c r="CA239" s="644"/>
      <c r="CB239" s="646">
        <f t="shared" si="89"/>
        <v>0</v>
      </c>
      <c r="CC239" s="646">
        <f t="shared" si="90"/>
        <v>0</v>
      </c>
      <c r="CD239" s="614"/>
    </row>
    <row r="240" spans="1:82" s="561" customFormat="1" ht="61.5" customHeight="1">
      <c r="A240" s="625" t="str">
        <f t="shared" si="72"/>
        <v>1110-185-FONT1110-01-03-0020-Administración y mantenimiento de escenarios culturales</v>
      </c>
      <c r="B240" s="626" t="str">
        <f t="shared" si="73"/>
        <v>1110-185-FONT1110-01-03-0020</v>
      </c>
      <c r="C240" s="626" t="str">
        <f t="shared" si="74"/>
        <v>1110-185-FONT1110-Administración y mantenimiento de escenarios culturales</v>
      </c>
      <c r="D240" s="626" t="str">
        <f t="shared" si="75"/>
        <v>1110-185-12-Otros Distrito-01-03-0020</v>
      </c>
      <c r="E240" s="626" t="str">
        <f t="shared" si="76"/>
        <v>Administración y mantenimiento de escenarios culturales-12-Otros Distrito-0020-Mantenimiento y mejoramiento de la infraestructura cultural</v>
      </c>
      <c r="F240" s="627">
        <v>195</v>
      </c>
      <c r="G240" s="628">
        <f t="shared" si="77"/>
        <v>195</v>
      </c>
      <c r="H240" s="629" t="b">
        <f t="shared" si="78"/>
        <v>0</v>
      </c>
      <c r="I240" s="630" t="s">
        <v>594</v>
      </c>
      <c r="J240" s="627" t="s">
        <v>178</v>
      </c>
      <c r="K240" s="631" t="str">
        <f>+IFERROR(VLOOKUP(J240,Listas!$A$108:$B$114,2,FALSE),"Alerta: Seleccione la celda en la comumna B con el nombre del proyecto")</f>
        <v>3-3-1-15-07-42-1110-185</v>
      </c>
      <c r="L240" s="632">
        <v>84131501</v>
      </c>
      <c r="M240" s="633" t="s">
        <v>792</v>
      </c>
      <c r="N240" s="634" t="str">
        <f t="shared" si="79"/>
        <v>(Cód. 195) Contratar un programa de seguros que ampare los bienes e intereses patrimoniales del Instituto Distrital de Patrimonio Cultural y aquellos por los cuales sea o llegare a ser responsable.</v>
      </c>
      <c r="O240" s="635">
        <v>43586</v>
      </c>
      <c r="P240" s="636">
        <f>IFERROR(VLOOKUP(W240,'Estimación CRP'!$D$21:$E$30,2,FALSE),0)</f>
        <v>50</v>
      </c>
      <c r="Q240" s="637">
        <f>IF(O240="No aplica","No aplica",WORKDAY.INTL(O240,P240,1,'Estimación CRP'!A426:A442))</f>
        <v>43656</v>
      </c>
      <c r="R240" s="636">
        <f t="shared" si="80"/>
        <v>7</v>
      </c>
      <c r="S240" s="636">
        <f t="shared" si="81"/>
        <v>5</v>
      </c>
      <c r="T240" s="636">
        <f t="shared" si="82"/>
        <v>5</v>
      </c>
      <c r="U240" s="712">
        <v>8</v>
      </c>
      <c r="V240" s="638">
        <v>1</v>
      </c>
      <c r="W240" s="639" t="s">
        <v>258</v>
      </c>
      <c r="X240" s="640" t="str">
        <f>IFERROR(VLOOKUP(W240,Listas!$A$60:$B$73,2,FALSE),"Alerta: Seleccione primero Modalidad de selección")</f>
        <v>CCE-02</v>
      </c>
      <c r="Y240" s="641">
        <v>0</v>
      </c>
      <c r="Z240" s="641" t="s">
        <v>1266</v>
      </c>
      <c r="AA240" s="641" t="s">
        <v>1267</v>
      </c>
      <c r="AB240" s="642">
        <f t="shared" si="83"/>
        <v>199775000</v>
      </c>
      <c r="AC240" s="642">
        <f t="shared" si="84"/>
        <v>199775000</v>
      </c>
      <c r="AD240" s="641">
        <v>0</v>
      </c>
      <c r="AE240" s="643">
        <v>0</v>
      </c>
      <c r="AF240" s="639" t="s">
        <v>276</v>
      </c>
      <c r="AG240" s="639" t="s">
        <v>277</v>
      </c>
      <c r="AH240" s="639" t="s">
        <v>283</v>
      </c>
      <c r="AI240" s="626" t="str">
        <f>IFERROR(VLOOKUP(AH240,Listas!$A$77:$C$83,2,FALSE),"Alerta: Seleccione primero el responsable")</f>
        <v>3550800</v>
      </c>
      <c r="AJ240" s="640" t="str">
        <f>IFERROR(VLOOKUP(AH240,Listas!$A$77:$C$83,3,FALSE),"Alerta: Seleccione primero el responsable")</f>
        <v>juan.acosta@idpc.gov.co</v>
      </c>
      <c r="AK240" s="640" t="str">
        <f>IF(J240="Funcionamiento Gastos Generales","No aplica",IF(J240="Funcionamiento Servicios Personales indirectos","No aplica",IFERROR(VLOOKUP(J240,Listas!$A$127:$E$139,3,FALSE),"Alerta: Seleccione la celda en la comumna B con el nombre del proyecto")))</f>
        <v>ME20181110</v>
      </c>
      <c r="AL240" s="640" t="str">
        <f>IF(J240="Funcionamiento Gastos Generales","No aplica",IF(J240="Funcionamiento Servicios Personales","No aplica",IFERROR(VLOOKUP(J240,Listas!$A$220:$D$224,2,FALSE),"Alerta: Seleccione la celda en la comumna B con el nombre del proyecto")))</f>
        <v>COMP1110</v>
      </c>
      <c r="AM240" s="640" t="str">
        <f>IF(J240="Funcionamiento Gastos Generales","No aplica",IF(J240="Funcionamiento Servicios Personales","No aplica",IFERROR(VLOOKUP(J240,Listas!$A$220:$D$224,3,FALSE),"Alerta: Seleccione la celda en la comumna B con el nombre del proyecto")))</f>
        <v>CONC1110</v>
      </c>
      <c r="AN240" s="633" t="s">
        <v>1049</v>
      </c>
      <c r="AO240" s="633" t="s">
        <v>1055</v>
      </c>
      <c r="AP240" s="634" t="str">
        <f>IFERROR(VLOOKUP(J240,Listas!$A$182:$E$215,5,FALSE),"Alerta: Seleccione la celda en la comumna B con el nombre del proyecto")</f>
        <v>10. Procesos articulados dentro del sistema integrado de gestión.</v>
      </c>
      <c r="AQ240" s="634" t="str">
        <f>IF(J240="Funcionamiento Gastos Generales","No aplica",IF(J240="Funcionamiento Servicios Personales","No aplica",IFERROR(VLOOKUP(J240,Listas!$A$220:$D$224,4,FALSE),"Alerta: Seleccione la celda en la comumna B con el nombre del proyecto")))</f>
        <v>FONT1110</v>
      </c>
      <c r="AR240" s="633" t="s">
        <v>198</v>
      </c>
      <c r="AS240" s="634" t="str">
        <f>IFERROR(VLOOKUP(AU240,Listas!$E$85:$L$105,7,FALSE),"Alerta: Seleccione la celda en la comumna AI con el concepto de gasto")</f>
        <v>01-INFRAESTRUCTURA</v>
      </c>
      <c r="AT240" s="634" t="str">
        <f>IFERROR(VLOOKUP(AU240,Listas!$E$85:$L$105,8,FALSE),"Alerta: Seleccione la celda en la comumna AI con el concepto de gasto")</f>
        <v>03-MEJORAMIENTO Y MANTENIMIENTO DE INFRAESTRUCTURA PROPIA DEL SECTOR</v>
      </c>
      <c r="AU240" s="633" t="s">
        <v>235</v>
      </c>
      <c r="AV240" s="634">
        <f>IFERROR(VLOOKUP(AU240,Listas!$E$85:$F$105,2,FALSE),"Alerta: Seleccione el Concepto de Gasto primero")</f>
        <v>1</v>
      </c>
      <c r="AW240" s="644">
        <v>199775000</v>
      </c>
      <c r="AX240" s="645"/>
      <c r="AY240" s="645"/>
      <c r="AZ240" s="645"/>
      <c r="BA240" s="646">
        <f t="shared" si="85"/>
        <v>199775000</v>
      </c>
      <c r="BB240" s="647"/>
      <c r="BC240" s="648"/>
      <c r="BD240" s="649"/>
      <c r="BE240" s="647"/>
      <c r="BF240" s="644"/>
      <c r="BG240" s="646">
        <f t="shared" si="86"/>
        <v>199775000</v>
      </c>
      <c r="BH240" s="650"/>
      <c r="BI240" s="647"/>
      <c r="BJ240" s="644"/>
      <c r="BK240" s="646">
        <f t="shared" si="87"/>
        <v>0</v>
      </c>
      <c r="BL240" s="651"/>
      <c r="BM240" s="652">
        <f t="shared" si="88"/>
        <v>1</v>
      </c>
      <c r="BN240" s="628"/>
      <c r="BO240" s="670"/>
      <c r="BP240" s="644"/>
      <c r="BQ240" s="644"/>
      <c r="BR240" s="644"/>
      <c r="BS240" s="644"/>
      <c r="BT240" s="644"/>
      <c r="BU240" s="644"/>
      <c r="BV240" s="644"/>
      <c r="BW240" s="644"/>
      <c r="BX240" s="644"/>
      <c r="BY240" s="644"/>
      <c r="BZ240" s="644"/>
      <c r="CA240" s="644"/>
      <c r="CB240" s="646">
        <f t="shared" si="89"/>
        <v>0</v>
      </c>
      <c r="CC240" s="646">
        <f t="shared" si="90"/>
        <v>0</v>
      </c>
      <c r="CD240" s="614"/>
    </row>
    <row r="241" spans="1:82" s="561" customFormat="1" ht="61.5" customHeight="1">
      <c r="A241" s="625" t="str">
        <f t="shared" si="72"/>
        <v>1110-185-FONT1110-01-03-0020-Administración y mantenimiento de escenarios culturales</v>
      </c>
      <c r="B241" s="626" t="str">
        <f t="shared" si="73"/>
        <v>1110-185-FONT1110-01-03-0020</v>
      </c>
      <c r="C241" s="626" t="str">
        <f t="shared" si="74"/>
        <v>1110-185-FONT1110-Administración y mantenimiento de escenarios culturales</v>
      </c>
      <c r="D241" s="626" t="str">
        <f t="shared" si="75"/>
        <v>1110-185-21-Administrados de Libre Destinación-01-03-0020</v>
      </c>
      <c r="E241" s="626" t="str">
        <f t="shared" si="76"/>
        <v>Administración y mantenimiento de escenarios culturales-21-Administrados de Libre Destinación-0020-Mantenimiento y mejoramiento de la infraestructura cultural</v>
      </c>
      <c r="F241" s="627">
        <v>195</v>
      </c>
      <c r="G241" s="628">
        <f t="shared" si="77"/>
        <v>195</v>
      </c>
      <c r="H241" s="629" t="b">
        <f t="shared" si="78"/>
        <v>1</v>
      </c>
      <c r="I241" s="630" t="s">
        <v>594</v>
      </c>
      <c r="J241" s="627" t="s">
        <v>178</v>
      </c>
      <c r="K241" s="631" t="str">
        <f>+IFERROR(VLOOKUP(J241,Listas!$A$108:$B$114,2,FALSE),"Alerta: Seleccione la celda en la comumna B con el nombre del proyecto")</f>
        <v>3-3-1-15-07-42-1110-185</v>
      </c>
      <c r="L241" s="632">
        <v>84131501</v>
      </c>
      <c r="M241" s="633" t="s">
        <v>792</v>
      </c>
      <c r="N241" s="634" t="str">
        <f t="shared" si="79"/>
        <v>(Cód. 195) Contratar un programa de seguros que ampare los bienes e intereses patrimoniales del Instituto Distrital de Patrimonio Cultural y aquellos por los cuales sea o llegare a ser responsable.</v>
      </c>
      <c r="O241" s="635">
        <v>43586</v>
      </c>
      <c r="P241" s="636">
        <f>IFERROR(VLOOKUP(W241,'Estimación CRP'!$D$21:$E$30,2,FALSE),0)</f>
        <v>50</v>
      </c>
      <c r="Q241" s="637">
        <f>IF(O241="No aplica","No aplica",WORKDAY.INTL(O241,P241,1,'Estimación CRP'!A427:A443))</f>
        <v>43656</v>
      </c>
      <c r="R241" s="636">
        <f t="shared" si="80"/>
        <v>7</v>
      </c>
      <c r="S241" s="636">
        <f t="shared" si="81"/>
        <v>5</v>
      </c>
      <c r="T241" s="636">
        <f t="shared" si="82"/>
        <v>5</v>
      </c>
      <c r="U241" s="712">
        <v>8</v>
      </c>
      <c r="V241" s="638">
        <v>1</v>
      </c>
      <c r="W241" s="639" t="s">
        <v>258</v>
      </c>
      <c r="X241" s="640" t="str">
        <f>IFERROR(VLOOKUP(W241,Listas!$A$60:$B$73,2,FALSE),"Alerta: Seleccione primero Modalidad de selección")</f>
        <v>CCE-02</v>
      </c>
      <c r="Y241" s="641">
        <v>0</v>
      </c>
      <c r="Z241" s="641" t="s">
        <v>1266</v>
      </c>
      <c r="AA241" s="641" t="s">
        <v>1267</v>
      </c>
      <c r="AB241" s="642">
        <f t="shared" si="83"/>
        <v>69775000</v>
      </c>
      <c r="AC241" s="642">
        <f t="shared" si="84"/>
        <v>69775000</v>
      </c>
      <c r="AD241" s="641">
        <v>0</v>
      </c>
      <c r="AE241" s="643">
        <v>0</v>
      </c>
      <c r="AF241" s="639" t="s">
        <v>276</v>
      </c>
      <c r="AG241" s="639" t="s">
        <v>277</v>
      </c>
      <c r="AH241" s="639" t="s">
        <v>283</v>
      </c>
      <c r="AI241" s="626" t="str">
        <f>IFERROR(VLOOKUP(AH241,Listas!$A$77:$C$83,2,FALSE),"Alerta: Seleccione primero el responsable")</f>
        <v>3550800</v>
      </c>
      <c r="AJ241" s="640" t="str">
        <f>IFERROR(VLOOKUP(AH241,Listas!$A$77:$C$83,3,FALSE),"Alerta: Seleccione primero el responsable")</f>
        <v>juan.acosta@idpc.gov.co</v>
      </c>
      <c r="AK241" s="640" t="str">
        <f>IF(J241="Funcionamiento Gastos Generales","No aplica",IF(J241="Funcionamiento Servicios Personales indirectos","No aplica",IFERROR(VLOOKUP(J241,Listas!$A$127:$E$139,3,FALSE),"Alerta: Seleccione la celda en la comumna B con el nombre del proyecto")))</f>
        <v>ME20181110</v>
      </c>
      <c r="AL241" s="640" t="str">
        <f>IF(J241="Funcionamiento Gastos Generales","No aplica",IF(J241="Funcionamiento Servicios Personales","No aplica",IFERROR(VLOOKUP(J241,Listas!$A$220:$D$224,2,FALSE),"Alerta: Seleccione la celda en la comumna B con el nombre del proyecto")))</f>
        <v>COMP1110</v>
      </c>
      <c r="AM241" s="640" t="str">
        <f>IF(J241="Funcionamiento Gastos Generales","No aplica",IF(J241="Funcionamiento Servicios Personales","No aplica",IFERROR(VLOOKUP(J241,Listas!$A$220:$D$224,3,FALSE),"Alerta: Seleccione la celda en la comumna B con el nombre del proyecto")))</f>
        <v>CONC1110</v>
      </c>
      <c r="AN241" s="633" t="s">
        <v>1049</v>
      </c>
      <c r="AO241" s="633" t="s">
        <v>1055</v>
      </c>
      <c r="AP241" s="634" t="str">
        <f>IFERROR(VLOOKUP(J241,Listas!$A$182:$E$215,5,FALSE),"Alerta: Seleccione la celda en la comumna B con el nombre del proyecto")</f>
        <v>10. Procesos articulados dentro del sistema integrado de gestión.</v>
      </c>
      <c r="AQ241" s="634" t="str">
        <f>IF(J241="Funcionamiento Gastos Generales","No aplica",IF(J241="Funcionamiento Servicios Personales","No aplica",IFERROR(VLOOKUP(J241,Listas!$A$220:$D$224,4,FALSE),"Alerta: Seleccione la celda en la comumna B con el nombre del proyecto")))</f>
        <v>FONT1110</v>
      </c>
      <c r="AR241" s="633" t="s">
        <v>222</v>
      </c>
      <c r="AS241" s="634" t="str">
        <f>IFERROR(VLOOKUP(AU241,Listas!$E$85:$L$105,7,FALSE),"Alerta: Seleccione la celda en la comumna AI con el concepto de gasto")</f>
        <v>01-INFRAESTRUCTURA</v>
      </c>
      <c r="AT241" s="634" t="str">
        <f>IFERROR(VLOOKUP(AU241,Listas!$E$85:$L$105,8,FALSE),"Alerta: Seleccione la celda en la comumna AI con el concepto de gasto")</f>
        <v>03-MEJORAMIENTO Y MANTENIMIENTO DE INFRAESTRUCTURA PROPIA DEL SECTOR</v>
      </c>
      <c r="AU241" s="633" t="s">
        <v>235</v>
      </c>
      <c r="AV241" s="634">
        <f>IFERROR(VLOOKUP(AU241,Listas!$E$85:$F$105,2,FALSE),"Alerta: Seleccione el Concepto de Gasto primero")</f>
        <v>1</v>
      </c>
      <c r="AW241" s="644">
        <v>69775000</v>
      </c>
      <c r="AX241" s="645"/>
      <c r="AY241" s="645"/>
      <c r="AZ241" s="645"/>
      <c r="BA241" s="646">
        <f t="shared" si="85"/>
        <v>69775000</v>
      </c>
      <c r="BB241" s="647"/>
      <c r="BC241" s="648"/>
      <c r="BD241" s="649"/>
      <c r="BE241" s="647"/>
      <c r="BF241" s="644"/>
      <c r="BG241" s="646">
        <f t="shared" si="86"/>
        <v>69775000</v>
      </c>
      <c r="BH241" s="650"/>
      <c r="BI241" s="647"/>
      <c r="BJ241" s="644"/>
      <c r="BK241" s="646">
        <f t="shared" si="87"/>
        <v>0</v>
      </c>
      <c r="BL241" s="651"/>
      <c r="BM241" s="652">
        <f t="shared" si="88"/>
        <v>1</v>
      </c>
      <c r="BN241" s="628"/>
      <c r="BO241" s="670"/>
      <c r="BP241" s="644"/>
      <c r="BQ241" s="644"/>
      <c r="BR241" s="644"/>
      <c r="BS241" s="644"/>
      <c r="BT241" s="644"/>
      <c r="BU241" s="644"/>
      <c r="BV241" s="644"/>
      <c r="BW241" s="644"/>
      <c r="BX241" s="644"/>
      <c r="BY241" s="644"/>
      <c r="BZ241" s="644"/>
      <c r="CA241" s="644"/>
      <c r="CB241" s="646">
        <f t="shared" si="89"/>
        <v>0</v>
      </c>
      <c r="CC241" s="646">
        <f t="shared" si="90"/>
        <v>0</v>
      </c>
      <c r="CD241" s="614"/>
    </row>
    <row r="242" spans="1:82" s="561" customFormat="1" ht="61.5" customHeight="1">
      <c r="A242" s="625" t="str">
        <f t="shared" si="72"/>
        <v>1110-185-FONT1110-01-03-0020-Administración y mantenimiento de escenarios culturales</v>
      </c>
      <c r="B242" s="626" t="str">
        <f t="shared" si="73"/>
        <v>1110-185-FONT1110-01-03-0020</v>
      </c>
      <c r="C242" s="626" t="str">
        <f t="shared" si="74"/>
        <v>1110-185-FONT1110-Administración y mantenimiento de escenarios culturales</v>
      </c>
      <c r="D242" s="626" t="str">
        <f t="shared" si="75"/>
        <v>1110-185-347-Rendimientos Financieros Destinación Específica-01-03-0020</v>
      </c>
      <c r="E242" s="626" t="str">
        <f t="shared" si="76"/>
        <v>Administración y mantenimiento de escenarios culturales-347-Rendimientos Financieros Destinación Específica-0020-Mantenimiento y mejoramiento de la infraestructura cultural</v>
      </c>
      <c r="F242" s="627">
        <v>195</v>
      </c>
      <c r="G242" s="628">
        <f t="shared" si="77"/>
        <v>195</v>
      </c>
      <c r="H242" s="629" t="b">
        <f t="shared" si="78"/>
        <v>1</v>
      </c>
      <c r="I242" s="630" t="s">
        <v>594</v>
      </c>
      <c r="J242" s="627" t="s">
        <v>178</v>
      </c>
      <c r="K242" s="631" t="str">
        <f>+IFERROR(VLOOKUP(J242,Listas!$A$108:$B$114,2,FALSE),"Alerta: Seleccione la celda en la comumna B con el nombre del proyecto")</f>
        <v>3-3-1-15-07-42-1110-185</v>
      </c>
      <c r="L242" s="632">
        <v>84131501</v>
      </c>
      <c r="M242" s="633" t="s">
        <v>792</v>
      </c>
      <c r="N242" s="634" t="str">
        <f t="shared" si="79"/>
        <v>(Cód. 195) Contratar un programa de seguros que ampare los bienes e intereses patrimoniales del Instituto Distrital de Patrimonio Cultural y aquellos por los cuales sea o llegare a ser responsable.</v>
      </c>
      <c r="O242" s="635">
        <v>43586</v>
      </c>
      <c r="P242" s="636">
        <f>IFERROR(VLOOKUP(W242,'Estimación CRP'!$D$21:$E$30,2,FALSE),0)</f>
        <v>50</v>
      </c>
      <c r="Q242" s="637">
        <f>IF(O242="No aplica","No aplica",WORKDAY.INTL(O242,P242,1,'Estimación CRP'!A428:A444))</f>
        <v>43656</v>
      </c>
      <c r="R242" s="636">
        <f t="shared" si="80"/>
        <v>7</v>
      </c>
      <c r="S242" s="636">
        <f t="shared" si="81"/>
        <v>5</v>
      </c>
      <c r="T242" s="636">
        <f t="shared" si="82"/>
        <v>5</v>
      </c>
      <c r="U242" s="712">
        <v>8</v>
      </c>
      <c r="V242" s="638">
        <v>1</v>
      </c>
      <c r="W242" s="639" t="s">
        <v>258</v>
      </c>
      <c r="X242" s="640" t="str">
        <f>IFERROR(VLOOKUP(W242,Listas!$A$60:$B$73,2,FALSE),"Alerta: Seleccione primero Modalidad de selección")</f>
        <v>CCE-02</v>
      </c>
      <c r="Y242" s="641">
        <v>0</v>
      </c>
      <c r="Z242" s="641" t="s">
        <v>1266</v>
      </c>
      <c r="AA242" s="641" t="s">
        <v>1267</v>
      </c>
      <c r="AB242" s="642">
        <f t="shared" si="83"/>
        <v>450000</v>
      </c>
      <c r="AC242" s="642">
        <f t="shared" si="84"/>
        <v>450000</v>
      </c>
      <c r="AD242" s="641">
        <v>0</v>
      </c>
      <c r="AE242" s="643">
        <v>0</v>
      </c>
      <c r="AF242" s="639" t="s">
        <v>276</v>
      </c>
      <c r="AG242" s="639" t="s">
        <v>277</v>
      </c>
      <c r="AH242" s="639" t="s">
        <v>283</v>
      </c>
      <c r="AI242" s="626" t="str">
        <f>IFERROR(VLOOKUP(AH242,Listas!$A$77:$C$83,2,FALSE),"Alerta: Seleccione primero el responsable")</f>
        <v>3550800</v>
      </c>
      <c r="AJ242" s="640" t="str">
        <f>IFERROR(VLOOKUP(AH242,Listas!$A$77:$C$83,3,FALSE),"Alerta: Seleccione primero el responsable")</f>
        <v>juan.acosta@idpc.gov.co</v>
      </c>
      <c r="AK242" s="640" t="str">
        <f>IF(J242="Funcionamiento Gastos Generales","No aplica",IF(J242="Funcionamiento Servicios Personales indirectos","No aplica",IFERROR(VLOOKUP(J242,Listas!$A$127:$E$139,3,FALSE),"Alerta: Seleccione la celda en la comumna B con el nombre del proyecto")))</f>
        <v>ME20181110</v>
      </c>
      <c r="AL242" s="640" t="str">
        <f>IF(J242="Funcionamiento Gastos Generales","No aplica",IF(J242="Funcionamiento Servicios Personales","No aplica",IFERROR(VLOOKUP(J242,Listas!$A$220:$D$224,2,FALSE),"Alerta: Seleccione la celda en la comumna B con el nombre del proyecto")))</f>
        <v>COMP1110</v>
      </c>
      <c r="AM242" s="640" t="str">
        <f>IF(J242="Funcionamiento Gastos Generales","No aplica",IF(J242="Funcionamiento Servicios Personales","No aplica",IFERROR(VLOOKUP(J242,Listas!$A$220:$D$224,3,FALSE),"Alerta: Seleccione la celda en la comumna B con el nombre del proyecto")))</f>
        <v>CONC1110</v>
      </c>
      <c r="AN242" s="633" t="s">
        <v>1049</v>
      </c>
      <c r="AO242" s="633" t="s">
        <v>1055</v>
      </c>
      <c r="AP242" s="634" t="str">
        <f>IFERROR(VLOOKUP(J242,Listas!$A$182:$E$215,5,FALSE),"Alerta: Seleccione la celda en la comumna B con el nombre del proyecto")</f>
        <v>10. Procesos articulados dentro del sistema integrado de gestión.</v>
      </c>
      <c r="AQ242" s="634" t="str">
        <f>IF(J242="Funcionamiento Gastos Generales","No aplica",IF(J242="Funcionamiento Servicios Personales","No aplica",IFERROR(VLOOKUP(J242,Listas!$A$220:$D$224,4,FALSE),"Alerta: Seleccione la celda en la comumna B con el nombre del proyecto")))</f>
        <v>FONT1110</v>
      </c>
      <c r="AR242" s="633" t="s">
        <v>1057</v>
      </c>
      <c r="AS242" s="634" t="str">
        <f>IFERROR(VLOOKUP(AU242,Listas!$E$85:$L$105,7,FALSE),"Alerta: Seleccione la celda en la comumna AI con el concepto de gasto")</f>
        <v>01-INFRAESTRUCTURA</v>
      </c>
      <c r="AT242" s="634" t="str">
        <f>IFERROR(VLOOKUP(AU242,Listas!$E$85:$L$105,8,FALSE),"Alerta: Seleccione la celda en la comumna AI con el concepto de gasto")</f>
        <v>03-MEJORAMIENTO Y MANTENIMIENTO DE INFRAESTRUCTURA PROPIA DEL SECTOR</v>
      </c>
      <c r="AU242" s="633" t="s">
        <v>235</v>
      </c>
      <c r="AV242" s="634">
        <f>IFERROR(VLOOKUP(AU242,Listas!$E$85:$F$105,2,FALSE),"Alerta: Seleccione el Concepto de Gasto primero")</f>
        <v>1</v>
      </c>
      <c r="AW242" s="644">
        <v>450000</v>
      </c>
      <c r="AX242" s="645"/>
      <c r="AY242" s="645"/>
      <c r="AZ242" s="645"/>
      <c r="BA242" s="646">
        <f t="shared" si="85"/>
        <v>450000</v>
      </c>
      <c r="BB242" s="647"/>
      <c r="BC242" s="648"/>
      <c r="BD242" s="649"/>
      <c r="BE242" s="647"/>
      <c r="BF242" s="644"/>
      <c r="BG242" s="646">
        <f t="shared" si="86"/>
        <v>450000</v>
      </c>
      <c r="BH242" s="650"/>
      <c r="BI242" s="647"/>
      <c r="BJ242" s="644"/>
      <c r="BK242" s="646">
        <f t="shared" si="87"/>
        <v>0</v>
      </c>
      <c r="BL242" s="651"/>
      <c r="BM242" s="652">
        <f t="shared" si="88"/>
        <v>1</v>
      </c>
      <c r="BN242" s="628"/>
      <c r="BO242" s="670"/>
      <c r="BP242" s="644"/>
      <c r="BQ242" s="644"/>
      <c r="BR242" s="644"/>
      <c r="BS242" s="644"/>
      <c r="BT242" s="644"/>
      <c r="BU242" s="644"/>
      <c r="BV242" s="644"/>
      <c r="BW242" s="644"/>
      <c r="BX242" s="644"/>
      <c r="BY242" s="644"/>
      <c r="BZ242" s="644"/>
      <c r="CA242" s="644"/>
      <c r="CB242" s="646">
        <f t="shared" si="89"/>
        <v>0</v>
      </c>
      <c r="CC242" s="646">
        <f t="shared" si="90"/>
        <v>0</v>
      </c>
      <c r="CD242" s="614"/>
    </row>
    <row r="243" spans="1:82" s="561" customFormat="1" ht="61.5" customHeight="1">
      <c r="A243" s="625" t="str">
        <f t="shared" si="72"/>
        <v>1110-185-FONT1110-05-02-0020-Personal de apoyo transversal a la gestión institucional</v>
      </c>
      <c r="B243" s="626" t="str">
        <f t="shared" si="73"/>
        <v>1110-185-FONT1110-05-02-0020</v>
      </c>
      <c r="C243" s="626" t="str">
        <f t="shared" si="74"/>
        <v>1110-185-FONT1110-Personal de apoyo transversal a la gestión institucional</v>
      </c>
      <c r="D243" s="626" t="str">
        <f t="shared" si="75"/>
        <v>1110-185-12-Otros Distrito-05-02-0020</v>
      </c>
      <c r="E243" s="626" t="str">
        <f t="shared" si="76"/>
        <v>Personal de apoyo transversal a la gestión institucional-12-Otros Distrito-0020-Personal contratado para las actividades propias de los procesos de mejoramiento de gestión de la entidad</v>
      </c>
      <c r="F243" s="627">
        <v>196</v>
      </c>
      <c r="G243" s="628">
        <f t="shared" si="77"/>
        <v>196</v>
      </c>
      <c r="H243" s="629" t="b">
        <f t="shared" si="78"/>
        <v>0</v>
      </c>
      <c r="I243" s="630" t="s">
        <v>594</v>
      </c>
      <c r="J243" s="627" t="s">
        <v>178</v>
      </c>
      <c r="K243" s="631" t="str">
        <f>+IFERROR(VLOOKUP(J243,Listas!$A$108:$B$114,2,FALSE),"Alerta: Seleccione la celda en la comumna B con el nombre del proyecto")</f>
        <v>3-3-1-15-07-42-1110-185</v>
      </c>
      <c r="L243" s="632">
        <v>80111600</v>
      </c>
      <c r="M243" s="633" t="s">
        <v>793</v>
      </c>
      <c r="N243" s="634" t="str">
        <f t="shared" si="79"/>
        <v>(Cód. 196) Prestar servicios de apoyo a la gestión al Instituto Distrital de Patrimonio Cultural en las actividades relacionadas con la implementación del SECOP II.</v>
      </c>
      <c r="O243" s="635">
        <v>43480</v>
      </c>
      <c r="P243" s="636">
        <f>IFERROR(VLOOKUP(W243,'Estimación CRP'!$D$21:$E$30,2,FALSE),0)</f>
        <v>10</v>
      </c>
      <c r="Q243" s="637">
        <f>IF(O243="No aplica","No aplica",WORKDAY.INTL(O243,P243,1,'Estimación CRP'!A429:A445))</f>
        <v>43494</v>
      </c>
      <c r="R243" s="636">
        <f t="shared" si="80"/>
        <v>1</v>
      </c>
      <c r="S243" s="636">
        <f t="shared" si="81"/>
        <v>1</v>
      </c>
      <c r="T243" s="636">
        <f t="shared" si="82"/>
        <v>1</v>
      </c>
      <c r="U243" s="712">
        <v>11</v>
      </c>
      <c r="V243" s="638">
        <v>1</v>
      </c>
      <c r="W243" s="639" t="s">
        <v>274</v>
      </c>
      <c r="X243" s="640" t="str">
        <f>IFERROR(VLOOKUP(W243,Listas!$A$60:$B$73,2,FALSE),"Alerta: Seleccione primero Modalidad de selección")</f>
        <v>CCE-16</v>
      </c>
      <c r="Y243" s="641">
        <v>0</v>
      </c>
      <c r="Z243" s="641" t="s">
        <v>346</v>
      </c>
      <c r="AA243" s="641" t="s">
        <v>1268</v>
      </c>
      <c r="AB243" s="642">
        <f t="shared" si="83"/>
        <v>38280000</v>
      </c>
      <c r="AC243" s="642">
        <f t="shared" si="84"/>
        <v>38280000</v>
      </c>
      <c r="AD243" s="641">
        <v>0</v>
      </c>
      <c r="AE243" s="643">
        <v>0</v>
      </c>
      <c r="AF243" s="639" t="s">
        <v>276</v>
      </c>
      <c r="AG243" s="639" t="s">
        <v>277</v>
      </c>
      <c r="AH243" s="639" t="s">
        <v>283</v>
      </c>
      <c r="AI243" s="626" t="str">
        <f>IFERROR(VLOOKUP(AH243,Listas!$A$77:$C$83,2,FALSE),"Alerta: Seleccione primero el responsable")</f>
        <v>3550800</v>
      </c>
      <c r="AJ243" s="640" t="str">
        <f>IFERROR(VLOOKUP(AH243,Listas!$A$77:$C$83,3,FALSE),"Alerta: Seleccione primero el responsable")</f>
        <v>juan.acosta@idpc.gov.co</v>
      </c>
      <c r="AK243" s="640" t="str">
        <f>IF(J243="Funcionamiento Gastos Generales","No aplica",IF(J243="Funcionamiento Servicios Personales indirectos","No aplica",IFERROR(VLOOKUP(J243,Listas!$A$127:$E$139,3,FALSE),"Alerta: Seleccione la celda en la comumna B con el nombre del proyecto")))</f>
        <v>ME20181110</v>
      </c>
      <c r="AL243" s="640" t="str">
        <f>IF(J243="Funcionamiento Gastos Generales","No aplica",IF(J243="Funcionamiento Servicios Personales","No aplica",IFERROR(VLOOKUP(J243,Listas!$A$220:$D$224,2,FALSE),"Alerta: Seleccione la celda en la comumna B con el nombre del proyecto")))</f>
        <v>COMP1110</v>
      </c>
      <c r="AM243" s="640" t="str">
        <f>IF(J243="Funcionamiento Gastos Generales","No aplica",IF(J243="Funcionamiento Servicios Personales","No aplica",IFERROR(VLOOKUP(J243,Listas!$A$220:$D$224,3,FALSE),"Alerta: Seleccione la celda en la comumna B con el nombre del proyecto")))</f>
        <v>CONC1110</v>
      </c>
      <c r="AN243" s="633" t="s">
        <v>789</v>
      </c>
      <c r="AO243" s="633" t="s">
        <v>124</v>
      </c>
      <c r="AP243" s="634" t="str">
        <f>IFERROR(VLOOKUP(J243,Listas!$A$182:$E$215,5,FALSE),"Alerta: Seleccione la celda en la comumna B con el nombre del proyecto")</f>
        <v>10. Procesos articulados dentro del sistema integrado de gestión.</v>
      </c>
      <c r="AQ243" s="634" t="str">
        <f>IF(J243="Funcionamiento Gastos Generales","No aplica",IF(J243="Funcionamiento Servicios Personales","No aplica",IFERROR(VLOOKUP(J243,Listas!$A$220:$D$224,4,FALSE),"Alerta: Seleccione la celda en la comumna B con el nombre del proyecto")))</f>
        <v>FONT1110</v>
      </c>
      <c r="AR243" s="633" t="s">
        <v>198</v>
      </c>
      <c r="AS243" s="634" t="str">
        <f>IFERROR(VLOOKUP(AU243,Listas!$E$85:$L$105,7,FALSE),"Alerta: Seleccione la celda en la comumna AI con el concepto de gasto")</f>
        <v>05-ADMINISTRACION INSTITUCIONAL</v>
      </c>
      <c r="AT243" s="634" t="str">
        <f>IFERROR(VLOOKUP(AU243,Listas!$E$85:$L$105,8,FALSE),"Alerta: Seleccione la celda en la comumna AI con el concepto de gasto")</f>
        <v>02-ADMINISTRACIÓN, CONTROL Y ORGANIZACIÓN INSTITUCIONAL PARA APOYO A LA GESTIÓN DEL DISTRITO</v>
      </c>
      <c r="AU243" s="633" t="s">
        <v>243</v>
      </c>
      <c r="AV243" s="634">
        <f>IFERROR(VLOOKUP(AU243,Listas!$E$85:$F$105,2,FALSE),"Alerta: Seleccione el Concepto de Gasto primero")</f>
        <v>0</v>
      </c>
      <c r="AW243" s="644">
        <v>38280000</v>
      </c>
      <c r="AX243" s="645"/>
      <c r="AY243" s="645"/>
      <c r="AZ243" s="645"/>
      <c r="BA243" s="646">
        <f t="shared" si="85"/>
        <v>38280000</v>
      </c>
      <c r="BB243" s="647"/>
      <c r="BC243" s="648"/>
      <c r="BD243" s="649"/>
      <c r="BE243" s="647"/>
      <c r="BF243" s="644"/>
      <c r="BG243" s="646">
        <f t="shared" si="86"/>
        <v>38280000</v>
      </c>
      <c r="BH243" s="650"/>
      <c r="BI243" s="647"/>
      <c r="BJ243" s="644"/>
      <c r="BK243" s="646">
        <f t="shared" si="87"/>
        <v>0</v>
      </c>
      <c r="BL243" s="651"/>
      <c r="BM243" s="652">
        <f t="shared" si="88"/>
        <v>1</v>
      </c>
      <c r="BN243" s="628"/>
      <c r="BO243" s="670"/>
      <c r="BP243" s="644"/>
      <c r="BQ243" s="644"/>
      <c r="BR243" s="644"/>
      <c r="BS243" s="644"/>
      <c r="BT243" s="644"/>
      <c r="BU243" s="644"/>
      <c r="BV243" s="644"/>
      <c r="BW243" s="644"/>
      <c r="BX243" s="644"/>
      <c r="BY243" s="644"/>
      <c r="BZ243" s="644"/>
      <c r="CA243" s="644"/>
      <c r="CB243" s="646">
        <f t="shared" si="89"/>
        <v>0</v>
      </c>
      <c r="CC243" s="646">
        <f t="shared" si="90"/>
        <v>0</v>
      </c>
      <c r="CD243" s="614"/>
    </row>
    <row r="244" spans="1:82" s="561" customFormat="1" ht="61.5" customHeight="1">
      <c r="A244" s="625" t="str">
        <f t="shared" si="72"/>
        <v>1110-185-FONT1110-01-03-0020-Administración y mantenimiento de escenarios culturales</v>
      </c>
      <c r="B244" s="626" t="str">
        <f t="shared" si="73"/>
        <v>1110-185-FONT1110-01-03-0020</v>
      </c>
      <c r="C244" s="626" t="str">
        <f t="shared" si="74"/>
        <v>1110-185-FONT1110-Administración y mantenimiento de escenarios culturales</v>
      </c>
      <c r="D244" s="626" t="str">
        <f t="shared" si="75"/>
        <v>1110-185-12-Otros Distrito-01-03-0020</v>
      </c>
      <c r="E244" s="626" t="str">
        <f t="shared" si="76"/>
        <v>Administración y mantenimiento de escenarios culturales-12-Otros Distrito-0020-Mantenimiento y mejoramiento de la infraestructura cultural</v>
      </c>
      <c r="F244" s="627">
        <v>197</v>
      </c>
      <c r="G244" s="628">
        <f t="shared" si="77"/>
        <v>197</v>
      </c>
      <c r="H244" s="629" t="b">
        <f t="shared" si="78"/>
        <v>0</v>
      </c>
      <c r="I244" s="630" t="s">
        <v>594</v>
      </c>
      <c r="J244" s="627" t="s">
        <v>178</v>
      </c>
      <c r="K244" s="631" t="str">
        <f>+IFERROR(VLOOKUP(J244,Listas!$A$108:$B$114,2,FALSE),"Alerta: Seleccione la celda en la comumna B con el nombre del proyecto")</f>
        <v>3-3-1-15-07-42-1110-185</v>
      </c>
      <c r="L244" s="632" t="s">
        <v>705</v>
      </c>
      <c r="M244" s="633" t="s">
        <v>706</v>
      </c>
      <c r="N244" s="634" t="str">
        <f t="shared" si="79"/>
        <v>(Cód. 197) Prestación de los servicios de vigilancia y seguridad privada, en la modalidad de vigilancia fija armada, con medios técnicos y tecnológicos, a los bienes muebles e inmuebles que conforman el patrimonio de la entidad y de los cuales es o llegare a ser legalmente responsable.</v>
      </c>
      <c r="O244" s="635">
        <v>43539</v>
      </c>
      <c r="P244" s="636">
        <f>IFERROR(VLOOKUP(W244,'Estimación CRP'!$D$21:$E$30,2,FALSE),0)</f>
        <v>50</v>
      </c>
      <c r="Q244" s="637">
        <f>IF(O244="No aplica","No aplica",WORKDAY.INTL(O244,P244,1,'Estimación CRP'!A430:A446))</f>
        <v>43609</v>
      </c>
      <c r="R244" s="636">
        <f t="shared" si="80"/>
        <v>5</v>
      </c>
      <c r="S244" s="636">
        <f t="shared" si="81"/>
        <v>3</v>
      </c>
      <c r="T244" s="636">
        <f t="shared" si="82"/>
        <v>3</v>
      </c>
      <c r="U244" s="712">
        <v>7</v>
      </c>
      <c r="V244" s="638">
        <v>1</v>
      </c>
      <c r="W244" s="639" t="s">
        <v>258</v>
      </c>
      <c r="X244" s="640" t="str">
        <f>IFERROR(VLOOKUP(W244,Listas!$A$60:$B$73,2,FALSE),"Alerta: Seleccione primero Modalidad de selección")</f>
        <v>CCE-02</v>
      </c>
      <c r="Y244" s="641">
        <v>0</v>
      </c>
      <c r="Z244" s="641" t="s">
        <v>1182</v>
      </c>
      <c r="AA244" s="641" t="s">
        <v>1269</v>
      </c>
      <c r="AB244" s="642">
        <f t="shared" si="83"/>
        <v>493789594</v>
      </c>
      <c r="AC244" s="642">
        <f t="shared" si="84"/>
        <v>493789594</v>
      </c>
      <c r="AD244" s="641">
        <v>0</v>
      </c>
      <c r="AE244" s="643">
        <v>0</v>
      </c>
      <c r="AF244" s="639" t="s">
        <v>276</v>
      </c>
      <c r="AG244" s="639" t="s">
        <v>277</v>
      </c>
      <c r="AH244" s="639" t="s">
        <v>283</v>
      </c>
      <c r="AI244" s="626" t="str">
        <f>IFERROR(VLOOKUP(AH244,Listas!$A$77:$C$83,2,FALSE),"Alerta: Seleccione primero el responsable")</f>
        <v>3550800</v>
      </c>
      <c r="AJ244" s="640" t="str">
        <f>IFERROR(VLOOKUP(AH244,Listas!$A$77:$C$83,3,FALSE),"Alerta: Seleccione primero el responsable")</f>
        <v>juan.acosta@idpc.gov.co</v>
      </c>
      <c r="AK244" s="640" t="str">
        <f>IF(J244="Funcionamiento Gastos Generales","No aplica",IF(J244="Funcionamiento Servicios Personales indirectos","No aplica",IFERROR(VLOOKUP(J244,Listas!$A$127:$E$139,3,FALSE),"Alerta: Seleccione la celda en la comumna B con el nombre del proyecto")))</f>
        <v>ME20181110</v>
      </c>
      <c r="AL244" s="640" t="str">
        <f>IF(J244="Funcionamiento Gastos Generales","No aplica",IF(J244="Funcionamiento Servicios Personales","No aplica",IFERROR(VLOOKUP(J244,Listas!$A$220:$D$224,2,FALSE),"Alerta: Seleccione la celda en la comumna B con el nombre del proyecto")))</f>
        <v>COMP1110</v>
      </c>
      <c r="AM244" s="640" t="str">
        <f>IF(J244="Funcionamiento Gastos Generales","No aplica",IF(J244="Funcionamiento Servicios Personales","No aplica",IFERROR(VLOOKUP(J244,Listas!$A$220:$D$224,3,FALSE),"Alerta: Seleccione la celda en la comumna B con el nombre del proyecto")))</f>
        <v>CONC1110</v>
      </c>
      <c r="AN244" s="633" t="s">
        <v>1049</v>
      </c>
      <c r="AO244" s="633" t="s">
        <v>1055</v>
      </c>
      <c r="AP244" s="634" t="str">
        <f>IFERROR(VLOOKUP(J244,Listas!$A$182:$E$215,5,FALSE),"Alerta: Seleccione la celda en la comumna B con el nombre del proyecto")</f>
        <v>10. Procesos articulados dentro del sistema integrado de gestión.</v>
      </c>
      <c r="AQ244" s="634" t="str">
        <f>IF(J244="Funcionamiento Gastos Generales","No aplica",IF(J244="Funcionamiento Servicios Personales","No aplica",IFERROR(VLOOKUP(J244,Listas!$A$220:$D$224,4,FALSE),"Alerta: Seleccione la celda en la comumna B con el nombre del proyecto")))</f>
        <v>FONT1110</v>
      </c>
      <c r="AR244" s="633" t="s">
        <v>198</v>
      </c>
      <c r="AS244" s="634" t="str">
        <f>IFERROR(VLOOKUP(AU244,Listas!$E$85:$L$105,7,FALSE),"Alerta: Seleccione la celda en la comumna AI con el concepto de gasto")</f>
        <v>01-INFRAESTRUCTURA</v>
      </c>
      <c r="AT244" s="634" t="str">
        <f>IFERROR(VLOOKUP(AU244,Listas!$E$85:$L$105,8,FALSE),"Alerta: Seleccione la celda en la comumna AI con el concepto de gasto")</f>
        <v>03-MEJORAMIENTO Y MANTENIMIENTO DE INFRAESTRUCTURA PROPIA DEL SECTOR</v>
      </c>
      <c r="AU244" s="633" t="s">
        <v>235</v>
      </c>
      <c r="AV244" s="634">
        <f>IFERROR(VLOOKUP(AU244,Listas!$E$85:$F$105,2,FALSE),"Alerta: Seleccione el Concepto de Gasto primero")</f>
        <v>1</v>
      </c>
      <c r="AW244" s="644">
        <v>493789594</v>
      </c>
      <c r="AX244" s="645"/>
      <c r="AY244" s="645"/>
      <c r="AZ244" s="645"/>
      <c r="BA244" s="646">
        <f t="shared" si="85"/>
        <v>493789594</v>
      </c>
      <c r="BB244" s="647"/>
      <c r="BC244" s="648"/>
      <c r="BD244" s="649"/>
      <c r="BE244" s="647"/>
      <c r="BF244" s="644"/>
      <c r="BG244" s="646">
        <f t="shared" si="86"/>
        <v>493789594</v>
      </c>
      <c r="BH244" s="650"/>
      <c r="BI244" s="647"/>
      <c r="BJ244" s="644"/>
      <c r="BK244" s="646">
        <f t="shared" si="87"/>
        <v>0</v>
      </c>
      <c r="BL244" s="651"/>
      <c r="BM244" s="652">
        <f t="shared" si="88"/>
        <v>1</v>
      </c>
      <c r="BN244" s="628"/>
      <c r="BO244" s="670"/>
      <c r="BP244" s="644"/>
      <c r="BQ244" s="644"/>
      <c r="BR244" s="644"/>
      <c r="BS244" s="644"/>
      <c r="BT244" s="644"/>
      <c r="BU244" s="644"/>
      <c r="BV244" s="644"/>
      <c r="BW244" s="644"/>
      <c r="BX244" s="644"/>
      <c r="BY244" s="644"/>
      <c r="BZ244" s="644"/>
      <c r="CA244" s="644"/>
      <c r="CB244" s="646">
        <f t="shared" si="89"/>
        <v>0</v>
      </c>
      <c r="CC244" s="646">
        <f t="shared" si="90"/>
        <v>0</v>
      </c>
      <c r="CD244" s="614"/>
    </row>
    <row r="245" spans="1:82" s="561" customFormat="1" ht="61.5" customHeight="1">
      <c r="A245" s="625" t="str">
        <f t="shared" si="72"/>
        <v>1110-185-FONT1110-01-03-0020-Administración y mantenimiento de escenarios culturales</v>
      </c>
      <c r="B245" s="626" t="str">
        <f t="shared" si="73"/>
        <v>1110-185-FONT1110-01-03-0020</v>
      </c>
      <c r="C245" s="626" t="str">
        <f t="shared" si="74"/>
        <v>1110-185-FONT1110-Administración y mantenimiento de escenarios culturales</v>
      </c>
      <c r="D245" s="626" t="str">
        <f t="shared" si="75"/>
        <v>1110-185-12-Otros Distrito-01-03-0020</v>
      </c>
      <c r="E245" s="626" t="str">
        <f t="shared" si="76"/>
        <v>Administración y mantenimiento de escenarios culturales-12-Otros Distrito-0020-Mantenimiento y mejoramiento de la infraestructura cultural</v>
      </c>
      <c r="F245" s="627">
        <v>198</v>
      </c>
      <c r="G245" s="628">
        <f t="shared" si="77"/>
        <v>198</v>
      </c>
      <c r="H245" s="629" t="b">
        <f t="shared" si="78"/>
        <v>0</v>
      </c>
      <c r="I245" s="630" t="s">
        <v>594</v>
      </c>
      <c r="J245" s="627" t="s">
        <v>178</v>
      </c>
      <c r="K245" s="631" t="str">
        <f>+IFERROR(VLOOKUP(J245,Listas!$A$108:$B$114,2,FALSE),"Alerta: Seleccione la celda en la comumna B con el nombre del proyecto")</f>
        <v>3-3-1-15-07-42-1110-185</v>
      </c>
      <c r="L245" s="632" t="s">
        <v>705</v>
      </c>
      <c r="M245" s="633" t="s">
        <v>794</v>
      </c>
      <c r="N245" s="634" t="str">
        <f t="shared" si="79"/>
        <v>(Cód. 198) Adición y prórroga del contrato 305 de 2018 que tiene por objeto: prestación de los servicios de vigilancia y seguridad privada, en la modalidad de vigilancia fija armada, con medios técnicos y tecnológicos, a los bienes muebles e inmuebles que conforman el patrimonio de la entidad y de los cuales es o llegare a ser legalmente responsable.</v>
      </c>
      <c r="O245" s="635">
        <v>43481</v>
      </c>
      <c r="P245" s="636">
        <f>IFERROR(VLOOKUP(W245,'Estimación CRP'!$D$21:$E$30,2,FALSE),0)</f>
        <v>50</v>
      </c>
      <c r="Q245" s="637">
        <f>IF(O245="No aplica","No aplica",WORKDAY.INTL(O245,P245,1,'Estimación CRP'!A431:A447))</f>
        <v>43551</v>
      </c>
      <c r="R245" s="636">
        <f t="shared" si="80"/>
        <v>3</v>
      </c>
      <c r="S245" s="636">
        <f t="shared" si="81"/>
        <v>1</v>
      </c>
      <c r="T245" s="636">
        <f t="shared" si="82"/>
        <v>1</v>
      </c>
      <c r="U245" s="712">
        <f>3*30+15</f>
        <v>105</v>
      </c>
      <c r="V245" s="638">
        <v>0</v>
      </c>
      <c r="W245" s="639" t="s">
        <v>258</v>
      </c>
      <c r="X245" s="640" t="str">
        <f>IFERROR(VLOOKUP(W245,Listas!$A$60:$B$73,2,FALSE),"Alerta: Seleccione primero Modalidad de selección")</f>
        <v>CCE-02</v>
      </c>
      <c r="Y245" s="641">
        <v>0</v>
      </c>
      <c r="Z245" s="641" t="s">
        <v>1270</v>
      </c>
      <c r="AA245" s="641" t="s">
        <v>1269</v>
      </c>
      <c r="AB245" s="642">
        <f t="shared" si="83"/>
        <v>206210406</v>
      </c>
      <c r="AC245" s="642">
        <f t="shared" si="84"/>
        <v>206210406</v>
      </c>
      <c r="AD245" s="641">
        <v>0</v>
      </c>
      <c r="AE245" s="643">
        <v>0</v>
      </c>
      <c r="AF245" s="639" t="s">
        <v>276</v>
      </c>
      <c r="AG245" s="639" t="s">
        <v>277</v>
      </c>
      <c r="AH245" s="639" t="s">
        <v>283</v>
      </c>
      <c r="AI245" s="626" t="str">
        <f>IFERROR(VLOOKUP(AH245,Listas!$A$77:$C$83,2,FALSE),"Alerta: Seleccione primero el responsable")</f>
        <v>3550800</v>
      </c>
      <c r="AJ245" s="640" t="str">
        <f>IFERROR(VLOOKUP(AH245,Listas!$A$77:$C$83,3,FALSE),"Alerta: Seleccione primero el responsable")</f>
        <v>juan.acosta@idpc.gov.co</v>
      </c>
      <c r="AK245" s="640" t="str">
        <f>IF(J245="Funcionamiento Gastos Generales","No aplica",IF(J245="Funcionamiento Servicios Personales indirectos","No aplica",IFERROR(VLOOKUP(J245,Listas!$A$127:$E$139,3,FALSE),"Alerta: Seleccione la celda en la comumna B con el nombre del proyecto")))</f>
        <v>ME20181110</v>
      </c>
      <c r="AL245" s="640" t="str">
        <f>IF(J245="Funcionamiento Gastos Generales","No aplica",IF(J245="Funcionamiento Servicios Personales","No aplica",IFERROR(VLOOKUP(J245,Listas!$A$220:$D$224,2,FALSE),"Alerta: Seleccione la celda en la comumna B con el nombre del proyecto")))</f>
        <v>COMP1110</v>
      </c>
      <c r="AM245" s="640" t="str">
        <f>IF(J245="Funcionamiento Gastos Generales","No aplica",IF(J245="Funcionamiento Servicios Personales","No aplica",IFERROR(VLOOKUP(J245,Listas!$A$220:$D$224,3,FALSE),"Alerta: Seleccione la celda en la comumna B con el nombre del proyecto")))</f>
        <v>CONC1110</v>
      </c>
      <c r="AN245" s="633" t="s">
        <v>1049</v>
      </c>
      <c r="AO245" s="633" t="s">
        <v>1055</v>
      </c>
      <c r="AP245" s="634" t="str">
        <f>IFERROR(VLOOKUP(J245,Listas!$A$182:$E$215,5,FALSE),"Alerta: Seleccione la celda en la comumna B con el nombre del proyecto")</f>
        <v>10. Procesos articulados dentro del sistema integrado de gestión.</v>
      </c>
      <c r="AQ245" s="634" t="str">
        <f>IF(J245="Funcionamiento Gastos Generales","No aplica",IF(J245="Funcionamiento Servicios Personales","No aplica",IFERROR(VLOOKUP(J245,Listas!$A$220:$D$224,4,FALSE),"Alerta: Seleccione la celda en la comumna B con el nombre del proyecto")))</f>
        <v>FONT1110</v>
      </c>
      <c r="AR245" s="633" t="s">
        <v>198</v>
      </c>
      <c r="AS245" s="634" t="str">
        <f>IFERROR(VLOOKUP(AU245,Listas!$E$85:$L$105,7,FALSE),"Alerta: Seleccione la celda en la comumna AI con el concepto de gasto")</f>
        <v>01-INFRAESTRUCTURA</v>
      </c>
      <c r="AT245" s="634" t="str">
        <f>IFERROR(VLOOKUP(AU245,Listas!$E$85:$L$105,8,FALSE),"Alerta: Seleccione la celda en la comumna AI con el concepto de gasto")</f>
        <v>03-MEJORAMIENTO Y MANTENIMIENTO DE INFRAESTRUCTURA PROPIA DEL SECTOR</v>
      </c>
      <c r="AU245" s="633" t="s">
        <v>235</v>
      </c>
      <c r="AV245" s="634">
        <f>IFERROR(VLOOKUP(AU245,Listas!$E$85:$F$105,2,FALSE),"Alerta: Seleccione el Concepto de Gasto primero")</f>
        <v>1</v>
      </c>
      <c r="AW245" s="644">
        <v>206210406</v>
      </c>
      <c r="AX245" s="645"/>
      <c r="AY245" s="645"/>
      <c r="AZ245" s="645"/>
      <c r="BA245" s="646">
        <f t="shared" si="85"/>
        <v>206210406</v>
      </c>
      <c r="BB245" s="647"/>
      <c r="BC245" s="648"/>
      <c r="BD245" s="649"/>
      <c r="BE245" s="647"/>
      <c r="BF245" s="644"/>
      <c r="BG245" s="646">
        <f t="shared" si="86"/>
        <v>206210406</v>
      </c>
      <c r="BH245" s="650"/>
      <c r="BI245" s="647"/>
      <c r="BJ245" s="644"/>
      <c r="BK245" s="646">
        <f t="shared" si="87"/>
        <v>0</v>
      </c>
      <c r="BL245" s="651"/>
      <c r="BM245" s="652">
        <f t="shared" si="88"/>
        <v>1</v>
      </c>
      <c r="BN245" s="628"/>
      <c r="BO245" s="670"/>
      <c r="BP245" s="644"/>
      <c r="BQ245" s="644"/>
      <c r="BR245" s="644"/>
      <c r="BS245" s="644"/>
      <c r="BT245" s="644"/>
      <c r="BU245" s="644"/>
      <c r="BV245" s="644"/>
      <c r="BW245" s="644"/>
      <c r="BX245" s="644"/>
      <c r="BY245" s="644"/>
      <c r="BZ245" s="644"/>
      <c r="CA245" s="644"/>
      <c r="CB245" s="646">
        <f t="shared" si="89"/>
        <v>0</v>
      </c>
      <c r="CC245" s="646">
        <f t="shared" si="90"/>
        <v>0</v>
      </c>
      <c r="CD245" s="614"/>
    </row>
    <row r="246" spans="1:82" s="561" customFormat="1" ht="61.5" customHeight="1">
      <c r="A246" s="625" t="str">
        <f t="shared" si="72"/>
        <v>1110-185-FONT1110-05-02-0020-Personal de apoyo transversal a la gestión institucional</v>
      </c>
      <c r="B246" s="626" t="str">
        <f t="shared" si="73"/>
        <v>1110-185-FONT1110-05-02-0020</v>
      </c>
      <c r="C246" s="626" t="str">
        <f t="shared" si="74"/>
        <v>1110-185-FONT1110-Personal de apoyo transversal a la gestión institucional</v>
      </c>
      <c r="D246" s="626" t="str">
        <f t="shared" si="75"/>
        <v>1110-185-12-Otros Distrito-05-02-0020</v>
      </c>
      <c r="E246" s="626" t="str">
        <f t="shared" si="76"/>
        <v>Personal de apoyo transversal a la gestión institucional-12-Otros Distrito-0020-Personal contratado para las actividades propias de los procesos de mejoramiento de gestión de la entidad</v>
      </c>
      <c r="F246" s="627">
        <v>199</v>
      </c>
      <c r="G246" s="628">
        <f t="shared" si="77"/>
        <v>199</v>
      </c>
      <c r="H246" s="629" t="b">
        <f t="shared" si="78"/>
        <v>0</v>
      </c>
      <c r="I246" s="630" t="s">
        <v>594</v>
      </c>
      <c r="J246" s="627" t="s">
        <v>178</v>
      </c>
      <c r="K246" s="631" t="str">
        <f>+IFERROR(VLOOKUP(J246,Listas!$A$108:$B$114,2,FALSE),"Alerta: Seleccione la celda en la comumna B con el nombre del proyecto")</f>
        <v>3-3-1-15-07-42-1110-185</v>
      </c>
      <c r="L246" s="632">
        <v>80111600</v>
      </c>
      <c r="M246" s="633" t="s">
        <v>795</v>
      </c>
      <c r="N246" s="634" t="str">
        <f t="shared" si="79"/>
        <v>(Cód. 199) Prestar servicios de apoyo a la gestión al Instituto Distrital de Patrimonio Cultural, en las actividades asistenciales que requiera la Asesoría Jurídica o quien haga sus veces.</v>
      </c>
      <c r="O246" s="635">
        <v>43480</v>
      </c>
      <c r="P246" s="636">
        <f>IFERROR(VLOOKUP(W246,'Estimación CRP'!$D$21:$E$30,2,FALSE),0)</f>
        <v>10</v>
      </c>
      <c r="Q246" s="637">
        <f>IF(O246="No aplica","No aplica",WORKDAY.INTL(O246,P246,1,'Estimación CRP'!A432:A448))</f>
        <v>43494</v>
      </c>
      <c r="R246" s="636">
        <f t="shared" si="80"/>
        <v>1</v>
      </c>
      <c r="S246" s="636">
        <f t="shared" si="81"/>
        <v>1</v>
      </c>
      <c r="T246" s="636">
        <f t="shared" si="82"/>
        <v>1</v>
      </c>
      <c r="U246" s="712">
        <v>11</v>
      </c>
      <c r="V246" s="638">
        <v>1</v>
      </c>
      <c r="W246" s="639" t="s">
        <v>274</v>
      </c>
      <c r="X246" s="640" t="str">
        <f>IFERROR(VLOOKUP(W246,Listas!$A$60:$B$73,2,FALSE),"Alerta: Seleccione primero Modalidad de selección")</f>
        <v>CCE-16</v>
      </c>
      <c r="Y246" s="641">
        <v>0</v>
      </c>
      <c r="Z246" s="641" t="s">
        <v>346</v>
      </c>
      <c r="AA246" s="641" t="s">
        <v>1271</v>
      </c>
      <c r="AB246" s="642">
        <f t="shared" si="83"/>
        <v>33550000</v>
      </c>
      <c r="AC246" s="642">
        <f t="shared" si="84"/>
        <v>33550000</v>
      </c>
      <c r="AD246" s="641">
        <v>0</v>
      </c>
      <c r="AE246" s="643">
        <v>0</v>
      </c>
      <c r="AF246" s="639" t="s">
        <v>276</v>
      </c>
      <c r="AG246" s="639" t="s">
        <v>277</v>
      </c>
      <c r="AH246" s="639" t="s">
        <v>283</v>
      </c>
      <c r="AI246" s="626" t="str">
        <f>IFERROR(VLOOKUP(AH246,Listas!$A$77:$C$83,2,FALSE),"Alerta: Seleccione primero el responsable")</f>
        <v>3550800</v>
      </c>
      <c r="AJ246" s="640" t="str">
        <f>IFERROR(VLOOKUP(AH246,Listas!$A$77:$C$83,3,FALSE),"Alerta: Seleccione primero el responsable")</f>
        <v>juan.acosta@idpc.gov.co</v>
      </c>
      <c r="AK246" s="640" t="str">
        <f>IF(J246="Funcionamiento Gastos Generales","No aplica",IF(J246="Funcionamiento Servicios Personales indirectos","No aplica",IFERROR(VLOOKUP(J246,Listas!$A$127:$E$139,3,FALSE),"Alerta: Seleccione la celda en la comumna B con el nombre del proyecto")))</f>
        <v>ME20181110</v>
      </c>
      <c r="AL246" s="640" t="str">
        <f>IF(J246="Funcionamiento Gastos Generales","No aplica",IF(J246="Funcionamiento Servicios Personales","No aplica",IFERROR(VLOOKUP(J246,Listas!$A$220:$D$224,2,FALSE),"Alerta: Seleccione la celda en la comumna B con el nombre del proyecto")))</f>
        <v>COMP1110</v>
      </c>
      <c r="AM246" s="640" t="str">
        <f>IF(J246="Funcionamiento Gastos Generales","No aplica",IF(J246="Funcionamiento Servicios Personales","No aplica",IFERROR(VLOOKUP(J246,Listas!$A$220:$D$224,3,FALSE),"Alerta: Seleccione la celda en la comumna B con el nombre del proyecto")))</f>
        <v>CONC1110</v>
      </c>
      <c r="AN246" s="633" t="s">
        <v>789</v>
      </c>
      <c r="AO246" s="633" t="s">
        <v>124</v>
      </c>
      <c r="AP246" s="634" t="str">
        <f>IFERROR(VLOOKUP(J246,Listas!$A$182:$E$215,5,FALSE),"Alerta: Seleccione la celda en la comumna B con el nombre del proyecto")</f>
        <v>10. Procesos articulados dentro del sistema integrado de gestión.</v>
      </c>
      <c r="AQ246" s="634" t="str">
        <f>IF(J246="Funcionamiento Gastos Generales","No aplica",IF(J246="Funcionamiento Servicios Personales","No aplica",IFERROR(VLOOKUP(J246,Listas!$A$220:$D$224,4,FALSE),"Alerta: Seleccione la celda en la comumna B con el nombre del proyecto")))</f>
        <v>FONT1110</v>
      </c>
      <c r="AR246" s="633" t="s">
        <v>198</v>
      </c>
      <c r="AS246" s="634" t="str">
        <f>IFERROR(VLOOKUP(AU246,Listas!$E$85:$L$105,7,FALSE),"Alerta: Seleccione la celda en la comumna AI con el concepto de gasto")</f>
        <v>05-ADMINISTRACION INSTITUCIONAL</v>
      </c>
      <c r="AT246" s="634" t="str">
        <f>IFERROR(VLOOKUP(AU246,Listas!$E$85:$L$105,8,FALSE),"Alerta: Seleccione la celda en la comumna AI con el concepto de gasto")</f>
        <v>02-ADMINISTRACIÓN, CONTROL Y ORGANIZACIÓN INSTITUCIONAL PARA APOYO A LA GESTIÓN DEL DISTRITO</v>
      </c>
      <c r="AU246" s="633" t="s">
        <v>243</v>
      </c>
      <c r="AV246" s="634">
        <f>IFERROR(VLOOKUP(AU246,Listas!$E$85:$F$105,2,FALSE),"Alerta: Seleccione el Concepto de Gasto primero")</f>
        <v>0</v>
      </c>
      <c r="AW246" s="644">
        <v>33550000</v>
      </c>
      <c r="AX246" s="645"/>
      <c r="AY246" s="645"/>
      <c r="AZ246" s="645"/>
      <c r="BA246" s="646">
        <f t="shared" si="85"/>
        <v>33550000</v>
      </c>
      <c r="BB246" s="647"/>
      <c r="BC246" s="648"/>
      <c r="BD246" s="649"/>
      <c r="BE246" s="647"/>
      <c r="BF246" s="644"/>
      <c r="BG246" s="646">
        <f t="shared" si="86"/>
        <v>33550000</v>
      </c>
      <c r="BH246" s="650"/>
      <c r="BI246" s="647"/>
      <c r="BJ246" s="644"/>
      <c r="BK246" s="646">
        <f t="shared" si="87"/>
        <v>0</v>
      </c>
      <c r="BL246" s="651"/>
      <c r="BM246" s="652">
        <f t="shared" si="88"/>
        <v>1</v>
      </c>
      <c r="BN246" s="628"/>
      <c r="BO246" s="670"/>
      <c r="BP246" s="644"/>
      <c r="BQ246" s="644"/>
      <c r="BR246" s="644"/>
      <c r="BS246" s="644"/>
      <c r="BT246" s="644"/>
      <c r="BU246" s="644"/>
      <c r="BV246" s="644"/>
      <c r="BW246" s="644"/>
      <c r="BX246" s="644"/>
      <c r="BY246" s="644"/>
      <c r="BZ246" s="644"/>
      <c r="CA246" s="644"/>
      <c r="CB246" s="646">
        <f t="shared" si="89"/>
        <v>0</v>
      </c>
      <c r="CC246" s="646">
        <f t="shared" si="90"/>
        <v>0</v>
      </c>
      <c r="CD246" s="614"/>
    </row>
    <row r="247" spans="1:82" s="561" customFormat="1" ht="61.5" customHeight="1">
      <c r="A247" s="625" t="str">
        <f t="shared" si="72"/>
        <v>1110-185-FONT1110-01-03-0020-Administración y mantenimiento de escenarios culturales</v>
      </c>
      <c r="B247" s="626" t="str">
        <f t="shared" si="73"/>
        <v>1110-185-FONT1110-01-03-0020</v>
      </c>
      <c r="C247" s="626" t="str">
        <f t="shared" si="74"/>
        <v>1110-185-FONT1110-Administración y mantenimiento de escenarios culturales</v>
      </c>
      <c r="D247" s="626" t="str">
        <f t="shared" si="75"/>
        <v>1110-185-12-Otros Distrito-01-03-0020</v>
      </c>
      <c r="E247" s="626" t="str">
        <f t="shared" si="76"/>
        <v>Administración y mantenimiento de escenarios culturales-12-Otros Distrito-0020-Mantenimiento y mejoramiento de la infraestructura cultural</v>
      </c>
      <c r="F247" s="627">
        <v>200</v>
      </c>
      <c r="G247" s="628">
        <f t="shared" si="77"/>
        <v>200</v>
      </c>
      <c r="H247" s="629" t="b">
        <f t="shared" si="78"/>
        <v>0</v>
      </c>
      <c r="I247" s="630" t="s">
        <v>594</v>
      </c>
      <c r="J247" s="627" t="s">
        <v>178</v>
      </c>
      <c r="K247" s="631" t="str">
        <f>+IFERROR(VLOOKUP(J247,Listas!$A$108:$B$114,2,FALSE),"Alerta: Seleccione la celda en la comumna B con el nombre del proyecto")</f>
        <v>3-3-1-15-07-42-1110-185</v>
      </c>
      <c r="L247" s="632" t="s">
        <v>796</v>
      </c>
      <c r="M247" s="633" t="s">
        <v>797</v>
      </c>
      <c r="N247" s="634" t="str">
        <f t="shared" si="79"/>
        <v>(Cód. 200) Contratar la prestación del servicio de mantenimiento preventivo y correctivo de bienes inmuebles propiedad y a cargo del Instituto Distrital de Patrimonio Cultural.</v>
      </c>
      <c r="O247" s="635">
        <v>43631</v>
      </c>
      <c r="P247" s="636">
        <f>IFERROR(VLOOKUP(W247,'Estimación CRP'!$D$21:$E$30,2,FALSE),0)</f>
        <v>50</v>
      </c>
      <c r="Q247" s="637">
        <f>IF(O247="No aplica","No aplica",WORKDAY.INTL(O247,P247,1,'Estimación CRP'!A433:A449))</f>
        <v>43700</v>
      </c>
      <c r="R247" s="636">
        <f t="shared" si="80"/>
        <v>8</v>
      </c>
      <c r="S247" s="636">
        <f t="shared" si="81"/>
        <v>6</v>
      </c>
      <c r="T247" s="636">
        <f t="shared" si="82"/>
        <v>6</v>
      </c>
      <c r="U247" s="712">
        <v>6</v>
      </c>
      <c r="V247" s="638">
        <v>1</v>
      </c>
      <c r="W247" s="639" t="s">
        <v>258</v>
      </c>
      <c r="X247" s="640" t="str">
        <f>IFERROR(VLOOKUP(W247,Listas!$A$60:$B$73,2,FALSE),"Alerta: Seleccione primero Modalidad de selección")</f>
        <v>CCE-02</v>
      </c>
      <c r="Y247" s="641">
        <v>0</v>
      </c>
      <c r="Z247" s="641" t="s">
        <v>346</v>
      </c>
      <c r="AA247" s="641"/>
      <c r="AB247" s="642">
        <f t="shared" si="83"/>
        <v>200000000</v>
      </c>
      <c r="AC247" s="642">
        <f t="shared" si="84"/>
        <v>200000000</v>
      </c>
      <c r="AD247" s="641">
        <v>0</v>
      </c>
      <c r="AE247" s="643">
        <v>0</v>
      </c>
      <c r="AF247" s="639" t="s">
        <v>276</v>
      </c>
      <c r="AG247" s="639" t="s">
        <v>277</v>
      </c>
      <c r="AH247" s="639" t="s">
        <v>283</v>
      </c>
      <c r="AI247" s="626" t="str">
        <f>IFERROR(VLOOKUP(AH247,Listas!$A$77:$C$83,2,FALSE),"Alerta: Seleccione primero el responsable")</f>
        <v>3550800</v>
      </c>
      <c r="AJ247" s="640" t="str">
        <f>IFERROR(VLOOKUP(AH247,Listas!$A$77:$C$83,3,FALSE),"Alerta: Seleccione primero el responsable")</f>
        <v>juan.acosta@idpc.gov.co</v>
      </c>
      <c r="AK247" s="640" t="str">
        <f>IF(J247="Funcionamiento Gastos Generales","No aplica",IF(J247="Funcionamiento Servicios Personales indirectos","No aplica",IFERROR(VLOOKUP(J247,Listas!$A$127:$E$139,3,FALSE),"Alerta: Seleccione la celda en la comumna B con el nombre del proyecto")))</f>
        <v>ME20181110</v>
      </c>
      <c r="AL247" s="640" t="str">
        <f>IF(J247="Funcionamiento Gastos Generales","No aplica",IF(J247="Funcionamiento Servicios Personales","No aplica",IFERROR(VLOOKUP(J247,Listas!$A$220:$D$224,2,FALSE),"Alerta: Seleccione la celda en la comumna B con el nombre del proyecto")))</f>
        <v>COMP1110</v>
      </c>
      <c r="AM247" s="640" t="str">
        <f>IF(J247="Funcionamiento Gastos Generales","No aplica",IF(J247="Funcionamiento Servicios Personales","No aplica",IFERROR(VLOOKUP(J247,Listas!$A$220:$D$224,3,FALSE),"Alerta: Seleccione la celda en la comumna B con el nombre del proyecto")))</f>
        <v>CONC1110</v>
      </c>
      <c r="AN247" s="633" t="s">
        <v>1049</v>
      </c>
      <c r="AO247" s="633" t="s">
        <v>1055</v>
      </c>
      <c r="AP247" s="634" t="str">
        <f>IFERROR(VLOOKUP(J247,Listas!$A$182:$E$215,5,FALSE),"Alerta: Seleccione la celda en la comumna B con el nombre del proyecto")</f>
        <v>10. Procesos articulados dentro del sistema integrado de gestión.</v>
      </c>
      <c r="AQ247" s="634" t="str">
        <f>IF(J247="Funcionamiento Gastos Generales","No aplica",IF(J247="Funcionamiento Servicios Personales","No aplica",IFERROR(VLOOKUP(J247,Listas!$A$220:$D$224,4,FALSE),"Alerta: Seleccione la celda en la comumna B con el nombre del proyecto")))</f>
        <v>FONT1110</v>
      </c>
      <c r="AR247" s="633" t="s">
        <v>198</v>
      </c>
      <c r="AS247" s="634" t="str">
        <f>IFERROR(VLOOKUP(AU247,Listas!$E$85:$L$105,7,FALSE),"Alerta: Seleccione la celda en la comumna AI con el concepto de gasto")</f>
        <v>01-INFRAESTRUCTURA</v>
      </c>
      <c r="AT247" s="634" t="str">
        <f>IFERROR(VLOOKUP(AU247,Listas!$E$85:$L$105,8,FALSE),"Alerta: Seleccione la celda en la comumna AI con el concepto de gasto")</f>
        <v>03-MEJORAMIENTO Y MANTENIMIENTO DE INFRAESTRUCTURA PROPIA DEL SECTOR</v>
      </c>
      <c r="AU247" s="633" t="s">
        <v>235</v>
      </c>
      <c r="AV247" s="634">
        <f>IFERROR(VLOOKUP(AU247,Listas!$E$85:$F$105,2,FALSE),"Alerta: Seleccione el Concepto de Gasto primero")</f>
        <v>1</v>
      </c>
      <c r="AW247" s="644">
        <v>200000000</v>
      </c>
      <c r="AX247" s="645"/>
      <c r="AY247" s="645"/>
      <c r="AZ247" s="645"/>
      <c r="BA247" s="646">
        <f t="shared" si="85"/>
        <v>200000000</v>
      </c>
      <c r="BB247" s="647"/>
      <c r="BC247" s="648"/>
      <c r="BD247" s="649"/>
      <c r="BE247" s="647"/>
      <c r="BF247" s="644"/>
      <c r="BG247" s="646">
        <f t="shared" si="86"/>
        <v>200000000</v>
      </c>
      <c r="BH247" s="650"/>
      <c r="BI247" s="647"/>
      <c r="BJ247" s="644"/>
      <c r="BK247" s="646">
        <f t="shared" si="87"/>
        <v>0</v>
      </c>
      <c r="BL247" s="651"/>
      <c r="BM247" s="652">
        <f t="shared" si="88"/>
        <v>1</v>
      </c>
      <c r="BN247" s="628"/>
      <c r="BO247" s="670"/>
      <c r="BP247" s="644"/>
      <c r="BQ247" s="644"/>
      <c r="BR247" s="644"/>
      <c r="BS247" s="644"/>
      <c r="BT247" s="644"/>
      <c r="BU247" s="644"/>
      <c r="BV247" s="644"/>
      <c r="BW247" s="644"/>
      <c r="BX247" s="644"/>
      <c r="BY247" s="644"/>
      <c r="BZ247" s="644"/>
      <c r="CA247" s="644"/>
      <c r="CB247" s="646">
        <f t="shared" si="89"/>
        <v>0</v>
      </c>
      <c r="CC247" s="646">
        <f t="shared" si="90"/>
        <v>0</v>
      </c>
      <c r="CD247" s="614"/>
    </row>
    <row r="248" spans="1:82" s="561" customFormat="1" ht="61.5" customHeight="1">
      <c r="A248" s="625" t="str">
        <f t="shared" si="72"/>
        <v>1110-185-FONT1110-02-03-0114-Adquisición de equipos, materiales y suministros</v>
      </c>
      <c r="B248" s="626" t="str">
        <f t="shared" si="73"/>
        <v>1110-185-FONT1110-02-03-0114</v>
      </c>
      <c r="C248" s="626" t="str">
        <f t="shared" si="74"/>
        <v>1110-185-FONT1110-Adquisición de equipos, materiales y suministros</v>
      </c>
      <c r="D248" s="626" t="str">
        <f t="shared" si="75"/>
        <v>1110-185-12-Otros Distrito-02-03-0114</v>
      </c>
      <c r="E248" s="626" t="str">
        <f t="shared" si="76"/>
        <v>Adquisición de equipos, materiales y suministros-12-Otros Distrito-0114-Adquisición de Equipos, materiales, suministros</v>
      </c>
      <c r="F248" s="627">
        <v>201</v>
      </c>
      <c r="G248" s="628">
        <f t="shared" si="77"/>
        <v>201</v>
      </c>
      <c r="H248" s="629" t="b">
        <f t="shared" si="78"/>
        <v>0</v>
      </c>
      <c r="I248" s="630" t="s">
        <v>594</v>
      </c>
      <c r="J248" s="627" t="s">
        <v>178</v>
      </c>
      <c r="K248" s="631" t="str">
        <f>+IFERROR(VLOOKUP(J248,Listas!$A$108:$B$114,2,FALSE),"Alerta: Seleccione la celda en la comumna B con el nombre del proyecto")</f>
        <v>3-3-1-15-07-42-1110-185</v>
      </c>
      <c r="L248" s="632" t="s">
        <v>798</v>
      </c>
      <c r="M248" s="633" t="s">
        <v>603</v>
      </c>
      <c r="N248" s="634" t="str">
        <f t="shared" si="79"/>
        <v>(Cód. 201) Adquisición de equipos de cómputo y periféricos requeridos para el desarrollo administrativo y misional del Instituto Distrital de Patrimonio Cultural.</v>
      </c>
      <c r="O248" s="635">
        <v>43539</v>
      </c>
      <c r="P248" s="636">
        <f>IFERROR(VLOOKUP(W248,'Estimación CRP'!$D$21:$E$30,2,FALSE),0)</f>
        <v>45</v>
      </c>
      <c r="Q248" s="637">
        <f>IF(O248="No aplica","No aplica",WORKDAY.INTL(O248,P248,1,'Estimación CRP'!A434:A450))</f>
        <v>43602</v>
      </c>
      <c r="R248" s="636">
        <f t="shared" si="80"/>
        <v>5</v>
      </c>
      <c r="S248" s="636">
        <f t="shared" si="81"/>
        <v>3</v>
      </c>
      <c r="T248" s="636">
        <f t="shared" si="82"/>
        <v>3</v>
      </c>
      <c r="U248" s="712">
        <v>1</v>
      </c>
      <c r="V248" s="638">
        <v>1</v>
      </c>
      <c r="W248" s="639" t="s">
        <v>347</v>
      </c>
      <c r="X248" s="640" t="str">
        <f>IFERROR(VLOOKUP(W248,Listas!$A$60:$B$73,2,FALSE),"Alerta: Seleccione primero Modalidad de selección")</f>
        <v>CCE-07</v>
      </c>
      <c r="Y248" s="641">
        <v>0</v>
      </c>
      <c r="Z248" s="641" t="s">
        <v>1069</v>
      </c>
      <c r="AA248" s="641"/>
      <c r="AB248" s="642">
        <f t="shared" si="83"/>
        <v>120000000</v>
      </c>
      <c r="AC248" s="642">
        <f t="shared" si="84"/>
        <v>120000000</v>
      </c>
      <c r="AD248" s="641">
        <v>0</v>
      </c>
      <c r="AE248" s="643">
        <v>0</v>
      </c>
      <c r="AF248" s="639" t="s">
        <v>276</v>
      </c>
      <c r="AG248" s="639" t="s">
        <v>277</v>
      </c>
      <c r="AH248" s="639" t="s">
        <v>283</v>
      </c>
      <c r="AI248" s="626" t="str">
        <f>IFERROR(VLOOKUP(AH248,Listas!$A$77:$C$83,2,FALSE),"Alerta: Seleccione primero el responsable")</f>
        <v>3550800</v>
      </c>
      <c r="AJ248" s="640" t="str">
        <f>IFERROR(VLOOKUP(AH248,Listas!$A$77:$C$83,3,FALSE),"Alerta: Seleccione primero el responsable")</f>
        <v>juan.acosta@idpc.gov.co</v>
      </c>
      <c r="AK248" s="640" t="str">
        <f>IF(J248="Funcionamiento Gastos Generales","No aplica",IF(J248="Funcionamiento Servicios Personales indirectos","No aplica",IFERROR(VLOOKUP(J248,Listas!$A$127:$E$139,3,FALSE),"Alerta: Seleccione la celda en la comumna B con el nombre del proyecto")))</f>
        <v>ME20181110</v>
      </c>
      <c r="AL248" s="640" t="str">
        <f>IF(J248="Funcionamiento Gastos Generales","No aplica",IF(J248="Funcionamiento Servicios Personales","No aplica",IFERROR(VLOOKUP(J248,Listas!$A$220:$D$224,2,FALSE),"Alerta: Seleccione la celda en la comumna B con el nombre del proyecto")))</f>
        <v>COMP1110</v>
      </c>
      <c r="AM248" s="640" t="str">
        <f>IF(J248="Funcionamiento Gastos Generales","No aplica",IF(J248="Funcionamiento Servicios Personales","No aplica",IFERROR(VLOOKUP(J248,Listas!$A$220:$D$224,3,FALSE),"Alerta: Seleccione la celda en la comumna B con el nombre del proyecto")))</f>
        <v>CONC1110</v>
      </c>
      <c r="AN248" s="633" t="s">
        <v>789</v>
      </c>
      <c r="AO248" s="633" t="s">
        <v>104</v>
      </c>
      <c r="AP248" s="634" t="str">
        <f>IFERROR(VLOOKUP(J248,Listas!$A$182:$E$215,5,FALSE),"Alerta: Seleccione la celda en la comumna B con el nombre del proyecto")</f>
        <v>10. Procesos articulados dentro del sistema integrado de gestión.</v>
      </c>
      <c r="AQ248" s="634" t="str">
        <f>IF(J248="Funcionamiento Gastos Generales","No aplica",IF(J248="Funcionamiento Servicios Personales","No aplica",IFERROR(VLOOKUP(J248,Listas!$A$220:$D$224,4,FALSE),"Alerta: Seleccione la celda en la comumna B con el nombre del proyecto")))</f>
        <v>FONT1110</v>
      </c>
      <c r="AR248" s="633" t="s">
        <v>198</v>
      </c>
      <c r="AS248" s="634" t="str">
        <f>IFERROR(VLOOKUP(AU248,Listas!$E$85:$L$105,7,FALSE),"Alerta: Seleccione la celda en la comumna AI con el concepto de gasto")</f>
        <v>02-DOTACION</v>
      </c>
      <c r="AT248" s="634" t="str">
        <f>IFERROR(VLOOKUP(AU248,Listas!$E$85:$L$105,8,FALSE),"Alerta: Seleccione la celda en la comumna AI con el concepto de gasto")</f>
        <v>03-ADQUISICIÓN DE EQUIPOS, MATERIALES, SUMINISTROS Y SERVICIOS ADMISTRATIVOS</v>
      </c>
      <c r="AU248" s="633" t="s">
        <v>239</v>
      </c>
      <c r="AV248" s="634">
        <f>IFERROR(VLOOKUP(AU248,Listas!$E$85:$F$105,2,FALSE),"Alerta: Seleccione el Concepto de Gasto primero")</f>
        <v>0</v>
      </c>
      <c r="AW248" s="644">
        <v>120000000</v>
      </c>
      <c r="AX248" s="645"/>
      <c r="AY248" s="645"/>
      <c r="AZ248" s="645"/>
      <c r="BA248" s="646">
        <f t="shared" si="85"/>
        <v>120000000</v>
      </c>
      <c r="BB248" s="647"/>
      <c r="BC248" s="648"/>
      <c r="BD248" s="649"/>
      <c r="BE248" s="647"/>
      <c r="BF248" s="644"/>
      <c r="BG248" s="646">
        <f t="shared" si="86"/>
        <v>120000000</v>
      </c>
      <c r="BH248" s="650"/>
      <c r="BI248" s="647"/>
      <c r="BJ248" s="644"/>
      <c r="BK248" s="646">
        <f t="shared" si="87"/>
        <v>0</v>
      </c>
      <c r="BL248" s="651"/>
      <c r="BM248" s="652">
        <f t="shared" si="88"/>
        <v>1</v>
      </c>
      <c r="BN248" s="628"/>
      <c r="BO248" s="670"/>
      <c r="BP248" s="644"/>
      <c r="BQ248" s="644"/>
      <c r="BR248" s="644"/>
      <c r="BS248" s="644"/>
      <c r="BT248" s="644"/>
      <c r="BU248" s="644"/>
      <c r="BV248" s="644"/>
      <c r="BW248" s="644"/>
      <c r="BX248" s="644"/>
      <c r="BY248" s="644"/>
      <c r="BZ248" s="644"/>
      <c r="CA248" s="644"/>
      <c r="CB248" s="646">
        <f t="shared" si="89"/>
        <v>0</v>
      </c>
      <c r="CC248" s="646">
        <f t="shared" si="90"/>
        <v>0</v>
      </c>
      <c r="CD248" s="614"/>
    </row>
    <row r="249" spans="1:82" s="561" customFormat="1" ht="61.5" customHeight="1">
      <c r="A249" s="625" t="str">
        <f t="shared" si="72"/>
        <v>1110-185-FONT1110-02-03-0114-Adquisición de equipos, materiales y suministros</v>
      </c>
      <c r="B249" s="626" t="str">
        <f t="shared" si="73"/>
        <v>1110-185-FONT1110-02-03-0114</v>
      </c>
      <c r="C249" s="626" t="str">
        <f t="shared" si="74"/>
        <v>1110-185-FONT1110-Adquisición de equipos, materiales y suministros</v>
      </c>
      <c r="D249" s="626" t="str">
        <f t="shared" si="75"/>
        <v>1110-185-12-Otros Distrito-02-03-0114</v>
      </c>
      <c r="E249" s="626" t="str">
        <f t="shared" si="76"/>
        <v>Adquisición de equipos, materiales y suministros-12-Otros Distrito-0114-Adquisición de Equipos, materiales, suministros</v>
      </c>
      <c r="F249" s="627">
        <v>202</v>
      </c>
      <c r="G249" s="628">
        <f t="shared" si="77"/>
        <v>202</v>
      </c>
      <c r="H249" s="629" t="b">
        <f t="shared" si="78"/>
        <v>0</v>
      </c>
      <c r="I249" s="630" t="s">
        <v>594</v>
      </c>
      <c r="J249" s="627" t="s">
        <v>178</v>
      </c>
      <c r="K249" s="631" t="str">
        <f>+IFERROR(VLOOKUP(J249,Listas!$A$108:$B$114,2,FALSE),"Alerta: Seleccione la celda en la comumna B con el nombre del proyecto")</f>
        <v>3-3-1-15-07-42-1110-185</v>
      </c>
      <c r="L249" s="632" t="s">
        <v>799</v>
      </c>
      <c r="M249" s="633" t="s">
        <v>800</v>
      </c>
      <c r="N249" s="634" t="str">
        <f t="shared" si="79"/>
        <v>(Cód. 202) Contratar el alquiler e instalación de computadores de escritorio con su respectiva configuración y puesta en funcionamiento en las instalaciones del Instituto Distrital de Patrimonio Cultural.</v>
      </c>
      <c r="O249" s="635">
        <v>43539</v>
      </c>
      <c r="P249" s="636">
        <f>IFERROR(VLOOKUP(W249,'Estimación CRP'!$D$21:$E$30,2,FALSE),0)</f>
        <v>10</v>
      </c>
      <c r="Q249" s="637">
        <f>IF(O249="No aplica","No aplica",WORKDAY.INTL(O249,P249,1,'Estimación CRP'!A435:A451))</f>
        <v>43553</v>
      </c>
      <c r="R249" s="636">
        <f t="shared" si="80"/>
        <v>3</v>
      </c>
      <c r="S249" s="636">
        <f t="shared" si="81"/>
        <v>3</v>
      </c>
      <c r="T249" s="636">
        <f t="shared" si="82"/>
        <v>3</v>
      </c>
      <c r="U249" s="712">
        <v>7</v>
      </c>
      <c r="V249" s="638">
        <v>1</v>
      </c>
      <c r="W249" s="639" t="s">
        <v>349</v>
      </c>
      <c r="X249" s="640" t="str">
        <f>IFERROR(VLOOKUP(W249,Listas!$A$60:$B$73,2,FALSE),"Alerta: Seleccione primero Modalidad de selección")</f>
        <v>CCE-99</v>
      </c>
      <c r="Y249" s="641">
        <v>0</v>
      </c>
      <c r="Z249" s="641" t="s">
        <v>1272</v>
      </c>
      <c r="AA249" s="641"/>
      <c r="AB249" s="642">
        <f t="shared" si="83"/>
        <v>38000000</v>
      </c>
      <c r="AC249" s="642">
        <f t="shared" si="84"/>
        <v>38000000</v>
      </c>
      <c r="AD249" s="641">
        <v>0</v>
      </c>
      <c r="AE249" s="643">
        <v>0</v>
      </c>
      <c r="AF249" s="639" t="s">
        <v>276</v>
      </c>
      <c r="AG249" s="639" t="s">
        <v>277</v>
      </c>
      <c r="AH249" s="639" t="s">
        <v>283</v>
      </c>
      <c r="AI249" s="626" t="str">
        <f>IFERROR(VLOOKUP(AH249,Listas!$A$77:$C$83,2,FALSE),"Alerta: Seleccione primero el responsable")</f>
        <v>3550800</v>
      </c>
      <c r="AJ249" s="640" t="str">
        <f>IFERROR(VLOOKUP(AH249,Listas!$A$77:$C$83,3,FALSE),"Alerta: Seleccione primero el responsable")</f>
        <v>juan.acosta@idpc.gov.co</v>
      </c>
      <c r="AK249" s="640" t="str">
        <f>IF(J249="Funcionamiento Gastos Generales","No aplica",IF(J249="Funcionamiento Servicios Personales indirectos","No aplica",IFERROR(VLOOKUP(J249,Listas!$A$127:$E$139,3,FALSE),"Alerta: Seleccione la celda en la comumna B con el nombre del proyecto")))</f>
        <v>ME20181110</v>
      </c>
      <c r="AL249" s="640" t="str">
        <f>IF(J249="Funcionamiento Gastos Generales","No aplica",IF(J249="Funcionamiento Servicios Personales","No aplica",IFERROR(VLOOKUP(J249,Listas!$A$220:$D$224,2,FALSE),"Alerta: Seleccione la celda en la comumna B con el nombre del proyecto")))</f>
        <v>COMP1110</v>
      </c>
      <c r="AM249" s="640" t="str">
        <f>IF(J249="Funcionamiento Gastos Generales","No aplica",IF(J249="Funcionamiento Servicios Personales","No aplica",IFERROR(VLOOKUP(J249,Listas!$A$220:$D$224,3,FALSE),"Alerta: Seleccione la celda en la comumna B con el nombre del proyecto")))</f>
        <v>CONC1110</v>
      </c>
      <c r="AN249" s="633" t="s">
        <v>789</v>
      </c>
      <c r="AO249" s="633" t="s">
        <v>104</v>
      </c>
      <c r="AP249" s="634" t="str">
        <f>IFERROR(VLOOKUP(J249,Listas!$A$182:$E$215,5,FALSE),"Alerta: Seleccione la celda en la comumna B con el nombre del proyecto")</f>
        <v>10. Procesos articulados dentro del sistema integrado de gestión.</v>
      </c>
      <c r="AQ249" s="634" t="str">
        <f>IF(J249="Funcionamiento Gastos Generales","No aplica",IF(J249="Funcionamiento Servicios Personales","No aplica",IFERROR(VLOOKUP(J249,Listas!$A$220:$D$224,4,FALSE),"Alerta: Seleccione la celda en la comumna B con el nombre del proyecto")))</f>
        <v>FONT1110</v>
      </c>
      <c r="AR249" s="633" t="s">
        <v>198</v>
      </c>
      <c r="AS249" s="634" t="str">
        <f>IFERROR(VLOOKUP(AU249,Listas!$E$85:$L$105,7,FALSE),"Alerta: Seleccione la celda en la comumna AI con el concepto de gasto")</f>
        <v>02-DOTACION</v>
      </c>
      <c r="AT249" s="634" t="str">
        <f>IFERROR(VLOOKUP(AU249,Listas!$E$85:$L$105,8,FALSE),"Alerta: Seleccione la celda en la comumna AI con el concepto de gasto")</f>
        <v>03-ADQUISICIÓN DE EQUIPOS, MATERIALES, SUMINISTROS Y SERVICIOS ADMISTRATIVOS</v>
      </c>
      <c r="AU249" s="633" t="s">
        <v>239</v>
      </c>
      <c r="AV249" s="634">
        <f>IFERROR(VLOOKUP(AU249,Listas!$E$85:$F$105,2,FALSE),"Alerta: Seleccione el Concepto de Gasto primero")</f>
        <v>0</v>
      </c>
      <c r="AW249" s="644">
        <v>38000000</v>
      </c>
      <c r="AX249" s="645"/>
      <c r="AY249" s="645"/>
      <c r="AZ249" s="645"/>
      <c r="BA249" s="646">
        <f t="shared" si="85"/>
        <v>38000000</v>
      </c>
      <c r="BB249" s="647"/>
      <c r="BC249" s="648"/>
      <c r="BD249" s="649"/>
      <c r="BE249" s="647"/>
      <c r="BF249" s="644"/>
      <c r="BG249" s="646">
        <f t="shared" si="86"/>
        <v>38000000</v>
      </c>
      <c r="BH249" s="650"/>
      <c r="BI249" s="647"/>
      <c r="BJ249" s="644"/>
      <c r="BK249" s="646">
        <f t="shared" si="87"/>
        <v>0</v>
      </c>
      <c r="BL249" s="651"/>
      <c r="BM249" s="652">
        <f t="shared" si="88"/>
        <v>1</v>
      </c>
      <c r="BN249" s="628"/>
      <c r="BO249" s="670"/>
      <c r="BP249" s="644"/>
      <c r="BQ249" s="644"/>
      <c r="BR249" s="644"/>
      <c r="BS249" s="644"/>
      <c r="BT249" s="644"/>
      <c r="BU249" s="644"/>
      <c r="BV249" s="644"/>
      <c r="BW249" s="644"/>
      <c r="BX249" s="644"/>
      <c r="BY249" s="644"/>
      <c r="BZ249" s="644"/>
      <c r="CA249" s="644"/>
      <c r="CB249" s="646">
        <f t="shared" si="89"/>
        <v>0</v>
      </c>
      <c r="CC249" s="646">
        <f t="shared" si="90"/>
        <v>0</v>
      </c>
      <c r="CD249" s="614"/>
    </row>
    <row r="250" spans="1:82" s="561" customFormat="1" ht="61.5" customHeight="1">
      <c r="A250" s="625" t="str">
        <f t="shared" si="72"/>
        <v>1110-185-FONT1110-02-03-0114-Adquisición de equipos, materiales y suministros</v>
      </c>
      <c r="B250" s="626" t="str">
        <f t="shared" si="73"/>
        <v>1110-185-FONT1110-02-03-0114</v>
      </c>
      <c r="C250" s="626" t="str">
        <f t="shared" si="74"/>
        <v>1110-185-FONT1110-Adquisición de equipos, materiales y suministros</v>
      </c>
      <c r="D250" s="626" t="str">
        <f t="shared" si="75"/>
        <v>1110-185-12-Otros Distrito-02-03-0114</v>
      </c>
      <c r="E250" s="626" t="str">
        <f t="shared" si="76"/>
        <v>Adquisición de equipos, materiales y suministros-12-Otros Distrito-0114-Adquisición de Equipos, materiales, suministros</v>
      </c>
      <c r="F250" s="627">
        <v>203</v>
      </c>
      <c r="G250" s="628">
        <f t="shared" si="77"/>
        <v>203</v>
      </c>
      <c r="H250" s="629" t="b">
        <f t="shared" si="78"/>
        <v>0</v>
      </c>
      <c r="I250" s="630" t="s">
        <v>594</v>
      </c>
      <c r="J250" s="627" t="s">
        <v>178</v>
      </c>
      <c r="K250" s="631" t="str">
        <f>+IFERROR(VLOOKUP(J250,Listas!$A$108:$B$114,2,FALSE),"Alerta: Seleccione la celda en la comumna B con el nombre del proyecto")</f>
        <v>3-3-1-15-07-42-1110-185</v>
      </c>
      <c r="L250" s="632" t="s">
        <v>799</v>
      </c>
      <c r="M250" s="633" t="s">
        <v>800</v>
      </c>
      <c r="N250" s="634" t="str">
        <f t="shared" si="79"/>
        <v>(Cód. 203) Contratar el alquiler e instalación de computadores de escritorio con su respectiva configuración y puesta en funcionamiento en las instalaciones del Instituto Distrital de Patrimonio Cultural.</v>
      </c>
      <c r="O250" s="635">
        <v>43476</v>
      </c>
      <c r="P250" s="636">
        <f>IFERROR(VLOOKUP(W250,'Estimación CRP'!$D$21:$E$30,2,FALSE),0)</f>
        <v>25</v>
      </c>
      <c r="Q250" s="637">
        <f>IF(O250="No aplica","No aplica",WORKDAY.INTL(O250,P250,1,'Estimación CRP'!A436:A452))</f>
        <v>43511</v>
      </c>
      <c r="R250" s="636">
        <f t="shared" si="80"/>
        <v>2</v>
      </c>
      <c r="S250" s="636">
        <f t="shared" si="81"/>
        <v>1</v>
      </c>
      <c r="T250" s="636">
        <f t="shared" si="82"/>
        <v>1</v>
      </c>
      <c r="U250" s="712">
        <v>3</v>
      </c>
      <c r="V250" s="638">
        <v>1</v>
      </c>
      <c r="W250" s="639" t="s">
        <v>267</v>
      </c>
      <c r="X250" s="640" t="str">
        <f>IFERROR(VLOOKUP(W250,Listas!$A$60:$B$73,2,FALSE),"Alerta: Seleccione primero Modalidad de selección")</f>
        <v>CCE-10</v>
      </c>
      <c r="Y250" s="641">
        <v>0</v>
      </c>
      <c r="Z250" s="641" t="s">
        <v>1272</v>
      </c>
      <c r="AA250" s="641"/>
      <c r="AB250" s="642">
        <f t="shared" si="83"/>
        <v>22000000</v>
      </c>
      <c r="AC250" s="642">
        <f t="shared" si="84"/>
        <v>22000000</v>
      </c>
      <c r="AD250" s="641">
        <v>0</v>
      </c>
      <c r="AE250" s="643">
        <v>0</v>
      </c>
      <c r="AF250" s="639" t="s">
        <v>276</v>
      </c>
      <c r="AG250" s="639" t="s">
        <v>277</v>
      </c>
      <c r="AH250" s="639" t="s">
        <v>283</v>
      </c>
      <c r="AI250" s="626" t="str">
        <f>IFERROR(VLOOKUP(AH250,Listas!$A$77:$C$83,2,FALSE),"Alerta: Seleccione primero el responsable")</f>
        <v>3550800</v>
      </c>
      <c r="AJ250" s="640" t="str">
        <f>IFERROR(VLOOKUP(AH250,Listas!$A$77:$C$83,3,FALSE),"Alerta: Seleccione primero el responsable")</f>
        <v>juan.acosta@idpc.gov.co</v>
      </c>
      <c r="AK250" s="640" t="str">
        <f>IF(J250="Funcionamiento Gastos Generales","No aplica",IF(J250="Funcionamiento Servicios Personales indirectos","No aplica",IFERROR(VLOOKUP(J250,Listas!$A$127:$E$139,3,FALSE),"Alerta: Seleccione la celda en la comumna B con el nombre del proyecto")))</f>
        <v>ME20181110</v>
      </c>
      <c r="AL250" s="640" t="str">
        <f>IF(J250="Funcionamiento Gastos Generales","No aplica",IF(J250="Funcionamiento Servicios Personales","No aplica",IFERROR(VLOOKUP(J250,Listas!$A$220:$D$224,2,FALSE),"Alerta: Seleccione la celda en la comumna B con el nombre del proyecto")))</f>
        <v>COMP1110</v>
      </c>
      <c r="AM250" s="640" t="str">
        <f>IF(J250="Funcionamiento Gastos Generales","No aplica",IF(J250="Funcionamiento Servicios Personales","No aplica",IFERROR(VLOOKUP(J250,Listas!$A$220:$D$224,3,FALSE),"Alerta: Seleccione la celda en la comumna B con el nombre del proyecto")))</f>
        <v>CONC1110</v>
      </c>
      <c r="AN250" s="633" t="s">
        <v>789</v>
      </c>
      <c r="AO250" s="633" t="s">
        <v>104</v>
      </c>
      <c r="AP250" s="634" t="str">
        <f>IFERROR(VLOOKUP(J250,Listas!$A$182:$E$215,5,FALSE),"Alerta: Seleccione la celda en la comumna B con el nombre del proyecto")</f>
        <v>10. Procesos articulados dentro del sistema integrado de gestión.</v>
      </c>
      <c r="AQ250" s="634" t="str">
        <f>IF(J250="Funcionamiento Gastos Generales","No aplica",IF(J250="Funcionamiento Servicios Personales","No aplica",IFERROR(VLOOKUP(J250,Listas!$A$220:$D$224,4,FALSE),"Alerta: Seleccione la celda en la comumna B con el nombre del proyecto")))</f>
        <v>FONT1110</v>
      </c>
      <c r="AR250" s="633" t="s">
        <v>198</v>
      </c>
      <c r="AS250" s="634" t="str">
        <f>IFERROR(VLOOKUP(AU250,Listas!$E$85:$L$105,7,FALSE),"Alerta: Seleccione la celda en la comumna AI con el concepto de gasto")</f>
        <v>02-DOTACION</v>
      </c>
      <c r="AT250" s="634" t="str">
        <f>IFERROR(VLOOKUP(AU250,Listas!$E$85:$L$105,8,FALSE),"Alerta: Seleccione la celda en la comumna AI con el concepto de gasto")</f>
        <v>03-ADQUISICIÓN DE EQUIPOS, MATERIALES, SUMINISTROS Y SERVICIOS ADMISTRATIVOS</v>
      </c>
      <c r="AU250" s="633" t="s">
        <v>239</v>
      </c>
      <c r="AV250" s="634">
        <f>IFERROR(VLOOKUP(AU250,Listas!$E$85:$F$105,2,FALSE),"Alerta: Seleccione el Concepto de Gasto primero")</f>
        <v>0</v>
      </c>
      <c r="AW250" s="644">
        <v>22000000</v>
      </c>
      <c r="AX250" s="645"/>
      <c r="AY250" s="645"/>
      <c r="AZ250" s="645"/>
      <c r="BA250" s="646">
        <f t="shared" si="85"/>
        <v>22000000</v>
      </c>
      <c r="BB250" s="647"/>
      <c r="BC250" s="648"/>
      <c r="BD250" s="649"/>
      <c r="BE250" s="647"/>
      <c r="BF250" s="644"/>
      <c r="BG250" s="646">
        <f t="shared" si="86"/>
        <v>22000000</v>
      </c>
      <c r="BH250" s="650"/>
      <c r="BI250" s="647"/>
      <c r="BJ250" s="644"/>
      <c r="BK250" s="646">
        <f t="shared" si="87"/>
        <v>0</v>
      </c>
      <c r="BL250" s="651"/>
      <c r="BM250" s="652">
        <f t="shared" si="88"/>
        <v>1</v>
      </c>
      <c r="BN250" s="628"/>
      <c r="BO250" s="670"/>
      <c r="BP250" s="644"/>
      <c r="BQ250" s="644"/>
      <c r="BR250" s="644"/>
      <c r="BS250" s="644"/>
      <c r="BT250" s="644"/>
      <c r="BU250" s="644"/>
      <c r="BV250" s="644"/>
      <c r="BW250" s="644"/>
      <c r="BX250" s="644"/>
      <c r="BY250" s="644"/>
      <c r="BZ250" s="644"/>
      <c r="CA250" s="644"/>
      <c r="CB250" s="646">
        <f t="shared" si="89"/>
        <v>0</v>
      </c>
      <c r="CC250" s="646">
        <f t="shared" si="90"/>
        <v>0</v>
      </c>
      <c r="CD250" s="614"/>
    </row>
    <row r="251" spans="1:82" s="561" customFormat="1" ht="61.5" customHeight="1">
      <c r="A251" s="625" t="str">
        <f t="shared" si="72"/>
        <v>1110-185-FONT1110-05-02-0020-Personal de apoyo transversal a la gestión institucional</v>
      </c>
      <c r="B251" s="626" t="str">
        <f t="shared" si="73"/>
        <v>1110-185-FONT1110-05-02-0020</v>
      </c>
      <c r="C251" s="626" t="str">
        <f t="shared" si="74"/>
        <v>1110-185-FONT1110-Personal de apoyo transversal a la gestión institucional</v>
      </c>
      <c r="D251" s="626" t="str">
        <f t="shared" si="75"/>
        <v>1110-185-12-Otros Distrito-05-02-0020</v>
      </c>
      <c r="E251" s="626" t="str">
        <f t="shared" si="76"/>
        <v>Personal de apoyo transversal a la gestión institucional-12-Otros Distrito-0020-Personal contratado para las actividades propias de los procesos de mejoramiento de gestión de la entidad</v>
      </c>
      <c r="F251" s="627" t="s">
        <v>346</v>
      </c>
      <c r="G251" s="628" t="str">
        <f t="shared" si="77"/>
        <v>N.A.</v>
      </c>
      <c r="H251" s="629" t="b">
        <f t="shared" si="78"/>
        <v>0</v>
      </c>
      <c r="I251" s="630" t="s">
        <v>595</v>
      </c>
      <c r="J251" s="627" t="s">
        <v>178</v>
      </c>
      <c r="K251" s="631" t="str">
        <f>+IFERROR(VLOOKUP(J251,Listas!$A$108:$B$114,2,FALSE),"Alerta: Seleccione la celda en la comumna B con el nombre del proyecto")</f>
        <v>3-3-1-15-07-42-1110-185</v>
      </c>
      <c r="L251" s="632" t="s">
        <v>351</v>
      </c>
      <c r="M251" s="633" t="s">
        <v>801</v>
      </c>
      <c r="N251" s="634" t="str">
        <f t="shared" si="79"/>
        <v>(Cód. N.A.) planilla riesgo 5</v>
      </c>
      <c r="O251" s="635" t="s">
        <v>351</v>
      </c>
      <c r="P251" s="636">
        <f>IFERROR(VLOOKUP(W251,'Estimación CRP'!$D$21:$E$30,2,FALSE),0)</f>
        <v>0</v>
      </c>
      <c r="Q251" s="637" t="str">
        <f>IF(O251="No aplica","No aplica",WORKDAY.INTL(O251,P251,1,'Estimación CRP'!A437:A453))</f>
        <v>No aplica</v>
      </c>
      <c r="R251" s="636" t="str">
        <f t="shared" si="80"/>
        <v>No aplica</v>
      </c>
      <c r="S251" s="636" t="str">
        <f t="shared" si="81"/>
        <v>No aplica</v>
      </c>
      <c r="T251" s="636" t="str">
        <f t="shared" si="82"/>
        <v>No aplica</v>
      </c>
      <c r="U251" s="638">
        <v>11</v>
      </c>
      <c r="V251" s="638">
        <v>0</v>
      </c>
      <c r="W251" s="639" t="s">
        <v>351</v>
      </c>
      <c r="X251" s="640" t="str">
        <f>IFERROR(VLOOKUP(W251,Listas!$A$60:$B$73,2,FALSE),"Alerta: Seleccione primero Modalidad de selección")</f>
        <v>No aplica</v>
      </c>
      <c r="Y251" s="641">
        <v>0</v>
      </c>
      <c r="Z251" s="641" t="s">
        <v>1066</v>
      </c>
      <c r="AA251" s="641"/>
      <c r="AB251" s="642">
        <f t="shared" si="83"/>
        <v>1300000</v>
      </c>
      <c r="AC251" s="642">
        <f t="shared" si="84"/>
        <v>1300000</v>
      </c>
      <c r="AD251" s="641">
        <v>0</v>
      </c>
      <c r="AE251" s="643">
        <v>0</v>
      </c>
      <c r="AF251" s="639" t="s">
        <v>276</v>
      </c>
      <c r="AG251" s="639" t="s">
        <v>277</v>
      </c>
      <c r="AH251" s="639" t="s">
        <v>283</v>
      </c>
      <c r="AI251" s="626" t="str">
        <f>IFERROR(VLOOKUP(AH251,Listas!$A$77:$C$83,2,FALSE),"Alerta: Seleccione primero el responsable")</f>
        <v>3550800</v>
      </c>
      <c r="AJ251" s="640" t="str">
        <f>IFERROR(VLOOKUP(AH251,Listas!$A$77:$C$83,3,FALSE),"Alerta: Seleccione primero el responsable")</f>
        <v>juan.acosta@idpc.gov.co</v>
      </c>
      <c r="AK251" s="640" t="str">
        <f>IF(J251="Funcionamiento Gastos Generales","No aplica",IF(J251="Funcionamiento Servicios Personales indirectos","No aplica",IFERROR(VLOOKUP(J251,Listas!$A$127:$E$139,3,FALSE),"Alerta: Seleccione la celda en la comumna B con el nombre del proyecto")))</f>
        <v>ME20181110</v>
      </c>
      <c r="AL251" s="640" t="str">
        <f>IF(J251="Funcionamiento Gastos Generales","No aplica",IF(J251="Funcionamiento Servicios Personales","No aplica",IFERROR(VLOOKUP(J251,Listas!$A$220:$D$224,2,FALSE),"Alerta: Seleccione la celda en la comumna B con el nombre del proyecto")))</f>
        <v>COMP1110</v>
      </c>
      <c r="AM251" s="640" t="str">
        <f>IF(J251="Funcionamiento Gastos Generales","No aplica",IF(J251="Funcionamiento Servicios Personales","No aplica",IFERROR(VLOOKUP(J251,Listas!$A$220:$D$224,3,FALSE),"Alerta: Seleccione la celda en la comumna B con el nombre del proyecto")))</f>
        <v>CONC1110</v>
      </c>
      <c r="AN251" s="633" t="s">
        <v>789</v>
      </c>
      <c r="AO251" s="633" t="s">
        <v>124</v>
      </c>
      <c r="AP251" s="634" t="str">
        <f>IFERROR(VLOOKUP(J251,Listas!$A$182:$E$215,5,FALSE),"Alerta: Seleccione la celda en la comumna B con el nombre del proyecto")</f>
        <v>10. Procesos articulados dentro del sistema integrado de gestión.</v>
      </c>
      <c r="AQ251" s="634" t="str">
        <f>IF(J251="Funcionamiento Gastos Generales","No aplica",IF(J251="Funcionamiento Servicios Personales","No aplica",IFERROR(VLOOKUP(J251,Listas!$A$220:$D$224,4,FALSE),"Alerta: Seleccione la celda en la comumna B con el nombre del proyecto")))</f>
        <v>FONT1110</v>
      </c>
      <c r="AR251" s="633" t="s">
        <v>198</v>
      </c>
      <c r="AS251" s="634" t="str">
        <f>IFERROR(VLOOKUP(AU251,Listas!$E$85:$L$105,7,FALSE),"Alerta: Seleccione la celda en la comumna AI con el concepto de gasto")</f>
        <v>05-ADMINISTRACION INSTITUCIONAL</v>
      </c>
      <c r="AT251" s="634" t="str">
        <f>IFERROR(VLOOKUP(AU251,Listas!$E$85:$L$105,8,FALSE),"Alerta: Seleccione la celda en la comumna AI con el concepto de gasto")</f>
        <v>02-ADMINISTRACIÓN, CONTROL Y ORGANIZACIÓN INSTITUCIONAL PARA APOYO A LA GESTIÓN DEL DISTRITO</v>
      </c>
      <c r="AU251" s="633" t="s">
        <v>243</v>
      </c>
      <c r="AV251" s="634">
        <f>IFERROR(VLOOKUP(AU251,Listas!$E$85:$F$105,2,FALSE),"Alerta: Seleccione el Concepto de Gasto primero")</f>
        <v>0</v>
      </c>
      <c r="AW251" s="644">
        <v>1300000</v>
      </c>
      <c r="AX251" s="645"/>
      <c r="AY251" s="645"/>
      <c r="AZ251" s="645"/>
      <c r="BA251" s="646">
        <f t="shared" si="85"/>
        <v>1300000</v>
      </c>
      <c r="BB251" s="647"/>
      <c r="BC251" s="648"/>
      <c r="BD251" s="649"/>
      <c r="BE251" s="647"/>
      <c r="BF251" s="644"/>
      <c r="BG251" s="646">
        <f t="shared" si="86"/>
        <v>1300000</v>
      </c>
      <c r="BH251" s="650"/>
      <c r="BI251" s="647"/>
      <c r="BJ251" s="644"/>
      <c r="BK251" s="646">
        <f t="shared" si="87"/>
        <v>0</v>
      </c>
      <c r="BL251" s="651"/>
      <c r="BM251" s="652">
        <f t="shared" si="88"/>
        <v>1</v>
      </c>
      <c r="BN251" s="628"/>
      <c r="BO251" s="670"/>
      <c r="BP251" s="644"/>
      <c r="BQ251" s="644"/>
      <c r="BR251" s="644"/>
      <c r="BS251" s="644"/>
      <c r="BT251" s="644"/>
      <c r="BU251" s="644"/>
      <c r="BV251" s="644"/>
      <c r="BW251" s="644"/>
      <c r="BX251" s="644"/>
      <c r="BY251" s="644"/>
      <c r="BZ251" s="644"/>
      <c r="CA251" s="644"/>
      <c r="CB251" s="646">
        <f t="shared" si="89"/>
        <v>0</v>
      </c>
      <c r="CC251" s="646">
        <f t="shared" si="90"/>
        <v>0</v>
      </c>
      <c r="CD251" s="614"/>
    </row>
    <row r="252" spans="1:82" s="561" customFormat="1" ht="61.5" customHeight="1">
      <c r="A252" s="625" t="str">
        <f t="shared" si="72"/>
        <v>1110-185-FONT1110-05-02-0152-Adquisición de equipos, materiales y suministros</v>
      </c>
      <c r="B252" s="626" t="str">
        <f t="shared" si="73"/>
        <v>1110-185-FONT1110-05-02-0152</v>
      </c>
      <c r="C252" s="626" t="str">
        <f t="shared" si="74"/>
        <v>1110-185-FONT1110-Adquisición de equipos, materiales y suministros</v>
      </c>
      <c r="D252" s="626" t="str">
        <f t="shared" si="75"/>
        <v>1110-185-12-Otros Distrito-05-02-0152</v>
      </c>
      <c r="E252" s="626" t="str">
        <f t="shared" si="76"/>
        <v>Adquisición de equipos, materiales y suministros-12-Otros Distrito-0152-Adquisición de equipos y software para el mejoramiento de la gestión institucional</v>
      </c>
      <c r="F252" s="627">
        <v>204</v>
      </c>
      <c r="G252" s="628">
        <f t="shared" si="77"/>
        <v>204</v>
      </c>
      <c r="H252" s="629" t="b">
        <f t="shared" si="78"/>
        <v>0</v>
      </c>
      <c r="I252" s="630" t="s">
        <v>594</v>
      </c>
      <c r="J252" s="627" t="s">
        <v>178</v>
      </c>
      <c r="K252" s="631" t="str">
        <f>+IFERROR(VLOOKUP(J252,Listas!$A$108:$B$114,2,FALSE),"Alerta: Seleccione la celda en la comumna B con el nombre del proyecto")</f>
        <v>3-3-1-15-07-42-1110-185</v>
      </c>
      <c r="L252" s="632" t="s">
        <v>802</v>
      </c>
      <c r="M252" s="633" t="s">
        <v>803</v>
      </c>
      <c r="N252" s="634" t="str">
        <f t="shared" si="79"/>
        <v>(Cód. 204) Contratar la renovación y ampliación del almacenamiento de la solución de respaldo de información para el Instituto Distrital de Patrimonio Cultural.</v>
      </c>
      <c r="O252" s="635">
        <v>43511</v>
      </c>
      <c r="P252" s="636">
        <f>IFERROR(VLOOKUP(W252,'Estimación CRP'!$D$21:$E$30,2,FALSE),0)</f>
        <v>45</v>
      </c>
      <c r="Q252" s="637">
        <f>IF(O252="No aplica","No aplica",WORKDAY.INTL(O252,P252,1,'Estimación CRP'!A438:A454))</f>
        <v>43574</v>
      </c>
      <c r="R252" s="636">
        <f t="shared" si="80"/>
        <v>4</v>
      </c>
      <c r="S252" s="636">
        <f t="shared" si="81"/>
        <v>2</v>
      </c>
      <c r="T252" s="636">
        <f t="shared" si="82"/>
        <v>2</v>
      </c>
      <c r="U252" s="712">
        <v>10</v>
      </c>
      <c r="V252" s="638">
        <v>1</v>
      </c>
      <c r="W252" s="639" t="s">
        <v>348</v>
      </c>
      <c r="X252" s="640" t="str">
        <f>IFERROR(VLOOKUP(W252,Listas!$A$60:$B$73,2,FALSE),"Alerta: Seleccione primero Modalidad de selección")</f>
        <v>CCE-06</v>
      </c>
      <c r="Y252" s="641">
        <v>0</v>
      </c>
      <c r="Z252" s="641" t="s">
        <v>1273</v>
      </c>
      <c r="AA252" s="641"/>
      <c r="AB252" s="642">
        <f t="shared" si="83"/>
        <v>50000000</v>
      </c>
      <c r="AC252" s="642">
        <f t="shared" si="84"/>
        <v>50000000</v>
      </c>
      <c r="AD252" s="641">
        <v>0</v>
      </c>
      <c r="AE252" s="643">
        <v>0</v>
      </c>
      <c r="AF252" s="639" t="s">
        <v>276</v>
      </c>
      <c r="AG252" s="639" t="s">
        <v>277</v>
      </c>
      <c r="AH252" s="639" t="s">
        <v>283</v>
      </c>
      <c r="AI252" s="626" t="str">
        <f>IFERROR(VLOOKUP(AH252,Listas!$A$77:$C$83,2,FALSE),"Alerta: Seleccione primero el responsable")</f>
        <v>3550800</v>
      </c>
      <c r="AJ252" s="640" t="str">
        <f>IFERROR(VLOOKUP(AH252,Listas!$A$77:$C$83,3,FALSE),"Alerta: Seleccione primero el responsable")</f>
        <v>juan.acosta@idpc.gov.co</v>
      </c>
      <c r="AK252" s="640" t="str">
        <f>IF(J252="Funcionamiento Gastos Generales","No aplica",IF(J252="Funcionamiento Servicios Personales indirectos","No aplica",IFERROR(VLOOKUP(J252,Listas!$A$127:$E$139,3,FALSE),"Alerta: Seleccione la celda en la comumna B con el nombre del proyecto")))</f>
        <v>ME20181110</v>
      </c>
      <c r="AL252" s="640" t="str">
        <f>IF(J252="Funcionamiento Gastos Generales","No aplica",IF(J252="Funcionamiento Servicios Personales","No aplica",IFERROR(VLOOKUP(J252,Listas!$A$220:$D$224,2,FALSE),"Alerta: Seleccione la celda en la comumna B con el nombre del proyecto")))</f>
        <v>COMP1110</v>
      </c>
      <c r="AM252" s="640" t="str">
        <f>IF(J252="Funcionamiento Gastos Generales","No aplica",IF(J252="Funcionamiento Servicios Personales","No aplica",IFERROR(VLOOKUP(J252,Listas!$A$220:$D$224,3,FALSE),"Alerta: Seleccione la celda en la comumna B con el nombre del proyecto")))</f>
        <v>CONC1110</v>
      </c>
      <c r="AN252" s="633" t="s">
        <v>789</v>
      </c>
      <c r="AO252" s="633" t="s">
        <v>104</v>
      </c>
      <c r="AP252" s="634" t="str">
        <f>IFERROR(VLOOKUP(J252,Listas!$A$182:$E$215,5,FALSE),"Alerta: Seleccione la celda en la comumna B con el nombre del proyecto")</f>
        <v>10. Procesos articulados dentro del sistema integrado de gestión.</v>
      </c>
      <c r="AQ252" s="634" t="str">
        <f>IF(J252="Funcionamiento Gastos Generales","No aplica",IF(J252="Funcionamiento Servicios Personales","No aplica",IFERROR(VLOOKUP(J252,Listas!$A$220:$D$224,4,FALSE),"Alerta: Seleccione la celda en la comumna B con el nombre del proyecto")))</f>
        <v>FONT1110</v>
      </c>
      <c r="AR252" s="633" t="s">
        <v>198</v>
      </c>
      <c r="AS252" s="634" t="str">
        <f>IFERROR(VLOOKUP(AU252,Listas!$E$85:$L$105,7,FALSE),"Alerta: Seleccione la celda en la comumna AI con el concepto de gasto")</f>
        <v>05-ADMINISTRACION INSTITUCIONAL</v>
      </c>
      <c r="AT252" s="634" t="str">
        <f>IFERROR(VLOOKUP(AU252,Listas!$E$85:$L$105,8,FALSE),"Alerta: Seleccione la celda en la comumna AI con el concepto de gasto")</f>
        <v>02-ADMINISTRACIÓN, CONTROL Y ORGANIZACIÓN INSTITUCIONAL PARA APOYO A LA GESTIÓN DEL DISTRITO</v>
      </c>
      <c r="AU252" s="633" t="s">
        <v>244</v>
      </c>
      <c r="AV252" s="634">
        <f>IFERROR(VLOOKUP(AU252,Listas!$E$85:$F$105,2,FALSE),"Alerta: Seleccione el Concepto de Gasto primero")</f>
        <v>0</v>
      </c>
      <c r="AW252" s="644">
        <v>50000000</v>
      </c>
      <c r="AX252" s="645"/>
      <c r="AY252" s="645"/>
      <c r="AZ252" s="645"/>
      <c r="BA252" s="646">
        <f t="shared" si="85"/>
        <v>50000000</v>
      </c>
      <c r="BB252" s="647"/>
      <c r="BC252" s="648"/>
      <c r="BD252" s="649"/>
      <c r="BE252" s="647"/>
      <c r="BF252" s="644"/>
      <c r="BG252" s="646">
        <f t="shared" si="86"/>
        <v>50000000</v>
      </c>
      <c r="BH252" s="650"/>
      <c r="BI252" s="647"/>
      <c r="BJ252" s="644"/>
      <c r="BK252" s="646">
        <f t="shared" si="87"/>
        <v>0</v>
      </c>
      <c r="BL252" s="651"/>
      <c r="BM252" s="652">
        <f t="shared" si="88"/>
        <v>1</v>
      </c>
      <c r="BN252" s="628"/>
      <c r="BO252" s="670"/>
      <c r="BP252" s="644"/>
      <c r="BQ252" s="644"/>
      <c r="BR252" s="644"/>
      <c r="BS252" s="644"/>
      <c r="BT252" s="644"/>
      <c r="BU252" s="644"/>
      <c r="BV252" s="644"/>
      <c r="BW252" s="644"/>
      <c r="BX252" s="644"/>
      <c r="BY252" s="644"/>
      <c r="BZ252" s="644"/>
      <c r="CA252" s="644"/>
      <c r="CB252" s="646">
        <f t="shared" si="89"/>
        <v>0</v>
      </c>
      <c r="CC252" s="646">
        <f t="shared" si="90"/>
        <v>0</v>
      </c>
      <c r="CD252" s="614"/>
    </row>
    <row r="253" spans="1:82" s="561" customFormat="1" ht="61.5" customHeight="1">
      <c r="A253" s="625" t="str">
        <f t="shared" si="72"/>
        <v>1110-185-FONT1110-05-02-0152-Adquisición de equipos, materiales y suministros</v>
      </c>
      <c r="B253" s="626" t="str">
        <f t="shared" si="73"/>
        <v>1110-185-FONT1110-05-02-0152</v>
      </c>
      <c r="C253" s="626" t="str">
        <f t="shared" si="74"/>
        <v>1110-185-FONT1110-Adquisición de equipos, materiales y suministros</v>
      </c>
      <c r="D253" s="626" t="str">
        <f t="shared" si="75"/>
        <v>1110-185-12-Otros Distrito-05-02-0152</v>
      </c>
      <c r="E253" s="626" t="str">
        <f t="shared" si="76"/>
        <v>Adquisición de equipos, materiales y suministros-12-Otros Distrito-0152-Adquisición de equipos y software para el mejoramiento de la gestión institucional</v>
      </c>
      <c r="F253" s="627">
        <v>205</v>
      </c>
      <c r="G253" s="628">
        <f t="shared" si="77"/>
        <v>205</v>
      </c>
      <c r="H253" s="629" t="b">
        <f t="shared" si="78"/>
        <v>0</v>
      </c>
      <c r="I253" s="630" t="s">
        <v>594</v>
      </c>
      <c r="J253" s="627" t="s">
        <v>178</v>
      </c>
      <c r="K253" s="631" t="str">
        <f>+IFERROR(VLOOKUP(J253,Listas!$A$108:$B$114,2,FALSE),"Alerta: Seleccione la celda en la comumna B con el nombre del proyecto")</f>
        <v>3-3-1-15-07-42-1110-185</v>
      </c>
      <c r="L253" s="632" t="s">
        <v>804</v>
      </c>
      <c r="M253" s="633" t="s">
        <v>673</v>
      </c>
      <c r="N253" s="634" t="str">
        <f t="shared" si="79"/>
        <v>(Cód. 205) Contratar la adquisición de licencias de software para los equipos de cómputo de Instituto Distrital de Patrimonio Cultural.</v>
      </c>
      <c r="O253" s="635">
        <v>43539</v>
      </c>
      <c r="P253" s="636">
        <f>IFERROR(VLOOKUP(W253,'Estimación CRP'!$D$21:$E$30,2,FALSE),0)</f>
        <v>45</v>
      </c>
      <c r="Q253" s="637">
        <f>IF(O253="No aplica","No aplica",WORKDAY.INTL(O253,P253,1,'Estimación CRP'!A439:A455))</f>
        <v>43602</v>
      </c>
      <c r="R253" s="636">
        <f t="shared" si="80"/>
        <v>5</v>
      </c>
      <c r="S253" s="636">
        <f t="shared" si="81"/>
        <v>3</v>
      </c>
      <c r="T253" s="636">
        <f t="shared" si="82"/>
        <v>3</v>
      </c>
      <c r="U253" s="712">
        <v>1</v>
      </c>
      <c r="V253" s="638">
        <v>1</v>
      </c>
      <c r="W253" s="639" t="s">
        <v>348</v>
      </c>
      <c r="X253" s="640" t="str">
        <f>IFERROR(VLOOKUP(W253,Listas!$A$60:$B$73,2,FALSE),"Alerta: Seleccione primero Modalidad de selección")</f>
        <v>CCE-06</v>
      </c>
      <c r="Y253" s="641">
        <v>0</v>
      </c>
      <c r="Z253" s="641" t="s">
        <v>1142</v>
      </c>
      <c r="AA253" s="641"/>
      <c r="AB253" s="642">
        <f t="shared" si="83"/>
        <v>40000000</v>
      </c>
      <c r="AC253" s="642">
        <f t="shared" si="84"/>
        <v>40000000</v>
      </c>
      <c r="AD253" s="641">
        <v>0</v>
      </c>
      <c r="AE253" s="643">
        <v>0</v>
      </c>
      <c r="AF253" s="639" t="s">
        <v>276</v>
      </c>
      <c r="AG253" s="639" t="s">
        <v>277</v>
      </c>
      <c r="AH253" s="639" t="s">
        <v>283</v>
      </c>
      <c r="AI253" s="626" t="str">
        <f>IFERROR(VLOOKUP(AH253,Listas!$A$77:$C$83,2,FALSE),"Alerta: Seleccione primero el responsable")</f>
        <v>3550800</v>
      </c>
      <c r="AJ253" s="640" t="str">
        <f>IFERROR(VLOOKUP(AH253,Listas!$A$77:$C$83,3,FALSE),"Alerta: Seleccione primero el responsable")</f>
        <v>juan.acosta@idpc.gov.co</v>
      </c>
      <c r="AK253" s="640" t="str">
        <f>IF(J253="Funcionamiento Gastos Generales","No aplica",IF(J253="Funcionamiento Servicios Personales indirectos","No aplica",IFERROR(VLOOKUP(J253,Listas!$A$127:$E$139,3,FALSE),"Alerta: Seleccione la celda en la comumna B con el nombre del proyecto")))</f>
        <v>ME20181110</v>
      </c>
      <c r="AL253" s="640" t="str">
        <f>IF(J253="Funcionamiento Gastos Generales","No aplica",IF(J253="Funcionamiento Servicios Personales","No aplica",IFERROR(VLOOKUP(J253,Listas!$A$220:$D$224,2,FALSE),"Alerta: Seleccione la celda en la comumna B con el nombre del proyecto")))</f>
        <v>COMP1110</v>
      </c>
      <c r="AM253" s="640" t="str">
        <f>IF(J253="Funcionamiento Gastos Generales","No aplica",IF(J253="Funcionamiento Servicios Personales","No aplica",IFERROR(VLOOKUP(J253,Listas!$A$220:$D$224,3,FALSE),"Alerta: Seleccione la celda en la comumna B con el nombre del proyecto")))</f>
        <v>CONC1110</v>
      </c>
      <c r="AN253" s="633" t="s">
        <v>789</v>
      </c>
      <c r="AO253" s="633" t="s">
        <v>104</v>
      </c>
      <c r="AP253" s="634" t="str">
        <f>IFERROR(VLOOKUP(J253,Listas!$A$182:$E$215,5,FALSE),"Alerta: Seleccione la celda en la comumna B con el nombre del proyecto")</f>
        <v>10. Procesos articulados dentro del sistema integrado de gestión.</v>
      </c>
      <c r="AQ253" s="634" t="str">
        <f>IF(J253="Funcionamiento Gastos Generales","No aplica",IF(J253="Funcionamiento Servicios Personales","No aplica",IFERROR(VLOOKUP(J253,Listas!$A$220:$D$224,4,FALSE),"Alerta: Seleccione la celda en la comumna B con el nombre del proyecto")))</f>
        <v>FONT1110</v>
      </c>
      <c r="AR253" s="633" t="s">
        <v>198</v>
      </c>
      <c r="AS253" s="634" t="str">
        <f>IFERROR(VLOOKUP(AU253,Listas!$E$85:$L$105,7,FALSE),"Alerta: Seleccione la celda en la comumna AI con el concepto de gasto")</f>
        <v>05-ADMINISTRACION INSTITUCIONAL</v>
      </c>
      <c r="AT253" s="634" t="str">
        <f>IFERROR(VLOOKUP(AU253,Listas!$E$85:$L$105,8,FALSE),"Alerta: Seleccione la celda en la comumna AI con el concepto de gasto")</f>
        <v>02-ADMINISTRACIÓN, CONTROL Y ORGANIZACIÓN INSTITUCIONAL PARA APOYO A LA GESTIÓN DEL DISTRITO</v>
      </c>
      <c r="AU253" s="633" t="s">
        <v>244</v>
      </c>
      <c r="AV253" s="634">
        <f>IFERROR(VLOOKUP(AU253,Listas!$E$85:$F$105,2,FALSE),"Alerta: Seleccione el Concepto de Gasto primero")</f>
        <v>0</v>
      </c>
      <c r="AW253" s="644">
        <v>40000000</v>
      </c>
      <c r="AX253" s="645"/>
      <c r="AY253" s="645"/>
      <c r="AZ253" s="645"/>
      <c r="BA253" s="646">
        <f t="shared" si="85"/>
        <v>40000000</v>
      </c>
      <c r="BB253" s="647"/>
      <c r="BC253" s="648"/>
      <c r="BD253" s="649"/>
      <c r="BE253" s="647"/>
      <c r="BF253" s="644"/>
      <c r="BG253" s="646">
        <f t="shared" si="86"/>
        <v>40000000</v>
      </c>
      <c r="BH253" s="650"/>
      <c r="BI253" s="647"/>
      <c r="BJ253" s="644"/>
      <c r="BK253" s="646">
        <f t="shared" si="87"/>
        <v>0</v>
      </c>
      <c r="BL253" s="651"/>
      <c r="BM253" s="652">
        <f t="shared" si="88"/>
        <v>1</v>
      </c>
      <c r="BN253" s="628"/>
      <c r="BO253" s="670"/>
      <c r="BP253" s="644"/>
      <c r="BQ253" s="644"/>
      <c r="BR253" s="644"/>
      <c r="BS253" s="644"/>
      <c r="BT253" s="644"/>
      <c r="BU253" s="644"/>
      <c r="BV253" s="644"/>
      <c r="BW253" s="644"/>
      <c r="BX253" s="644"/>
      <c r="BY253" s="644"/>
      <c r="BZ253" s="644"/>
      <c r="CA253" s="644"/>
      <c r="CB253" s="646">
        <f t="shared" si="89"/>
        <v>0</v>
      </c>
      <c r="CC253" s="646">
        <f t="shared" si="90"/>
        <v>0</v>
      </c>
      <c r="CD253" s="614"/>
    </row>
    <row r="254" spans="1:82" s="561" customFormat="1" ht="61.5" customHeight="1">
      <c r="A254" s="625" t="str">
        <f t="shared" si="72"/>
        <v>1110-185-FONT1110-05-02-0020-Personal de apoyo transversal a la gestión institucional</v>
      </c>
      <c r="B254" s="626" t="str">
        <f t="shared" si="73"/>
        <v>1110-185-FONT1110-05-02-0020</v>
      </c>
      <c r="C254" s="626" t="str">
        <f t="shared" si="74"/>
        <v>1110-185-FONT1110-Personal de apoyo transversal a la gestión institucional</v>
      </c>
      <c r="D254" s="626" t="str">
        <f t="shared" si="75"/>
        <v>1110-185-12-Otros Distrito-05-02-0020</v>
      </c>
      <c r="E254" s="626" t="str">
        <f t="shared" si="76"/>
        <v>Personal de apoyo transversal a la gestión institucional-12-Otros Distrito-0020-Personal contratado para las actividades propias de los procesos de mejoramiento de gestión de la entidad</v>
      </c>
      <c r="F254" s="627">
        <v>206</v>
      </c>
      <c r="G254" s="628">
        <f t="shared" si="77"/>
        <v>206</v>
      </c>
      <c r="H254" s="629" t="b">
        <f t="shared" si="78"/>
        <v>0</v>
      </c>
      <c r="I254" s="630" t="s">
        <v>594</v>
      </c>
      <c r="J254" s="627" t="s">
        <v>178</v>
      </c>
      <c r="K254" s="631" t="str">
        <f>+IFERROR(VLOOKUP(J254,Listas!$A$108:$B$114,2,FALSE),"Alerta: Seleccione la celda en la comumna B con el nombre del proyecto")</f>
        <v>3-3-1-15-07-42-1110-185</v>
      </c>
      <c r="L254" s="632">
        <v>80111600</v>
      </c>
      <c r="M254" s="633" t="s">
        <v>805</v>
      </c>
      <c r="N254" s="634" t="str">
        <f t="shared" si="79"/>
        <v>(Cód. 206) Prestar servicios profesionales especializados al Instituto Distrital de Patrimonio Cultural apoyando a la Asesoría Jurídica o quien haga sus veces, en la defensa judicial de los intereses patrimoniales de la entidad.</v>
      </c>
      <c r="O254" s="635">
        <v>43480</v>
      </c>
      <c r="P254" s="636">
        <f>IFERROR(VLOOKUP(W254,'Estimación CRP'!$D$21:$E$30,2,FALSE),0)</f>
        <v>10</v>
      </c>
      <c r="Q254" s="637">
        <f>IF(O254="No aplica","No aplica",WORKDAY.INTL(O254,P254,1,'Estimación CRP'!A440:A456))</f>
        <v>43494</v>
      </c>
      <c r="R254" s="636">
        <f t="shared" si="80"/>
        <v>1</v>
      </c>
      <c r="S254" s="636">
        <f t="shared" si="81"/>
        <v>1</v>
      </c>
      <c r="T254" s="636">
        <f t="shared" si="82"/>
        <v>1</v>
      </c>
      <c r="U254" s="712">
        <v>11</v>
      </c>
      <c r="V254" s="638">
        <v>1</v>
      </c>
      <c r="W254" s="639" t="s">
        <v>274</v>
      </c>
      <c r="X254" s="640" t="str">
        <f>IFERROR(VLOOKUP(W254,Listas!$A$60:$B$73,2,FALSE),"Alerta: Seleccione primero Modalidad de selección")</f>
        <v>CCE-16</v>
      </c>
      <c r="Y254" s="641">
        <v>0</v>
      </c>
      <c r="Z254" s="641" t="s">
        <v>346</v>
      </c>
      <c r="AA254" s="641"/>
      <c r="AB254" s="642">
        <f t="shared" si="83"/>
        <v>82500000</v>
      </c>
      <c r="AC254" s="642">
        <f t="shared" si="84"/>
        <v>82500000</v>
      </c>
      <c r="AD254" s="641">
        <v>0</v>
      </c>
      <c r="AE254" s="643">
        <v>0</v>
      </c>
      <c r="AF254" s="639" t="s">
        <v>276</v>
      </c>
      <c r="AG254" s="639" t="s">
        <v>277</v>
      </c>
      <c r="AH254" s="639" t="s">
        <v>283</v>
      </c>
      <c r="AI254" s="626" t="str">
        <f>IFERROR(VLOOKUP(AH254,Listas!$A$77:$C$83,2,FALSE),"Alerta: Seleccione primero el responsable")</f>
        <v>3550800</v>
      </c>
      <c r="AJ254" s="640" t="str">
        <f>IFERROR(VLOOKUP(AH254,Listas!$A$77:$C$83,3,FALSE),"Alerta: Seleccione primero el responsable")</f>
        <v>juan.acosta@idpc.gov.co</v>
      </c>
      <c r="AK254" s="640" t="str">
        <f>IF(J254="Funcionamiento Gastos Generales","No aplica",IF(J254="Funcionamiento Servicios Personales indirectos","No aplica",IFERROR(VLOOKUP(J254,Listas!$A$127:$E$139,3,FALSE),"Alerta: Seleccione la celda en la comumna B con el nombre del proyecto")))</f>
        <v>ME20181110</v>
      </c>
      <c r="AL254" s="640" t="str">
        <f>IF(J254="Funcionamiento Gastos Generales","No aplica",IF(J254="Funcionamiento Servicios Personales","No aplica",IFERROR(VLOOKUP(J254,Listas!$A$220:$D$224,2,FALSE),"Alerta: Seleccione la celda en la comumna B con el nombre del proyecto")))</f>
        <v>COMP1110</v>
      </c>
      <c r="AM254" s="640" t="str">
        <f>IF(J254="Funcionamiento Gastos Generales","No aplica",IF(J254="Funcionamiento Servicios Personales","No aplica",IFERROR(VLOOKUP(J254,Listas!$A$220:$D$224,3,FALSE),"Alerta: Seleccione la celda en la comumna B con el nombre del proyecto")))</f>
        <v>CONC1110</v>
      </c>
      <c r="AN254" s="633" t="s">
        <v>789</v>
      </c>
      <c r="AO254" s="633" t="s">
        <v>124</v>
      </c>
      <c r="AP254" s="634" t="str">
        <f>IFERROR(VLOOKUP(J254,Listas!$A$182:$E$215,5,FALSE),"Alerta: Seleccione la celda en la comumna B con el nombre del proyecto")</f>
        <v>10. Procesos articulados dentro del sistema integrado de gestión.</v>
      </c>
      <c r="AQ254" s="634" t="str">
        <f>IF(J254="Funcionamiento Gastos Generales","No aplica",IF(J254="Funcionamiento Servicios Personales","No aplica",IFERROR(VLOOKUP(J254,Listas!$A$220:$D$224,4,FALSE),"Alerta: Seleccione la celda en la comumna B con el nombre del proyecto")))</f>
        <v>FONT1110</v>
      </c>
      <c r="AR254" s="633" t="s">
        <v>198</v>
      </c>
      <c r="AS254" s="634" t="str">
        <f>IFERROR(VLOOKUP(AU254,Listas!$E$85:$L$105,7,FALSE),"Alerta: Seleccione la celda en la comumna AI con el concepto de gasto")</f>
        <v>05-ADMINISTRACION INSTITUCIONAL</v>
      </c>
      <c r="AT254" s="634" t="str">
        <f>IFERROR(VLOOKUP(AU254,Listas!$E$85:$L$105,8,FALSE),"Alerta: Seleccione la celda en la comumna AI con el concepto de gasto")</f>
        <v>02-ADMINISTRACIÓN, CONTROL Y ORGANIZACIÓN INSTITUCIONAL PARA APOYO A LA GESTIÓN DEL DISTRITO</v>
      </c>
      <c r="AU254" s="633" t="s">
        <v>243</v>
      </c>
      <c r="AV254" s="634">
        <f>IFERROR(VLOOKUP(AU254,Listas!$E$85:$F$105,2,FALSE),"Alerta: Seleccione el Concepto de Gasto primero")</f>
        <v>0</v>
      </c>
      <c r="AW254" s="644">
        <v>82500000</v>
      </c>
      <c r="AX254" s="645"/>
      <c r="AY254" s="645"/>
      <c r="AZ254" s="645"/>
      <c r="BA254" s="646">
        <f t="shared" si="85"/>
        <v>82500000</v>
      </c>
      <c r="BB254" s="647"/>
      <c r="BC254" s="648"/>
      <c r="BD254" s="649"/>
      <c r="BE254" s="647"/>
      <c r="BF254" s="644"/>
      <c r="BG254" s="646">
        <f t="shared" si="86"/>
        <v>82500000</v>
      </c>
      <c r="BH254" s="650"/>
      <c r="BI254" s="647"/>
      <c r="BJ254" s="644"/>
      <c r="BK254" s="646">
        <f t="shared" si="87"/>
        <v>0</v>
      </c>
      <c r="BL254" s="651"/>
      <c r="BM254" s="652">
        <f t="shared" si="88"/>
        <v>1</v>
      </c>
      <c r="BN254" s="628"/>
      <c r="BO254" s="670"/>
      <c r="BP254" s="644"/>
      <c r="BQ254" s="644"/>
      <c r="BR254" s="644"/>
      <c r="BS254" s="644"/>
      <c r="BT254" s="644"/>
      <c r="BU254" s="644"/>
      <c r="BV254" s="644"/>
      <c r="BW254" s="644"/>
      <c r="BX254" s="644"/>
      <c r="BY254" s="644"/>
      <c r="BZ254" s="644"/>
      <c r="CA254" s="644"/>
      <c r="CB254" s="646">
        <f t="shared" si="89"/>
        <v>0</v>
      </c>
      <c r="CC254" s="646">
        <f t="shared" si="90"/>
        <v>0</v>
      </c>
      <c r="CD254" s="614"/>
    </row>
    <row r="255" spans="1:82" s="561" customFormat="1" ht="61.5" customHeight="1">
      <c r="A255" s="625" t="str">
        <f t="shared" si="72"/>
        <v>1110-185-FONT1110-01-03-0020-Administración y mantenimiento de escenarios culturales</v>
      </c>
      <c r="B255" s="626" t="str">
        <f t="shared" si="73"/>
        <v>1110-185-FONT1110-01-03-0020</v>
      </c>
      <c r="C255" s="626" t="str">
        <f t="shared" si="74"/>
        <v>1110-185-FONT1110-Administración y mantenimiento de escenarios culturales</v>
      </c>
      <c r="D255" s="626" t="str">
        <f t="shared" si="75"/>
        <v>1110-185-12-Otros Distrito-01-03-0020</v>
      </c>
      <c r="E255" s="626" t="str">
        <f t="shared" si="76"/>
        <v>Administración y mantenimiento de escenarios culturales-12-Otros Distrito-0020-Mantenimiento y mejoramiento de la infraestructura cultural</v>
      </c>
      <c r="F255" s="627" t="s">
        <v>346</v>
      </c>
      <c r="G255" s="628" t="str">
        <f t="shared" si="77"/>
        <v>N.A.</v>
      </c>
      <c r="H255" s="629" t="b">
        <f t="shared" si="78"/>
        <v>0</v>
      </c>
      <c r="I255" s="630" t="s">
        <v>595</v>
      </c>
      <c r="J255" s="627" t="s">
        <v>178</v>
      </c>
      <c r="K255" s="631" t="str">
        <f>+IFERROR(VLOOKUP(J255,Listas!$A$108:$B$114,2,FALSE),"Alerta: Seleccione la celda en la comumna B con el nombre del proyecto")</f>
        <v>3-3-1-15-07-42-1110-185</v>
      </c>
      <c r="L255" s="632" t="s">
        <v>351</v>
      </c>
      <c r="M255" s="633" t="s">
        <v>806</v>
      </c>
      <c r="N255" s="634" t="str">
        <f t="shared" si="79"/>
        <v>(Cód. N.A.) Servicios Públicos</v>
      </c>
      <c r="O255" s="635">
        <v>43467</v>
      </c>
      <c r="P255" s="636">
        <f>IFERROR(VLOOKUP(W255,'Estimación CRP'!$D$21:$E$30,2,FALSE),0)</f>
        <v>0</v>
      </c>
      <c r="Q255" s="637">
        <f>IF(O255="No aplica","No aplica",WORKDAY.INTL(O255,P255,1,'Estimación CRP'!A441:A457))</f>
        <v>43467</v>
      </c>
      <c r="R255" s="636">
        <f t="shared" si="80"/>
        <v>1</v>
      </c>
      <c r="S255" s="636">
        <f t="shared" si="81"/>
        <v>1</v>
      </c>
      <c r="T255" s="636">
        <f t="shared" si="82"/>
        <v>1</v>
      </c>
      <c r="U255" s="638">
        <v>12</v>
      </c>
      <c r="V255" s="638">
        <v>0</v>
      </c>
      <c r="W255" s="639" t="s">
        <v>351</v>
      </c>
      <c r="X255" s="640" t="str">
        <f>IFERROR(VLOOKUP(W255,Listas!$A$60:$B$73,2,FALSE),"Alerta: Seleccione primero Modalidad de selección")</f>
        <v>No aplica</v>
      </c>
      <c r="Y255" s="641">
        <v>0</v>
      </c>
      <c r="Z255" s="641" t="s">
        <v>1274</v>
      </c>
      <c r="AA255" s="641"/>
      <c r="AB255" s="642">
        <f t="shared" si="83"/>
        <v>120000000</v>
      </c>
      <c r="AC255" s="642">
        <f t="shared" si="84"/>
        <v>120000000</v>
      </c>
      <c r="AD255" s="641">
        <v>0</v>
      </c>
      <c r="AE255" s="643">
        <v>0</v>
      </c>
      <c r="AF255" s="639" t="s">
        <v>276</v>
      </c>
      <c r="AG255" s="639" t="s">
        <v>277</v>
      </c>
      <c r="AH255" s="639" t="s">
        <v>283</v>
      </c>
      <c r="AI255" s="626" t="str">
        <f>IFERROR(VLOOKUP(AH255,Listas!$A$77:$C$83,2,FALSE),"Alerta: Seleccione primero el responsable")</f>
        <v>3550800</v>
      </c>
      <c r="AJ255" s="640" t="str">
        <f>IFERROR(VLOOKUP(AH255,Listas!$A$77:$C$83,3,FALSE),"Alerta: Seleccione primero el responsable")</f>
        <v>juan.acosta@idpc.gov.co</v>
      </c>
      <c r="AK255" s="640" t="str">
        <f>IF(J255="Funcionamiento Gastos Generales","No aplica",IF(J255="Funcionamiento Servicios Personales indirectos","No aplica",IFERROR(VLOOKUP(J255,Listas!$A$127:$E$139,3,FALSE),"Alerta: Seleccione la celda en la comumna B con el nombre del proyecto")))</f>
        <v>ME20181110</v>
      </c>
      <c r="AL255" s="640" t="str">
        <f>IF(J255="Funcionamiento Gastos Generales","No aplica",IF(J255="Funcionamiento Servicios Personales","No aplica",IFERROR(VLOOKUP(J255,Listas!$A$220:$D$224,2,FALSE),"Alerta: Seleccione la celda en la comumna B con el nombre del proyecto")))</f>
        <v>COMP1110</v>
      </c>
      <c r="AM255" s="640" t="str">
        <f>IF(J255="Funcionamiento Gastos Generales","No aplica",IF(J255="Funcionamiento Servicios Personales","No aplica",IFERROR(VLOOKUP(J255,Listas!$A$220:$D$224,3,FALSE),"Alerta: Seleccione la celda en la comumna B con el nombre del proyecto")))</f>
        <v>CONC1110</v>
      </c>
      <c r="AN255" s="633" t="s">
        <v>1049</v>
      </c>
      <c r="AO255" s="633" t="s">
        <v>1055</v>
      </c>
      <c r="AP255" s="634" t="str">
        <f>IFERROR(VLOOKUP(J255,Listas!$A$182:$E$215,5,FALSE),"Alerta: Seleccione la celda en la comumna B con el nombre del proyecto")</f>
        <v>10. Procesos articulados dentro del sistema integrado de gestión.</v>
      </c>
      <c r="AQ255" s="634" t="str">
        <f>IF(J255="Funcionamiento Gastos Generales","No aplica",IF(J255="Funcionamiento Servicios Personales","No aplica",IFERROR(VLOOKUP(J255,Listas!$A$220:$D$224,4,FALSE),"Alerta: Seleccione la celda en la comumna B con el nombre del proyecto")))</f>
        <v>FONT1110</v>
      </c>
      <c r="AR255" s="633" t="s">
        <v>198</v>
      </c>
      <c r="AS255" s="634" t="str">
        <f>IFERROR(VLOOKUP(AU255,Listas!$E$85:$L$105,7,FALSE),"Alerta: Seleccione la celda en la comumna AI con el concepto de gasto")</f>
        <v>01-INFRAESTRUCTURA</v>
      </c>
      <c r="AT255" s="634" t="str">
        <f>IFERROR(VLOOKUP(AU255,Listas!$E$85:$L$105,8,FALSE),"Alerta: Seleccione la celda en la comumna AI con el concepto de gasto")</f>
        <v>03-MEJORAMIENTO Y MANTENIMIENTO DE INFRAESTRUCTURA PROPIA DEL SECTOR</v>
      </c>
      <c r="AU255" s="633" t="s">
        <v>235</v>
      </c>
      <c r="AV255" s="634">
        <f>IFERROR(VLOOKUP(AU255,Listas!$E$85:$F$105,2,FALSE),"Alerta: Seleccione el Concepto de Gasto primero")</f>
        <v>1</v>
      </c>
      <c r="AW255" s="644">
        <v>120000000</v>
      </c>
      <c r="AX255" s="645"/>
      <c r="AY255" s="645"/>
      <c r="AZ255" s="645"/>
      <c r="BA255" s="646">
        <f t="shared" si="85"/>
        <v>120000000</v>
      </c>
      <c r="BB255" s="647"/>
      <c r="BC255" s="648"/>
      <c r="BD255" s="649"/>
      <c r="BE255" s="647"/>
      <c r="BF255" s="644"/>
      <c r="BG255" s="646">
        <f t="shared" si="86"/>
        <v>120000000</v>
      </c>
      <c r="BH255" s="650"/>
      <c r="BI255" s="647"/>
      <c r="BJ255" s="644"/>
      <c r="BK255" s="646">
        <f t="shared" si="87"/>
        <v>0</v>
      </c>
      <c r="BL255" s="651"/>
      <c r="BM255" s="652">
        <f t="shared" si="88"/>
        <v>1</v>
      </c>
      <c r="BN255" s="628"/>
      <c r="BO255" s="670"/>
      <c r="BP255" s="644"/>
      <c r="BQ255" s="644"/>
      <c r="BR255" s="644"/>
      <c r="BS255" s="644"/>
      <c r="BT255" s="644"/>
      <c r="BU255" s="644"/>
      <c r="BV255" s="644"/>
      <c r="BW255" s="644"/>
      <c r="BX255" s="644"/>
      <c r="BY255" s="644"/>
      <c r="BZ255" s="644"/>
      <c r="CA255" s="644"/>
      <c r="CB255" s="646">
        <f t="shared" si="89"/>
        <v>0</v>
      </c>
      <c r="CC255" s="646">
        <f t="shared" si="90"/>
        <v>0</v>
      </c>
      <c r="CD255" s="614"/>
    </row>
    <row r="256" spans="1:82" s="561" customFormat="1" ht="61.5" customHeight="1">
      <c r="A256" s="625" t="str">
        <f t="shared" si="72"/>
        <v>1112-140-FONT1112-04-01-0185-Plan especial de manejo y protección del centro histórico</v>
      </c>
      <c r="B256" s="626" t="str">
        <f t="shared" si="73"/>
        <v>1112-140-FONT1112-04-01-0185</v>
      </c>
      <c r="C256" s="626" t="str">
        <f t="shared" si="74"/>
        <v>1112-140-FONT1112-Plan especial de manejo y protección del centro histórico</v>
      </c>
      <c r="D256" s="626" t="str">
        <f t="shared" si="75"/>
        <v>1112-140-12-Otros Distrito-04-01-0185</v>
      </c>
      <c r="E256" s="626" t="str">
        <f t="shared" si="76"/>
        <v>Plan especial de manejo y protección del centro histórico-12-Otros Distrito-0185-Actividades de investigación para la valoración, protección, conservación, sostenibilidad y apropiación del Patrimonio Cultural</v>
      </c>
      <c r="F256" s="627">
        <v>207</v>
      </c>
      <c r="G256" s="628">
        <f t="shared" si="77"/>
        <v>207</v>
      </c>
      <c r="H256" s="629" t="b">
        <f t="shared" si="78"/>
        <v>0</v>
      </c>
      <c r="I256" s="630" t="s">
        <v>594</v>
      </c>
      <c r="J256" s="627" t="s">
        <v>179</v>
      </c>
      <c r="K256" s="631" t="str">
        <f>+IFERROR(VLOOKUP(J256,Listas!$A$108:$B$114,2,FALSE),"Alerta: Seleccione la celda en la comumna B con el nombre del proyecto")</f>
        <v>3-3-1-15-02-17-1112-140</v>
      </c>
      <c r="L256" s="632">
        <v>80111600</v>
      </c>
      <c r="M256" s="633" t="s">
        <v>807</v>
      </c>
      <c r="N256" s="634" t="str">
        <f t="shared" si="79"/>
        <v xml:space="preserve">(Cód. 207) Prestar servicios profesionales al Instituto Distrital de Patrimonio Cultural para elaborar insumos arquitectónicos en la formulación de proyectos y del Plan Especial de Manejo y Protección -PEMP- del Centro Histórico de Bogotá D.C, a partir de la consolidación de la formulación del mismo. </v>
      </c>
      <c r="O256" s="635">
        <v>43600</v>
      </c>
      <c r="P256" s="636">
        <f>IFERROR(VLOOKUP(W256,'Estimación CRP'!$D$21:$E$30,2,FALSE),0)</f>
        <v>10</v>
      </c>
      <c r="Q256" s="637">
        <f>IF(O256="No aplica","No aplica",WORKDAY.INTL(O256,P256,1,'Estimación CRP'!A442:A458))</f>
        <v>43614</v>
      </c>
      <c r="R256" s="636">
        <f t="shared" si="80"/>
        <v>5</v>
      </c>
      <c r="S256" s="636">
        <f t="shared" si="81"/>
        <v>5</v>
      </c>
      <c r="T256" s="636">
        <f t="shared" si="82"/>
        <v>5</v>
      </c>
      <c r="U256" s="712">
        <v>11</v>
      </c>
      <c r="V256" s="638">
        <v>1</v>
      </c>
      <c r="W256" s="639" t="s">
        <v>274</v>
      </c>
      <c r="X256" s="640" t="str">
        <f>IFERROR(VLOOKUP(W256,Listas!$A$60:$B$73,2,FALSE),"Alerta: Seleccione primero Modalidad de selección")</f>
        <v>CCE-16</v>
      </c>
      <c r="Y256" s="641">
        <v>0</v>
      </c>
      <c r="Z256" s="641" t="s">
        <v>346</v>
      </c>
      <c r="AA256" s="641" t="s">
        <v>1275</v>
      </c>
      <c r="AB256" s="642">
        <f t="shared" si="83"/>
        <v>49500000</v>
      </c>
      <c r="AC256" s="642">
        <f t="shared" si="84"/>
        <v>49500000</v>
      </c>
      <c r="AD256" s="641">
        <v>0</v>
      </c>
      <c r="AE256" s="643">
        <v>0</v>
      </c>
      <c r="AF256" s="639" t="s">
        <v>276</v>
      </c>
      <c r="AG256" s="639" t="s">
        <v>277</v>
      </c>
      <c r="AH256" s="639" t="s">
        <v>285</v>
      </c>
      <c r="AI256" s="626" t="str">
        <f>IFERROR(VLOOKUP(AH256,Listas!$A$77:$C$83,2,FALSE),"Alerta: Seleccione primero el responsable")</f>
        <v>3550800</v>
      </c>
      <c r="AJ256" s="640" t="str">
        <f>IFERROR(VLOOKUP(AH256,Listas!$A$77:$C$83,3,FALSE),"Alerta: Seleccione primero el responsable")</f>
        <v>maria.villamil@idpc.gov.co</v>
      </c>
      <c r="AK256" s="640" t="str">
        <f>IF(J256="Funcionamiento Gastos Generales","No aplica",IF(J256="Funcionamiento Servicios Personales indirectos","No aplica",IFERROR(VLOOKUP(J256,Listas!$A$127:$E$139,3,FALSE),"Alerta: Seleccione la celda en la comumna B con el nombre del proyecto")))</f>
        <v>ME20181112</v>
      </c>
      <c r="AL256" s="640" t="str">
        <f>IF(J256="Funcionamiento Gastos Generales","No aplica",IF(J256="Funcionamiento Servicios Personales","No aplica",IFERROR(VLOOKUP(J256,Listas!$A$220:$D$224,2,FALSE),"Alerta: Seleccione la celda en la comumna B con el nombre del proyecto")))</f>
        <v>COMP1112</v>
      </c>
      <c r="AM256" s="640" t="str">
        <f>IF(J256="Funcionamiento Gastos Generales","No aplica",IF(J256="Funcionamiento Servicios Personales","No aplica",IFERROR(VLOOKUP(J256,Listas!$A$220:$D$224,3,FALSE),"Alerta: Seleccione la celda en la comumna B con el nombre del proyecto")))</f>
        <v>CONC1112</v>
      </c>
      <c r="AN256" s="633" t="s">
        <v>1050</v>
      </c>
      <c r="AO256" s="633" t="s">
        <v>126</v>
      </c>
      <c r="AP256" s="634" t="str">
        <f>IFERROR(VLOOKUP(J256,Listas!$A$182:$E$215,5,FALSE),"Alerta: Seleccione la celda en la comumna B con el nombre del proyecto")</f>
        <v>15. Instrumentos técnicos de gestión para la preservación del patrimonio cultural</v>
      </c>
      <c r="AQ256" s="634" t="str">
        <f>IF(J256="Funcionamiento Gastos Generales","No aplica",IF(J256="Funcionamiento Servicios Personales","No aplica",IFERROR(VLOOKUP(J256,Listas!$A$220:$D$224,4,FALSE),"Alerta: Seleccione la celda en la comumna B con el nombre del proyecto")))</f>
        <v>FONT1112</v>
      </c>
      <c r="AR256" s="633" t="s">
        <v>198</v>
      </c>
      <c r="AS256" s="634" t="str">
        <f>IFERROR(VLOOKUP(AU256,Listas!$E$85:$L$105,7,FALSE),"Alerta: Seleccione la celda en la comumna AI con el concepto de gasto")</f>
        <v>04-INVESTIGACION Y ESTUDIOS</v>
      </c>
      <c r="AT256" s="634" t="str">
        <f>IFERROR(VLOOKUP(AU256,Listas!$E$85:$L$105,8,FALSE),"Alerta: Seleccione la celda en la comumna AI con el concepto de gasto")</f>
        <v>01-INVESTIGACIÓN BÁSICA APLICADA Y ESTUDIOS PROPIOS DEL SECTOR</v>
      </c>
      <c r="AU256" s="633" t="s">
        <v>201</v>
      </c>
      <c r="AV256" s="634">
        <f>IFERROR(VLOOKUP(AU256,Listas!$E$85:$F$105,2,FALSE),"Alerta: Seleccione el Concepto de Gasto primero")</f>
        <v>0</v>
      </c>
      <c r="AW256" s="644">
        <v>49500000</v>
      </c>
      <c r="AX256" s="645"/>
      <c r="AY256" s="645"/>
      <c r="AZ256" s="645"/>
      <c r="BA256" s="646">
        <f t="shared" si="85"/>
        <v>49500000</v>
      </c>
      <c r="BB256" s="647"/>
      <c r="BC256" s="648"/>
      <c r="BD256" s="649"/>
      <c r="BE256" s="647"/>
      <c r="BF256" s="644"/>
      <c r="BG256" s="646">
        <f t="shared" si="86"/>
        <v>49500000</v>
      </c>
      <c r="BH256" s="650"/>
      <c r="BI256" s="647"/>
      <c r="BJ256" s="644"/>
      <c r="BK256" s="646">
        <f t="shared" si="87"/>
        <v>0</v>
      </c>
      <c r="BL256" s="651"/>
      <c r="BM256" s="652">
        <f t="shared" si="88"/>
        <v>1</v>
      </c>
      <c r="BN256" s="628"/>
      <c r="BO256" s="670"/>
      <c r="BP256" s="644"/>
      <c r="BQ256" s="644"/>
      <c r="BR256" s="644"/>
      <c r="BS256" s="644"/>
      <c r="BT256" s="644"/>
      <c r="BU256" s="644"/>
      <c r="BV256" s="644"/>
      <c r="BW256" s="644"/>
      <c r="BX256" s="644"/>
      <c r="BY256" s="644"/>
      <c r="BZ256" s="644"/>
      <c r="CA256" s="644"/>
      <c r="CB256" s="646">
        <f t="shared" si="89"/>
        <v>0</v>
      </c>
      <c r="CC256" s="646">
        <f t="shared" si="90"/>
        <v>0</v>
      </c>
      <c r="CD256" s="614"/>
    </row>
    <row r="257" spans="1:82" s="561" customFormat="1" ht="61.5" customHeight="1">
      <c r="A257" s="625" t="str">
        <f t="shared" si="72"/>
        <v>1112-140-FONT1112-04-01-0185-Planes y proyectos urbanos en ámbitos patrimoniales</v>
      </c>
      <c r="B257" s="626" t="str">
        <f t="shared" si="73"/>
        <v>1112-140-FONT1112-04-01-0185</v>
      </c>
      <c r="C257" s="626" t="str">
        <f t="shared" si="74"/>
        <v>1112-140-FONT1112-Planes y proyectos urbanos en ámbitos patrimoniales</v>
      </c>
      <c r="D257" s="626" t="str">
        <f t="shared" si="75"/>
        <v>1112-140-12-Otros Distrito-04-01-0185</v>
      </c>
      <c r="E257" s="626" t="str">
        <f t="shared" si="76"/>
        <v>Planes y proyectos urbanos en ámbitos patrimoniales-12-Otros Distrito-0185-Actividades de investigación para la valoración, protección, conservación, sostenibilidad y apropiación del Patrimonio Cultural</v>
      </c>
      <c r="F257" s="627">
        <v>208</v>
      </c>
      <c r="G257" s="628">
        <f t="shared" si="77"/>
        <v>208</v>
      </c>
      <c r="H257" s="629" t="b">
        <f t="shared" si="78"/>
        <v>0</v>
      </c>
      <c r="I257" s="630" t="s">
        <v>594</v>
      </c>
      <c r="J257" s="627" t="s">
        <v>179</v>
      </c>
      <c r="K257" s="631" t="str">
        <f>+IFERROR(VLOOKUP(J257,Listas!$A$108:$B$114,2,FALSE),"Alerta: Seleccione la celda en la comumna B con el nombre del proyecto")</f>
        <v>3-3-1-15-02-17-1112-140</v>
      </c>
      <c r="L257" s="632">
        <v>80111600</v>
      </c>
      <c r="M257" s="633" t="s">
        <v>808</v>
      </c>
      <c r="N257" s="634" t="str">
        <f t="shared" si="79"/>
        <v xml:space="preserve">(Cód. 208) Prestar servicios profesionales al Instituto Distrital de Patrimonio Cultural para realizar  insumos en el componente ambiental en la formulación de proyectos del Instituto. </v>
      </c>
      <c r="O257" s="635">
        <v>43489</v>
      </c>
      <c r="P257" s="636">
        <f>IFERROR(VLOOKUP(W257,'Estimación CRP'!$D$21:$E$30,2,FALSE),0)</f>
        <v>10</v>
      </c>
      <c r="Q257" s="637">
        <f>IF(O257="No aplica","No aplica",WORKDAY.INTL(O257,P257,1,'Estimación CRP'!A443:A459))</f>
        <v>43503</v>
      </c>
      <c r="R257" s="636">
        <f t="shared" si="80"/>
        <v>2</v>
      </c>
      <c r="S257" s="636">
        <f t="shared" si="81"/>
        <v>1</v>
      </c>
      <c r="T257" s="636">
        <f t="shared" si="82"/>
        <v>1</v>
      </c>
      <c r="U257" s="712">
        <v>5</v>
      </c>
      <c r="V257" s="638">
        <v>1</v>
      </c>
      <c r="W257" s="639" t="s">
        <v>274</v>
      </c>
      <c r="X257" s="640" t="str">
        <f>IFERROR(VLOOKUP(W257,Listas!$A$60:$B$73,2,FALSE),"Alerta: Seleccione primero Modalidad de selección")</f>
        <v>CCE-16</v>
      </c>
      <c r="Y257" s="641">
        <v>0</v>
      </c>
      <c r="Z257" s="641" t="s">
        <v>346</v>
      </c>
      <c r="AA257" s="641" t="s">
        <v>1276</v>
      </c>
      <c r="AB257" s="642">
        <f t="shared" si="83"/>
        <v>19000000</v>
      </c>
      <c r="AC257" s="642">
        <f t="shared" si="84"/>
        <v>19000000</v>
      </c>
      <c r="AD257" s="641">
        <v>0</v>
      </c>
      <c r="AE257" s="643">
        <v>0</v>
      </c>
      <c r="AF257" s="639" t="s">
        <v>276</v>
      </c>
      <c r="AG257" s="639" t="s">
        <v>277</v>
      </c>
      <c r="AH257" s="639" t="s">
        <v>285</v>
      </c>
      <c r="AI257" s="626" t="str">
        <f>IFERROR(VLOOKUP(AH257,Listas!$A$77:$C$83,2,FALSE),"Alerta: Seleccione primero el responsable")</f>
        <v>3550800</v>
      </c>
      <c r="AJ257" s="640" t="str">
        <f>IFERROR(VLOOKUP(AH257,Listas!$A$77:$C$83,3,FALSE),"Alerta: Seleccione primero el responsable")</f>
        <v>maria.villamil@idpc.gov.co</v>
      </c>
      <c r="AK257" s="640" t="str">
        <f>IF(J257="Funcionamiento Gastos Generales","No aplica",IF(J257="Funcionamiento Servicios Personales indirectos","No aplica",IFERROR(VLOOKUP(J257,Listas!$A$127:$E$139,3,FALSE),"Alerta: Seleccione la celda en la comumna B con el nombre del proyecto")))</f>
        <v>ME20181112</v>
      </c>
      <c r="AL257" s="640" t="str">
        <f>IF(J257="Funcionamiento Gastos Generales","No aplica",IF(J257="Funcionamiento Servicios Personales","No aplica",IFERROR(VLOOKUP(J257,Listas!$A$220:$D$224,2,FALSE),"Alerta: Seleccione la celda en la comumna B con el nombre del proyecto")))</f>
        <v>COMP1112</v>
      </c>
      <c r="AM257" s="640" t="str">
        <f>IF(J257="Funcionamiento Gastos Generales","No aplica",IF(J257="Funcionamiento Servicios Personales","No aplica",IFERROR(VLOOKUP(J257,Listas!$A$220:$D$224,3,FALSE),"Alerta: Seleccione la celda en la comumna B con el nombre del proyecto")))</f>
        <v>CONC1112</v>
      </c>
      <c r="AN257" s="633" t="s">
        <v>1051</v>
      </c>
      <c r="AO257" s="633" t="s">
        <v>127</v>
      </c>
      <c r="AP257" s="634" t="str">
        <f>IFERROR(VLOOKUP(J257,Listas!$A$182:$E$215,5,FALSE),"Alerta: Seleccione la celda en la comumna B con el nombre del proyecto")</f>
        <v>15. Instrumentos técnicos de gestión para la preservación del patrimonio cultural</v>
      </c>
      <c r="AQ257" s="634" t="str">
        <f>IF(J257="Funcionamiento Gastos Generales","No aplica",IF(J257="Funcionamiento Servicios Personales","No aplica",IFERROR(VLOOKUP(J257,Listas!$A$220:$D$224,4,FALSE),"Alerta: Seleccione la celda en la comumna B con el nombre del proyecto")))</f>
        <v>FONT1112</v>
      </c>
      <c r="AR257" s="633" t="s">
        <v>198</v>
      </c>
      <c r="AS257" s="634" t="str">
        <f>IFERROR(VLOOKUP(AU257,Listas!$E$85:$L$105,7,FALSE),"Alerta: Seleccione la celda en la comumna AI con el concepto de gasto")</f>
        <v>04-INVESTIGACION Y ESTUDIOS</v>
      </c>
      <c r="AT257" s="634" t="str">
        <f>IFERROR(VLOOKUP(AU257,Listas!$E$85:$L$105,8,FALSE),"Alerta: Seleccione la celda en la comumna AI con el concepto de gasto")</f>
        <v>01-INVESTIGACIÓN BÁSICA APLICADA Y ESTUDIOS PROPIOS DEL SECTOR</v>
      </c>
      <c r="AU257" s="633" t="s">
        <v>201</v>
      </c>
      <c r="AV257" s="634">
        <f>IFERROR(VLOOKUP(AU257,Listas!$E$85:$F$105,2,FALSE),"Alerta: Seleccione el Concepto de Gasto primero")</f>
        <v>0</v>
      </c>
      <c r="AW257" s="644">
        <v>19000000</v>
      </c>
      <c r="AX257" s="645"/>
      <c r="AY257" s="645"/>
      <c r="AZ257" s="645"/>
      <c r="BA257" s="646">
        <f t="shared" si="85"/>
        <v>19000000</v>
      </c>
      <c r="BB257" s="647"/>
      <c r="BC257" s="648"/>
      <c r="BD257" s="649"/>
      <c r="BE257" s="647"/>
      <c r="BF257" s="644"/>
      <c r="BG257" s="646">
        <f t="shared" si="86"/>
        <v>19000000</v>
      </c>
      <c r="BH257" s="650"/>
      <c r="BI257" s="647"/>
      <c r="BJ257" s="644"/>
      <c r="BK257" s="646">
        <f t="shared" si="87"/>
        <v>0</v>
      </c>
      <c r="BL257" s="651"/>
      <c r="BM257" s="652">
        <f t="shared" si="88"/>
        <v>1</v>
      </c>
      <c r="BN257" s="628"/>
      <c r="BO257" s="670"/>
      <c r="BP257" s="644"/>
      <c r="BQ257" s="644"/>
      <c r="BR257" s="644"/>
      <c r="BS257" s="644"/>
      <c r="BT257" s="644"/>
      <c r="BU257" s="644"/>
      <c r="BV257" s="644"/>
      <c r="BW257" s="644"/>
      <c r="BX257" s="644"/>
      <c r="BY257" s="644"/>
      <c r="BZ257" s="644"/>
      <c r="CA257" s="644"/>
      <c r="CB257" s="646">
        <f t="shared" si="89"/>
        <v>0</v>
      </c>
      <c r="CC257" s="646">
        <f t="shared" si="90"/>
        <v>0</v>
      </c>
      <c r="CD257" s="614"/>
    </row>
    <row r="258" spans="1:82" s="561" customFormat="1" ht="61.5" customHeight="1">
      <c r="A258" s="625" t="str">
        <f t="shared" si="72"/>
        <v>1112-140-FONT1112-04-01-0185-Plan especial de manejo y protección del centro histórico</v>
      </c>
      <c r="B258" s="626" t="str">
        <f t="shared" si="73"/>
        <v>1112-140-FONT1112-04-01-0185</v>
      </c>
      <c r="C258" s="626" t="str">
        <f t="shared" si="74"/>
        <v>1112-140-FONT1112-Plan especial de manejo y protección del centro histórico</v>
      </c>
      <c r="D258" s="626" t="str">
        <f t="shared" si="75"/>
        <v>1112-140-12-Otros Distrito-04-01-0185</v>
      </c>
      <c r="E258" s="626" t="str">
        <f t="shared" si="76"/>
        <v>Plan especial de manejo y protección del centro histórico-12-Otros Distrito-0185-Actividades de investigación para la valoración, protección, conservación, sostenibilidad y apropiación del Patrimonio Cultural</v>
      </c>
      <c r="F258" s="627">
        <v>209</v>
      </c>
      <c r="G258" s="628">
        <f t="shared" si="77"/>
        <v>209</v>
      </c>
      <c r="H258" s="629" t="b">
        <f t="shared" si="78"/>
        <v>0</v>
      </c>
      <c r="I258" s="630" t="s">
        <v>594</v>
      </c>
      <c r="J258" s="627" t="s">
        <v>179</v>
      </c>
      <c r="K258" s="631" t="str">
        <f>+IFERROR(VLOOKUP(J258,Listas!$A$108:$B$114,2,FALSE),"Alerta: Seleccione la celda en la comumna B con el nombre del proyecto")</f>
        <v>3-3-1-15-02-17-1112-140</v>
      </c>
      <c r="L258" s="632">
        <v>80111600</v>
      </c>
      <c r="M258" s="633" t="s">
        <v>809</v>
      </c>
      <c r="N258" s="634" t="str">
        <f t="shared" si="79"/>
        <v>(Cód. 209) Prestar servicios profesionales al Instituto Distrital de Patrimonio Cultural en las actividades relacionadas con la propuesta de norma e instrumentos del Plan Especial de Manejo y Protección -PEMP- del Centro Histórico de Bogotá D.C.</v>
      </c>
      <c r="O258" s="635">
        <v>43480</v>
      </c>
      <c r="P258" s="636">
        <f>IFERROR(VLOOKUP(W258,'Estimación CRP'!$D$21:$E$30,2,FALSE),0)</f>
        <v>10</v>
      </c>
      <c r="Q258" s="637">
        <f>IF(O258="No aplica","No aplica",WORKDAY.INTL(O258,P258,1,'Estimación CRP'!A444:A460))</f>
        <v>43494</v>
      </c>
      <c r="R258" s="636">
        <f t="shared" si="80"/>
        <v>1</v>
      </c>
      <c r="S258" s="636">
        <f t="shared" si="81"/>
        <v>1</v>
      </c>
      <c r="T258" s="636">
        <f t="shared" si="82"/>
        <v>1</v>
      </c>
      <c r="U258" s="712">
        <v>5</v>
      </c>
      <c r="V258" s="638">
        <v>1</v>
      </c>
      <c r="W258" s="639" t="s">
        <v>274</v>
      </c>
      <c r="X258" s="640" t="str">
        <f>IFERROR(VLOOKUP(W258,Listas!$A$60:$B$73,2,FALSE),"Alerta: Seleccione primero Modalidad de selección")</f>
        <v>CCE-16</v>
      </c>
      <c r="Y258" s="641">
        <v>0</v>
      </c>
      <c r="Z258" s="641" t="s">
        <v>346</v>
      </c>
      <c r="AA258" s="641" t="s">
        <v>1277</v>
      </c>
      <c r="AB258" s="642">
        <f t="shared" si="83"/>
        <v>37600000</v>
      </c>
      <c r="AC258" s="642">
        <f t="shared" si="84"/>
        <v>37600000</v>
      </c>
      <c r="AD258" s="641">
        <v>0</v>
      </c>
      <c r="AE258" s="643">
        <v>0</v>
      </c>
      <c r="AF258" s="639" t="s">
        <v>276</v>
      </c>
      <c r="AG258" s="639" t="s">
        <v>277</v>
      </c>
      <c r="AH258" s="639" t="s">
        <v>285</v>
      </c>
      <c r="AI258" s="626" t="str">
        <f>IFERROR(VLOOKUP(AH258,Listas!$A$77:$C$83,2,FALSE),"Alerta: Seleccione primero el responsable")</f>
        <v>3550800</v>
      </c>
      <c r="AJ258" s="640" t="str">
        <f>IFERROR(VLOOKUP(AH258,Listas!$A$77:$C$83,3,FALSE),"Alerta: Seleccione primero el responsable")</f>
        <v>maria.villamil@idpc.gov.co</v>
      </c>
      <c r="AK258" s="640" t="str">
        <f>IF(J258="Funcionamiento Gastos Generales","No aplica",IF(J258="Funcionamiento Servicios Personales indirectos","No aplica",IFERROR(VLOOKUP(J258,Listas!$A$127:$E$139,3,FALSE),"Alerta: Seleccione la celda en la comumna B con el nombre del proyecto")))</f>
        <v>ME20181112</v>
      </c>
      <c r="AL258" s="640" t="str">
        <f>IF(J258="Funcionamiento Gastos Generales","No aplica",IF(J258="Funcionamiento Servicios Personales","No aplica",IFERROR(VLOOKUP(J258,Listas!$A$220:$D$224,2,FALSE),"Alerta: Seleccione la celda en la comumna B con el nombre del proyecto")))</f>
        <v>COMP1112</v>
      </c>
      <c r="AM258" s="640" t="str">
        <f>IF(J258="Funcionamiento Gastos Generales","No aplica",IF(J258="Funcionamiento Servicios Personales","No aplica",IFERROR(VLOOKUP(J258,Listas!$A$220:$D$224,3,FALSE),"Alerta: Seleccione la celda en la comumna B con el nombre del proyecto")))</f>
        <v>CONC1112</v>
      </c>
      <c r="AN258" s="633" t="s">
        <v>1050</v>
      </c>
      <c r="AO258" s="633" t="s">
        <v>126</v>
      </c>
      <c r="AP258" s="634" t="str">
        <f>IFERROR(VLOOKUP(J258,Listas!$A$182:$E$215,5,FALSE),"Alerta: Seleccione la celda en la comumna B con el nombre del proyecto")</f>
        <v>15. Instrumentos técnicos de gestión para la preservación del patrimonio cultural</v>
      </c>
      <c r="AQ258" s="634" t="str">
        <f>IF(J258="Funcionamiento Gastos Generales","No aplica",IF(J258="Funcionamiento Servicios Personales","No aplica",IFERROR(VLOOKUP(J258,Listas!$A$220:$D$224,4,FALSE),"Alerta: Seleccione la celda en la comumna B con el nombre del proyecto")))</f>
        <v>FONT1112</v>
      </c>
      <c r="AR258" s="633" t="s">
        <v>198</v>
      </c>
      <c r="AS258" s="634" t="str">
        <f>IFERROR(VLOOKUP(AU258,Listas!$E$85:$L$105,7,FALSE),"Alerta: Seleccione la celda en la comumna AI con el concepto de gasto")</f>
        <v>04-INVESTIGACION Y ESTUDIOS</v>
      </c>
      <c r="AT258" s="634" t="str">
        <f>IFERROR(VLOOKUP(AU258,Listas!$E$85:$L$105,8,FALSE),"Alerta: Seleccione la celda en la comumna AI con el concepto de gasto")</f>
        <v>01-INVESTIGACIÓN BÁSICA APLICADA Y ESTUDIOS PROPIOS DEL SECTOR</v>
      </c>
      <c r="AU258" s="633" t="s">
        <v>201</v>
      </c>
      <c r="AV258" s="634">
        <f>IFERROR(VLOOKUP(AU258,Listas!$E$85:$F$105,2,FALSE),"Alerta: Seleccione el Concepto de Gasto primero")</f>
        <v>0</v>
      </c>
      <c r="AW258" s="644">
        <v>37600000</v>
      </c>
      <c r="AX258" s="645"/>
      <c r="AY258" s="645"/>
      <c r="AZ258" s="645"/>
      <c r="BA258" s="646">
        <f t="shared" si="85"/>
        <v>37600000</v>
      </c>
      <c r="BB258" s="647"/>
      <c r="BC258" s="648"/>
      <c r="BD258" s="649"/>
      <c r="BE258" s="647"/>
      <c r="BF258" s="644"/>
      <c r="BG258" s="646">
        <f t="shared" si="86"/>
        <v>37600000</v>
      </c>
      <c r="BH258" s="650"/>
      <c r="BI258" s="647"/>
      <c r="BJ258" s="644"/>
      <c r="BK258" s="646">
        <f t="shared" si="87"/>
        <v>0</v>
      </c>
      <c r="BL258" s="651"/>
      <c r="BM258" s="652">
        <f t="shared" si="88"/>
        <v>1</v>
      </c>
      <c r="BN258" s="628"/>
      <c r="BO258" s="670"/>
      <c r="BP258" s="644"/>
      <c r="BQ258" s="644"/>
      <c r="BR258" s="644"/>
      <c r="BS258" s="644"/>
      <c r="BT258" s="644"/>
      <c r="BU258" s="644"/>
      <c r="BV258" s="644"/>
      <c r="BW258" s="644"/>
      <c r="BX258" s="644"/>
      <c r="BY258" s="644"/>
      <c r="BZ258" s="644"/>
      <c r="CA258" s="644"/>
      <c r="CB258" s="646">
        <f t="shared" si="89"/>
        <v>0</v>
      </c>
      <c r="CC258" s="646">
        <f t="shared" si="90"/>
        <v>0</v>
      </c>
      <c r="CD258" s="614"/>
    </row>
    <row r="259" spans="1:82" s="561" customFormat="1" ht="61.5" customHeight="1">
      <c r="A259" s="625" t="str">
        <f t="shared" si="72"/>
        <v>1112-140-FONT1112-04-01-0185-Plan especial de manejo y protección del centro histórico</v>
      </c>
      <c r="B259" s="626" t="str">
        <f t="shared" si="73"/>
        <v>1112-140-FONT1112-04-01-0185</v>
      </c>
      <c r="C259" s="626" t="str">
        <f t="shared" si="74"/>
        <v>1112-140-FONT1112-Plan especial de manejo y protección del centro histórico</v>
      </c>
      <c r="D259" s="626" t="str">
        <f t="shared" si="75"/>
        <v>1112-140-12-Otros Distrito-04-01-0185</v>
      </c>
      <c r="E259" s="626" t="str">
        <f t="shared" si="76"/>
        <v>Plan especial de manejo y protección del centro histórico-12-Otros Distrito-0185-Actividades de investigación para la valoración, protección, conservación, sostenibilidad y apropiación del Patrimonio Cultural</v>
      </c>
      <c r="F259" s="627">
        <v>210</v>
      </c>
      <c r="G259" s="628">
        <f t="shared" si="77"/>
        <v>210</v>
      </c>
      <c r="H259" s="629" t="b">
        <f t="shared" si="78"/>
        <v>0</v>
      </c>
      <c r="I259" s="630" t="s">
        <v>594</v>
      </c>
      <c r="J259" s="627" t="s">
        <v>179</v>
      </c>
      <c r="K259" s="631" t="str">
        <f>+IFERROR(VLOOKUP(J259,Listas!$A$108:$B$114,2,FALSE),"Alerta: Seleccione la celda en la comumna B con el nombre del proyecto")</f>
        <v>3-3-1-15-02-17-1112-140</v>
      </c>
      <c r="L259" s="632">
        <v>80111600</v>
      </c>
      <c r="M259" s="633" t="s">
        <v>810</v>
      </c>
      <c r="N259" s="634" t="str">
        <f t="shared" si="79"/>
        <v>(Cód. 210) Prestar servicios profesionales al Instituto Distrital de Patrimonio Cultural para la consolidación de la propuesta de norma e instrumentos del Plan Especial de Manejo y Protección -PEMP- del Centro Histórico de Bogotá D.C., y otros proyectos asociados.</v>
      </c>
      <c r="O259" s="635">
        <v>43570</v>
      </c>
      <c r="P259" s="636">
        <f>IFERROR(VLOOKUP(W259,'Estimación CRP'!$D$21:$E$30,2,FALSE),0)</f>
        <v>10</v>
      </c>
      <c r="Q259" s="637">
        <f>IF(O259="No aplica","No aplica",WORKDAY.INTL(O259,P259,1,'Estimación CRP'!A445:A461))</f>
        <v>43584</v>
      </c>
      <c r="R259" s="636">
        <f t="shared" si="80"/>
        <v>4</v>
      </c>
      <c r="S259" s="636">
        <f t="shared" si="81"/>
        <v>4</v>
      </c>
      <c r="T259" s="636">
        <f t="shared" si="82"/>
        <v>4</v>
      </c>
      <c r="U259" s="712">
        <v>5</v>
      </c>
      <c r="V259" s="638">
        <v>1</v>
      </c>
      <c r="W259" s="639" t="s">
        <v>274</v>
      </c>
      <c r="X259" s="640" t="str">
        <f>IFERROR(VLOOKUP(W259,Listas!$A$60:$B$73,2,FALSE),"Alerta: Seleccione primero Modalidad de selección")</f>
        <v>CCE-16</v>
      </c>
      <c r="Y259" s="641">
        <v>0</v>
      </c>
      <c r="Z259" s="641" t="s">
        <v>346</v>
      </c>
      <c r="AA259" s="641" t="s">
        <v>1277</v>
      </c>
      <c r="AB259" s="642">
        <f t="shared" si="83"/>
        <v>37600000</v>
      </c>
      <c r="AC259" s="642">
        <f t="shared" si="84"/>
        <v>37600000</v>
      </c>
      <c r="AD259" s="641">
        <v>0</v>
      </c>
      <c r="AE259" s="643">
        <v>0</v>
      </c>
      <c r="AF259" s="639" t="s">
        <v>276</v>
      </c>
      <c r="AG259" s="639" t="s">
        <v>277</v>
      </c>
      <c r="AH259" s="639" t="s">
        <v>285</v>
      </c>
      <c r="AI259" s="626" t="str">
        <f>IFERROR(VLOOKUP(AH259,Listas!$A$77:$C$83,2,FALSE),"Alerta: Seleccione primero el responsable")</f>
        <v>3550800</v>
      </c>
      <c r="AJ259" s="640" t="str">
        <f>IFERROR(VLOOKUP(AH259,Listas!$A$77:$C$83,3,FALSE),"Alerta: Seleccione primero el responsable")</f>
        <v>maria.villamil@idpc.gov.co</v>
      </c>
      <c r="AK259" s="640" t="str">
        <f>IF(J259="Funcionamiento Gastos Generales","No aplica",IF(J259="Funcionamiento Servicios Personales indirectos","No aplica",IFERROR(VLOOKUP(J259,Listas!$A$127:$E$139,3,FALSE),"Alerta: Seleccione la celda en la comumna B con el nombre del proyecto")))</f>
        <v>ME20181112</v>
      </c>
      <c r="AL259" s="640" t="str">
        <f>IF(J259="Funcionamiento Gastos Generales","No aplica",IF(J259="Funcionamiento Servicios Personales","No aplica",IFERROR(VLOOKUP(J259,Listas!$A$220:$D$224,2,FALSE),"Alerta: Seleccione la celda en la comumna B con el nombre del proyecto")))</f>
        <v>COMP1112</v>
      </c>
      <c r="AM259" s="640" t="str">
        <f>IF(J259="Funcionamiento Gastos Generales","No aplica",IF(J259="Funcionamiento Servicios Personales","No aplica",IFERROR(VLOOKUP(J259,Listas!$A$220:$D$224,3,FALSE),"Alerta: Seleccione la celda en la comumna B con el nombre del proyecto")))</f>
        <v>CONC1112</v>
      </c>
      <c r="AN259" s="633" t="s">
        <v>1050</v>
      </c>
      <c r="AO259" s="633" t="s">
        <v>126</v>
      </c>
      <c r="AP259" s="634" t="str">
        <f>IFERROR(VLOOKUP(J259,Listas!$A$182:$E$215,5,FALSE),"Alerta: Seleccione la celda en la comumna B con el nombre del proyecto")</f>
        <v>15. Instrumentos técnicos de gestión para la preservación del patrimonio cultural</v>
      </c>
      <c r="AQ259" s="634" t="str">
        <f>IF(J259="Funcionamiento Gastos Generales","No aplica",IF(J259="Funcionamiento Servicios Personales","No aplica",IFERROR(VLOOKUP(J259,Listas!$A$220:$D$224,4,FALSE),"Alerta: Seleccione la celda en la comumna B con el nombre del proyecto")))</f>
        <v>FONT1112</v>
      </c>
      <c r="AR259" s="633" t="s">
        <v>198</v>
      </c>
      <c r="AS259" s="634" t="str">
        <f>IFERROR(VLOOKUP(AU259,Listas!$E$85:$L$105,7,FALSE),"Alerta: Seleccione la celda en la comumna AI con el concepto de gasto")</f>
        <v>04-INVESTIGACION Y ESTUDIOS</v>
      </c>
      <c r="AT259" s="634" t="str">
        <f>IFERROR(VLOOKUP(AU259,Listas!$E$85:$L$105,8,FALSE),"Alerta: Seleccione la celda en la comumna AI con el concepto de gasto")</f>
        <v>01-INVESTIGACIÓN BÁSICA APLICADA Y ESTUDIOS PROPIOS DEL SECTOR</v>
      </c>
      <c r="AU259" s="633" t="s">
        <v>201</v>
      </c>
      <c r="AV259" s="634">
        <f>IFERROR(VLOOKUP(AU259,Listas!$E$85:$F$105,2,FALSE),"Alerta: Seleccione el Concepto de Gasto primero")</f>
        <v>0</v>
      </c>
      <c r="AW259" s="644">
        <v>37600000</v>
      </c>
      <c r="AX259" s="645"/>
      <c r="AY259" s="645"/>
      <c r="AZ259" s="645"/>
      <c r="BA259" s="646">
        <f t="shared" si="85"/>
        <v>37600000</v>
      </c>
      <c r="BB259" s="647"/>
      <c r="BC259" s="648"/>
      <c r="BD259" s="649"/>
      <c r="BE259" s="647"/>
      <c r="BF259" s="644"/>
      <c r="BG259" s="646">
        <f t="shared" si="86"/>
        <v>37600000</v>
      </c>
      <c r="BH259" s="650"/>
      <c r="BI259" s="647"/>
      <c r="BJ259" s="644"/>
      <c r="BK259" s="646">
        <f t="shared" si="87"/>
        <v>0</v>
      </c>
      <c r="BL259" s="651"/>
      <c r="BM259" s="652">
        <f t="shared" si="88"/>
        <v>1</v>
      </c>
      <c r="BN259" s="628"/>
      <c r="BO259" s="670"/>
      <c r="BP259" s="644"/>
      <c r="BQ259" s="644"/>
      <c r="BR259" s="644"/>
      <c r="BS259" s="644"/>
      <c r="BT259" s="644"/>
      <c r="BU259" s="644"/>
      <c r="BV259" s="644"/>
      <c r="BW259" s="644"/>
      <c r="BX259" s="644"/>
      <c r="BY259" s="644"/>
      <c r="BZ259" s="644"/>
      <c r="CA259" s="644"/>
      <c r="CB259" s="646">
        <f t="shared" si="89"/>
        <v>0</v>
      </c>
      <c r="CC259" s="646">
        <f t="shared" si="90"/>
        <v>0</v>
      </c>
      <c r="CD259" s="614"/>
    </row>
    <row r="260" spans="1:82" s="561" customFormat="1" ht="61.5" customHeight="1">
      <c r="A260" s="625" t="str">
        <f t="shared" si="72"/>
        <v>1112-140-FONT1112-04-01-0185-Plan especial de manejo y protección del centro histórico</v>
      </c>
      <c r="B260" s="626" t="str">
        <f t="shared" si="73"/>
        <v>1112-140-FONT1112-04-01-0185</v>
      </c>
      <c r="C260" s="626" t="str">
        <f t="shared" si="74"/>
        <v>1112-140-FONT1112-Plan especial de manejo y protección del centro histórico</v>
      </c>
      <c r="D260" s="626" t="str">
        <f t="shared" si="75"/>
        <v>1112-140-12-Otros Distrito-04-01-0185</v>
      </c>
      <c r="E260" s="626" t="str">
        <f t="shared" si="76"/>
        <v>Plan especial de manejo y protección del centro histórico-12-Otros Distrito-0185-Actividades de investigación para la valoración, protección, conservación, sostenibilidad y apropiación del Patrimonio Cultural</v>
      </c>
      <c r="F260" s="627">
        <v>211</v>
      </c>
      <c r="G260" s="628">
        <f t="shared" si="77"/>
        <v>211</v>
      </c>
      <c r="H260" s="629" t="b">
        <f t="shared" si="78"/>
        <v>0</v>
      </c>
      <c r="I260" s="630" t="s">
        <v>594</v>
      </c>
      <c r="J260" s="627" t="s">
        <v>179</v>
      </c>
      <c r="K260" s="631" t="str">
        <f>+IFERROR(VLOOKUP(J260,Listas!$A$108:$B$114,2,FALSE),"Alerta: Seleccione la celda en la comumna B con el nombre del proyecto")</f>
        <v>3-3-1-15-02-17-1112-140</v>
      </c>
      <c r="L260" s="632">
        <v>80111600</v>
      </c>
      <c r="M260" s="633" t="s">
        <v>811</v>
      </c>
      <c r="N260" s="634" t="str">
        <f t="shared" si="79"/>
        <v xml:space="preserve">(Cód. 211) Prestar servicios profesionales al Instituto Distrital de Patrimonio Cultural en la ejecución de las actividades de edición de textos e imágenes y montaje para la consolidación de la valoración e inventario de los bienes del patrimonio cultural inmueble del Plan Especial de Manejo y Protección- PEMP- del Centro Histórico de Bogotá D.C.  </v>
      </c>
      <c r="O260" s="635">
        <v>43480</v>
      </c>
      <c r="P260" s="636">
        <f>IFERROR(VLOOKUP(W260,'Estimación CRP'!$D$21:$E$30,2,FALSE),0)</f>
        <v>10</v>
      </c>
      <c r="Q260" s="637">
        <f>IF(O260="No aplica","No aplica",WORKDAY.INTL(O260,P260,1,'Estimación CRP'!A446:A462))</f>
        <v>43494</v>
      </c>
      <c r="R260" s="636">
        <f t="shared" si="80"/>
        <v>1</v>
      </c>
      <c r="S260" s="636">
        <f t="shared" si="81"/>
        <v>1</v>
      </c>
      <c r="T260" s="636">
        <f t="shared" si="82"/>
        <v>1</v>
      </c>
      <c r="U260" s="712">
        <v>3</v>
      </c>
      <c r="V260" s="638">
        <v>1</v>
      </c>
      <c r="W260" s="639" t="s">
        <v>274</v>
      </c>
      <c r="X260" s="640" t="str">
        <f>IFERROR(VLOOKUP(W260,Listas!$A$60:$B$73,2,FALSE),"Alerta: Seleccione primero Modalidad de selección")</f>
        <v>CCE-16</v>
      </c>
      <c r="Y260" s="641">
        <v>0</v>
      </c>
      <c r="Z260" s="641" t="s">
        <v>346</v>
      </c>
      <c r="AA260" s="641" t="s">
        <v>1278</v>
      </c>
      <c r="AB260" s="642">
        <f t="shared" si="83"/>
        <v>12360000</v>
      </c>
      <c r="AC260" s="642">
        <f t="shared" si="84"/>
        <v>12360000</v>
      </c>
      <c r="AD260" s="641">
        <v>0</v>
      </c>
      <c r="AE260" s="643">
        <v>0</v>
      </c>
      <c r="AF260" s="639" t="s">
        <v>276</v>
      </c>
      <c r="AG260" s="639" t="s">
        <v>277</v>
      </c>
      <c r="AH260" s="639" t="s">
        <v>285</v>
      </c>
      <c r="AI260" s="626" t="str">
        <f>IFERROR(VLOOKUP(AH260,Listas!$A$77:$C$83,2,FALSE),"Alerta: Seleccione primero el responsable")</f>
        <v>3550800</v>
      </c>
      <c r="AJ260" s="640" t="str">
        <f>IFERROR(VLOOKUP(AH260,Listas!$A$77:$C$83,3,FALSE),"Alerta: Seleccione primero el responsable")</f>
        <v>maria.villamil@idpc.gov.co</v>
      </c>
      <c r="AK260" s="640" t="str">
        <f>IF(J260="Funcionamiento Gastos Generales","No aplica",IF(J260="Funcionamiento Servicios Personales indirectos","No aplica",IFERROR(VLOOKUP(J260,Listas!$A$127:$E$139,3,FALSE),"Alerta: Seleccione la celda en la comumna B con el nombre del proyecto")))</f>
        <v>ME20181112</v>
      </c>
      <c r="AL260" s="640" t="str">
        <f>IF(J260="Funcionamiento Gastos Generales","No aplica",IF(J260="Funcionamiento Servicios Personales","No aplica",IFERROR(VLOOKUP(J260,Listas!$A$220:$D$224,2,FALSE),"Alerta: Seleccione la celda en la comumna B con el nombre del proyecto")))</f>
        <v>COMP1112</v>
      </c>
      <c r="AM260" s="640" t="str">
        <f>IF(J260="Funcionamiento Gastos Generales","No aplica",IF(J260="Funcionamiento Servicios Personales","No aplica",IFERROR(VLOOKUP(J260,Listas!$A$220:$D$224,3,FALSE),"Alerta: Seleccione la celda en la comumna B con el nombre del proyecto")))</f>
        <v>CONC1112</v>
      </c>
      <c r="AN260" s="633" t="s">
        <v>1050</v>
      </c>
      <c r="AO260" s="633" t="s">
        <v>126</v>
      </c>
      <c r="AP260" s="634" t="str">
        <f>IFERROR(VLOOKUP(J260,Listas!$A$182:$E$215,5,FALSE),"Alerta: Seleccione la celda en la comumna B con el nombre del proyecto")</f>
        <v>15. Instrumentos técnicos de gestión para la preservación del patrimonio cultural</v>
      </c>
      <c r="AQ260" s="634" t="str">
        <f>IF(J260="Funcionamiento Gastos Generales","No aplica",IF(J260="Funcionamiento Servicios Personales","No aplica",IFERROR(VLOOKUP(J260,Listas!$A$220:$D$224,4,FALSE),"Alerta: Seleccione la celda en la comumna B con el nombre del proyecto")))</f>
        <v>FONT1112</v>
      </c>
      <c r="AR260" s="633" t="s">
        <v>198</v>
      </c>
      <c r="AS260" s="634" t="str">
        <f>IFERROR(VLOOKUP(AU260,Listas!$E$85:$L$105,7,FALSE),"Alerta: Seleccione la celda en la comumna AI con el concepto de gasto")</f>
        <v>04-INVESTIGACION Y ESTUDIOS</v>
      </c>
      <c r="AT260" s="634" t="str">
        <f>IFERROR(VLOOKUP(AU260,Listas!$E$85:$L$105,8,FALSE),"Alerta: Seleccione la celda en la comumna AI con el concepto de gasto")</f>
        <v>01-INVESTIGACIÓN BÁSICA APLICADA Y ESTUDIOS PROPIOS DEL SECTOR</v>
      </c>
      <c r="AU260" s="633" t="s">
        <v>201</v>
      </c>
      <c r="AV260" s="634">
        <f>IFERROR(VLOOKUP(AU260,Listas!$E$85:$F$105,2,FALSE),"Alerta: Seleccione el Concepto de Gasto primero")</f>
        <v>0</v>
      </c>
      <c r="AW260" s="644">
        <v>12360000</v>
      </c>
      <c r="AX260" s="645"/>
      <c r="AY260" s="645"/>
      <c r="AZ260" s="645"/>
      <c r="BA260" s="646">
        <f t="shared" si="85"/>
        <v>12360000</v>
      </c>
      <c r="BB260" s="647"/>
      <c r="BC260" s="648"/>
      <c r="BD260" s="649"/>
      <c r="BE260" s="647"/>
      <c r="BF260" s="644"/>
      <c r="BG260" s="646">
        <f t="shared" si="86"/>
        <v>12360000</v>
      </c>
      <c r="BH260" s="650"/>
      <c r="BI260" s="647"/>
      <c r="BJ260" s="644"/>
      <c r="BK260" s="646">
        <f t="shared" si="87"/>
        <v>0</v>
      </c>
      <c r="BL260" s="651"/>
      <c r="BM260" s="652">
        <f t="shared" si="88"/>
        <v>1</v>
      </c>
      <c r="BN260" s="628"/>
      <c r="BO260" s="670"/>
      <c r="BP260" s="644"/>
      <c r="BQ260" s="644"/>
      <c r="BR260" s="644"/>
      <c r="BS260" s="644"/>
      <c r="BT260" s="644"/>
      <c r="BU260" s="644"/>
      <c r="BV260" s="644"/>
      <c r="BW260" s="644"/>
      <c r="BX260" s="644"/>
      <c r="BY260" s="644"/>
      <c r="BZ260" s="644"/>
      <c r="CA260" s="644"/>
      <c r="CB260" s="646">
        <f t="shared" si="89"/>
        <v>0</v>
      </c>
      <c r="CC260" s="646">
        <f t="shared" si="90"/>
        <v>0</v>
      </c>
      <c r="CD260" s="614"/>
    </row>
    <row r="261" spans="1:82" s="561" customFormat="1" ht="61.5" customHeight="1">
      <c r="A261" s="625" t="str">
        <f t="shared" si="72"/>
        <v>1112-140-FONT1112-04-01-0185-Plan especial de manejo y protección del centro histórico</v>
      </c>
      <c r="B261" s="626" t="str">
        <f t="shared" si="73"/>
        <v>1112-140-FONT1112-04-01-0185</v>
      </c>
      <c r="C261" s="626" t="str">
        <f t="shared" si="74"/>
        <v>1112-140-FONT1112-Plan especial de manejo y protección del centro histórico</v>
      </c>
      <c r="D261" s="626" t="str">
        <f t="shared" si="75"/>
        <v>1112-140-12-Otros Distrito-04-01-0185</v>
      </c>
      <c r="E261" s="626" t="str">
        <f t="shared" si="76"/>
        <v>Plan especial de manejo y protección del centro histórico-12-Otros Distrito-0185-Actividades de investigación para la valoración, protección, conservación, sostenibilidad y apropiación del Patrimonio Cultural</v>
      </c>
      <c r="F261" s="627">
        <v>212</v>
      </c>
      <c r="G261" s="628">
        <f t="shared" si="77"/>
        <v>212</v>
      </c>
      <c r="H261" s="629" t="b">
        <f t="shared" si="78"/>
        <v>0</v>
      </c>
      <c r="I261" s="630" t="s">
        <v>594</v>
      </c>
      <c r="J261" s="627" t="s">
        <v>179</v>
      </c>
      <c r="K261" s="631" t="str">
        <f>+IFERROR(VLOOKUP(J261,Listas!$A$108:$B$114,2,FALSE),"Alerta: Seleccione la celda en la comumna B con el nombre del proyecto")</f>
        <v>3-3-1-15-02-17-1112-140</v>
      </c>
      <c r="L261" s="632">
        <v>80111600</v>
      </c>
      <c r="M261" s="633" t="s">
        <v>812</v>
      </c>
      <c r="N261" s="634" t="str">
        <f t="shared" si="79"/>
        <v>(Cód. 212) Prestar servicios profesionales al Instituto Distrital de Patrimonio Cultural para orientar el direccionamiento estratégico del Plan Especial de Manejo y Protección -PEMP- del Centro Histórico de Bogotá D.C.</v>
      </c>
      <c r="O261" s="635">
        <v>43480</v>
      </c>
      <c r="P261" s="636">
        <f>IFERROR(VLOOKUP(W261,'Estimación CRP'!$D$21:$E$30,2,FALSE),0)</f>
        <v>10</v>
      </c>
      <c r="Q261" s="637">
        <f>IF(O261="No aplica","No aplica",WORKDAY.INTL(O261,P261,1,'Estimación CRP'!A447:A463))</f>
        <v>43494</v>
      </c>
      <c r="R261" s="636">
        <f t="shared" si="80"/>
        <v>1</v>
      </c>
      <c r="S261" s="636">
        <f t="shared" si="81"/>
        <v>1</v>
      </c>
      <c r="T261" s="636">
        <f t="shared" si="82"/>
        <v>1</v>
      </c>
      <c r="U261" s="712">
        <v>11</v>
      </c>
      <c r="V261" s="638">
        <v>1</v>
      </c>
      <c r="W261" s="639" t="s">
        <v>274</v>
      </c>
      <c r="X261" s="640" t="str">
        <f>IFERROR(VLOOKUP(W261,Listas!$A$60:$B$73,2,FALSE),"Alerta: Seleccione primero Modalidad de selección")</f>
        <v>CCE-16</v>
      </c>
      <c r="Y261" s="641">
        <v>0</v>
      </c>
      <c r="Z261" s="641" t="s">
        <v>346</v>
      </c>
      <c r="AA261" s="641" t="s">
        <v>1279</v>
      </c>
      <c r="AB261" s="642">
        <f t="shared" si="83"/>
        <v>112200000</v>
      </c>
      <c r="AC261" s="642">
        <f t="shared" si="84"/>
        <v>112200000</v>
      </c>
      <c r="AD261" s="641">
        <v>0</v>
      </c>
      <c r="AE261" s="643">
        <v>0</v>
      </c>
      <c r="AF261" s="639" t="s">
        <v>276</v>
      </c>
      <c r="AG261" s="639" t="s">
        <v>277</v>
      </c>
      <c r="AH261" s="639" t="s">
        <v>285</v>
      </c>
      <c r="AI261" s="626" t="str">
        <f>IFERROR(VLOOKUP(AH261,Listas!$A$77:$C$83,2,FALSE),"Alerta: Seleccione primero el responsable")</f>
        <v>3550800</v>
      </c>
      <c r="AJ261" s="640" t="str">
        <f>IFERROR(VLOOKUP(AH261,Listas!$A$77:$C$83,3,FALSE),"Alerta: Seleccione primero el responsable")</f>
        <v>maria.villamil@idpc.gov.co</v>
      </c>
      <c r="AK261" s="640" t="str">
        <f>IF(J261="Funcionamiento Gastos Generales","No aplica",IF(J261="Funcionamiento Servicios Personales indirectos","No aplica",IFERROR(VLOOKUP(J261,Listas!$A$127:$E$139,3,FALSE),"Alerta: Seleccione la celda en la comumna B con el nombre del proyecto")))</f>
        <v>ME20181112</v>
      </c>
      <c r="AL261" s="640" t="str">
        <f>IF(J261="Funcionamiento Gastos Generales","No aplica",IF(J261="Funcionamiento Servicios Personales","No aplica",IFERROR(VLOOKUP(J261,Listas!$A$220:$D$224,2,FALSE),"Alerta: Seleccione la celda en la comumna B con el nombre del proyecto")))</f>
        <v>COMP1112</v>
      </c>
      <c r="AM261" s="640" t="str">
        <f>IF(J261="Funcionamiento Gastos Generales","No aplica",IF(J261="Funcionamiento Servicios Personales","No aplica",IFERROR(VLOOKUP(J261,Listas!$A$220:$D$224,3,FALSE),"Alerta: Seleccione la celda en la comumna B con el nombre del proyecto")))</f>
        <v>CONC1112</v>
      </c>
      <c r="AN261" s="633" t="s">
        <v>1050</v>
      </c>
      <c r="AO261" s="633" t="s">
        <v>126</v>
      </c>
      <c r="AP261" s="634" t="str">
        <f>IFERROR(VLOOKUP(J261,Listas!$A$182:$E$215,5,FALSE),"Alerta: Seleccione la celda en la comumna B con el nombre del proyecto")</f>
        <v>15. Instrumentos técnicos de gestión para la preservación del patrimonio cultural</v>
      </c>
      <c r="AQ261" s="634" t="str">
        <f>IF(J261="Funcionamiento Gastos Generales","No aplica",IF(J261="Funcionamiento Servicios Personales","No aplica",IFERROR(VLOOKUP(J261,Listas!$A$220:$D$224,4,FALSE),"Alerta: Seleccione la celda en la comumna B con el nombre del proyecto")))</f>
        <v>FONT1112</v>
      </c>
      <c r="AR261" s="633" t="s">
        <v>198</v>
      </c>
      <c r="AS261" s="634" t="str">
        <f>IFERROR(VLOOKUP(AU261,Listas!$E$85:$L$105,7,FALSE),"Alerta: Seleccione la celda en la comumna AI con el concepto de gasto")</f>
        <v>04-INVESTIGACION Y ESTUDIOS</v>
      </c>
      <c r="AT261" s="634" t="str">
        <f>IFERROR(VLOOKUP(AU261,Listas!$E$85:$L$105,8,FALSE),"Alerta: Seleccione la celda en la comumna AI con el concepto de gasto")</f>
        <v>01-INVESTIGACIÓN BÁSICA APLICADA Y ESTUDIOS PROPIOS DEL SECTOR</v>
      </c>
      <c r="AU261" s="633" t="s">
        <v>201</v>
      </c>
      <c r="AV261" s="634">
        <f>IFERROR(VLOOKUP(AU261,Listas!$E$85:$F$105,2,FALSE),"Alerta: Seleccione el Concepto de Gasto primero")</f>
        <v>0</v>
      </c>
      <c r="AW261" s="644">
        <v>112200000</v>
      </c>
      <c r="AX261" s="645"/>
      <c r="AY261" s="645"/>
      <c r="AZ261" s="645"/>
      <c r="BA261" s="646">
        <f t="shared" si="85"/>
        <v>112200000</v>
      </c>
      <c r="BB261" s="647"/>
      <c r="BC261" s="648"/>
      <c r="BD261" s="649"/>
      <c r="BE261" s="647"/>
      <c r="BF261" s="644"/>
      <c r="BG261" s="646">
        <f t="shared" si="86"/>
        <v>112200000</v>
      </c>
      <c r="BH261" s="650"/>
      <c r="BI261" s="647"/>
      <c r="BJ261" s="644"/>
      <c r="BK261" s="646">
        <f t="shared" si="87"/>
        <v>0</v>
      </c>
      <c r="BL261" s="651"/>
      <c r="BM261" s="652">
        <f t="shared" si="88"/>
        <v>1</v>
      </c>
      <c r="BN261" s="628"/>
      <c r="BO261" s="670"/>
      <c r="BP261" s="644"/>
      <c r="BQ261" s="644"/>
      <c r="BR261" s="644"/>
      <c r="BS261" s="644"/>
      <c r="BT261" s="644"/>
      <c r="BU261" s="644"/>
      <c r="BV261" s="644"/>
      <c r="BW261" s="644"/>
      <c r="BX261" s="644"/>
      <c r="BY261" s="644"/>
      <c r="BZ261" s="644"/>
      <c r="CA261" s="644"/>
      <c r="CB261" s="646">
        <f t="shared" si="89"/>
        <v>0</v>
      </c>
      <c r="CC261" s="646">
        <f t="shared" si="90"/>
        <v>0</v>
      </c>
      <c r="CD261" s="614"/>
    </row>
    <row r="262" spans="1:82" s="561" customFormat="1" ht="61.5" customHeight="1">
      <c r="A262" s="625" t="str">
        <f t="shared" si="72"/>
        <v>1112-140-FONT1112-04-01-0185-Plan especial de manejo y protección del centro histórico</v>
      </c>
      <c r="B262" s="626" t="str">
        <f t="shared" si="73"/>
        <v>1112-140-FONT1112-04-01-0185</v>
      </c>
      <c r="C262" s="626" t="str">
        <f t="shared" si="74"/>
        <v>1112-140-FONT1112-Plan especial de manejo y protección del centro histórico</v>
      </c>
      <c r="D262" s="626" t="str">
        <f t="shared" si="75"/>
        <v>1112-140-12-Otros Distrito-04-01-0185</v>
      </c>
      <c r="E262" s="626" t="str">
        <f t="shared" si="76"/>
        <v>Plan especial de manejo y protección del centro histórico-12-Otros Distrito-0185-Actividades de investigación para la valoración, protección, conservación, sostenibilidad y apropiación del Patrimonio Cultural</v>
      </c>
      <c r="F262" s="627">
        <v>213</v>
      </c>
      <c r="G262" s="628">
        <f t="shared" si="77"/>
        <v>213</v>
      </c>
      <c r="H262" s="629" t="b">
        <f t="shared" si="78"/>
        <v>0</v>
      </c>
      <c r="I262" s="630" t="s">
        <v>594</v>
      </c>
      <c r="J262" s="627" t="s">
        <v>179</v>
      </c>
      <c r="K262" s="631" t="str">
        <f>+IFERROR(VLOOKUP(J262,Listas!$A$108:$B$114,2,FALSE),"Alerta: Seleccione la celda en la comumna B con el nombre del proyecto")</f>
        <v>3-3-1-15-02-17-1112-140</v>
      </c>
      <c r="L262" s="632">
        <v>80111600</v>
      </c>
      <c r="M262" s="633" t="s">
        <v>813</v>
      </c>
      <c r="N262" s="634" t="str">
        <f t="shared" si="79"/>
        <v xml:space="preserve">(Cód. 213) Prestar servicios profesionales al Instituto Distrital de Patrimonio Cultural para apoyar la formulación de los aspectos administrativos y de gobernanza en el marco del modelo de gestión del Plan Especial de Manejo y Protección -PEMP- del Centro Histórico de Bogotá D.C. </v>
      </c>
      <c r="O262" s="635">
        <v>43481</v>
      </c>
      <c r="P262" s="636">
        <f>IFERROR(VLOOKUP(W262,'Estimación CRP'!$D$21:$E$30,2,FALSE),0)</f>
        <v>10</v>
      </c>
      <c r="Q262" s="637">
        <f>IF(O262="No aplica","No aplica",WORKDAY.INTL(O262,P262,1,'Estimación CRP'!A448:A464))</f>
        <v>43495</v>
      </c>
      <c r="R262" s="636">
        <f t="shared" si="80"/>
        <v>1</v>
      </c>
      <c r="S262" s="636">
        <f t="shared" si="81"/>
        <v>1</v>
      </c>
      <c r="T262" s="636">
        <f t="shared" si="82"/>
        <v>1</v>
      </c>
      <c r="U262" s="712">
        <v>11</v>
      </c>
      <c r="V262" s="638">
        <v>1</v>
      </c>
      <c r="W262" s="639" t="s">
        <v>274</v>
      </c>
      <c r="X262" s="640" t="str">
        <f>IFERROR(VLOOKUP(W262,Listas!$A$60:$B$73,2,FALSE),"Alerta: Seleccione primero Modalidad de selección")</f>
        <v>CCE-16</v>
      </c>
      <c r="Y262" s="641">
        <v>0</v>
      </c>
      <c r="Z262" s="641" t="s">
        <v>346</v>
      </c>
      <c r="AA262" s="641" t="s">
        <v>1280</v>
      </c>
      <c r="AB262" s="642">
        <f t="shared" si="83"/>
        <v>66000000</v>
      </c>
      <c r="AC262" s="642">
        <f t="shared" si="84"/>
        <v>66000000</v>
      </c>
      <c r="AD262" s="641">
        <v>0</v>
      </c>
      <c r="AE262" s="643">
        <v>0</v>
      </c>
      <c r="AF262" s="639" t="s">
        <v>276</v>
      </c>
      <c r="AG262" s="639" t="s">
        <v>277</v>
      </c>
      <c r="AH262" s="639" t="s">
        <v>285</v>
      </c>
      <c r="AI262" s="626" t="str">
        <f>IFERROR(VLOOKUP(AH262,Listas!$A$77:$C$83,2,FALSE),"Alerta: Seleccione primero el responsable")</f>
        <v>3550800</v>
      </c>
      <c r="AJ262" s="640" t="str">
        <f>IFERROR(VLOOKUP(AH262,Listas!$A$77:$C$83,3,FALSE),"Alerta: Seleccione primero el responsable")</f>
        <v>maria.villamil@idpc.gov.co</v>
      </c>
      <c r="AK262" s="640" t="str">
        <f>IF(J262="Funcionamiento Gastos Generales","No aplica",IF(J262="Funcionamiento Servicios Personales indirectos","No aplica",IFERROR(VLOOKUP(J262,Listas!$A$127:$E$139,3,FALSE),"Alerta: Seleccione la celda en la comumna B con el nombre del proyecto")))</f>
        <v>ME20181112</v>
      </c>
      <c r="AL262" s="640" t="str">
        <f>IF(J262="Funcionamiento Gastos Generales","No aplica",IF(J262="Funcionamiento Servicios Personales","No aplica",IFERROR(VLOOKUP(J262,Listas!$A$220:$D$224,2,FALSE),"Alerta: Seleccione la celda en la comumna B con el nombre del proyecto")))</f>
        <v>COMP1112</v>
      </c>
      <c r="AM262" s="640" t="str">
        <f>IF(J262="Funcionamiento Gastos Generales","No aplica",IF(J262="Funcionamiento Servicios Personales","No aplica",IFERROR(VLOOKUP(J262,Listas!$A$220:$D$224,3,FALSE),"Alerta: Seleccione la celda en la comumna B con el nombre del proyecto")))</f>
        <v>CONC1112</v>
      </c>
      <c r="AN262" s="633" t="s">
        <v>1050</v>
      </c>
      <c r="AO262" s="633" t="s">
        <v>126</v>
      </c>
      <c r="AP262" s="634" t="str">
        <f>IFERROR(VLOOKUP(J262,Listas!$A$182:$E$215,5,FALSE),"Alerta: Seleccione la celda en la comumna B con el nombre del proyecto")</f>
        <v>15. Instrumentos técnicos de gestión para la preservación del patrimonio cultural</v>
      </c>
      <c r="AQ262" s="634" t="str">
        <f>IF(J262="Funcionamiento Gastos Generales","No aplica",IF(J262="Funcionamiento Servicios Personales","No aplica",IFERROR(VLOOKUP(J262,Listas!$A$220:$D$224,4,FALSE),"Alerta: Seleccione la celda en la comumna B con el nombre del proyecto")))</f>
        <v>FONT1112</v>
      </c>
      <c r="AR262" s="633" t="s">
        <v>198</v>
      </c>
      <c r="AS262" s="634" t="str">
        <f>IFERROR(VLOOKUP(AU262,Listas!$E$85:$L$105,7,FALSE),"Alerta: Seleccione la celda en la comumna AI con el concepto de gasto")</f>
        <v>04-INVESTIGACION Y ESTUDIOS</v>
      </c>
      <c r="AT262" s="634" t="str">
        <f>IFERROR(VLOOKUP(AU262,Listas!$E$85:$L$105,8,FALSE),"Alerta: Seleccione la celda en la comumna AI con el concepto de gasto")</f>
        <v>01-INVESTIGACIÓN BÁSICA APLICADA Y ESTUDIOS PROPIOS DEL SECTOR</v>
      </c>
      <c r="AU262" s="633" t="s">
        <v>201</v>
      </c>
      <c r="AV262" s="634">
        <f>IFERROR(VLOOKUP(AU262,Listas!$E$85:$F$105,2,FALSE),"Alerta: Seleccione el Concepto de Gasto primero")</f>
        <v>0</v>
      </c>
      <c r="AW262" s="644">
        <v>66000000</v>
      </c>
      <c r="AX262" s="645"/>
      <c r="AY262" s="645"/>
      <c r="AZ262" s="645"/>
      <c r="BA262" s="646">
        <f t="shared" si="85"/>
        <v>66000000</v>
      </c>
      <c r="BB262" s="647"/>
      <c r="BC262" s="648"/>
      <c r="BD262" s="649"/>
      <c r="BE262" s="647"/>
      <c r="BF262" s="644"/>
      <c r="BG262" s="646">
        <f t="shared" si="86"/>
        <v>66000000</v>
      </c>
      <c r="BH262" s="650"/>
      <c r="BI262" s="647"/>
      <c r="BJ262" s="644"/>
      <c r="BK262" s="646">
        <f t="shared" si="87"/>
        <v>0</v>
      </c>
      <c r="BL262" s="651"/>
      <c r="BM262" s="652">
        <f t="shared" si="88"/>
        <v>1</v>
      </c>
      <c r="BN262" s="628"/>
      <c r="BO262" s="670"/>
      <c r="BP262" s="644"/>
      <c r="BQ262" s="644"/>
      <c r="BR262" s="644"/>
      <c r="BS262" s="644"/>
      <c r="BT262" s="644"/>
      <c r="BU262" s="644"/>
      <c r="BV262" s="644"/>
      <c r="BW262" s="644"/>
      <c r="BX262" s="644"/>
      <c r="BY262" s="644"/>
      <c r="BZ262" s="644"/>
      <c r="CA262" s="644"/>
      <c r="CB262" s="646">
        <f t="shared" si="89"/>
        <v>0</v>
      </c>
      <c r="CC262" s="646">
        <f t="shared" si="90"/>
        <v>0</v>
      </c>
      <c r="CD262" s="614"/>
    </row>
    <row r="263" spans="1:82" s="561" customFormat="1" ht="61.5" customHeight="1">
      <c r="A263" s="625" t="str">
        <f t="shared" si="72"/>
        <v>1112-140-FONT1112-04-01-0185-Plan especial de manejo y protección del centro histórico</v>
      </c>
      <c r="B263" s="626" t="str">
        <f t="shared" si="73"/>
        <v>1112-140-FONT1112-04-01-0185</v>
      </c>
      <c r="C263" s="626" t="str">
        <f t="shared" si="74"/>
        <v>1112-140-FONT1112-Plan especial de manejo y protección del centro histórico</v>
      </c>
      <c r="D263" s="626" t="str">
        <f t="shared" si="75"/>
        <v>1112-140-12-Otros Distrito-04-01-0185</v>
      </c>
      <c r="E263" s="626" t="str">
        <f t="shared" si="76"/>
        <v>Plan especial de manejo y protección del centro histórico-12-Otros Distrito-0185-Actividades de investigación para la valoración, protección, conservación, sostenibilidad y apropiación del Patrimonio Cultural</v>
      </c>
      <c r="F263" s="627">
        <v>214</v>
      </c>
      <c r="G263" s="628">
        <f t="shared" si="77"/>
        <v>214</v>
      </c>
      <c r="H263" s="629" t="b">
        <f t="shared" si="78"/>
        <v>0</v>
      </c>
      <c r="I263" s="630" t="s">
        <v>594</v>
      </c>
      <c r="J263" s="627" t="s">
        <v>179</v>
      </c>
      <c r="K263" s="631" t="str">
        <f>+IFERROR(VLOOKUP(J263,Listas!$A$108:$B$114,2,FALSE),"Alerta: Seleccione la celda en la comumna B con el nombre del proyecto")</f>
        <v>3-3-1-15-02-17-1112-140</v>
      </c>
      <c r="L263" s="632">
        <v>80111600</v>
      </c>
      <c r="M263" s="633" t="s">
        <v>813</v>
      </c>
      <c r="N263" s="634" t="str">
        <f t="shared" si="79"/>
        <v xml:space="preserve">(Cód. 214) Prestar servicios profesionales al Instituto Distrital de Patrimonio Cultural para apoyar la formulación de los aspectos administrativos y de gobernanza en el marco del modelo de gestión del Plan Especial de Manejo y Protección -PEMP- del Centro Histórico de Bogotá D.C. </v>
      </c>
      <c r="O263" s="635">
        <v>43481</v>
      </c>
      <c r="P263" s="636">
        <f>IFERROR(VLOOKUP(W263,'Estimación CRP'!$D$21:$E$30,2,FALSE),0)</f>
        <v>10</v>
      </c>
      <c r="Q263" s="637">
        <f>IF(O263="No aplica","No aplica",WORKDAY.INTL(O263,P263,1,'Estimación CRP'!A449:A465))</f>
        <v>43495</v>
      </c>
      <c r="R263" s="636">
        <f t="shared" si="80"/>
        <v>1</v>
      </c>
      <c r="S263" s="636">
        <f t="shared" si="81"/>
        <v>1</v>
      </c>
      <c r="T263" s="636">
        <f t="shared" si="82"/>
        <v>1</v>
      </c>
      <c r="U263" s="712">
        <v>10</v>
      </c>
      <c r="V263" s="638">
        <v>1</v>
      </c>
      <c r="W263" s="639" t="s">
        <v>274</v>
      </c>
      <c r="X263" s="640" t="str">
        <f>IFERROR(VLOOKUP(W263,Listas!$A$60:$B$73,2,FALSE),"Alerta: Seleccione primero Modalidad de selección")</f>
        <v>CCE-16</v>
      </c>
      <c r="Y263" s="641">
        <v>0</v>
      </c>
      <c r="Z263" s="641" t="s">
        <v>346</v>
      </c>
      <c r="AA263" s="641" t="s">
        <v>1281</v>
      </c>
      <c r="AB263" s="642">
        <f t="shared" si="83"/>
        <v>47010000</v>
      </c>
      <c r="AC263" s="642">
        <f t="shared" si="84"/>
        <v>47010000</v>
      </c>
      <c r="AD263" s="641">
        <v>0</v>
      </c>
      <c r="AE263" s="643">
        <v>0</v>
      </c>
      <c r="AF263" s="639" t="s">
        <v>276</v>
      </c>
      <c r="AG263" s="639" t="s">
        <v>277</v>
      </c>
      <c r="AH263" s="639" t="s">
        <v>285</v>
      </c>
      <c r="AI263" s="626" t="str">
        <f>IFERROR(VLOOKUP(AH263,Listas!$A$77:$C$83,2,FALSE),"Alerta: Seleccione primero el responsable")</f>
        <v>3550800</v>
      </c>
      <c r="AJ263" s="640" t="str">
        <f>IFERROR(VLOOKUP(AH263,Listas!$A$77:$C$83,3,FALSE),"Alerta: Seleccione primero el responsable")</f>
        <v>maria.villamil@idpc.gov.co</v>
      </c>
      <c r="AK263" s="640" t="str">
        <f>IF(J263="Funcionamiento Gastos Generales","No aplica",IF(J263="Funcionamiento Servicios Personales indirectos","No aplica",IFERROR(VLOOKUP(J263,Listas!$A$127:$E$139,3,FALSE),"Alerta: Seleccione la celda en la comumna B con el nombre del proyecto")))</f>
        <v>ME20181112</v>
      </c>
      <c r="AL263" s="640" t="str">
        <f>IF(J263="Funcionamiento Gastos Generales","No aplica",IF(J263="Funcionamiento Servicios Personales","No aplica",IFERROR(VLOOKUP(J263,Listas!$A$220:$D$224,2,FALSE),"Alerta: Seleccione la celda en la comumna B con el nombre del proyecto")))</f>
        <v>COMP1112</v>
      </c>
      <c r="AM263" s="640" t="str">
        <f>IF(J263="Funcionamiento Gastos Generales","No aplica",IF(J263="Funcionamiento Servicios Personales","No aplica",IFERROR(VLOOKUP(J263,Listas!$A$220:$D$224,3,FALSE),"Alerta: Seleccione la celda en la comumna B con el nombre del proyecto")))</f>
        <v>CONC1112</v>
      </c>
      <c r="AN263" s="633" t="s">
        <v>1050</v>
      </c>
      <c r="AO263" s="633" t="s">
        <v>126</v>
      </c>
      <c r="AP263" s="634" t="str">
        <f>IFERROR(VLOOKUP(J263,Listas!$A$182:$E$215,5,FALSE),"Alerta: Seleccione la celda en la comumna B con el nombre del proyecto")</f>
        <v>15. Instrumentos técnicos de gestión para la preservación del patrimonio cultural</v>
      </c>
      <c r="AQ263" s="634" t="str">
        <f>IF(J263="Funcionamiento Gastos Generales","No aplica",IF(J263="Funcionamiento Servicios Personales","No aplica",IFERROR(VLOOKUP(J263,Listas!$A$220:$D$224,4,FALSE),"Alerta: Seleccione la celda en la comumna B con el nombre del proyecto")))</f>
        <v>FONT1112</v>
      </c>
      <c r="AR263" s="633" t="s">
        <v>198</v>
      </c>
      <c r="AS263" s="634" t="str">
        <f>IFERROR(VLOOKUP(AU263,Listas!$E$85:$L$105,7,FALSE),"Alerta: Seleccione la celda en la comumna AI con el concepto de gasto")</f>
        <v>04-INVESTIGACION Y ESTUDIOS</v>
      </c>
      <c r="AT263" s="634" t="str">
        <f>IFERROR(VLOOKUP(AU263,Listas!$E$85:$L$105,8,FALSE),"Alerta: Seleccione la celda en la comumna AI con el concepto de gasto")</f>
        <v>01-INVESTIGACIÓN BÁSICA APLICADA Y ESTUDIOS PROPIOS DEL SECTOR</v>
      </c>
      <c r="AU263" s="633" t="s">
        <v>201</v>
      </c>
      <c r="AV263" s="634">
        <f>IFERROR(VLOOKUP(AU263,Listas!$E$85:$F$105,2,FALSE),"Alerta: Seleccione el Concepto de Gasto primero")</f>
        <v>0</v>
      </c>
      <c r="AW263" s="644">
        <v>47010000</v>
      </c>
      <c r="AX263" s="645"/>
      <c r="AY263" s="645"/>
      <c r="AZ263" s="645"/>
      <c r="BA263" s="646">
        <f t="shared" si="85"/>
        <v>47010000</v>
      </c>
      <c r="BB263" s="647"/>
      <c r="BC263" s="648"/>
      <c r="BD263" s="649"/>
      <c r="BE263" s="647"/>
      <c r="BF263" s="644"/>
      <c r="BG263" s="646">
        <f t="shared" si="86"/>
        <v>47010000</v>
      </c>
      <c r="BH263" s="650"/>
      <c r="BI263" s="647"/>
      <c r="BJ263" s="644"/>
      <c r="BK263" s="646">
        <f t="shared" si="87"/>
        <v>0</v>
      </c>
      <c r="BL263" s="651"/>
      <c r="BM263" s="652">
        <f t="shared" si="88"/>
        <v>1</v>
      </c>
      <c r="BN263" s="628"/>
      <c r="BO263" s="670"/>
      <c r="BP263" s="644"/>
      <c r="BQ263" s="644"/>
      <c r="BR263" s="644"/>
      <c r="BS263" s="644"/>
      <c r="BT263" s="644"/>
      <c r="BU263" s="644"/>
      <c r="BV263" s="644"/>
      <c r="BW263" s="644"/>
      <c r="BX263" s="644"/>
      <c r="BY263" s="644"/>
      <c r="BZ263" s="644"/>
      <c r="CA263" s="644"/>
      <c r="CB263" s="646">
        <f t="shared" si="89"/>
        <v>0</v>
      </c>
      <c r="CC263" s="646">
        <f t="shared" si="90"/>
        <v>0</v>
      </c>
      <c r="CD263" s="614"/>
    </row>
    <row r="264" spans="1:82" s="561" customFormat="1" ht="61.5" customHeight="1">
      <c r="A264" s="625" t="str">
        <f t="shared" si="72"/>
        <v>1112-140-FONT1112-04-01-0185-Plan especial de manejo y protección del centro histórico</v>
      </c>
      <c r="B264" s="626" t="str">
        <f t="shared" si="73"/>
        <v>1112-140-FONT1112-04-01-0185</v>
      </c>
      <c r="C264" s="626" t="str">
        <f t="shared" si="74"/>
        <v>1112-140-FONT1112-Plan especial de manejo y protección del centro histórico</v>
      </c>
      <c r="D264" s="626" t="str">
        <f t="shared" si="75"/>
        <v>1112-140-12-Otros Distrito-04-01-0185</v>
      </c>
      <c r="E264" s="626" t="str">
        <f t="shared" si="76"/>
        <v>Plan especial de manejo y protección del centro histórico-12-Otros Distrito-0185-Actividades de investigación para la valoración, protección, conservación, sostenibilidad y apropiación del Patrimonio Cultural</v>
      </c>
      <c r="F264" s="627">
        <v>215</v>
      </c>
      <c r="G264" s="628">
        <f t="shared" si="77"/>
        <v>215</v>
      </c>
      <c r="H264" s="629" t="b">
        <f t="shared" si="78"/>
        <v>0</v>
      </c>
      <c r="I264" s="630" t="s">
        <v>594</v>
      </c>
      <c r="J264" s="627" t="s">
        <v>179</v>
      </c>
      <c r="K264" s="631" t="str">
        <f>+IFERROR(VLOOKUP(J264,Listas!$A$108:$B$114,2,FALSE),"Alerta: Seleccione la celda en la comumna B con el nombre del proyecto")</f>
        <v>3-3-1-15-02-17-1112-140</v>
      </c>
      <c r="L264" s="632">
        <v>80111600</v>
      </c>
      <c r="M264" s="633" t="s">
        <v>814</v>
      </c>
      <c r="N264" s="634" t="str">
        <f t="shared" si="79"/>
        <v>(Cód. 215) Prestar servicios profesionales al Instituto Distrital de Patrimonio Cultural para apoyar las acciones requeridas para la consolidación normativa y arquitectónica de la propuesta de espacio público para el Plan Especial de Manejo y Protección -PEMP- del Centro Histórico de Bogotá D.C y otros proyectos.</v>
      </c>
      <c r="O264" s="635">
        <v>43482</v>
      </c>
      <c r="P264" s="636">
        <f>IFERROR(VLOOKUP(W264,'Estimación CRP'!$D$21:$E$30,2,FALSE),0)</f>
        <v>10</v>
      </c>
      <c r="Q264" s="637">
        <f>IF(O264="No aplica","No aplica",WORKDAY.INTL(O264,P264,1,'Estimación CRP'!A450:A466))</f>
        <v>43496</v>
      </c>
      <c r="R264" s="636">
        <f t="shared" si="80"/>
        <v>1</v>
      </c>
      <c r="S264" s="636">
        <f t="shared" si="81"/>
        <v>1</v>
      </c>
      <c r="T264" s="636">
        <f t="shared" si="82"/>
        <v>1</v>
      </c>
      <c r="U264" s="712">
        <v>8</v>
      </c>
      <c r="V264" s="638">
        <v>1</v>
      </c>
      <c r="W264" s="639" t="s">
        <v>274</v>
      </c>
      <c r="X264" s="640" t="str">
        <f>IFERROR(VLOOKUP(W264,Listas!$A$60:$B$73,2,FALSE),"Alerta: Seleccione primero Modalidad de selección")</f>
        <v>CCE-16</v>
      </c>
      <c r="Y264" s="641">
        <v>0</v>
      </c>
      <c r="Z264" s="641" t="s">
        <v>346</v>
      </c>
      <c r="AA264" s="641" t="s">
        <v>1282</v>
      </c>
      <c r="AB264" s="642">
        <f t="shared" si="83"/>
        <v>32000000</v>
      </c>
      <c r="AC264" s="642">
        <f t="shared" si="84"/>
        <v>32000000</v>
      </c>
      <c r="AD264" s="641">
        <v>0</v>
      </c>
      <c r="AE264" s="643">
        <v>0</v>
      </c>
      <c r="AF264" s="639" t="s">
        <v>276</v>
      </c>
      <c r="AG264" s="639" t="s">
        <v>277</v>
      </c>
      <c r="AH264" s="639" t="s">
        <v>285</v>
      </c>
      <c r="AI264" s="626" t="str">
        <f>IFERROR(VLOOKUP(AH264,Listas!$A$77:$C$83,2,FALSE),"Alerta: Seleccione primero el responsable")</f>
        <v>3550800</v>
      </c>
      <c r="AJ264" s="640" t="str">
        <f>IFERROR(VLOOKUP(AH264,Listas!$A$77:$C$83,3,FALSE),"Alerta: Seleccione primero el responsable")</f>
        <v>maria.villamil@idpc.gov.co</v>
      </c>
      <c r="AK264" s="640" t="str">
        <f>IF(J264="Funcionamiento Gastos Generales","No aplica",IF(J264="Funcionamiento Servicios Personales indirectos","No aplica",IFERROR(VLOOKUP(J264,Listas!$A$127:$E$139,3,FALSE),"Alerta: Seleccione la celda en la comumna B con el nombre del proyecto")))</f>
        <v>ME20181112</v>
      </c>
      <c r="AL264" s="640" t="str">
        <f>IF(J264="Funcionamiento Gastos Generales","No aplica",IF(J264="Funcionamiento Servicios Personales","No aplica",IFERROR(VLOOKUP(J264,Listas!$A$220:$D$224,2,FALSE),"Alerta: Seleccione la celda en la comumna B con el nombre del proyecto")))</f>
        <v>COMP1112</v>
      </c>
      <c r="AM264" s="640" t="str">
        <f>IF(J264="Funcionamiento Gastos Generales","No aplica",IF(J264="Funcionamiento Servicios Personales","No aplica",IFERROR(VLOOKUP(J264,Listas!$A$220:$D$224,3,FALSE),"Alerta: Seleccione la celda en la comumna B con el nombre del proyecto")))</f>
        <v>CONC1112</v>
      </c>
      <c r="AN264" s="633" t="s">
        <v>1050</v>
      </c>
      <c r="AO264" s="633" t="s">
        <v>126</v>
      </c>
      <c r="AP264" s="634" t="str">
        <f>IFERROR(VLOOKUP(J264,Listas!$A$182:$E$215,5,FALSE),"Alerta: Seleccione la celda en la comumna B con el nombre del proyecto")</f>
        <v>15. Instrumentos técnicos de gestión para la preservación del patrimonio cultural</v>
      </c>
      <c r="AQ264" s="634" t="str">
        <f>IF(J264="Funcionamiento Gastos Generales","No aplica",IF(J264="Funcionamiento Servicios Personales","No aplica",IFERROR(VLOOKUP(J264,Listas!$A$220:$D$224,4,FALSE),"Alerta: Seleccione la celda en la comumna B con el nombre del proyecto")))</f>
        <v>FONT1112</v>
      </c>
      <c r="AR264" s="633" t="s">
        <v>198</v>
      </c>
      <c r="AS264" s="634" t="str">
        <f>IFERROR(VLOOKUP(AU264,Listas!$E$85:$L$105,7,FALSE),"Alerta: Seleccione la celda en la comumna AI con el concepto de gasto")</f>
        <v>04-INVESTIGACION Y ESTUDIOS</v>
      </c>
      <c r="AT264" s="634" t="str">
        <f>IFERROR(VLOOKUP(AU264,Listas!$E$85:$L$105,8,FALSE),"Alerta: Seleccione la celda en la comumna AI con el concepto de gasto")</f>
        <v>01-INVESTIGACIÓN BÁSICA APLICADA Y ESTUDIOS PROPIOS DEL SECTOR</v>
      </c>
      <c r="AU264" s="633" t="s">
        <v>201</v>
      </c>
      <c r="AV264" s="634">
        <f>IFERROR(VLOOKUP(AU264,Listas!$E$85:$F$105,2,FALSE),"Alerta: Seleccione el Concepto de Gasto primero")</f>
        <v>0</v>
      </c>
      <c r="AW264" s="644">
        <v>32000000</v>
      </c>
      <c r="AX264" s="645"/>
      <c r="AY264" s="645"/>
      <c r="AZ264" s="645"/>
      <c r="BA264" s="646">
        <f t="shared" si="85"/>
        <v>32000000</v>
      </c>
      <c r="BB264" s="647"/>
      <c r="BC264" s="648"/>
      <c r="BD264" s="649"/>
      <c r="BE264" s="647"/>
      <c r="BF264" s="644"/>
      <c r="BG264" s="646">
        <f t="shared" si="86"/>
        <v>32000000</v>
      </c>
      <c r="BH264" s="650"/>
      <c r="BI264" s="647"/>
      <c r="BJ264" s="644"/>
      <c r="BK264" s="646">
        <f t="shared" si="87"/>
        <v>0</v>
      </c>
      <c r="BL264" s="651"/>
      <c r="BM264" s="652">
        <f t="shared" si="88"/>
        <v>1</v>
      </c>
      <c r="BN264" s="628"/>
      <c r="BO264" s="670"/>
      <c r="BP264" s="644"/>
      <c r="BQ264" s="644"/>
      <c r="BR264" s="644"/>
      <c r="BS264" s="644"/>
      <c r="BT264" s="644"/>
      <c r="BU264" s="644"/>
      <c r="BV264" s="644"/>
      <c r="BW264" s="644"/>
      <c r="BX264" s="644"/>
      <c r="BY264" s="644"/>
      <c r="BZ264" s="644"/>
      <c r="CA264" s="644"/>
      <c r="CB264" s="646">
        <f t="shared" si="89"/>
        <v>0</v>
      </c>
      <c r="CC264" s="646">
        <f t="shared" si="90"/>
        <v>0</v>
      </c>
      <c r="CD264" s="614"/>
    </row>
    <row r="265" spans="1:82" s="561" customFormat="1" ht="61.5" customHeight="1">
      <c r="A265" s="625" t="str">
        <f t="shared" si="72"/>
        <v>1112-140-FONT1112-04-01-0185-Plan especial de manejo y protección del centro histórico</v>
      </c>
      <c r="B265" s="626" t="str">
        <f t="shared" si="73"/>
        <v>1112-140-FONT1112-04-01-0185</v>
      </c>
      <c r="C265" s="626" t="str">
        <f t="shared" si="74"/>
        <v>1112-140-FONT1112-Plan especial de manejo y protección del centro histórico</v>
      </c>
      <c r="D265" s="626" t="str">
        <f t="shared" si="75"/>
        <v>1112-140-12-Otros Distrito-04-01-0185</v>
      </c>
      <c r="E265" s="626" t="str">
        <f t="shared" si="76"/>
        <v>Plan especial de manejo y protección del centro histórico-12-Otros Distrito-0185-Actividades de investigación para la valoración, protección, conservación, sostenibilidad y apropiación del Patrimonio Cultural</v>
      </c>
      <c r="F265" s="627">
        <v>216</v>
      </c>
      <c r="G265" s="628">
        <f t="shared" si="77"/>
        <v>216</v>
      </c>
      <c r="H265" s="629" t="b">
        <f t="shared" si="78"/>
        <v>0</v>
      </c>
      <c r="I265" s="630" t="s">
        <v>594</v>
      </c>
      <c r="J265" s="627" t="s">
        <v>179</v>
      </c>
      <c r="K265" s="631" t="str">
        <f>+IFERROR(VLOOKUP(J265,Listas!$A$108:$B$114,2,FALSE),"Alerta: Seleccione la celda en la comumna B con el nombre del proyecto")</f>
        <v>3-3-1-15-02-17-1112-140</v>
      </c>
      <c r="L265" s="632">
        <v>80111600</v>
      </c>
      <c r="M265" s="633" t="s">
        <v>815</v>
      </c>
      <c r="N265" s="634" t="str">
        <f t="shared" si="79"/>
        <v xml:space="preserve">(Cód. 216) Prestar servicios profesionales al Instituto Distrital de Patrimonio Cultural apoyando la consolidación de la propuesta para la norma urbana patrimonial del Plan Especial de Manejo y Protección -PEMP- del Centro Histórico de Bogotá D.C y otros proyectos. </v>
      </c>
      <c r="O265" s="635">
        <v>43482</v>
      </c>
      <c r="P265" s="636">
        <f>IFERROR(VLOOKUP(W265,'Estimación CRP'!$D$21:$E$30,2,FALSE),0)</f>
        <v>10</v>
      </c>
      <c r="Q265" s="637">
        <f>IF(O265="No aplica","No aplica",WORKDAY.INTL(O265,P265,1,'Estimación CRP'!A451:A467))</f>
        <v>43496</v>
      </c>
      <c r="R265" s="636">
        <f t="shared" si="80"/>
        <v>1</v>
      </c>
      <c r="S265" s="636">
        <f t="shared" si="81"/>
        <v>1</v>
      </c>
      <c r="T265" s="636">
        <f t="shared" si="82"/>
        <v>1</v>
      </c>
      <c r="U265" s="712">
        <v>8</v>
      </c>
      <c r="V265" s="638">
        <v>1</v>
      </c>
      <c r="W265" s="639" t="s">
        <v>274</v>
      </c>
      <c r="X265" s="640" t="str">
        <f>IFERROR(VLOOKUP(W265,Listas!$A$60:$B$73,2,FALSE),"Alerta: Seleccione primero Modalidad de selección")</f>
        <v>CCE-16</v>
      </c>
      <c r="Y265" s="641">
        <v>0</v>
      </c>
      <c r="Z265" s="641" t="s">
        <v>346</v>
      </c>
      <c r="AA265" s="641" t="s">
        <v>1283</v>
      </c>
      <c r="AB265" s="642">
        <f t="shared" si="83"/>
        <v>40640000</v>
      </c>
      <c r="AC265" s="642">
        <f t="shared" si="84"/>
        <v>40640000</v>
      </c>
      <c r="AD265" s="641">
        <v>0</v>
      </c>
      <c r="AE265" s="643">
        <v>0</v>
      </c>
      <c r="AF265" s="639" t="s">
        <v>276</v>
      </c>
      <c r="AG265" s="639" t="s">
        <v>277</v>
      </c>
      <c r="AH265" s="639" t="s">
        <v>285</v>
      </c>
      <c r="AI265" s="626" t="str">
        <f>IFERROR(VLOOKUP(AH265,Listas!$A$77:$C$83,2,FALSE),"Alerta: Seleccione primero el responsable")</f>
        <v>3550800</v>
      </c>
      <c r="AJ265" s="640" t="str">
        <f>IFERROR(VLOOKUP(AH265,Listas!$A$77:$C$83,3,FALSE),"Alerta: Seleccione primero el responsable")</f>
        <v>maria.villamil@idpc.gov.co</v>
      </c>
      <c r="AK265" s="640" t="str">
        <f>IF(J265="Funcionamiento Gastos Generales","No aplica",IF(J265="Funcionamiento Servicios Personales indirectos","No aplica",IFERROR(VLOOKUP(J265,Listas!$A$127:$E$139,3,FALSE),"Alerta: Seleccione la celda en la comumna B con el nombre del proyecto")))</f>
        <v>ME20181112</v>
      </c>
      <c r="AL265" s="640" t="str">
        <f>IF(J265="Funcionamiento Gastos Generales","No aplica",IF(J265="Funcionamiento Servicios Personales","No aplica",IFERROR(VLOOKUP(J265,Listas!$A$220:$D$224,2,FALSE),"Alerta: Seleccione la celda en la comumna B con el nombre del proyecto")))</f>
        <v>COMP1112</v>
      </c>
      <c r="AM265" s="640" t="str">
        <f>IF(J265="Funcionamiento Gastos Generales","No aplica",IF(J265="Funcionamiento Servicios Personales","No aplica",IFERROR(VLOOKUP(J265,Listas!$A$220:$D$224,3,FALSE),"Alerta: Seleccione la celda en la comumna B con el nombre del proyecto")))</f>
        <v>CONC1112</v>
      </c>
      <c r="AN265" s="633" t="s">
        <v>1050</v>
      </c>
      <c r="AO265" s="633" t="s">
        <v>126</v>
      </c>
      <c r="AP265" s="634" t="str">
        <f>IFERROR(VLOOKUP(J265,Listas!$A$182:$E$215,5,FALSE),"Alerta: Seleccione la celda en la comumna B con el nombre del proyecto")</f>
        <v>15. Instrumentos técnicos de gestión para la preservación del patrimonio cultural</v>
      </c>
      <c r="AQ265" s="634" t="str">
        <f>IF(J265="Funcionamiento Gastos Generales","No aplica",IF(J265="Funcionamiento Servicios Personales","No aplica",IFERROR(VLOOKUP(J265,Listas!$A$220:$D$224,4,FALSE),"Alerta: Seleccione la celda en la comumna B con el nombre del proyecto")))</f>
        <v>FONT1112</v>
      </c>
      <c r="AR265" s="633" t="s">
        <v>198</v>
      </c>
      <c r="AS265" s="634" t="str">
        <f>IFERROR(VLOOKUP(AU265,Listas!$E$85:$L$105,7,FALSE),"Alerta: Seleccione la celda en la comumna AI con el concepto de gasto")</f>
        <v>04-INVESTIGACION Y ESTUDIOS</v>
      </c>
      <c r="AT265" s="634" t="str">
        <f>IFERROR(VLOOKUP(AU265,Listas!$E$85:$L$105,8,FALSE),"Alerta: Seleccione la celda en la comumna AI con el concepto de gasto")</f>
        <v>01-INVESTIGACIÓN BÁSICA APLICADA Y ESTUDIOS PROPIOS DEL SECTOR</v>
      </c>
      <c r="AU265" s="633" t="s">
        <v>201</v>
      </c>
      <c r="AV265" s="634">
        <f>IFERROR(VLOOKUP(AU265,Listas!$E$85:$F$105,2,FALSE),"Alerta: Seleccione el Concepto de Gasto primero")</f>
        <v>0</v>
      </c>
      <c r="AW265" s="644">
        <v>40640000</v>
      </c>
      <c r="AX265" s="645"/>
      <c r="AY265" s="645"/>
      <c r="AZ265" s="645"/>
      <c r="BA265" s="646">
        <f t="shared" si="85"/>
        <v>40640000</v>
      </c>
      <c r="BB265" s="647"/>
      <c r="BC265" s="648"/>
      <c r="BD265" s="649"/>
      <c r="BE265" s="647"/>
      <c r="BF265" s="644"/>
      <c r="BG265" s="646">
        <f t="shared" si="86"/>
        <v>40640000</v>
      </c>
      <c r="BH265" s="650"/>
      <c r="BI265" s="647"/>
      <c r="BJ265" s="644"/>
      <c r="BK265" s="646">
        <f t="shared" si="87"/>
        <v>0</v>
      </c>
      <c r="BL265" s="651"/>
      <c r="BM265" s="652">
        <f t="shared" si="88"/>
        <v>1</v>
      </c>
      <c r="BN265" s="628"/>
      <c r="BO265" s="670"/>
      <c r="BP265" s="644"/>
      <c r="BQ265" s="644"/>
      <c r="BR265" s="644"/>
      <c r="BS265" s="644"/>
      <c r="BT265" s="644"/>
      <c r="BU265" s="644"/>
      <c r="BV265" s="644"/>
      <c r="BW265" s="644"/>
      <c r="BX265" s="644"/>
      <c r="BY265" s="644"/>
      <c r="BZ265" s="644"/>
      <c r="CA265" s="644"/>
      <c r="CB265" s="646">
        <f t="shared" si="89"/>
        <v>0</v>
      </c>
      <c r="CC265" s="646">
        <f t="shared" si="90"/>
        <v>0</v>
      </c>
      <c r="CD265" s="614"/>
    </row>
    <row r="266" spans="1:82" s="561" customFormat="1" ht="61.5" customHeight="1">
      <c r="A266" s="625" t="str">
        <f t="shared" si="72"/>
        <v>1112-140-FONT1112-04-01-0185-Plan especial de manejo y protección del centro histórico</v>
      </c>
      <c r="B266" s="626" t="str">
        <f t="shared" si="73"/>
        <v>1112-140-FONT1112-04-01-0185</v>
      </c>
      <c r="C266" s="626" t="str">
        <f t="shared" si="74"/>
        <v>1112-140-FONT1112-Plan especial de manejo y protección del centro histórico</v>
      </c>
      <c r="D266" s="626" t="str">
        <f t="shared" si="75"/>
        <v>1112-140-12-Otros Distrito-04-01-0185</v>
      </c>
      <c r="E266" s="626" t="str">
        <f t="shared" si="76"/>
        <v>Plan especial de manejo y protección del centro histórico-12-Otros Distrito-0185-Actividades de investigación para la valoración, protección, conservación, sostenibilidad y apropiación del Patrimonio Cultural</v>
      </c>
      <c r="F266" s="627">
        <v>217</v>
      </c>
      <c r="G266" s="628">
        <f t="shared" si="77"/>
        <v>217</v>
      </c>
      <c r="H266" s="629" t="b">
        <f t="shared" si="78"/>
        <v>0</v>
      </c>
      <c r="I266" s="630" t="s">
        <v>594</v>
      </c>
      <c r="J266" s="627" t="s">
        <v>179</v>
      </c>
      <c r="K266" s="631" t="str">
        <f>+IFERROR(VLOOKUP(J266,Listas!$A$108:$B$114,2,FALSE),"Alerta: Seleccione la celda en la comumna B con el nombre del proyecto")</f>
        <v>3-3-1-15-02-17-1112-140</v>
      </c>
      <c r="L266" s="632">
        <v>80111600</v>
      </c>
      <c r="M266" s="633" t="s">
        <v>815</v>
      </c>
      <c r="N266" s="634" t="str">
        <f t="shared" si="79"/>
        <v xml:space="preserve">(Cód. 217) Prestar servicios profesionales al Instituto Distrital de Patrimonio Cultural apoyando la consolidación de la propuesta para la norma urbana patrimonial del Plan Especial de Manejo y Protección -PEMP- del Centro Histórico de Bogotá D.C y otros proyectos. </v>
      </c>
      <c r="O266" s="635">
        <v>43482</v>
      </c>
      <c r="P266" s="636">
        <f>IFERROR(VLOOKUP(W266,'Estimación CRP'!$D$21:$E$30,2,FALSE),0)</f>
        <v>10</v>
      </c>
      <c r="Q266" s="637">
        <f>IF(O266="No aplica","No aplica",WORKDAY.INTL(O266,P266,1,'Estimación CRP'!A452:A468))</f>
        <v>43496</v>
      </c>
      <c r="R266" s="636">
        <f t="shared" si="80"/>
        <v>1</v>
      </c>
      <c r="S266" s="636">
        <f t="shared" si="81"/>
        <v>1</v>
      </c>
      <c r="T266" s="636">
        <f t="shared" si="82"/>
        <v>1</v>
      </c>
      <c r="U266" s="712">
        <v>6</v>
      </c>
      <c r="V266" s="638">
        <v>1</v>
      </c>
      <c r="W266" s="639" t="s">
        <v>274</v>
      </c>
      <c r="X266" s="640" t="str">
        <f>IFERROR(VLOOKUP(W266,Listas!$A$60:$B$73,2,FALSE),"Alerta: Seleccione primero Modalidad de selección")</f>
        <v>CCE-16</v>
      </c>
      <c r="Y266" s="641">
        <v>0</v>
      </c>
      <c r="Z266" s="641" t="s">
        <v>346</v>
      </c>
      <c r="AA266" s="641" t="s">
        <v>1284</v>
      </c>
      <c r="AB266" s="642">
        <f t="shared" si="83"/>
        <v>30480000</v>
      </c>
      <c r="AC266" s="642">
        <f t="shared" si="84"/>
        <v>30480000</v>
      </c>
      <c r="AD266" s="641">
        <v>0</v>
      </c>
      <c r="AE266" s="643">
        <v>0</v>
      </c>
      <c r="AF266" s="639" t="s">
        <v>276</v>
      </c>
      <c r="AG266" s="639" t="s">
        <v>277</v>
      </c>
      <c r="AH266" s="639" t="s">
        <v>285</v>
      </c>
      <c r="AI266" s="626" t="str">
        <f>IFERROR(VLOOKUP(AH266,Listas!$A$77:$C$83,2,FALSE),"Alerta: Seleccione primero el responsable")</f>
        <v>3550800</v>
      </c>
      <c r="AJ266" s="640" t="str">
        <f>IFERROR(VLOOKUP(AH266,Listas!$A$77:$C$83,3,FALSE),"Alerta: Seleccione primero el responsable")</f>
        <v>maria.villamil@idpc.gov.co</v>
      </c>
      <c r="AK266" s="640" t="str">
        <f>IF(J266="Funcionamiento Gastos Generales","No aplica",IF(J266="Funcionamiento Servicios Personales indirectos","No aplica",IFERROR(VLOOKUP(J266,Listas!$A$127:$E$139,3,FALSE),"Alerta: Seleccione la celda en la comumna B con el nombre del proyecto")))</f>
        <v>ME20181112</v>
      </c>
      <c r="AL266" s="640" t="str">
        <f>IF(J266="Funcionamiento Gastos Generales","No aplica",IF(J266="Funcionamiento Servicios Personales","No aplica",IFERROR(VLOOKUP(J266,Listas!$A$220:$D$224,2,FALSE),"Alerta: Seleccione la celda en la comumna B con el nombre del proyecto")))</f>
        <v>COMP1112</v>
      </c>
      <c r="AM266" s="640" t="str">
        <f>IF(J266="Funcionamiento Gastos Generales","No aplica",IF(J266="Funcionamiento Servicios Personales","No aplica",IFERROR(VLOOKUP(J266,Listas!$A$220:$D$224,3,FALSE),"Alerta: Seleccione la celda en la comumna B con el nombre del proyecto")))</f>
        <v>CONC1112</v>
      </c>
      <c r="AN266" s="633" t="s">
        <v>1050</v>
      </c>
      <c r="AO266" s="633" t="s">
        <v>126</v>
      </c>
      <c r="AP266" s="634" t="str">
        <f>IFERROR(VLOOKUP(J266,Listas!$A$182:$E$215,5,FALSE),"Alerta: Seleccione la celda en la comumna B con el nombre del proyecto")</f>
        <v>15. Instrumentos técnicos de gestión para la preservación del patrimonio cultural</v>
      </c>
      <c r="AQ266" s="634" t="str">
        <f>IF(J266="Funcionamiento Gastos Generales","No aplica",IF(J266="Funcionamiento Servicios Personales","No aplica",IFERROR(VLOOKUP(J266,Listas!$A$220:$D$224,4,FALSE),"Alerta: Seleccione la celda en la comumna B con el nombre del proyecto")))</f>
        <v>FONT1112</v>
      </c>
      <c r="AR266" s="633" t="s">
        <v>198</v>
      </c>
      <c r="AS266" s="634" t="str">
        <f>IFERROR(VLOOKUP(AU266,Listas!$E$85:$L$105,7,FALSE),"Alerta: Seleccione la celda en la comumna AI con el concepto de gasto")</f>
        <v>04-INVESTIGACION Y ESTUDIOS</v>
      </c>
      <c r="AT266" s="634" t="str">
        <f>IFERROR(VLOOKUP(AU266,Listas!$E$85:$L$105,8,FALSE),"Alerta: Seleccione la celda en la comumna AI con el concepto de gasto")</f>
        <v>01-INVESTIGACIÓN BÁSICA APLICADA Y ESTUDIOS PROPIOS DEL SECTOR</v>
      </c>
      <c r="AU266" s="633" t="s">
        <v>201</v>
      </c>
      <c r="AV266" s="634">
        <f>IFERROR(VLOOKUP(AU266,Listas!$E$85:$F$105,2,FALSE),"Alerta: Seleccione el Concepto de Gasto primero")</f>
        <v>0</v>
      </c>
      <c r="AW266" s="644">
        <v>30480000</v>
      </c>
      <c r="AX266" s="645"/>
      <c r="AY266" s="645"/>
      <c r="AZ266" s="645"/>
      <c r="BA266" s="646">
        <f t="shared" si="85"/>
        <v>30480000</v>
      </c>
      <c r="BB266" s="647"/>
      <c r="BC266" s="648"/>
      <c r="BD266" s="649"/>
      <c r="BE266" s="647"/>
      <c r="BF266" s="644"/>
      <c r="BG266" s="646">
        <f t="shared" si="86"/>
        <v>30480000</v>
      </c>
      <c r="BH266" s="650"/>
      <c r="BI266" s="647"/>
      <c r="BJ266" s="644"/>
      <c r="BK266" s="646">
        <f t="shared" si="87"/>
        <v>0</v>
      </c>
      <c r="BL266" s="651"/>
      <c r="BM266" s="652">
        <f t="shared" si="88"/>
        <v>1</v>
      </c>
      <c r="BN266" s="628"/>
      <c r="BO266" s="670"/>
      <c r="BP266" s="644"/>
      <c r="BQ266" s="644"/>
      <c r="BR266" s="644"/>
      <c r="BS266" s="644"/>
      <c r="BT266" s="644"/>
      <c r="BU266" s="644"/>
      <c r="BV266" s="644"/>
      <c r="BW266" s="644"/>
      <c r="BX266" s="644"/>
      <c r="BY266" s="644"/>
      <c r="BZ266" s="644"/>
      <c r="CA266" s="644"/>
      <c r="CB266" s="646">
        <f t="shared" si="89"/>
        <v>0</v>
      </c>
      <c r="CC266" s="646">
        <f t="shared" si="90"/>
        <v>0</v>
      </c>
      <c r="CD266" s="614"/>
    </row>
    <row r="267" spans="1:82" s="561" customFormat="1" ht="61.5" customHeight="1">
      <c r="A267" s="625" t="str">
        <f t="shared" si="72"/>
        <v>1112-140-FONT1112-04-01-0185-Plan especial de manejo y protección del centro histórico</v>
      </c>
      <c r="B267" s="626" t="str">
        <f t="shared" si="73"/>
        <v>1112-140-FONT1112-04-01-0185</v>
      </c>
      <c r="C267" s="626" t="str">
        <f t="shared" si="74"/>
        <v>1112-140-FONT1112-Plan especial de manejo y protección del centro histórico</v>
      </c>
      <c r="D267" s="626" t="str">
        <f t="shared" si="75"/>
        <v>1112-140-12-Otros Distrito-04-01-0185</v>
      </c>
      <c r="E267" s="626" t="str">
        <f t="shared" si="76"/>
        <v>Plan especial de manejo y protección del centro histórico-12-Otros Distrito-0185-Actividades de investigación para la valoración, protección, conservación, sostenibilidad y apropiación del Patrimonio Cultural</v>
      </c>
      <c r="F267" s="627">
        <v>218</v>
      </c>
      <c r="G267" s="628">
        <f t="shared" si="77"/>
        <v>218</v>
      </c>
      <c r="H267" s="629" t="b">
        <f t="shared" si="78"/>
        <v>0</v>
      </c>
      <c r="I267" s="630" t="s">
        <v>594</v>
      </c>
      <c r="J267" s="627" t="s">
        <v>179</v>
      </c>
      <c r="K267" s="631" t="str">
        <f>+IFERROR(VLOOKUP(J267,Listas!$A$108:$B$114,2,FALSE),"Alerta: Seleccione la celda en la comumna B con el nombre del proyecto")</f>
        <v>3-3-1-15-02-17-1112-140</v>
      </c>
      <c r="L267" s="632">
        <v>80111600</v>
      </c>
      <c r="M267" s="633" t="s">
        <v>816</v>
      </c>
      <c r="N267" s="634" t="str">
        <f t="shared" si="79"/>
        <v>(Cód. 218) Prestar servicios profesionales al Instituto Distrital de Patrimonio Cultural para apoyar las acciones requeridas para el desarrollo de la propuesta de norma urbana e instrumentos del Plan Especial de Manejo y Protección -PEMP- del Centro Histórico de Bogotá D.C.</v>
      </c>
      <c r="O267" s="635">
        <v>43482</v>
      </c>
      <c r="P267" s="636">
        <f>IFERROR(VLOOKUP(W267,'Estimación CRP'!$D$21:$E$30,2,FALSE),0)</f>
        <v>10</v>
      </c>
      <c r="Q267" s="637">
        <f>IF(O267="No aplica","No aplica",WORKDAY.INTL(O267,P267,1,'Estimación CRP'!A453:A469))</f>
        <v>43496</v>
      </c>
      <c r="R267" s="636">
        <f t="shared" si="80"/>
        <v>1</v>
      </c>
      <c r="S267" s="636">
        <f t="shared" si="81"/>
        <v>1</v>
      </c>
      <c r="T267" s="636">
        <f t="shared" si="82"/>
        <v>1</v>
      </c>
      <c r="U267" s="712">
        <v>8</v>
      </c>
      <c r="V267" s="638">
        <v>1</v>
      </c>
      <c r="W267" s="639" t="s">
        <v>274</v>
      </c>
      <c r="X267" s="640" t="str">
        <f>IFERROR(VLOOKUP(W267,Listas!$A$60:$B$73,2,FALSE),"Alerta: Seleccione primero Modalidad de selección")</f>
        <v>CCE-16</v>
      </c>
      <c r="Y267" s="641">
        <v>0</v>
      </c>
      <c r="Z267" s="641" t="s">
        <v>346</v>
      </c>
      <c r="AA267" s="641" t="s">
        <v>1285</v>
      </c>
      <c r="AB267" s="642">
        <f t="shared" si="83"/>
        <v>40640000</v>
      </c>
      <c r="AC267" s="642">
        <f t="shared" si="84"/>
        <v>40640000</v>
      </c>
      <c r="AD267" s="641">
        <v>0</v>
      </c>
      <c r="AE267" s="643">
        <v>0</v>
      </c>
      <c r="AF267" s="639" t="s">
        <v>276</v>
      </c>
      <c r="AG267" s="639" t="s">
        <v>277</v>
      </c>
      <c r="AH267" s="639" t="s">
        <v>285</v>
      </c>
      <c r="AI267" s="626" t="str">
        <f>IFERROR(VLOOKUP(AH267,Listas!$A$77:$C$83,2,FALSE),"Alerta: Seleccione primero el responsable")</f>
        <v>3550800</v>
      </c>
      <c r="AJ267" s="640" t="str">
        <f>IFERROR(VLOOKUP(AH267,Listas!$A$77:$C$83,3,FALSE),"Alerta: Seleccione primero el responsable")</f>
        <v>maria.villamil@idpc.gov.co</v>
      </c>
      <c r="AK267" s="640" t="str">
        <f>IF(J267="Funcionamiento Gastos Generales","No aplica",IF(J267="Funcionamiento Servicios Personales indirectos","No aplica",IFERROR(VLOOKUP(J267,Listas!$A$127:$E$139,3,FALSE),"Alerta: Seleccione la celda en la comumna B con el nombre del proyecto")))</f>
        <v>ME20181112</v>
      </c>
      <c r="AL267" s="640" t="str">
        <f>IF(J267="Funcionamiento Gastos Generales","No aplica",IF(J267="Funcionamiento Servicios Personales","No aplica",IFERROR(VLOOKUP(J267,Listas!$A$220:$D$224,2,FALSE),"Alerta: Seleccione la celda en la comumna B con el nombre del proyecto")))</f>
        <v>COMP1112</v>
      </c>
      <c r="AM267" s="640" t="str">
        <f>IF(J267="Funcionamiento Gastos Generales","No aplica",IF(J267="Funcionamiento Servicios Personales","No aplica",IFERROR(VLOOKUP(J267,Listas!$A$220:$D$224,3,FALSE),"Alerta: Seleccione la celda en la comumna B con el nombre del proyecto")))</f>
        <v>CONC1112</v>
      </c>
      <c r="AN267" s="633" t="s">
        <v>1050</v>
      </c>
      <c r="AO267" s="633" t="s">
        <v>126</v>
      </c>
      <c r="AP267" s="634" t="str">
        <f>IFERROR(VLOOKUP(J267,Listas!$A$182:$E$215,5,FALSE),"Alerta: Seleccione la celda en la comumna B con el nombre del proyecto")</f>
        <v>15. Instrumentos técnicos de gestión para la preservación del patrimonio cultural</v>
      </c>
      <c r="AQ267" s="634" t="str">
        <f>IF(J267="Funcionamiento Gastos Generales","No aplica",IF(J267="Funcionamiento Servicios Personales","No aplica",IFERROR(VLOOKUP(J267,Listas!$A$220:$D$224,4,FALSE),"Alerta: Seleccione la celda en la comumna B con el nombre del proyecto")))</f>
        <v>FONT1112</v>
      </c>
      <c r="AR267" s="633" t="s">
        <v>198</v>
      </c>
      <c r="AS267" s="634" t="str">
        <f>IFERROR(VLOOKUP(AU267,Listas!$E$85:$L$105,7,FALSE),"Alerta: Seleccione la celda en la comumna AI con el concepto de gasto")</f>
        <v>04-INVESTIGACION Y ESTUDIOS</v>
      </c>
      <c r="AT267" s="634" t="str">
        <f>IFERROR(VLOOKUP(AU267,Listas!$E$85:$L$105,8,FALSE),"Alerta: Seleccione la celda en la comumna AI con el concepto de gasto")</f>
        <v>01-INVESTIGACIÓN BÁSICA APLICADA Y ESTUDIOS PROPIOS DEL SECTOR</v>
      </c>
      <c r="AU267" s="633" t="s">
        <v>201</v>
      </c>
      <c r="AV267" s="634">
        <f>IFERROR(VLOOKUP(AU267,Listas!$E$85:$F$105,2,FALSE),"Alerta: Seleccione el Concepto de Gasto primero")</f>
        <v>0</v>
      </c>
      <c r="AW267" s="644">
        <v>40640000</v>
      </c>
      <c r="AX267" s="645"/>
      <c r="AY267" s="645"/>
      <c r="AZ267" s="645"/>
      <c r="BA267" s="646">
        <f t="shared" si="85"/>
        <v>40640000</v>
      </c>
      <c r="BB267" s="647"/>
      <c r="BC267" s="648"/>
      <c r="BD267" s="649"/>
      <c r="BE267" s="647"/>
      <c r="BF267" s="644"/>
      <c r="BG267" s="646">
        <f t="shared" si="86"/>
        <v>40640000</v>
      </c>
      <c r="BH267" s="650"/>
      <c r="BI267" s="647"/>
      <c r="BJ267" s="644"/>
      <c r="BK267" s="646">
        <f t="shared" si="87"/>
        <v>0</v>
      </c>
      <c r="BL267" s="651"/>
      <c r="BM267" s="652">
        <f t="shared" si="88"/>
        <v>1</v>
      </c>
      <c r="BN267" s="628"/>
      <c r="BO267" s="670"/>
      <c r="BP267" s="644"/>
      <c r="BQ267" s="644"/>
      <c r="BR267" s="644"/>
      <c r="BS267" s="644"/>
      <c r="BT267" s="644"/>
      <c r="BU267" s="644"/>
      <c r="BV267" s="644"/>
      <c r="BW267" s="644"/>
      <c r="BX267" s="644"/>
      <c r="BY267" s="644"/>
      <c r="BZ267" s="644"/>
      <c r="CA267" s="644"/>
      <c r="CB267" s="646">
        <f t="shared" si="89"/>
        <v>0</v>
      </c>
      <c r="CC267" s="646">
        <f t="shared" si="90"/>
        <v>0</v>
      </c>
      <c r="CD267" s="614"/>
    </row>
    <row r="268" spans="1:82" s="561" customFormat="1" ht="61.5" customHeight="1">
      <c r="A268" s="625" t="str">
        <f t="shared" si="72"/>
        <v>1112-140-FONT1112-04-01-0185-Plan especial de manejo y protección del centro histórico</v>
      </c>
      <c r="B268" s="626" t="str">
        <f t="shared" si="73"/>
        <v>1112-140-FONT1112-04-01-0185</v>
      </c>
      <c r="C268" s="626" t="str">
        <f t="shared" si="74"/>
        <v>1112-140-FONT1112-Plan especial de manejo y protección del centro histórico</v>
      </c>
      <c r="D268" s="626" t="str">
        <f t="shared" si="75"/>
        <v>1112-140-12-Otros Distrito-04-01-0185</v>
      </c>
      <c r="E268" s="626" t="str">
        <f t="shared" si="76"/>
        <v>Plan especial de manejo y protección del centro histórico-12-Otros Distrito-0185-Actividades de investigación para la valoración, protección, conservación, sostenibilidad y apropiación del Patrimonio Cultural</v>
      </c>
      <c r="F268" s="627">
        <v>219</v>
      </c>
      <c r="G268" s="628">
        <f t="shared" si="77"/>
        <v>219</v>
      </c>
      <c r="H268" s="629" t="b">
        <f t="shared" si="78"/>
        <v>0</v>
      </c>
      <c r="I268" s="630" t="s">
        <v>594</v>
      </c>
      <c r="J268" s="627" t="s">
        <v>179</v>
      </c>
      <c r="K268" s="631" t="str">
        <f>+IFERROR(VLOOKUP(J268,Listas!$A$108:$B$114,2,FALSE),"Alerta: Seleccione la celda en la comumna B con el nombre del proyecto")</f>
        <v>3-3-1-15-02-17-1112-140</v>
      </c>
      <c r="L268" s="632">
        <v>80111600</v>
      </c>
      <c r="M268" s="633" t="s">
        <v>817</v>
      </c>
      <c r="N268" s="634" t="str">
        <f t="shared" si="79"/>
        <v>(Cód. 219) Prestar servicios de apoyo a la gestión al Instituto Distrital de Patrimonio Cultural para apoyar las acciones requeridas en la consolidación de la propuesta normativa del Plan Especial de Manejo y Protección -PEMP- del Centro Histórico de Bogotá D.C.</v>
      </c>
      <c r="O268" s="635">
        <v>43482</v>
      </c>
      <c r="P268" s="636">
        <f>IFERROR(VLOOKUP(W268,'Estimación CRP'!$D$21:$E$30,2,FALSE),0)</f>
        <v>10</v>
      </c>
      <c r="Q268" s="637">
        <f>IF(O268="No aplica","No aplica",WORKDAY.INTL(O268,P268,1,'Estimación CRP'!A454:A470))</f>
        <v>43496</v>
      </c>
      <c r="R268" s="636">
        <f t="shared" si="80"/>
        <v>1</v>
      </c>
      <c r="S268" s="636">
        <f t="shared" si="81"/>
        <v>1</v>
      </c>
      <c r="T268" s="636">
        <f t="shared" si="82"/>
        <v>1</v>
      </c>
      <c r="U268" s="712">
        <v>8</v>
      </c>
      <c r="V268" s="638">
        <v>1</v>
      </c>
      <c r="W268" s="639" t="s">
        <v>274</v>
      </c>
      <c r="X268" s="640" t="str">
        <f>IFERROR(VLOOKUP(W268,Listas!$A$60:$B$73,2,FALSE),"Alerta: Seleccione primero Modalidad de selección")</f>
        <v>CCE-16</v>
      </c>
      <c r="Y268" s="641">
        <v>0</v>
      </c>
      <c r="Z268" s="641" t="s">
        <v>346</v>
      </c>
      <c r="AA268" s="641" t="s">
        <v>1286</v>
      </c>
      <c r="AB268" s="642">
        <f t="shared" si="83"/>
        <v>20000000</v>
      </c>
      <c r="AC268" s="642">
        <f t="shared" si="84"/>
        <v>20000000</v>
      </c>
      <c r="AD268" s="641">
        <v>0</v>
      </c>
      <c r="AE268" s="643">
        <v>0</v>
      </c>
      <c r="AF268" s="639" t="s">
        <v>276</v>
      </c>
      <c r="AG268" s="639" t="s">
        <v>277</v>
      </c>
      <c r="AH268" s="639" t="s">
        <v>285</v>
      </c>
      <c r="AI268" s="626" t="str">
        <f>IFERROR(VLOOKUP(AH268,Listas!$A$77:$C$83,2,FALSE),"Alerta: Seleccione primero el responsable")</f>
        <v>3550800</v>
      </c>
      <c r="AJ268" s="640" t="str">
        <f>IFERROR(VLOOKUP(AH268,Listas!$A$77:$C$83,3,FALSE),"Alerta: Seleccione primero el responsable")</f>
        <v>maria.villamil@idpc.gov.co</v>
      </c>
      <c r="AK268" s="640" t="str">
        <f>IF(J268="Funcionamiento Gastos Generales","No aplica",IF(J268="Funcionamiento Servicios Personales indirectos","No aplica",IFERROR(VLOOKUP(J268,Listas!$A$127:$E$139,3,FALSE),"Alerta: Seleccione la celda en la comumna B con el nombre del proyecto")))</f>
        <v>ME20181112</v>
      </c>
      <c r="AL268" s="640" t="str">
        <f>IF(J268="Funcionamiento Gastos Generales","No aplica",IF(J268="Funcionamiento Servicios Personales","No aplica",IFERROR(VLOOKUP(J268,Listas!$A$220:$D$224,2,FALSE),"Alerta: Seleccione la celda en la comumna B con el nombre del proyecto")))</f>
        <v>COMP1112</v>
      </c>
      <c r="AM268" s="640" t="str">
        <f>IF(J268="Funcionamiento Gastos Generales","No aplica",IF(J268="Funcionamiento Servicios Personales","No aplica",IFERROR(VLOOKUP(J268,Listas!$A$220:$D$224,3,FALSE),"Alerta: Seleccione la celda en la comumna B con el nombre del proyecto")))</f>
        <v>CONC1112</v>
      </c>
      <c r="AN268" s="633" t="s">
        <v>1050</v>
      </c>
      <c r="AO268" s="633" t="s">
        <v>126</v>
      </c>
      <c r="AP268" s="634" t="str">
        <f>IFERROR(VLOOKUP(J268,Listas!$A$182:$E$215,5,FALSE),"Alerta: Seleccione la celda en la comumna B con el nombre del proyecto")</f>
        <v>15. Instrumentos técnicos de gestión para la preservación del patrimonio cultural</v>
      </c>
      <c r="AQ268" s="634" t="str">
        <f>IF(J268="Funcionamiento Gastos Generales","No aplica",IF(J268="Funcionamiento Servicios Personales","No aplica",IFERROR(VLOOKUP(J268,Listas!$A$220:$D$224,4,FALSE),"Alerta: Seleccione la celda en la comumna B con el nombre del proyecto")))</f>
        <v>FONT1112</v>
      </c>
      <c r="AR268" s="633" t="s">
        <v>198</v>
      </c>
      <c r="AS268" s="634" t="str">
        <f>IFERROR(VLOOKUP(AU268,Listas!$E$85:$L$105,7,FALSE),"Alerta: Seleccione la celda en la comumna AI con el concepto de gasto")</f>
        <v>04-INVESTIGACION Y ESTUDIOS</v>
      </c>
      <c r="AT268" s="634" t="str">
        <f>IFERROR(VLOOKUP(AU268,Listas!$E$85:$L$105,8,FALSE),"Alerta: Seleccione la celda en la comumna AI con el concepto de gasto")</f>
        <v>01-INVESTIGACIÓN BÁSICA APLICADA Y ESTUDIOS PROPIOS DEL SECTOR</v>
      </c>
      <c r="AU268" s="633" t="s">
        <v>201</v>
      </c>
      <c r="AV268" s="634">
        <f>IFERROR(VLOOKUP(AU268,Listas!$E$85:$F$105,2,FALSE),"Alerta: Seleccione el Concepto de Gasto primero")</f>
        <v>0</v>
      </c>
      <c r="AW268" s="644">
        <v>20000000</v>
      </c>
      <c r="AX268" s="645"/>
      <c r="AY268" s="645"/>
      <c r="AZ268" s="645"/>
      <c r="BA268" s="646">
        <f t="shared" si="85"/>
        <v>20000000</v>
      </c>
      <c r="BB268" s="647"/>
      <c r="BC268" s="648"/>
      <c r="BD268" s="649"/>
      <c r="BE268" s="647"/>
      <c r="BF268" s="644"/>
      <c r="BG268" s="646">
        <f t="shared" si="86"/>
        <v>20000000</v>
      </c>
      <c r="BH268" s="650"/>
      <c r="BI268" s="647"/>
      <c r="BJ268" s="644"/>
      <c r="BK268" s="646">
        <f t="shared" si="87"/>
        <v>0</v>
      </c>
      <c r="BL268" s="651"/>
      <c r="BM268" s="652">
        <f t="shared" si="88"/>
        <v>1</v>
      </c>
      <c r="BN268" s="628"/>
      <c r="BO268" s="670"/>
      <c r="BP268" s="644"/>
      <c r="BQ268" s="644"/>
      <c r="BR268" s="644"/>
      <c r="BS268" s="644"/>
      <c r="BT268" s="644"/>
      <c r="BU268" s="644"/>
      <c r="BV268" s="644"/>
      <c r="BW268" s="644"/>
      <c r="BX268" s="644"/>
      <c r="BY268" s="644"/>
      <c r="BZ268" s="644"/>
      <c r="CA268" s="644"/>
      <c r="CB268" s="646">
        <f t="shared" si="89"/>
        <v>0</v>
      </c>
      <c r="CC268" s="646">
        <f t="shared" si="90"/>
        <v>0</v>
      </c>
      <c r="CD268" s="614"/>
    </row>
    <row r="269" spans="1:82" s="561" customFormat="1" ht="61.5" customHeight="1">
      <c r="A269" s="625" t="str">
        <f t="shared" si="72"/>
        <v>1112-140-FONT1112-04-01-0185-Plan especial de manejo y protección del centro histórico</v>
      </c>
      <c r="B269" s="626" t="str">
        <f t="shared" si="73"/>
        <v>1112-140-FONT1112-04-01-0185</v>
      </c>
      <c r="C269" s="626" t="str">
        <f t="shared" si="74"/>
        <v>1112-140-FONT1112-Plan especial de manejo y protección del centro histórico</v>
      </c>
      <c r="D269" s="626" t="str">
        <f t="shared" si="75"/>
        <v>1112-140-12-Otros Distrito-04-01-0185</v>
      </c>
      <c r="E269" s="626" t="str">
        <f t="shared" si="76"/>
        <v>Plan especial de manejo y protección del centro histórico-12-Otros Distrito-0185-Actividades de investigación para la valoración, protección, conservación, sostenibilidad y apropiación del Patrimonio Cultural</v>
      </c>
      <c r="F269" s="627">
        <v>220</v>
      </c>
      <c r="G269" s="628">
        <f t="shared" si="77"/>
        <v>220</v>
      </c>
      <c r="H269" s="629" t="b">
        <f t="shared" si="78"/>
        <v>0</v>
      </c>
      <c r="I269" s="630" t="s">
        <v>594</v>
      </c>
      <c r="J269" s="627" t="s">
        <v>179</v>
      </c>
      <c r="K269" s="631" t="str">
        <f>+IFERROR(VLOOKUP(J269,Listas!$A$108:$B$114,2,FALSE),"Alerta: Seleccione la celda en la comumna B con el nombre del proyecto")</f>
        <v>3-3-1-15-02-17-1112-140</v>
      </c>
      <c r="L269" s="632">
        <v>80111600</v>
      </c>
      <c r="M269" s="633" t="s">
        <v>818</v>
      </c>
      <c r="N269" s="634" t="str">
        <f t="shared" si="79"/>
        <v xml:space="preserve">(Cód. 220) Prestar servicios profesionales al Instituto Distrital de Patrimonio Cultural para formular y desarrollar insumos relacionados con el direccionamiento estratégico del Plan Especial de Manejo y Protección -PEMP- del Centro Histórico de Bogotá D.C y otros proyectos asociados.  </v>
      </c>
      <c r="O269" s="635">
        <v>43480</v>
      </c>
      <c r="P269" s="636">
        <f>IFERROR(VLOOKUP(W269,'Estimación CRP'!$D$21:$E$30,2,FALSE),0)</f>
        <v>10</v>
      </c>
      <c r="Q269" s="637">
        <f>IF(O269="No aplica","No aplica",WORKDAY.INTL(O269,P269,1,'Estimación CRP'!A455:A471))</f>
        <v>43494</v>
      </c>
      <c r="R269" s="636">
        <f t="shared" si="80"/>
        <v>1</v>
      </c>
      <c r="S269" s="636">
        <f t="shared" si="81"/>
        <v>1</v>
      </c>
      <c r="T269" s="636">
        <f t="shared" si="82"/>
        <v>1</v>
      </c>
      <c r="U269" s="712">
        <v>11</v>
      </c>
      <c r="V269" s="638">
        <v>1</v>
      </c>
      <c r="W269" s="639" t="s">
        <v>274</v>
      </c>
      <c r="X269" s="640" t="str">
        <f>IFERROR(VLOOKUP(W269,Listas!$A$60:$B$73,2,FALSE),"Alerta: Seleccione primero Modalidad de selección")</f>
        <v>CCE-16</v>
      </c>
      <c r="Y269" s="641">
        <v>0</v>
      </c>
      <c r="Z269" s="641" t="s">
        <v>346</v>
      </c>
      <c r="AA269" s="641" t="s">
        <v>1287</v>
      </c>
      <c r="AB269" s="642">
        <f t="shared" si="83"/>
        <v>66000000</v>
      </c>
      <c r="AC269" s="642">
        <f t="shared" si="84"/>
        <v>66000000</v>
      </c>
      <c r="AD269" s="641">
        <v>0</v>
      </c>
      <c r="AE269" s="643">
        <v>0</v>
      </c>
      <c r="AF269" s="639" t="s">
        <v>276</v>
      </c>
      <c r="AG269" s="639" t="s">
        <v>277</v>
      </c>
      <c r="AH269" s="639" t="s">
        <v>285</v>
      </c>
      <c r="AI269" s="626" t="str">
        <f>IFERROR(VLOOKUP(AH269,Listas!$A$77:$C$83,2,FALSE),"Alerta: Seleccione primero el responsable")</f>
        <v>3550800</v>
      </c>
      <c r="AJ269" s="640" t="str">
        <f>IFERROR(VLOOKUP(AH269,Listas!$A$77:$C$83,3,FALSE),"Alerta: Seleccione primero el responsable")</f>
        <v>maria.villamil@idpc.gov.co</v>
      </c>
      <c r="AK269" s="640" t="str">
        <f>IF(J269="Funcionamiento Gastos Generales","No aplica",IF(J269="Funcionamiento Servicios Personales indirectos","No aplica",IFERROR(VLOOKUP(J269,Listas!$A$127:$E$139,3,FALSE),"Alerta: Seleccione la celda en la comumna B con el nombre del proyecto")))</f>
        <v>ME20181112</v>
      </c>
      <c r="AL269" s="640" t="str">
        <f>IF(J269="Funcionamiento Gastos Generales","No aplica",IF(J269="Funcionamiento Servicios Personales","No aplica",IFERROR(VLOOKUP(J269,Listas!$A$220:$D$224,2,FALSE),"Alerta: Seleccione la celda en la comumna B con el nombre del proyecto")))</f>
        <v>COMP1112</v>
      </c>
      <c r="AM269" s="640" t="str">
        <f>IF(J269="Funcionamiento Gastos Generales","No aplica",IF(J269="Funcionamiento Servicios Personales","No aplica",IFERROR(VLOOKUP(J269,Listas!$A$220:$D$224,3,FALSE),"Alerta: Seleccione la celda en la comumna B con el nombre del proyecto")))</f>
        <v>CONC1112</v>
      </c>
      <c r="AN269" s="633" t="s">
        <v>1050</v>
      </c>
      <c r="AO269" s="633" t="s">
        <v>126</v>
      </c>
      <c r="AP269" s="634" t="str">
        <f>IFERROR(VLOOKUP(J269,Listas!$A$182:$E$215,5,FALSE),"Alerta: Seleccione la celda en la comumna B con el nombre del proyecto")</f>
        <v>15. Instrumentos técnicos de gestión para la preservación del patrimonio cultural</v>
      </c>
      <c r="AQ269" s="634" t="str">
        <f>IF(J269="Funcionamiento Gastos Generales","No aplica",IF(J269="Funcionamiento Servicios Personales","No aplica",IFERROR(VLOOKUP(J269,Listas!$A$220:$D$224,4,FALSE),"Alerta: Seleccione la celda en la comumna B con el nombre del proyecto")))</f>
        <v>FONT1112</v>
      </c>
      <c r="AR269" s="633" t="s">
        <v>198</v>
      </c>
      <c r="AS269" s="634" t="str">
        <f>IFERROR(VLOOKUP(AU269,Listas!$E$85:$L$105,7,FALSE),"Alerta: Seleccione la celda en la comumna AI con el concepto de gasto")</f>
        <v>04-INVESTIGACION Y ESTUDIOS</v>
      </c>
      <c r="AT269" s="634" t="str">
        <f>IFERROR(VLOOKUP(AU269,Listas!$E$85:$L$105,8,FALSE),"Alerta: Seleccione la celda en la comumna AI con el concepto de gasto")</f>
        <v>01-INVESTIGACIÓN BÁSICA APLICADA Y ESTUDIOS PROPIOS DEL SECTOR</v>
      </c>
      <c r="AU269" s="633" t="s">
        <v>201</v>
      </c>
      <c r="AV269" s="634">
        <f>IFERROR(VLOOKUP(AU269,Listas!$E$85:$F$105,2,FALSE),"Alerta: Seleccione el Concepto de Gasto primero")</f>
        <v>0</v>
      </c>
      <c r="AW269" s="644">
        <v>66000000</v>
      </c>
      <c r="AX269" s="645"/>
      <c r="AY269" s="645"/>
      <c r="AZ269" s="645"/>
      <c r="BA269" s="646">
        <f t="shared" si="85"/>
        <v>66000000</v>
      </c>
      <c r="BB269" s="647"/>
      <c r="BC269" s="648"/>
      <c r="BD269" s="649"/>
      <c r="BE269" s="647"/>
      <c r="BF269" s="644"/>
      <c r="BG269" s="646">
        <f t="shared" si="86"/>
        <v>66000000</v>
      </c>
      <c r="BH269" s="650"/>
      <c r="BI269" s="647"/>
      <c r="BJ269" s="644"/>
      <c r="BK269" s="646">
        <f t="shared" si="87"/>
        <v>0</v>
      </c>
      <c r="BL269" s="651"/>
      <c r="BM269" s="652">
        <f t="shared" si="88"/>
        <v>1</v>
      </c>
      <c r="BN269" s="628"/>
      <c r="BO269" s="670"/>
      <c r="BP269" s="644"/>
      <c r="BQ269" s="644"/>
      <c r="BR269" s="644"/>
      <c r="BS269" s="644"/>
      <c r="BT269" s="644"/>
      <c r="BU269" s="644"/>
      <c r="BV269" s="644"/>
      <c r="BW269" s="644"/>
      <c r="BX269" s="644"/>
      <c r="BY269" s="644"/>
      <c r="BZ269" s="644"/>
      <c r="CA269" s="644"/>
      <c r="CB269" s="646">
        <f t="shared" si="89"/>
        <v>0</v>
      </c>
      <c r="CC269" s="646">
        <f t="shared" si="90"/>
        <v>0</v>
      </c>
      <c r="CD269" s="614"/>
    </row>
    <row r="270" spans="1:82" s="561" customFormat="1" ht="61.5" customHeight="1">
      <c r="A270" s="625" t="str">
        <f t="shared" si="72"/>
        <v>1112-140-FONT1112-04-01-0185-Plan especial de manejo y protección del centro histórico</v>
      </c>
      <c r="B270" s="626" t="str">
        <f t="shared" si="73"/>
        <v>1112-140-FONT1112-04-01-0185</v>
      </c>
      <c r="C270" s="626" t="str">
        <f t="shared" si="74"/>
        <v>1112-140-FONT1112-Plan especial de manejo y protección del centro histórico</v>
      </c>
      <c r="D270" s="626" t="str">
        <f t="shared" si="75"/>
        <v>1112-140-12-Otros Distrito-04-01-0185</v>
      </c>
      <c r="E270" s="626" t="str">
        <f t="shared" si="76"/>
        <v>Plan especial de manejo y protección del centro histórico-12-Otros Distrito-0185-Actividades de investigación para la valoración, protección, conservación, sostenibilidad y apropiación del Patrimonio Cultural</v>
      </c>
      <c r="F270" s="627">
        <v>221</v>
      </c>
      <c r="G270" s="628">
        <f t="shared" si="77"/>
        <v>221</v>
      </c>
      <c r="H270" s="629" t="b">
        <f t="shared" si="78"/>
        <v>0</v>
      </c>
      <c r="I270" s="630" t="s">
        <v>594</v>
      </c>
      <c r="J270" s="627" t="s">
        <v>179</v>
      </c>
      <c r="K270" s="631" t="str">
        <f>+IFERROR(VLOOKUP(J270,Listas!$A$108:$B$114,2,FALSE),"Alerta: Seleccione la celda en la comumna B con el nombre del proyecto")</f>
        <v>3-3-1-15-02-17-1112-140</v>
      </c>
      <c r="L270" s="632">
        <v>80111600</v>
      </c>
      <c r="M270" s="633" t="s">
        <v>819</v>
      </c>
      <c r="N270" s="634" t="str">
        <f t="shared" si="79"/>
        <v>(Cód. 221) Prestar servicios profesionales al Instituto Distrital de Patrimonio Cultural para ejecutar insumos urbano arquitectónicos de proyectos y de las intervenciones integrales del Plan Especial de Manejo y Protección -PEMP- del Centro Histórico de Bogotá D.C. a partir de la consolidación de la formulación del mismo.</v>
      </c>
      <c r="O270" s="635">
        <v>43480</v>
      </c>
      <c r="P270" s="636">
        <f>IFERROR(VLOOKUP(W270,'Estimación CRP'!$D$21:$E$30,2,FALSE),0)</f>
        <v>10</v>
      </c>
      <c r="Q270" s="637">
        <f>IF(O270="No aplica","No aplica",WORKDAY.INTL(O270,P270,1,'Estimación CRP'!A456:A472))</f>
        <v>43494</v>
      </c>
      <c r="R270" s="636">
        <f t="shared" si="80"/>
        <v>1</v>
      </c>
      <c r="S270" s="636">
        <f t="shared" si="81"/>
        <v>1</v>
      </c>
      <c r="T270" s="636">
        <f t="shared" si="82"/>
        <v>1</v>
      </c>
      <c r="U270" s="712">
        <v>9</v>
      </c>
      <c r="V270" s="638">
        <v>1</v>
      </c>
      <c r="W270" s="639" t="s">
        <v>274</v>
      </c>
      <c r="X270" s="640" t="str">
        <f>IFERROR(VLOOKUP(W270,Listas!$A$60:$B$73,2,FALSE),"Alerta: Seleccione primero Modalidad de selección")</f>
        <v>CCE-16</v>
      </c>
      <c r="Y270" s="641">
        <v>0</v>
      </c>
      <c r="Z270" s="641" t="s">
        <v>346</v>
      </c>
      <c r="AA270" s="641" t="s">
        <v>1288</v>
      </c>
      <c r="AB270" s="642">
        <f t="shared" si="83"/>
        <v>46800000</v>
      </c>
      <c r="AC270" s="642">
        <f t="shared" si="84"/>
        <v>46800000</v>
      </c>
      <c r="AD270" s="641">
        <v>0</v>
      </c>
      <c r="AE270" s="643">
        <v>0</v>
      </c>
      <c r="AF270" s="639" t="s">
        <v>276</v>
      </c>
      <c r="AG270" s="639" t="s">
        <v>277</v>
      </c>
      <c r="AH270" s="639" t="s">
        <v>285</v>
      </c>
      <c r="AI270" s="626" t="str">
        <f>IFERROR(VLOOKUP(AH270,Listas!$A$77:$C$83,2,FALSE),"Alerta: Seleccione primero el responsable")</f>
        <v>3550800</v>
      </c>
      <c r="AJ270" s="640" t="str">
        <f>IFERROR(VLOOKUP(AH270,Listas!$A$77:$C$83,3,FALSE),"Alerta: Seleccione primero el responsable")</f>
        <v>maria.villamil@idpc.gov.co</v>
      </c>
      <c r="AK270" s="640" t="str">
        <f>IF(J270="Funcionamiento Gastos Generales","No aplica",IF(J270="Funcionamiento Servicios Personales indirectos","No aplica",IFERROR(VLOOKUP(J270,Listas!$A$127:$E$139,3,FALSE),"Alerta: Seleccione la celda en la comumna B con el nombre del proyecto")))</f>
        <v>ME20181112</v>
      </c>
      <c r="AL270" s="640" t="str">
        <f>IF(J270="Funcionamiento Gastos Generales","No aplica",IF(J270="Funcionamiento Servicios Personales","No aplica",IFERROR(VLOOKUP(J270,Listas!$A$220:$D$224,2,FALSE),"Alerta: Seleccione la celda en la comumna B con el nombre del proyecto")))</f>
        <v>COMP1112</v>
      </c>
      <c r="AM270" s="640" t="str">
        <f>IF(J270="Funcionamiento Gastos Generales","No aplica",IF(J270="Funcionamiento Servicios Personales","No aplica",IFERROR(VLOOKUP(J270,Listas!$A$220:$D$224,3,FALSE),"Alerta: Seleccione la celda en la comumna B con el nombre del proyecto")))</f>
        <v>CONC1112</v>
      </c>
      <c r="AN270" s="633" t="s">
        <v>1050</v>
      </c>
      <c r="AO270" s="633" t="s">
        <v>126</v>
      </c>
      <c r="AP270" s="634" t="str">
        <f>IFERROR(VLOOKUP(J270,Listas!$A$182:$E$215,5,FALSE),"Alerta: Seleccione la celda en la comumna B con el nombre del proyecto")</f>
        <v>15. Instrumentos técnicos de gestión para la preservación del patrimonio cultural</v>
      </c>
      <c r="AQ270" s="634" t="str">
        <f>IF(J270="Funcionamiento Gastos Generales","No aplica",IF(J270="Funcionamiento Servicios Personales","No aplica",IFERROR(VLOOKUP(J270,Listas!$A$220:$D$224,4,FALSE),"Alerta: Seleccione la celda en la comumna B con el nombre del proyecto")))</f>
        <v>FONT1112</v>
      </c>
      <c r="AR270" s="633" t="s">
        <v>198</v>
      </c>
      <c r="AS270" s="634" t="str">
        <f>IFERROR(VLOOKUP(AU270,Listas!$E$85:$L$105,7,FALSE),"Alerta: Seleccione la celda en la comumna AI con el concepto de gasto")</f>
        <v>04-INVESTIGACION Y ESTUDIOS</v>
      </c>
      <c r="AT270" s="634" t="str">
        <f>IFERROR(VLOOKUP(AU270,Listas!$E$85:$L$105,8,FALSE),"Alerta: Seleccione la celda en la comumna AI con el concepto de gasto")</f>
        <v>01-INVESTIGACIÓN BÁSICA APLICADA Y ESTUDIOS PROPIOS DEL SECTOR</v>
      </c>
      <c r="AU270" s="633" t="s">
        <v>201</v>
      </c>
      <c r="AV270" s="634">
        <f>IFERROR(VLOOKUP(AU270,Listas!$E$85:$F$105,2,FALSE),"Alerta: Seleccione el Concepto de Gasto primero")</f>
        <v>0</v>
      </c>
      <c r="AW270" s="644">
        <v>46800000</v>
      </c>
      <c r="AX270" s="645"/>
      <c r="AY270" s="645"/>
      <c r="AZ270" s="645"/>
      <c r="BA270" s="646">
        <f t="shared" si="85"/>
        <v>46800000</v>
      </c>
      <c r="BB270" s="647"/>
      <c r="BC270" s="648"/>
      <c r="BD270" s="649"/>
      <c r="BE270" s="647"/>
      <c r="BF270" s="644"/>
      <c r="BG270" s="646">
        <f t="shared" si="86"/>
        <v>46800000</v>
      </c>
      <c r="BH270" s="650"/>
      <c r="BI270" s="647"/>
      <c r="BJ270" s="644"/>
      <c r="BK270" s="646">
        <f t="shared" si="87"/>
        <v>0</v>
      </c>
      <c r="BL270" s="651"/>
      <c r="BM270" s="652">
        <f t="shared" si="88"/>
        <v>1</v>
      </c>
      <c r="BN270" s="628"/>
      <c r="BO270" s="670"/>
      <c r="BP270" s="644"/>
      <c r="BQ270" s="644"/>
      <c r="BR270" s="644"/>
      <c r="BS270" s="644"/>
      <c r="BT270" s="644"/>
      <c r="BU270" s="644"/>
      <c r="BV270" s="644"/>
      <c r="BW270" s="644"/>
      <c r="BX270" s="644"/>
      <c r="BY270" s="644"/>
      <c r="BZ270" s="644"/>
      <c r="CA270" s="644"/>
      <c r="CB270" s="646">
        <f t="shared" si="89"/>
        <v>0</v>
      </c>
      <c r="CC270" s="646">
        <f t="shared" si="90"/>
        <v>0</v>
      </c>
      <c r="CD270" s="614"/>
    </row>
    <row r="271" spans="1:82" s="561" customFormat="1" ht="61.5" customHeight="1">
      <c r="A271" s="625" t="str">
        <f t="shared" si="72"/>
        <v>1112-140-FONT1112-04-01-0185-Planes y proyectos urbanos en ámbitos patrimoniales</v>
      </c>
      <c r="B271" s="626" t="str">
        <f t="shared" si="73"/>
        <v>1112-140-FONT1112-04-01-0185</v>
      </c>
      <c r="C271" s="626" t="str">
        <f t="shared" si="74"/>
        <v>1112-140-FONT1112-Planes y proyectos urbanos en ámbitos patrimoniales</v>
      </c>
      <c r="D271" s="626" t="str">
        <f t="shared" si="75"/>
        <v>1112-140-12-Otros Distrito-04-01-0185</v>
      </c>
      <c r="E271" s="626" t="str">
        <f t="shared" si="76"/>
        <v>Planes y proyectos urbanos en ámbitos patrimoniales-12-Otros Distrito-0185-Actividades de investigación para la valoración, protección, conservación, sostenibilidad y apropiación del Patrimonio Cultural</v>
      </c>
      <c r="F271" s="627">
        <v>222</v>
      </c>
      <c r="G271" s="628">
        <f t="shared" si="77"/>
        <v>222</v>
      </c>
      <c r="H271" s="629" t="b">
        <f t="shared" si="78"/>
        <v>0</v>
      </c>
      <c r="I271" s="630" t="s">
        <v>594</v>
      </c>
      <c r="J271" s="627" t="s">
        <v>179</v>
      </c>
      <c r="K271" s="631" t="str">
        <f>+IFERROR(VLOOKUP(J271,Listas!$A$108:$B$114,2,FALSE),"Alerta: Seleccione la celda en la comumna B con el nombre del proyecto")</f>
        <v>3-3-1-15-02-17-1112-140</v>
      </c>
      <c r="L271" s="632">
        <v>80111600</v>
      </c>
      <c r="M271" s="633" t="s">
        <v>820</v>
      </c>
      <c r="N271" s="634" t="str">
        <f t="shared" si="79"/>
        <v xml:space="preserve">(Cód. 222) Prestar servicios profesionales al Instituto Distrital de Patrimonio Cultural en el desarrollo de insumos urbano arquitectonicos para los planes, programas y proyectos del Instituto. </v>
      </c>
      <c r="O271" s="635">
        <v>43480</v>
      </c>
      <c r="P271" s="636">
        <f>IFERROR(VLOOKUP(W271,'Estimación CRP'!$D$21:$E$30,2,FALSE),0)</f>
        <v>10</v>
      </c>
      <c r="Q271" s="637">
        <f>IF(O271="No aplica","No aplica",WORKDAY.INTL(O271,P271,1,'Estimación CRP'!A457:A473))</f>
        <v>43494</v>
      </c>
      <c r="R271" s="636">
        <f t="shared" si="80"/>
        <v>1</v>
      </c>
      <c r="S271" s="636">
        <f t="shared" si="81"/>
        <v>1</v>
      </c>
      <c r="T271" s="636">
        <f t="shared" si="82"/>
        <v>1</v>
      </c>
      <c r="U271" s="712">
        <v>11</v>
      </c>
      <c r="V271" s="638">
        <v>1</v>
      </c>
      <c r="W271" s="639" t="s">
        <v>274</v>
      </c>
      <c r="X271" s="640" t="str">
        <f>IFERROR(VLOOKUP(W271,Listas!$A$60:$B$73,2,FALSE),"Alerta: Seleccione primero Modalidad de selección")</f>
        <v>CCE-16</v>
      </c>
      <c r="Y271" s="641">
        <v>0</v>
      </c>
      <c r="Z271" s="641" t="s">
        <v>346</v>
      </c>
      <c r="AA271" s="641" t="s">
        <v>1289</v>
      </c>
      <c r="AB271" s="642">
        <f t="shared" si="83"/>
        <v>49500000</v>
      </c>
      <c r="AC271" s="642">
        <f t="shared" si="84"/>
        <v>49500000</v>
      </c>
      <c r="AD271" s="641">
        <v>0</v>
      </c>
      <c r="AE271" s="643">
        <v>0</v>
      </c>
      <c r="AF271" s="639" t="s">
        <v>276</v>
      </c>
      <c r="AG271" s="639" t="s">
        <v>277</v>
      </c>
      <c r="AH271" s="639" t="s">
        <v>285</v>
      </c>
      <c r="AI271" s="626" t="str">
        <f>IFERROR(VLOOKUP(AH271,Listas!$A$77:$C$83,2,FALSE),"Alerta: Seleccione primero el responsable")</f>
        <v>3550800</v>
      </c>
      <c r="AJ271" s="640" t="str">
        <f>IFERROR(VLOOKUP(AH271,Listas!$A$77:$C$83,3,FALSE),"Alerta: Seleccione primero el responsable")</f>
        <v>maria.villamil@idpc.gov.co</v>
      </c>
      <c r="AK271" s="640" t="str">
        <f>IF(J271="Funcionamiento Gastos Generales","No aplica",IF(J271="Funcionamiento Servicios Personales indirectos","No aplica",IFERROR(VLOOKUP(J271,Listas!$A$127:$E$139,3,FALSE),"Alerta: Seleccione la celda en la comumna B con el nombre del proyecto")))</f>
        <v>ME20181112</v>
      </c>
      <c r="AL271" s="640" t="str">
        <f>IF(J271="Funcionamiento Gastos Generales","No aplica",IF(J271="Funcionamiento Servicios Personales","No aplica",IFERROR(VLOOKUP(J271,Listas!$A$220:$D$224,2,FALSE),"Alerta: Seleccione la celda en la comumna B con el nombre del proyecto")))</f>
        <v>COMP1112</v>
      </c>
      <c r="AM271" s="640" t="str">
        <f>IF(J271="Funcionamiento Gastos Generales","No aplica",IF(J271="Funcionamiento Servicios Personales","No aplica",IFERROR(VLOOKUP(J271,Listas!$A$220:$D$224,3,FALSE),"Alerta: Seleccione la celda en la comumna B con el nombre del proyecto")))</f>
        <v>CONC1112</v>
      </c>
      <c r="AN271" s="633" t="s">
        <v>1051</v>
      </c>
      <c r="AO271" s="633" t="s">
        <v>127</v>
      </c>
      <c r="AP271" s="634" t="str">
        <f>IFERROR(VLOOKUP(J271,Listas!$A$182:$E$215,5,FALSE),"Alerta: Seleccione la celda en la comumna B con el nombre del proyecto")</f>
        <v>15. Instrumentos técnicos de gestión para la preservación del patrimonio cultural</v>
      </c>
      <c r="AQ271" s="634" t="str">
        <f>IF(J271="Funcionamiento Gastos Generales","No aplica",IF(J271="Funcionamiento Servicios Personales","No aplica",IFERROR(VLOOKUP(J271,Listas!$A$220:$D$224,4,FALSE),"Alerta: Seleccione la celda en la comumna B con el nombre del proyecto")))</f>
        <v>FONT1112</v>
      </c>
      <c r="AR271" s="633" t="s">
        <v>198</v>
      </c>
      <c r="AS271" s="634" t="str">
        <f>IFERROR(VLOOKUP(AU271,Listas!$E$85:$L$105,7,FALSE),"Alerta: Seleccione la celda en la comumna AI con el concepto de gasto")</f>
        <v>04-INVESTIGACION Y ESTUDIOS</v>
      </c>
      <c r="AT271" s="634" t="str">
        <f>IFERROR(VLOOKUP(AU271,Listas!$E$85:$L$105,8,FALSE),"Alerta: Seleccione la celda en la comumna AI con el concepto de gasto")</f>
        <v>01-INVESTIGACIÓN BÁSICA APLICADA Y ESTUDIOS PROPIOS DEL SECTOR</v>
      </c>
      <c r="AU271" s="633" t="s">
        <v>201</v>
      </c>
      <c r="AV271" s="634">
        <f>IFERROR(VLOOKUP(AU271,Listas!$E$85:$F$105,2,FALSE),"Alerta: Seleccione el Concepto de Gasto primero")</f>
        <v>0</v>
      </c>
      <c r="AW271" s="644">
        <v>49500000</v>
      </c>
      <c r="AX271" s="645"/>
      <c r="AY271" s="645"/>
      <c r="AZ271" s="645"/>
      <c r="BA271" s="646">
        <f t="shared" si="85"/>
        <v>49500000</v>
      </c>
      <c r="BB271" s="647"/>
      <c r="BC271" s="648"/>
      <c r="BD271" s="649"/>
      <c r="BE271" s="647"/>
      <c r="BF271" s="644"/>
      <c r="BG271" s="646">
        <f t="shared" si="86"/>
        <v>49500000</v>
      </c>
      <c r="BH271" s="650"/>
      <c r="BI271" s="647"/>
      <c r="BJ271" s="644"/>
      <c r="BK271" s="646">
        <f t="shared" si="87"/>
        <v>0</v>
      </c>
      <c r="BL271" s="651"/>
      <c r="BM271" s="652">
        <f t="shared" si="88"/>
        <v>1</v>
      </c>
      <c r="BN271" s="628"/>
      <c r="BO271" s="670"/>
      <c r="BP271" s="644"/>
      <c r="BQ271" s="644"/>
      <c r="BR271" s="644"/>
      <c r="BS271" s="644"/>
      <c r="BT271" s="644"/>
      <c r="BU271" s="644"/>
      <c r="BV271" s="644"/>
      <c r="BW271" s="644"/>
      <c r="BX271" s="644"/>
      <c r="BY271" s="644"/>
      <c r="BZ271" s="644"/>
      <c r="CA271" s="644"/>
      <c r="CB271" s="646">
        <f t="shared" si="89"/>
        <v>0</v>
      </c>
      <c r="CC271" s="646">
        <f t="shared" si="90"/>
        <v>0</v>
      </c>
      <c r="CD271" s="614"/>
    </row>
    <row r="272" spans="1:82" s="561" customFormat="1" ht="61.5" customHeight="1">
      <c r="A272" s="625" t="str">
        <f t="shared" si="72"/>
        <v>1112-140-FONT1112-04-01-0185-Planes y proyectos urbanos en ámbitos patrimoniales</v>
      </c>
      <c r="B272" s="626" t="str">
        <f t="shared" si="73"/>
        <v>1112-140-FONT1112-04-01-0185</v>
      </c>
      <c r="C272" s="626" t="str">
        <f t="shared" si="74"/>
        <v>1112-140-FONT1112-Planes y proyectos urbanos en ámbitos patrimoniales</v>
      </c>
      <c r="D272" s="626" t="str">
        <f t="shared" si="75"/>
        <v>1112-140-12-Otros Distrito-04-01-0185</v>
      </c>
      <c r="E272" s="626" t="str">
        <f t="shared" si="76"/>
        <v>Planes y proyectos urbanos en ámbitos patrimoniales-12-Otros Distrito-0185-Actividades de investigación para la valoración, protección, conservación, sostenibilidad y apropiación del Patrimonio Cultural</v>
      </c>
      <c r="F272" s="627">
        <v>223</v>
      </c>
      <c r="G272" s="628">
        <f t="shared" si="77"/>
        <v>223</v>
      </c>
      <c r="H272" s="629" t="b">
        <f t="shared" si="78"/>
        <v>0</v>
      </c>
      <c r="I272" s="630" t="s">
        <v>594</v>
      </c>
      <c r="J272" s="627" t="s">
        <v>179</v>
      </c>
      <c r="K272" s="631" t="str">
        <f>+IFERROR(VLOOKUP(J272,Listas!$A$108:$B$114,2,FALSE),"Alerta: Seleccione la celda en la comumna B con el nombre del proyecto")</f>
        <v>3-3-1-15-02-17-1112-140</v>
      </c>
      <c r="L272" s="632">
        <v>80111600</v>
      </c>
      <c r="M272" s="633" t="s">
        <v>821</v>
      </c>
      <c r="N272" s="634" t="str">
        <f t="shared" si="79"/>
        <v xml:space="preserve">(Cód. 223) Prestar servicios profesionales al Instituto Distrital de Patrimonio Cultural en el elaborar de los productos relacionados con los programas, planes, proyectos e intervenciones integrales del Instituto. </v>
      </c>
      <c r="O272" s="635">
        <v>43489</v>
      </c>
      <c r="P272" s="636">
        <f>IFERROR(VLOOKUP(W272,'Estimación CRP'!$D$21:$E$30,2,FALSE),0)</f>
        <v>10</v>
      </c>
      <c r="Q272" s="637">
        <f>IF(O272="No aplica","No aplica",WORKDAY.INTL(O272,P272,1,'Estimación CRP'!A458:A474))</f>
        <v>43503</v>
      </c>
      <c r="R272" s="636">
        <f t="shared" si="80"/>
        <v>2</v>
      </c>
      <c r="S272" s="636">
        <f t="shared" si="81"/>
        <v>1</v>
      </c>
      <c r="T272" s="636">
        <f t="shared" si="82"/>
        <v>1</v>
      </c>
      <c r="U272" s="712">
        <v>11</v>
      </c>
      <c r="V272" s="638">
        <v>1</v>
      </c>
      <c r="W272" s="639" t="s">
        <v>274</v>
      </c>
      <c r="X272" s="640" t="str">
        <f>IFERROR(VLOOKUP(W272,Listas!$A$60:$B$73,2,FALSE),"Alerta: Seleccione primero Modalidad de selección")</f>
        <v>CCE-16</v>
      </c>
      <c r="Y272" s="641">
        <v>0</v>
      </c>
      <c r="Z272" s="641" t="s">
        <v>346</v>
      </c>
      <c r="AA272" s="641" t="s">
        <v>1289</v>
      </c>
      <c r="AB272" s="642">
        <f t="shared" si="83"/>
        <v>55000000</v>
      </c>
      <c r="AC272" s="642">
        <f t="shared" si="84"/>
        <v>55000000</v>
      </c>
      <c r="AD272" s="641">
        <v>0</v>
      </c>
      <c r="AE272" s="643">
        <v>0</v>
      </c>
      <c r="AF272" s="639" t="s">
        <v>276</v>
      </c>
      <c r="AG272" s="639" t="s">
        <v>277</v>
      </c>
      <c r="AH272" s="639" t="s">
        <v>285</v>
      </c>
      <c r="AI272" s="626" t="str">
        <f>IFERROR(VLOOKUP(AH272,Listas!$A$77:$C$83,2,FALSE),"Alerta: Seleccione primero el responsable")</f>
        <v>3550800</v>
      </c>
      <c r="AJ272" s="640" t="str">
        <f>IFERROR(VLOOKUP(AH272,Listas!$A$77:$C$83,3,FALSE),"Alerta: Seleccione primero el responsable")</f>
        <v>maria.villamil@idpc.gov.co</v>
      </c>
      <c r="AK272" s="640" t="str">
        <f>IF(J272="Funcionamiento Gastos Generales","No aplica",IF(J272="Funcionamiento Servicios Personales indirectos","No aplica",IFERROR(VLOOKUP(J272,Listas!$A$127:$E$139,3,FALSE),"Alerta: Seleccione la celda en la comumna B con el nombre del proyecto")))</f>
        <v>ME20181112</v>
      </c>
      <c r="AL272" s="640" t="str">
        <f>IF(J272="Funcionamiento Gastos Generales","No aplica",IF(J272="Funcionamiento Servicios Personales","No aplica",IFERROR(VLOOKUP(J272,Listas!$A$220:$D$224,2,FALSE),"Alerta: Seleccione la celda en la comumna B con el nombre del proyecto")))</f>
        <v>COMP1112</v>
      </c>
      <c r="AM272" s="640" t="str">
        <f>IF(J272="Funcionamiento Gastos Generales","No aplica",IF(J272="Funcionamiento Servicios Personales","No aplica",IFERROR(VLOOKUP(J272,Listas!$A$220:$D$224,3,FALSE),"Alerta: Seleccione la celda en la comumna B con el nombre del proyecto")))</f>
        <v>CONC1112</v>
      </c>
      <c r="AN272" s="633" t="s">
        <v>1050</v>
      </c>
      <c r="AO272" s="633" t="s">
        <v>127</v>
      </c>
      <c r="AP272" s="634" t="str">
        <f>IFERROR(VLOOKUP(J272,Listas!$A$182:$E$215,5,FALSE),"Alerta: Seleccione la celda en la comumna B con el nombre del proyecto")</f>
        <v>15. Instrumentos técnicos de gestión para la preservación del patrimonio cultural</v>
      </c>
      <c r="AQ272" s="634" t="str">
        <f>IF(J272="Funcionamiento Gastos Generales","No aplica",IF(J272="Funcionamiento Servicios Personales","No aplica",IFERROR(VLOOKUP(J272,Listas!$A$220:$D$224,4,FALSE),"Alerta: Seleccione la celda en la comumna B con el nombre del proyecto")))</f>
        <v>FONT1112</v>
      </c>
      <c r="AR272" s="633" t="s">
        <v>198</v>
      </c>
      <c r="AS272" s="634" t="str">
        <f>IFERROR(VLOOKUP(AU272,Listas!$E$85:$L$105,7,FALSE),"Alerta: Seleccione la celda en la comumna AI con el concepto de gasto")</f>
        <v>04-INVESTIGACION Y ESTUDIOS</v>
      </c>
      <c r="AT272" s="634" t="str">
        <f>IFERROR(VLOOKUP(AU272,Listas!$E$85:$L$105,8,FALSE),"Alerta: Seleccione la celda en la comumna AI con el concepto de gasto")</f>
        <v>01-INVESTIGACIÓN BÁSICA APLICADA Y ESTUDIOS PROPIOS DEL SECTOR</v>
      </c>
      <c r="AU272" s="633" t="s">
        <v>201</v>
      </c>
      <c r="AV272" s="634">
        <f>IFERROR(VLOOKUP(AU272,Listas!$E$85:$F$105,2,FALSE),"Alerta: Seleccione el Concepto de Gasto primero")</f>
        <v>0</v>
      </c>
      <c r="AW272" s="644">
        <v>55000000</v>
      </c>
      <c r="AX272" s="645"/>
      <c r="AY272" s="645"/>
      <c r="AZ272" s="645"/>
      <c r="BA272" s="646">
        <f t="shared" si="85"/>
        <v>55000000</v>
      </c>
      <c r="BB272" s="647"/>
      <c r="BC272" s="648"/>
      <c r="BD272" s="649"/>
      <c r="BE272" s="647"/>
      <c r="BF272" s="644"/>
      <c r="BG272" s="646">
        <f t="shared" si="86"/>
        <v>55000000</v>
      </c>
      <c r="BH272" s="650"/>
      <c r="BI272" s="647"/>
      <c r="BJ272" s="644"/>
      <c r="BK272" s="646">
        <f t="shared" si="87"/>
        <v>0</v>
      </c>
      <c r="BL272" s="651"/>
      <c r="BM272" s="652">
        <f t="shared" si="88"/>
        <v>1</v>
      </c>
      <c r="BN272" s="628"/>
      <c r="BO272" s="670"/>
      <c r="BP272" s="644"/>
      <c r="BQ272" s="644"/>
      <c r="BR272" s="644"/>
      <c r="BS272" s="644"/>
      <c r="BT272" s="644"/>
      <c r="BU272" s="644"/>
      <c r="BV272" s="644"/>
      <c r="BW272" s="644"/>
      <c r="BX272" s="644"/>
      <c r="BY272" s="644"/>
      <c r="BZ272" s="644"/>
      <c r="CA272" s="644"/>
      <c r="CB272" s="646">
        <f t="shared" si="89"/>
        <v>0</v>
      </c>
      <c r="CC272" s="646">
        <f t="shared" si="90"/>
        <v>0</v>
      </c>
      <c r="CD272" s="614"/>
    </row>
    <row r="273" spans="1:82" s="561" customFormat="1" ht="61.5" customHeight="1">
      <c r="A273" s="625" t="str">
        <f t="shared" si="72"/>
        <v>1112-140-FONT1112-04-01-0185-Plan especial de manejo y protección del centro histórico</v>
      </c>
      <c r="B273" s="626" t="str">
        <f t="shared" si="73"/>
        <v>1112-140-FONT1112-04-01-0185</v>
      </c>
      <c r="C273" s="626" t="str">
        <f t="shared" si="74"/>
        <v>1112-140-FONT1112-Plan especial de manejo y protección del centro histórico</v>
      </c>
      <c r="D273" s="626" t="str">
        <f t="shared" si="75"/>
        <v>1112-140-12-Otros Distrito-04-01-0185</v>
      </c>
      <c r="E273" s="626" t="str">
        <f t="shared" si="76"/>
        <v>Plan especial de manejo y protección del centro histórico-12-Otros Distrito-0185-Actividades de investigación para la valoración, protección, conservación, sostenibilidad y apropiación del Patrimonio Cultural</v>
      </c>
      <c r="F273" s="627">
        <v>224</v>
      </c>
      <c r="G273" s="628">
        <f t="shared" si="77"/>
        <v>224</v>
      </c>
      <c r="H273" s="629" t="b">
        <f t="shared" si="78"/>
        <v>0</v>
      </c>
      <c r="I273" s="630" t="s">
        <v>594</v>
      </c>
      <c r="J273" s="627" t="s">
        <v>179</v>
      </c>
      <c r="K273" s="631" t="str">
        <f>+IFERROR(VLOOKUP(J273,Listas!$A$108:$B$114,2,FALSE),"Alerta: Seleccione la celda en la comumna B con el nombre del proyecto")</f>
        <v>3-3-1-15-02-17-1112-140</v>
      </c>
      <c r="L273" s="632">
        <v>80111600</v>
      </c>
      <c r="M273" s="633" t="s">
        <v>822</v>
      </c>
      <c r="N273" s="634" t="str">
        <f t="shared" si="79"/>
        <v xml:space="preserve">(Cód. 224) Prestar servicios profesionales al Instituto Distrital de Patrimonio Cultural en la ejecución de las actividades de planimetría y montaje para la consolidación de la valoración e inventario de los bienes del patrimonio cultural inmueble del Plan Especial de Manejo y Protección- PEMP- del Centro Histórico de Bogotá D.C.  </v>
      </c>
      <c r="O273" s="635">
        <v>43480</v>
      </c>
      <c r="P273" s="636">
        <f>IFERROR(VLOOKUP(W273,'Estimación CRP'!$D$21:$E$30,2,FALSE),0)</f>
        <v>10</v>
      </c>
      <c r="Q273" s="637">
        <f>IF(O273="No aplica","No aplica",WORKDAY.INTL(O273,P273,1,'Estimación CRP'!A459:A475))</f>
        <v>43494</v>
      </c>
      <c r="R273" s="636">
        <f t="shared" si="80"/>
        <v>1</v>
      </c>
      <c r="S273" s="636">
        <f t="shared" si="81"/>
        <v>1</v>
      </c>
      <c r="T273" s="636">
        <f t="shared" si="82"/>
        <v>1</v>
      </c>
      <c r="U273" s="712">
        <v>3</v>
      </c>
      <c r="V273" s="638">
        <v>1</v>
      </c>
      <c r="W273" s="639" t="s">
        <v>274</v>
      </c>
      <c r="X273" s="640" t="str">
        <f>IFERROR(VLOOKUP(W273,Listas!$A$60:$B$73,2,FALSE),"Alerta: Seleccione primero Modalidad de selección")</f>
        <v>CCE-16</v>
      </c>
      <c r="Y273" s="641">
        <v>0</v>
      </c>
      <c r="Z273" s="641" t="s">
        <v>346</v>
      </c>
      <c r="AA273" s="641" t="s">
        <v>1290</v>
      </c>
      <c r="AB273" s="642">
        <f t="shared" si="83"/>
        <v>11100000</v>
      </c>
      <c r="AC273" s="642">
        <f t="shared" si="84"/>
        <v>11100000</v>
      </c>
      <c r="AD273" s="641">
        <v>0</v>
      </c>
      <c r="AE273" s="643">
        <v>0</v>
      </c>
      <c r="AF273" s="639" t="s">
        <v>276</v>
      </c>
      <c r="AG273" s="639" t="s">
        <v>277</v>
      </c>
      <c r="AH273" s="639" t="s">
        <v>285</v>
      </c>
      <c r="AI273" s="626" t="str">
        <f>IFERROR(VLOOKUP(AH273,Listas!$A$77:$C$83,2,FALSE),"Alerta: Seleccione primero el responsable")</f>
        <v>3550800</v>
      </c>
      <c r="AJ273" s="640" t="str">
        <f>IFERROR(VLOOKUP(AH273,Listas!$A$77:$C$83,3,FALSE),"Alerta: Seleccione primero el responsable")</f>
        <v>maria.villamil@idpc.gov.co</v>
      </c>
      <c r="AK273" s="640" t="str">
        <f>IF(J273="Funcionamiento Gastos Generales","No aplica",IF(J273="Funcionamiento Servicios Personales indirectos","No aplica",IFERROR(VLOOKUP(J273,Listas!$A$127:$E$139,3,FALSE),"Alerta: Seleccione la celda en la comumna B con el nombre del proyecto")))</f>
        <v>ME20181112</v>
      </c>
      <c r="AL273" s="640" t="str">
        <f>IF(J273="Funcionamiento Gastos Generales","No aplica",IF(J273="Funcionamiento Servicios Personales","No aplica",IFERROR(VLOOKUP(J273,Listas!$A$220:$D$224,2,FALSE),"Alerta: Seleccione la celda en la comumna B con el nombre del proyecto")))</f>
        <v>COMP1112</v>
      </c>
      <c r="AM273" s="640" t="str">
        <f>IF(J273="Funcionamiento Gastos Generales","No aplica",IF(J273="Funcionamiento Servicios Personales","No aplica",IFERROR(VLOOKUP(J273,Listas!$A$220:$D$224,3,FALSE),"Alerta: Seleccione la celda en la comumna B con el nombre del proyecto")))</f>
        <v>CONC1112</v>
      </c>
      <c r="AN273" s="633" t="s">
        <v>1050</v>
      </c>
      <c r="AO273" s="633" t="s">
        <v>126</v>
      </c>
      <c r="AP273" s="634" t="str">
        <f>IFERROR(VLOOKUP(J273,Listas!$A$182:$E$215,5,FALSE),"Alerta: Seleccione la celda en la comumna B con el nombre del proyecto")</f>
        <v>15. Instrumentos técnicos de gestión para la preservación del patrimonio cultural</v>
      </c>
      <c r="AQ273" s="634" t="str">
        <f>IF(J273="Funcionamiento Gastos Generales","No aplica",IF(J273="Funcionamiento Servicios Personales","No aplica",IFERROR(VLOOKUP(J273,Listas!$A$220:$D$224,4,FALSE),"Alerta: Seleccione la celda en la comumna B con el nombre del proyecto")))</f>
        <v>FONT1112</v>
      </c>
      <c r="AR273" s="633" t="s">
        <v>198</v>
      </c>
      <c r="AS273" s="634" t="str">
        <f>IFERROR(VLOOKUP(AU273,Listas!$E$85:$L$105,7,FALSE),"Alerta: Seleccione la celda en la comumna AI con el concepto de gasto")</f>
        <v>04-INVESTIGACION Y ESTUDIOS</v>
      </c>
      <c r="AT273" s="634" t="str">
        <f>IFERROR(VLOOKUP(AU273,Listas!$E$85:$L$105,8,FALSE),"Alerta: Seleccione la celda en la comumna AI con el concepto de gasto")</f>
        <v>01-INVESTIGACIÓN BÁSICA APLICADA Y ESTUDIOS PROPIOS DEL SECTOR</v>
      </c>
      <c r="AU273" s="633" t="s">
        <v>201</v>
      </c>
      <c r="AV273" s="634">
        <f>IFERROR(VLOOKUP(AU273,Listas!$E$85:$F$105,2,FALSE),"Alerta: Seleccione el Concepto de Gasto primero")</f>
        <v>0</v>
      </c>
      <c r="AW273" s="644">
        <v>11100000</v>
      </c>
      <c r="AX273" s="645"/>
      <c r="AY273" s="645"/>
      <c r="AZ273" s="645"/>
      <c r="BA273" s="646">
        <f t="shared" si="85"/>
        <v>11100000</v>
      </c>
      <c r="BB273" s="647"/>
      <c r="BC273" s="648"/>
      <c r="BD273" s="649"/>
      <c r="BE273" s="647"/>
      <c r="BF273" s="644"/>
      <c r="BG273" s="646">
        <f t="shared" si="86"/>
        <v>11100000</v>
      </c>
      <c r="BH273" s="650"/>
      <c r="BI273" s="647"/>
      <c r="BJ273" s="644"/>
      <c r="BK273" s="646">
        <f t="shared" si="87"/>
        <v>0</v>
      </c>
      <c r="BL273" s="651"/>
      <c r="BM273" s="652">
        <f t="shared" si="88"/>
        <v>1</v>
      </c>
      <c r="BN273" s="628"/>
      <c r="BO273" s="670"/>
      <c r="BP273" s="644"/>
      <c r="BQ273" s="644"/>
      <c r="BR273" s="644"/>
      <c r="BS273" s="644"/>
      <c r="BT273" s="644"/>
      <c r="BU273" s="644"/>
      <c r="BV273" s="644"/>
      <c r="BW273" s="644"/>
      <c r="BX273" s="644"/>
      <c r="BY273" s="644"/>
      <c r="BZ273" s="644"/>
      <c r="CA273" s="644"/>
      <c r="CB273" s="646">
        <f t="shared" si="89"/>
        <v>0</v>
      </c>
      <c r="CC273" s="646">
        <f t="shared" si="90"/>
        <v>0</v>
      </c>
      <c r="CD273" s="614"/>
    </row>
    <row r="274" spans="1:82" s="561" customFormat="1" ht="61.5" customHeight="1">
      <c r="A274" s="625" t="str">
        <f t="shared" si="72"/>
        <v>1112-140-FONT1112-04-01-0185-Plan especial de manejo y protección del centro histórico</v>
      </c>
      <c r="B274" s="626" t="str">
        <f t="shared" si="73"/>
        <v>1112-140-FONT1112-04-01-0185</v>
      </c>
      <c r="C274" s="626" t="str">
        <f t="shared" si="74"/>
        <v>1112-140-FONT1112-Plan especial de manejo y protección del centro histórico</v>
      </c>
      <c r="D274" s="626" t="str">
        <f t="shared" si="75"/>
        <v>1112-140-12-Otros Distrito-04-01-0185</v>
      </c>
      <c r="E274" s="626" t="str">
        <f t="shared" si="76"/>
        <v>Plan especial de manejo y protección del centro histórico-12-Otros Distrito-0185-Actividades de investigación para la valoración, protección, conservación, sostenibilidad y apropiación del Patrimonio Cultural</v>
      </c>
      <c r="F274" s="627">
        <v>225</v>
      </c>
      <c r="G274" s="628">
        <f t="shared" si="77"/>
        <v>225</v>
      </c>
      <c r="H274" s="629" t="b">
        <f t="shared" si="78"/>
        <v>0</v>
      </c>
      <c r="I274" s="630" t="s">
        <v>594</v>
      </c>
      <c r="J274" s="627" t="s">
        <v>179</v>
      </c>
      <c r="K274" s="631" t="str">
        <f>+IFERROR(VLOOKUP(J274,Listas!$A$108:$B$114,2,FALSE),"Alerta: Seleccione la celda en la comumna B con el nombre del proyecto")</f>
        <v>3-3-1-15-02-17-1112-140</v>
      </c>
      <c r="L274" s="632">
        <v>80111600</v>
      </c>
      <c r="M274" s="633" t="s">
        <v>823</v>
      </c>
      <c r="N274" s="634" t="str">
        <f t="shared" si="79"/>
        <v xml:space="preserve">(Cód. 225) Prestar servicios profesionales al Instituto Distrital de Patrimonio Cultural para ejecutar  insumos urbano-territoriales en la formulación de proyectos y del Plan Especial de Manejo y Protección -PEMP- del Centro Histórico de Bogotá D.C, a partir de la consolidación de la formulación del mismo. </v>
      </c>
      <c r="O274" s="635">
        <v>43480</v>
      </c>
      <c r="P274" s="636">
        <f>IFERROR(VLOOKUP(W274,'Estimación CRP'!$D$21:$E$30,2,FALSE),0)</f>
        <v>10</v>
      </c>
      <c r="Q274" s="637">
        <f>IF(O274="No aplica","No aplica",WORKDAY.INTL(O274,P274,1,'Estimación CRP'!A460:A476))</f>
        <v>43494</v>
      </c>
      <c r="R274" s="636">
        <f t="shared" si="80"/>
        <v>1</v>
      </c>
      <c r="S274" s="636">
        <f t="shared" si="81"/>
        <v>1</v>
      </c>
      <c r="T274" s="636">
        <f t="shared" si="82"/>
        <v>1</v>
      </c>
      <c r="U274" s="712">
        <v>11</v>
      </c>
      <c r="V274" s="638">
        <v>1</v>
      </c>
      <c r="W274" s="639" t="s">
        <v>274</v>
      </c>
      <c r="X274" s="640" t="str">
        <f>IFERROR(VLOOKUP(W274,Listas!$A$60:$B$73,2,FALSE),"Alerta: Seleccione primero Modalidad de selección")</f>
        <v>CCE-16</v>
      </c>
      <c r="Y274" s="641">
        <v>0</v>
      </c>
      <c r="Z274" s="641" t="s">
        <v>346</v>
      </c>
      <c r="AA274" s="641" t="s">
        <v>1291</v>
      </c>
      <c r="AB274" s="642">
        <f t="shared" si="83"/>
        <v>60940000</v>
      </c>
      <c r="AC274" s="642">
        <f t="shared" si="84"/>
        <v>60940000</v>
      </c>
      <c r="AD274" s="641">
        <v>0</v>
      </c>
      <c r="AE274" s="643">
        <v>0</v>
      </c>
      <c r="AF274" s="639" t="s">
        <v>276</v>
      </c>
      <c r="AG274" s="639" t="s">
        <v>277</v>
      </c>
      <c r="AH274" s="639" t="s">
        <v>285</v>
      </c>
      <c r="AI274" s="626" t="str">
        <f>IFERROR(VLOOKUP(AH274,Listas!$A$77:$C$83,2,FALSE),"Alerta: Seleccione primero el responsable")</f>
        <v>3550800</v>
      </c>
      <c r="AJ274" s="640" t="str">
        <f>IFERROR(VLOOKUP(AH274,Listas!$A$77:$C$83,3,FALSE),"Alerta: Seleccione primero el responsable")</f>
        <v>maria.villamil@idpc.gov.co</v>
      </c>
      <c r="AK274" s="640" t="str">
        <f>IF(J274="Funcionamiento Gastos Generales","No aplica",IF(J274="Funcionamiento Servicios Personales indirectos","No aplica",IFERROR(VLOOKUP(J274,Listas!$A$127:$E$139,3,FALSE),"Alerta: Seleccione la celda en la comumna B con el nombre del proyecto")))</f>
        <v>ME20181112</v>
      </c>
      <c r="AL274" s="640" t="str">
        <f>IF(J274="Funcionamiento Gastos Generales","No aplica",IF(J274="Funcionamiento Servicios Personales","No aplica",IFERROR(VLOOKUP(J274,Listas!$A$220:$D$224,2,FALSE),"Alerta: Seleccione la celda en la comumna B con el nombre del proyecto")))</f>
        <v>COMP1112</v>
      </c>
      <c r="AM274" s="640" t="str">
        <f>IF(J274="Funcionamiento Gastos Generales","No aplica",IF(J274="Funcionamiento Servicios Personales","No aplica",IFERROR(VLOOKUP(J274,Listas!$A$220:$D$224,3,FALSE),"Alerta: Seleccione la celda en la comumna B con el nombre del proyecto")))</f>
        <v>CONC1112</v>
      </c>
      <c r="AN274" s="633" t="s">
        <v>1050</v>
      </c>
      <c r="AO274" s="633" t="s">
        <v>126</v>
      </c>
      <c r="AP274" s="634" t="str">
        <f>IFERROR(VLOOKUP(J274,Listas!$A$182:$E$215,5,FALSE),"Alerta: Seleccione la celda en la comumna B con el nombre del proyecto")</f>
        <v>15. Instrumentos técnicos de gestión para la preservación del patrimonio cultural</v>
      </c>
      <c r="AQ274" s="634" t="str">
        <f>IF(J274="Funcionamiento Gastos Generales","No aplica",IF(J274="Funcionamiento Servicios Personales","No aplica",IFERROR(VLOOKUP(J274,Listas!$A$220:$D$224,4,FALSE),"Alerta: Seleccione la celda en la comumna B con el nombre del proyecto")))</f>
        <v>FONT1112</v>
      </c>
      <c r="AR274" s="633" t="s">
        <v>198</v>
      </c>
      <c r="AS274" s="634" t="str">
        <f>IFERROR(VLOOKUP(AU274,Listas!$E$85:$L$105,7,FALSE),"Alerta: Seleccione la celda en la comumna AI con el concepto de gasto")</f>
        <v>04-INVESTIGACION Y ESTUDIOS</v>
      </c>
      <c r="AT274" s="634" t="str">
        <f>IFERROR(VLOOKUP(AU274,Listas!$E$85:$L$105,8,FALSE),"Alerta: Seleccione la celda en la comumna AI con el concepto de gasto")</f>
        <v>01-INVESTIGACIÓN BÁSICA APLICADA Y ESTUDIOS PROPIOS DEL SECTOR</v>
      </c>
      <c r="AU274" s="633" t="s">
        <v>201</v>
      </c>
      <c r="AV274" s="634">
        <f>IFERROR(VLOOKUP(AU274,Listas!$E$85:$F$105,2,FALSE),"Alerta: Seleccione el Concepto de Gasto primero")</f>
        <v>0</v>
      </c>
      <c r="AW274" s="644">
        <v>60940000</v>
      </c>
      <c r="AX274" s="645"/>
      <c r="AY274" s="645"/>
      <c r="AZ274" s="645"/>
      <c r="BA274" s="646">
        <f t="shared" si="85"/>
        <v>60940000</v>
      </c>
      <c r="BB274" s="647"/>
      <c r="BC274" s="648"/>
      <c r="BD274" s="649"/>
      <c r="BE274" s="647"/>
      <c r="BF274" s="644"/>
      <c r="BG274" s="646">
        <f t="shared" si="86"/>
        <v>60940000</v>
      </c>
      <c r="BH274" s="650"/>
      <c r="BI274" s="647"/>
      <c r="BJ274" s="644"/>
      <c r="BK274" s="646">
        <f t="shared" si="87"/>
        <v>0</v>
      </c>
      <c r="BL274" s="651"/>
      <c r="BM274" s="652">
        <f t="shared" si="88"/>
        <v>1</v>
      </c>
      <c r="BN274" s="628"/>
      <c r="BO274" s="670"/>
      <c r="BP274" s="644"/>
      <c r="BQ274" s="644"/>
      <c r="BR274" s="644"/>
      <c r="BS274" s="644"/>
      <c r="BT274" s="644"/>
      <c r="BU274" s="644"/>
      <c r="BV274" s="644"/>
      <c r="BW274" s="644"/>
      <c r="BX274" s="644"/>
      <c r="BY274" s="644"/>
      <c r="BZ274" s="644"/>
      <c r="CA274" s="644"/>
      <c r="CB274" s="646">
        <f t="shared" si="89"/>
        <v>0</v>
      </c>
      <c r="CC274" s="646">
        <f t="shared" si="90"/>
        <v>0</v>
      </c>
      <c r="CD274" s="614"/>
    </row>
    <row r="275" spans="1:82" s="561" customFormat="1" ht="61.5" customHeight="1">
      <c r="A275" s="625" t="str">
        <f t="shared" si="72"/>
        <v>1112-140-FONT1112-04-01-0185-Planes y proyectos urbanos en ámbitos patrimoniales</v>
      </c>
      <c r="B275" s="626" t="str">
        <f t="shared" si="73"/>
        <v>1112-140-FONT1112-04-01-0185</v>
      </c>
      <c r="C275" s="626" t="str">
        <f t="shared" si="74"/>
        <v>1112-140-FONT1112-Planes y proyectos urbanos en ámbitos patrimoniales</v>
      </c>
      <c r="D275" s="626" t="str">
        <f t="shared" si="75"/>
        <v>1112-140-12-Otros Distrito-04-01-0185</v>
      </c>
      <c r="E275" s="626" t="str">
        <f t="shared" si="76"/>
        <v>Planes y proyectos urbanos en ámbitos patrimoniales-12-Otros Distrito-0185-Actividades de investigación para la valoración, protección, conservación, sostenibilidad y apropiación del Patrimonio Cultural</v>
      </c>
      <c r="F275" s="627">
        <v>226</v>
      </c>
      <c r="G275" s="628">
        <f t="shared" si="77"/>
        <v>226</v>
      </c>
      <c r="H275" s="629" t="b">
        <f t="shared" si="78"/>
        <v>0</v>
      </c>
      <c r="I275" s="630" t="s">
        <v>594</v>
      </c>
      <c r="J275" s="627" t="s">
        <v>179</v>
      </c>
      <c r="K275" s="631" t="str">
        <f>+IFERROR(VLOOKUP(J275,Listas!$A$108:$B$114,2,FALSE),"Alerta: Seleccione la celda en la comumna B con el nombre del proyecto")</f>
        <v>3-3-1-15-02-17-1112-140</v>
      </c>
      <c r="L275" s="632">
        <v>80111600</v>
      </c>
      <c r="M275" s="633" t="s">
        <v>824</v>
      </c>
      <c r="N275" s="634" t="str">
        <f t="shared" si="79"/>
        <v xml:space="preserve">(Cód. 226) Prestar servicios profesionales al Instituto Distrital de Patrimonio Cultural  para formular y desarrollar insumos relacionados con la gestión de los programas, planes, proyectos e intervenciones integrales del Instituto. </v>
      </c>
      <c r="O275" s="635">
        <v>43480</v>
      </c>
      <c r="P275" s="636">
        <f>IFERROR(VLOOKUP(W275,'Estimación CRP'!$D$21:$E$30,2,FALSE),0)</f>
        <v>10</v>
      </c>
      <c r="Q275" s="637">
        <f>IF(O275="No aplica","No aplica",WORKDAY.INTL(O275,P275,1,'Estimación CRP'!A461:A477))</f>
        <v>43494</v>
      </c>
      <c r="R275" s="636">
        <f t="shared" si="80"/>
        <v>1</v>
      </c>
      <c r="S275" s="636">
        <f t="shared" si="81"/>
        <v>1</v>
      </c>
      <c r="T275" s="636">
        <f t="shared" si="82"/>
        <v>1</v>
      </c>
      <c r="U275" s="712">
        <v>11</v>
      </c>
      <c r="V275" s="638">
        <v>1</v>
      </c>
      <c r="W275" s="639" t="s">
        <v>274</v>
      </c>
      <c r="X275" s="640" t="str">
        <f>IFERROR(VLOOKUP(W275,Listas!$A$60:$B$73,2,FALSE),"Alerta: Seleccione primero Modalidad de selección")</f>
        <v>CCE-16</v>
      </c>
      <c r="Y275" s="641">
        <v>0</v>
      </c>
      <c r="Z275" s="641" t="s">
        <v>346</v>
      </c>
      <c r="AA275" s="641" t="s">
        <v>1292</v>
      </c>
      <c r="AB275" s="642">
        <f t="shared" si="83"/>
        <v>88000000</v>
      </c>
      <c r="AC275" s="642">
        <f t="shared" si="84"/>
        <v>88000000</v>
      </c>
      <c r="AD275" s="641">
        <v>0</v>
      </c>
      <c r="AE275" s="643">
        <v>0</v>
      </c>
      <c r="AF275" s="639" t="s">
        <v>276</v>
      </c>
      <c r="AG275" s="639" t="s">
        <v>277</v>
      </c>
      <c r="AH275" s="639" t="s">
        <v>285</v>
      </c>
      <c r="AI275" s="626" t="str">
        <f>IFERROR(VLOOKUP(AH275,Listas!$A$77:$C$83,2,FALSE),"Alerta: Seleccione primero el responsable")</f>
        <v>3550800</v>
      </c>
      <c r="AJ275" s="640" t="str">
        <f>IFERROR(VLOOKUP(AH275,Listas!$A$77:$C$83,3,FALSE),"Alerta: Seleccione primero el responsable")</f>
        <v>maria.villamil@idpc.gov.co</v>
      </c>
      <c r="AK275" s="640" t="str">
        <f>IF(J275="Funcionamiento Gastos Generales","No aplica",IF(J275="Funcionamiento Servicios Personales indirectos","No aplica",IFERROR(VLOOKUP(J275,Listas!$A$127:$E$139,3,FALSE),"Alerta: Seleccione la celda en la comumna B con el nombre del proyecto")))</f>
        <v>ME20181112</v>
      </c>
      <c r="AL275" s="640" t="str">
        <f>IF(J275="Funcionamiento Gastos Generales","No aplica",IF(J275="Funcionamiento Servicios Personales","No aplica",IFERROR(VLOOKUP(J275,Listas!$A$220:$D$224,2,FALSE),"Alerta: Seleccione la celda en la comumna B con el nombre del proyecto")))</f>
        <v>COMP1112</v>
      </c>
      <c r="AM275" s="640" t="str">
        <f>IF(J275="Funcionamiento Gastos Generales","No aplica",IF(J275="Funcionamiento Servicios Personales","No aplica",IFERROR(VLOOKUP(J275,Listas!$A$220:$D$224,3,FALSE),"Alerta: Seleccione la celda en la comumna B con el nombre del proyecto")))</f>
        <v>CONC1112</v>
      </c>
      <c r="AN275" s="633" t="s">
        <v>1050</v>
      </c>
      <c r="AO275" s="633" t="s">
        <v>127</v>
      </c>
      <c r="AP275" s="634" t="str">
        <f>IFERROR(VLOOKUP(J275,Listas!$A$182:$E$215,5,FALSE),"Alerta: Seleccione la celda en la comumna B con el nombre del proyecto")</f>
        <v>15. Instrumentos técnicos de gestión para la preservación del patrimonio cultural</v>
      </c>
      <c r="AQ275" s="634" t="str">
        <f>IF(J275="Funcionamiento Gastos Generales","No aplica",IF(J275="Funcionamiento Servicios Personales","No aplica",IFERROR(VLOOKUP(J275,Listas!$A$220:$D$224,4,FALSE),"Alerta: Seleccione la celda en la comumna B con el nombre del proyecto")))</f>
        <v>FONT1112</v>
      </c>
      <c r="AR275" s="633" t="s">
        <v>198</v>
      </c>
      <c r="AS275" s="634" t="str">
        <f>IFERROR(VLOOKUP(AU275,Listas!$E$85:$L$105,7,FALSE),"Alerta: Seleccione la celda en la comumna AI con el concepto de gasto")</f>
        <v>04-INVESTIGACION Y ESTUDIOS</v>
      </c>
      <c r="AT275" s="634" t="str">
        <f>IFERROR(VLOOKUP(AU275,Listas!$E$85:$L$105,8,FALSE),"Alerta: Seleccione la celda en la comumna AI con el concepto de gasto")</f>
        <v>01-INVESTIGACIÓN BÁSICA APLICADA Y ESTUDIOS PROPIOS DEL SECTOR</v>
      </c>
      <c r="AU275" s="633" t="s">
        <v>201</v>
      </c>
      <c r="AV275" s="634">
        <f>IFERROR(VLOOKUP(AU275,Listas!$E$85:$F$105,2,FALSE),"Alerta: Seleccione el Concepto de Gasto primero")</f>
        <v>0</v>
      </c>
      <c r="AW275" s="644">
        <v>88000000</v>
      </c>
      <c r="AX275" s="645"/>
      <c r="AY275" s="645"/>
      <c r="AZ275" s="645"/>
      <c r="BA275" s="646">
        <f t="shared" si="85"/>
        <v>88000000</v>
      </c>
      <c r="BB275" s="647"/>
      <c r="BC275" s="648"/>
      <c r="BD275" s="649"/>
      <c r="BE275" s="647"/>
      <c r="BF275" s="644"/>
      <c r="BG275" s="646">
        <f t="shared" si="86"/>
        <v>88000000</v>
      </c>
      <c r="BH275" s="650"/>
      <c r="BI275" s="647"/>
      <c r="BJ275" s="644"/>
      <c r="BK275" s="646">
        <f t="shared" si="87"/>
        <v>0</v>
      </c>
      <c r="BL275" s="651"/>
      <c r="BM275" s="652">
        <f t="shared" si="88"/>
        <v>1</v>
      </c>
      <c r="BN275" s="628"/>
      <c r="BO275" s="670"/>
      <c r="BP275" s="644"/>
      <c r="BQ275" s="644"/>
      <c r="BR275" s="644"/>
      <c r="BS275" s="644"/>
      <c r="BT275" s="644"/>
      <c r="BU275" s="644"/>
      <c r="BV275" s="644"/>
      <c r="BW275" s="644"/>
      <c r="BX275" s="644"/>
      <c r="BY275" s="644"/>
      <c r="BZ275" s="644"/>
      <c r="CA275" s="644"/>
      <c r="CB275" s="646">
        <f t="shared" si="89"/>
        <v>0</v>
      </c>
      <c r="CC275" s="646">
        <f t="shared" si="90"/>
        <v>0</v>
      </c>
      <c r="CD275" s="614"/>
    </row>
    <row r="276" spans="1:82" s="561" customFormat="1" ht="61.5" customHeight="1">
      <c r="A276" s="625" t="str">
        <f t="shared" si="72"/>
        <v>1112-140-FONT1112-04-01-0185-Plan especial de manejo y protección del centro histórico</v>
      </c>
      <c r="B276" s="626" t="str">
        <f t="shared" si="73"/>
        <v>1112-140-FONT1112-04-01-0185</v>
      </c>
      <c r="C276" s="626" t="str">
        <f t="shared" si="74"/>
        <v>1112-140-FONT1112-Plan especial de manejo y protección del centro histórico</v>
      </c>
      <c r="D276" s="626" t="str">
        <f t="shared" si="75"/>
        <v>1112-140-12-Otros Distrito-04-01-0185</v>
      </c>
      <c r="E276" s="626" t="str">
        <f t="shared" si="76"/>
        <v>Plan especial de manejo y protección del centro histórico-12-Otros Distrito-0185-Actividades de investigación para la valoración, protección, conservación, sostenibilidad y apropiación del Patrimonio Cultural</v>
      </c>
      <c r="F276" s="627">
        <v>227</v>
      </c>
      <c r="G276" s="628">
        <f t="shared" si="77"/>
        <v>227</v>
      </c>
      <c r="H276" s="629" t="b">
        <f t="shared" si="78"/>
        <v>0</v>
      </c>
      <c r="I276" s="630" t="s">
        <v>594</v>
      </c>
      <c r="J276" s="627" t="s">
        <v>179</v>
      </c>
      <c r="K276" s="631" t="str">
        <f>+IFERROR(VLOOKUP(J276,Listas!$A$108:$B$114,2,FALSE),"Alerta: Seleccione la celda en la comumna B con el nombre del proyecto")</f>
        <v>3-3-1-15-02-17-1112-140</v>
      </c>
      <c r="L276" s="632">
        <v>80111600</v>
      </c>
      <c r="M276" s="633" t="s">
        <v>825</v>
      </c>
      <c r="N276" s="634" t="str">
        <f t="shared" si="79"/>
        <v>(Cód. 227) Prestar servicios profesionales al Instituto Distrital de Patrimonio Cultural en la revisión, verificación y consolidación de la información fotográfica como insumo para las fichas del inventario- valoración y normativa del patrimonio cultural inmueble del Plan Especial de Manejo y protección –PEMP- del Centro Histórico de Bogotá D.C.</v>
      </c>
      <c r="O276" s="635">
        <v>43480</v>
      </c>
      <c r="P276" s="636">
        <f>IFERROR(VLOOKUP(W276,'Estimación CRP'!$D$21:$E$30,2,FALSE),0)</f>
        <v>10</v>
      </c>
      <c r="Q276" s="637">
        <f>IF(O276="No aplica","No aplica",WORKDAY.INTL(O276,P276,1,'Estimación CRP'!A462:A478))</f>
        <v>43494</v>
      </c>
      <c r="R276" s="636">
        <f t="shared" si="80"/>
        <v>1</v>
      </c>
      <c r="S276" s="636">
        <f t="shared" si="81"/>
        <v>1</v>
      </c>
      <c r="T276" s="636">
        <f t="shared" si="82"/>
        <v>1</v>
      </c>
      <c r="U276" s="712">
        <v>4</v>
      </c>
      <c r="V276" s="638">
        <v>1</v>
      </c>
      <c r="W276" s="639" t="s">
        <v>274</v>
      </c>
      <c r="X276" s="640" t="str">
        <f>IFERROR(VLOOKUP(W276,Listas!$A$60:$B$73,2,FALSE),"Alerta: Seleccione primero Modalidad de selección")</f>
        <v>CCE-16</v>
      </c>
      <c r="Y276" s="641">
        <v>0</v>
      </c>
      <c r="Z276" s="641" t="s">
        <v>346</v>
      </c>
      <c r="AA276" s="641" t="s">
        <v>1293</v>
      </c>
      <c r="AB276" s="642">
        <f t="shared" si="83"/>
        <v>22000000</v>
      </c>
      <c r="AC276" s="642">
        <f t="shared" si="84"/>
        <v>22000000</v>
      </c>
      <c r="AD276" s="641">
        <v>0</v>
      </c>
      <c r="AE276" s="643">
        <v>0</v>
      </c>
      <c r="AF276" s="639" t="s">
        <v>276</v>
      </c>
      <c r="AG276" s="639" t="s">
        <v>277</v>
      </c>
      <c r="AH276" s="639" t="s">
        <v>285</v>
      </c>
      <c r="AI276" s="626" t="str">
        <f>IFERROR(VLOOKUP(AH276,Listas!$A$77:$C$83,2,FALSE),"Alerta: Seleccione primero el responsable")</f>
        <v>3550800</v>
      </c>
      <c r="AJ276" s="640" t="str">
        <f>IFERROR(VLOOKUP(AH276,Listas!$A$77:$C$83,3,FALSE),"Alerta: Seleccione primero el responsable")</f>
        <v>maria.villamil@idpc.gov.co</v>
      </c>
      <c r="AK276" s="640" t="str">
        <f>IF(J276="Funcionamiento Gastos Generales","No aplica",IF(J276="Funcionamiento Servicios Personales indirectos","No aplica",IFERROR(VLOOKUP(J276,Listas!$A$127:$E$139,3,FALSE),"Alerta: Seleccione la celda en la comumna B con el nombre del proyecto")))</f>
        <v>ME20181112</v>
      </c>
      <c r="AL276" s="640" t="str">
        <f>IF(J276="Funcionamiento Gastos Generales","No aplica",IF(J276="Funcionamiento Servicios Personales","No aplica",IFERROR(VLOOKUP(J276,Listas!$A$220:$D$224,2,FALSE),"Alerta: Seleccione la celda en la comumna B con el nombre del proyecto")))</f>
        <v>COMP1112</v>
      </c>
      <c r="AM276" s="640" t="str">
        <f>IF(J276="Funcionamiento Gastos Generales","No aplica",IF(J276="Funcionamiento Servicios Personales","No aplica",IFERROR(VLOOKUP(J276,Listas!$A$220:$D$224,3,FALSE),"Alerta: Seleccione la celda en la comumna B con el nombre del proyecto")))</f>
        <v>CONC1112</v>
      </c>
      <c r="AN276" s="633" t="s">
        <v>1050</v>
      </c>
      <c r="AO276" s="633" t="s">
        <v>126</v>
      </c>
      <c r="AP276" s="634" t="str">
        <f>IFERROR(VLOOKUP(J276,Listas!$A$182:$E$215,5,FALSE),"Alerta: Seleccione la celda en la comumna B con el nombre del proyecto")</f>
        <v>15. Instrumentos técnicos de gestión para la preservación del patrimonio cultural</v>
      </c>
      <c r="AQ276" s="634" t="str">
        <f>IF(J276="Funcionamiento Gastos Generales","No aplica",IF(J276="Funcionamiento Servicios Personales","No aplica",IFERROR(VLOOKUP(J276,Listas!$A$220:$D$224,4,FALSE),"Alerta: Seleccione la celda en la comumna B con el nombre del proyecto")))</f>
        <v>FONT1112</v>
      </c>
      <c r="AR276" s="633" t="s">
        <v>198</v>
      </c>
      <c r="AS276" s="634" t="str">
        <f>IFERROR(VLOOKUP(AU276,Listas!$E$85:$L$105,7,FALSE),"Alerta: Seleccione la celda en la comumna AI con el concepto de gasto")</f>
        <v>04-INVESTIGACION Y ESTUDIOS</v>
      </c>
      <c r="AT276" s="634" t="str">
        <f>IFERROR(VLOOKUP(AU276,Listas!$E$85:$L$105,8,FALSE),"Alerta: Seleccione la celda en la comumna AI con el concepto de gasto")</f>
        <v>01-INVESTIGACIÓN BÁSICA APLICADA Y ESTUDIOS PROPIOS DEL SECTOR</v>
      </c>
      <c r="AU276" s="633" t="s">
        <v>201</v>
      </c>
      <c r="AV276" s="634">
        <f>IFERROR(VLOOKUP(AU276,Listas!$E$85:$F$105,2,FALSE),"Alerta: Seleccione el Concepto de Gasto primero")</f>
        <v>0</v>
      </c>
      <c r="AW276" s="644">
        <v>22000000</v>
      </c>
      <c r="AX276" s="645"/>
      <c r="AY276" s="645"/>
      <c r="AZ276" s="645"/>
      <c r="BA276" s="646">
        <f t="shared" si="85"/>
        <v>22000000</v>
      </c>
      <c r="BB276" s="647"/>
      <c r="BC276" s="648"/>
      <c r="BD276" s="649"/>
      <c r="BE276" s="647"/>
      <c r="BF276" s="644"/>
      <c r="BG276" s="646">
        <f t="shared" si="86"/>
        <v>22000000</v>
      </c>
      <c r="BH276" s="650"/>
      <c r="BI276" s="647"/>
      <c r="BJ276" s="644"/>
      <c r="BK276" s="646">
        <f t="shared" si="87"/>
        <v>0</v>
      </c>
      <c r="BL276" s="651"/>
      <c r="BM276" s="652">
        <f t="shared" si="88"/>
        <v>1</v>
      </c>
      <c r="BN276" s="628"/>
      <c r="BO276" s="670"/>
      <c r="BP276" s="644"/>
      <c r="BQ276" s="644"/>
      <c r="BR276" s="644"/>
      <c r="BS276" s="644"/>
      <c r="BT276" s="644"/>
      <c r="BU276" s="644"/>
      <c r="BV276" s="644"/>
      <c r="BW276" s="644"/>
      <c r="BX276" s="644"/>
      <c r="BY276" s="644"/>
      <c r="BZ276" s="644"/>
      <c r="CA276" s="644"/>
      <c r="CB276" s="646">
        <f t="shared" si="89"/>
        <v>0</v>
      </c>
      <c r="CC276" s="646">
        <f t="shared" si="90"/>
        <v>0</v>
      </c>
      <c r="CD276" s="614"/>
    </row>
    <row r="277" spans="1:82" s="561" customFormat="1" ht="61.5" customHeight="1">
      <c r="A277" s="625" t="str">
        <f t="shared" si="72"/>
        <v>1112-140-FONT1112-04-01-0185-Plan especial de manejo y protección del centro histórico</v>
      </c>
      <c r="B277" s="626" t="str">
        <f t="shared" si="73"/>
        <v>1112-140-FONT1112-04-01-0185</v>
      </c>
      <c r="C277" s="626" t="str">
        <f t="shared" si="74"/>
        <v>1112-140-FONT1112-Plan especial de manejo y protección del centro histórico</v>
      </c>
      <c r="D277" s="626" t="str">
        <f t="shared" si="75"/>
        <v>1112-140-12-Otros Distrito-04-01-0185</v>
      </c>
      <c r="E277" s="626" t="str">
        <f t="shared" si="76"/>
        <v>Plan especial de manejo y protección del centro histórico-12-Otros Distrito-0185-Actividades de investigación para la valoración, protección, conservación, sostenibilidad y apropiación del Patrimonio Cultural</v>
      </c>
      <c r="F277" s="627">
        <v>228</v>
      </c>
      <c r="G277" s="628">
        <f t="shared" si="77"/>
        <v>228</v>
      </c>
      <c r="H277" s="629" t="b">
        <f t="shared" si="78"/>
        <v>0</v>
      </c>
      <c r="I277" s="630" t="s">
        <v>594</v>
      </c>
      <c r="J277" s="627" t="s">
        <v>179</v>
      </c>
      <c r="K277" s="631" t="str">
        <f>+IFERROR(VLOOKUP(J277,Listas!$A$108:$B$114,2,FALSE),"Alerta: Seleccione la celda en la comumna B con el nombre del proyecto")</f>
        <v>3-3-1-15-02-17-1112-140</v>
      </c>
      <c r="L277" s="632">
        <v>80111600</v>
      </c>
      <c r="M277" s="633" t="s">
        <v>826</v>
      </c>
      <c r="N277" s="634" t="str">
        <f t="shared" si="79"/>
        <v>(Cód. 228) Prestar servicios profesionales al Instituto Distrital de Patrimonio Cultural para adelantar la modelación de escenarios de accesibilidad y movilidad para planes y proyectos del Instituto.</v>
      </c>
      <c r="O277" s="635">
        <v>43527</v>
      </c>
      <c r="P277" s="636">
        <f>IFERROR(VLOOKUP(W277,'Estimación CRP'!$D$21:$E$30,2,FALSE),0)</f>
        <v>10</v>
      </c>
      <c r="Q277" s="637">
        <f>IF(O277="No aplica","No aplica",WORKDAY.INTL(O277,P277,1,'Estimación CRP'!A463:A479))</f>
        <v>43539</v>
      </c>
      <c r="R277" s="636">
        <f t="shared" si="80"/>
        <v>3</v>
      </c>
      <c r="S277" s="636">
        <f t="shared" si="81"/>
        <v>3</v>
      </c>
      <c r="T277" s="636">
        <f t="shared" si="82"/>
        <v>3</v>
      </c>
      <c r="U277" s="712">
        <v>8</v>
      </c>
      <c r="V277" s="638">
        <v>1</v>
      </c>
      <c r="W277" s="639" t="s">
        <v>274</v>
      </c>
      <c r="X277" s="640" t="str">
        <f>IFERROR(VLOOKUP(W277,Listas!$A$60:$B$73,2,FALSE),"Alerta: Seleccione primero Modalidad de selección")</f>
        <v>CCE-16</v>
      </c>
      <c r="Y277" s="641">
        <v>0</v>
      </c>
      <c r="Z277" s="641" t="s">
        <v>346</v>
      </c>
      <c r="AA277" s="641" t="s">
        <v>1294</v>
      </c>
      <c r="AB277" s="642">
        <f t="shared" si="83"/>
        <v>60550000</v>
      </c>
      <c r="AC277" s="642">
        <f t="shared" si="84"/>
        <v>60550000</v>
      </c>
      <c r="AD277" s="641">
        <v>0</v>
      </c>
      <c r="AE277" s="643">
        <v>0</v>
      </c>
      <c r="AF277" s="639" t="s">
        <v>276</v>
      </c>
      <c r="AG277" s="639" t="s">
        <v>277</v>
      </c>
      <c r="AH277" s="639" t="s">
        <v>285</v>
      </c>
      <c r="AI277" s="626" t="str">
        <f>IFERROR(VLOOKUP(AH277,Listas!$A$77:$C$83,2,FALSE),"Alerta: Seleccione primero el responsable")</f>
        <v>3550800</v>
      </c>
      <c r="AJ277" s="640" t="str">
        <f>IFERROR(VLOOKUP(AH277,Listas!$A$77:$C$83,3,FALSE),"Alerta: Seleccione primero el responsable")</f>
        <v>maria.villamil@idpc.gov.co</v>
      </c>
      <c r="AK277" s="640" t="str">
        <f>IF(J277="Funcionamiento Gastos Generales","No aplica",IF(J277="Funcionamiento Servicios Personales indirectos","No aplica",IFERROR(VLOOKUP(J277,Listas!$A$127:$E$139,3,FALSE),"Alerta: Seleccione la celda en la comumna B con el nombre del proyecto")))</f>
        <v>ME20181112</v>
      </c>
      <c r="AL277" s="640" t="str">
        <f>IF(J277="Funcionamiento Gastos Generales","No aplica",IF(J277="Funcionamiento Servicios Personales","No aplica",IFERROR(VLOOKUP(J277,Listas!$A$220:$D$224,2,FALSE),"Alerta: Seleccione la celda en la comumna B con el nombre del proyecto")))</f>
        <v>COMP1112</v>
      </c>
      <c r="AM277" s="640" t="str">
        <f>IF(J277="Funcionamiento Gastos Generales","No aplica",IF(J277="Funcionamiento Servicios Personales","No aplica",IFERROR(VLOOKUP(J277,Listas!$A$220:$D$224,3,FALSE),"Alerta: Seleccione la celda en la comumna B con el nombre del proyecto")))</f>
        <v>CONC1112</v>
      </c>
      <c r="AN277" s="633" t="s">
        <v>1050</v>
      </c>
      <c r="AO277" s="633" t="s">
        <v>126</v>
      </c>
      <c r="AP277" s="634" t="str">
        <f>IFERROR(VLOOKUP(J277,Listas!$A$182:$E$215,5,FALSE),"Alerta: Seleccione la celda en la comumna B con el nombre del proyecto")</f>
        <v>15. Instrumentos técnicos de gestión para la preservación del patrimonio cultural</v>
      </c>
      <c r="AQ277" s="634" t="str">
        <f>IF(J277="Funcionamiento Gastos Generales","No aplica",IF(J277="Funcionamiento Servicios Personales","No aplica",IFERROR(VLOOKUP(J277,Listas!$A$220:$D$224,4,FALSE),"Alerta: Seleccione la celda en la comumna B con el nombre del proyecto")))</f>
        <v>FONT1112</v>
      </c>
      <c r="AR277" s="633" t="s">
        <v>198</v>
      </c>
      <c r="AS277" s="634" t="str">
        <f>IFERROR(VLOOKUP(AU277,Listas!$E$85:$L$105,7,FALSE),"Alerta: Seleccione la celda en la comumna AI con el concepto de gasto")</f>
        <v>04-INVESTIGACION Y ESTUDIOS</v>
      </c>
      <c r="AT277" s="634" t="str">
        <f>IFERROR(VLOOKUP(AU277,Listas!$E$85:$L$105,8,FALSE),"Alerta: Seleccione la celda en la comumna AI con el concepto de gasto")</f>
        <v>01-INVESTIGACIÓN BÁSICA APLICADA Y ESTUDIOS PROPIOS DEL SECTOR</v>
      </c>
      <c r="AU277" s="633" t="s">
        <v>201</v>
      </c>
      <c r="AV277" s="634">
        <f>IFERROR(VLOOKUP(AU277,Listas!$E$85:$F$105,2,FALSE),"Alerta: Seleccione el Concepto de Gasto primero")</f>
        <v>0</v>
      </c>
      <c r="AW277" s="644">
        <v>60550000</v>
      </c>
      <c r="AX277" s="645"/>
      <c r="AY277" s="645"/>
      <c r="AZ277" s="645"/>
      <c r="BA277" s="646">
        <f t="shared" si="85"/>
        <v>60550000</v>
      </c>
      <c r="BB277" s="647"/>
      <c r="BC277" s="648"/>
      <c r="BD277" s="649"/>
      <c r="BE277" s="647"/>
      <c r="BF277" s="644"/>
      <c r="BG277" s="646">
        <f t="shared" si="86"/>
        <v>60550000</v>
      </c>
      <c r="BH277" s="650"/>
      <c r="BI277" s="647"/>
      <c r="BJ277" s="644"/>
      <c r="BK277" s="646">
        <f t="shared" si="87"/>
        <v>0</v>
      </c>
      <c r="BL277" s="651"/>
      <c r="BM277" s="652">
        <f t="shared" si="88"/>
        <v>1</v>
      </c>
      <c r="BN277" s="628"/>
      <c r="BO277" s="670"/>
      <c r="BP277" s="644"/>
      <c r="BQ277" s="644"/>
      <c r="BR277" s="644"/>
      <c r="BS277" s="644"/>
      <c r="BT277" s="644"/>
      <c r="BU277" s="644"/>
      <c r="BV277" s="644"/>
      <c r="BW277" s="644"/>
      <c r="BX277" s="644"/>
      <c r="BY277" s="644"/>
      <c r="BZ277" s="644"/>
      <c r="CA277" s="644"/>
      <c r="CB277" s="646">
        <f t="shared" si="89"/>
        <v>0</v>
      </c>
      <c r="CC277" s="646">
        <f t="shared" si="90"/>
        <v>0</v>
      </c>
      <c r="CD277" s="614"/>
    </row>
    <row r="278" spans="1:82" s="561" customFormat="1" ht="61.5" customHeight="1">
      <c r="A278" s="625" t="str">
        <f t="shared" si="72"/>
        <v>1112-140-FONT1112-04-01-0185-Plan especial de manejo y protección del centro histórico</v>
      </c>
      <c r="B278" s="626" t="str">
        <f t="shared" si="73"/>
        <v>1112-140-FONT1112-04-01-0185</v>
      </c>
      <c r="C278" s="626" t="str">
        <f t="shared" si="74"/>
        <v>1112-140-FONT1112-Plan especial de manejo y protección del centro histórico</v>
      </c>
      <c r="D278" s="626" t="str">
        <f t="shared" si="75"/>
        <v>1112-140-12-Otros Distrito-04-01-0185</v>
      </c>
      <c r="E278" s="626" t="str">
        <f t="shared" si="76"/>
        <v>Plan especial de manejo y protección del centro histórico-12-Otros Distrito-0185-Actividades de investigación para la valoración, protección, conservación, sostenibilidad y apropiación del Patrimonio Cultural</v>
      </c>
      <c r="F278" s="627">
        <v>229</v>
      </c>
      <c r="G278" s="628">
        <f t="shared" si="77"/>
        <v>229</v>
      </c>
      <c r="H278" s="629" t="b">
        <f t="shared" si="78"/>
        <v>0</v>
      </c>
      <c r="I278" s="630" t="s">
        <v>594</v>
      </c>
      <c r="J278" s="627" t="s">
        <v>179</v>
      </c>
      <c r="K278" s="631" t="str">
        <f>+IFERROR(VLOOKUP(J278,Listas!$A$108:$B$114,2,FALSE),"Alerta: Seleccione la celda en la comumna B con el nombre del proyecto")</f>
        <v>3-3-1-15-02-17-1112-140</v>
      </c>
      <c r="L278" s="632">
        <v>80111601</v>
      </c>
      <c r="M278" s="633" t="s">
        <v>827</v>
      </c>
      <c r="N278" s="634" t="str">
        <f t="shared" si="79"/>
        <v xml:space="preserve">(Cód. 229) Prestar servicios profesionales al Instituto Distrital de Patrimonio Cultural en la ejecución de insumos documentales para la consolidación de la valoración e inventario de los bienes del patrimonio cultural inmueble del Plan Especial de Manejo y Protección- PEMP- del Centro Histórico de Bogotá D.C.  </v>
      </c>
      <c r="O278" s="635">
        <v>43511</v>
      </c>
      <c r="P278" s="636">
        <f>IFERROR(VLOOKUP(W278,'Estimación CRP'!$D$21:$E$30,2,FALSE),0)</f>
        <v>10</v>
      </c>
      <c r="Q278" s="637">
        <f>IF(O278="No aplica","No aplica",WORKDAY.INTL(O278,P278,1,'Estimación CRP'!A464:A480))</f>
        <v>43525</v>
      </c>
      <c r="R278" s="636">
        <f t="shared" si="80"/>
        <v>3</v>
      </c>
      <c r="S278" s="636">
        <f t="shared" si="81"/>
        <v>2</v>
      </c>
      <c r="T278" s="636">
        <f t="shared" si="82"/>
        <v>2</v>
      </c>
      <c r="U278" s="712">
        <v>5</v>
      </c>
      <c r="V278" s="638">
        <v>1</v>
      </c>
      <c r="W278" s="639" t="s">
        <v>274</v>
      </c>
      <c r="X278" s="640" t="str">
        <f>IFERROR(VLOOKUP(W278,Listas!$A$60:$B$73,2,FALSE),"Alerta: Seleccione primero Modalidad de selección")</f>
        <v>CCE-16</v>
      </c>
      <c r="Y278" s="641">
        <v>0</v>
      </c>
      <c r="Z278" s="641" t="s">
        <v>346</v>
      </c>
      <c r="AA278" s="641" t="s">
        <v>1295</v>
      </c>
      <c r="AB278" s="642">
        <f t="shared" si="83"/>
        <v>16900000</v>
      </c>
      <c r="AC278" s="642">
        <f t="shared" si="84"/>
        <v>16900000</v>
      </c>
      <c r="AD278" s="641">
        <v>0</v>
      </c>
      <c r="AE278" s="643">
        <v>0</v>
      </c>
      <c r="AF278" s="639" t="s">
        <v>276</v>
      </c>
      <c r="AG278" s="639" t="s">
        <v>277</v>
      </c>
      <c r="AH278" s="639" t="s">
        <v>285</v>
      </c>
      <c r="AI278" s="626" t="str">
        <f>IFERROR(VLOOKUP(AH278,Listas!$A$77:$C$83,2,FALSE),"Alerta: Seleccione primero el responsable")</f>
        <v>3550800</v>
      </c>
      <c r="AJ278" s="640" t="str">
        <f>IFERROR(VLOOKUP(AH278,Listas!$A$77:$C$83,3,FALSE),"Alerta: Seleccione primero el responsable")</f>
        <v>maria.villamil@idpc.gov.co</v>
      </c>
      <c r="AK278" s="640" t="str">
        <f>IF(J278="Funcionamiento Gastos Generales","No aplica",IF(J278="Funcionamiento Servicios Personales indirectos","No aplica",IFERROR(VLOOKUP(J278,Listas!$A$127:$E$139,3,FALSE),"Alerta: Seleccione la celda en la comumna B con el nombre del proyecto")))</f>
        <v>ME20181112</v>
      </c>
      <c r="AL278" s="640" t="str">
        <f>IF(J278="Funcionamiento Gastos Generales","No aplica",IF(J278="Funcionamiento Servicios Personales","No aplica",IFERROR(VLOOKUP(J278,Listas!$A$220:$D$224,2,FALSE),"Alerta: Seleccione la celda en la comumna B con el nombre del proyecto")))</f>
        <v>COMP1112</v>
      </c>
      <c r="AM278" s="640" t="str">
        <f>IF(J278="Funcionamiento Gastos Generales","No aplica",IF(J278="Funcionamiento Servicios Personales","No aplica",IFERROR(VLOOKUP(J278,Listas!$A$220:$D$224,3,FALSE),"Alerta: Seleccione la celda en la comumna B con el nombre del proyecto")))</f>
        <v>CONC1112</v>
      </c>
      <c r="AN278" s="633" t="s">
        <v>1050</v>
      </c>
      <c r="AO278" s="633" t="s">
        <v>126</v>
      </c>
      <c r="AP278" s="634" t="str">
        <f>IFERROR(VLOOKUP(J278,Listas!$A$182:$E$215,5,FALSE),"Alerta: Seleccione la celda en la comumna B con el nombre del proyecto")</f>
        <v>15. Instrumentos técnicos de gestión para la preservación del patrimonio cultural</v>
      </c>
      <c r="AQ278" s="634" t="str">
        <f>IF(J278="Funcionamiento Gastos Generales","No aplica",IF(J278="Funcionamiento Servicios Personales","No aplica",IFERROR(VLOOKUP(J278,Listas!$A$220:$D$224,4,FALSE),"Alerta: Seleccione la celda en la comumna B con el nombre del proyecto")))</f>
        <v>FONT1112</v>
      </c>
      <c r="AR278" s="633" t="s">
        <v>198</v>
      </c>
      <c r="AS278" s="634" t="str">
        <f>IFERROR(VLOOKUP(AU278,Listas!$E$85:$L$105,7,FALSE),"Alerta: Seleccione la celda en la comumna AI con el concepto de gasto")</f>
        <v>04-INVESTIGACION Y ESTUDIOS</v>
      </c>
      <c r="AT278" s="634" t="str">
        <f>IFERROR(VLOOKUP(AU278,Listas!$E$85:$L$105,8,FALSE),"Alerta: Seleccione la celda en la comumna AI con el concepto de gasto")</f>
        <v>01-INVESTIGACIÓN BÁSICA APLICADA Y ESTUDIOS PROPIOS DEL SECTOR</v>
      </c>
      <c r="AU278" s="633" t="s">
        <v>201</v>
      </c>
      <c r="AV278" s="634">
        <f>IFERROR(VLOOKUP(AU278,Listas!$E$85:$F$105,2,FALSE),"Alerta: Seleccione el Concepto de Gasto primero")</f>
        <v>0</v>
      </c>
      <c r="AW278" s="644">
        <v>16900000</v>
      </c>
      <c r="AX278" s="645"/>
      <c r="AY278" s="645"/>
      <c r="AZ278" s="645"/>
      <c r="BA278" s="646">
        <f t="shared" si="85"/>
        <v>16900000</v>
      </c>
      <c r="BB278" s="647"/>
      <c r="BC278" s="648"/>
      <c r="BD278" s="649"/>
      <c r="BE278" s="647"/>
      <c r="BF278" s="644"/>
      <c r="BG278" s="646">
        <f t="shared" si="86"/>
        <v>16900000</v>
      </c>
      <c r="BH278" s="650"/>
      <c r="BI278" s="647"/>
      <c r="BJ278" s="644"/>
      <c r="BK278" s="646">
        <f t="shared" si="87"/>
        <v>0</v>
      </c>
      <c r="BL278" s="651"/>
      <c r="BM278" s="652">
        <f t="shared" si="88"/>
        <v>1</v>
      </c>
      <c r="BN278" s="628"/>
      <c r="BO278" s="670"/>
      <c r="BP278" s="644"/>
      <c r="BQ278" s="644"/>
      <c r="BR278" s="644"/>
      <c r="BS278" s="644"/>
      <c r="BT278" s="644"/>
      <c r="BU278" s="644"/>
      <c r="BV278" s="644"/>
      <c r="BW278" s="644"/>
      <c r="BX278" s="644"/>
      <c r="BY278" s="644"/>
      <c r="BZ278" s="644"/>
      <c r="CA278" s="644"/>
      <c r="CB278" s="646">
        <f t="shared" si="89"/>
        <v>0</v>
      </c>
      <c r="CC278" s="646">
        <f t="shared" si="90"/>
        <v>0</v>
      </c>
      <c r="CD278" s="614"/>
    </row>
    <row r="279" spans="1:82" s="561" customFormat="1" ht="61.5" customHeight="1">
      <c r="A279" s="625" t="str">
        <f t="shared" si="72"/>
        <v>1112-140-FONT1112-04-01-0185-Plan especial de manejo y protección del centro histórico</v>
      </c>
      <c r="B279" s="626" t="str">
        <f t="shared" si="73"/>
        <v>1112-140-FONT1112-04-01-0185</v>
      </c>
      <c r="C279" s="626" t="str">
        <f t="shared" si="74"/>
        <v>1112-140-FONT1112-Plan especial de manejo y protección del centro histórico</v>
      </c>
      <c r="D279" s="626" t="str">
        <f t="shared" si="75"/>
        <v>1112-140-12-Otros Distrito-04-01-0185</v>
      </c>
      <c r="E279" s="626" t="str">
        <f t="shared" si="76"/>
        <v>Plan especial de manejo y protección del centro histórico-12-Otros Distrito-0185-Actividades de investigación para la valoración, protección, conservación, sostenibilidad y apropiación del Patrimonio Cultural</v>
      </c>
      <c r="F279" s="627">
        <v>230</v>
      </c>
      <c r="G279" s="628">
        <f t="shared" si="77"/>
        <v>230</v>
      </c>
      <c r="H279" s="629" t="b">
        <f t="shared" si="78"/>
        <v>0</v>
      </c>
      <c r="I279" s="630" t="s">
        <v>594</v>
      </c>
      <c r="J279" s="627" t="s">
        <v>179</v>
      </c>
      <c r="K279" s="631" t="str">
        <f>+IFERROR(VLOOKUP(J279,Listas!$A$108:$B$114,2,FALSE),"Alerta: Seleccione la celda en la comumna B con el nombre del proyecto")</f>
        <v>3-3-1-15-02-17-1112-140</v>
      </c>
      <c r="L279" s="632">
        <v>80111600</v>
      </c>
      <c r="M279" s="633" t="s">
        <v>828</v>
      </c>
      <c r="N279" s="634" t="str">
        <f t="shared" si="79"/>
        <v>(Cód. 230) Prestar servicios profesionales al Instituto Distrital de Patrimonio Cultural para apoyar las actividades de revisión, verificación y consolidación de las fichas del inventario y valoración del patrimonio cultural inmueble en el marco del Plan Especial de Manejo y Protección- PEMP- del Centro Histórico de Bogotá D.C.</v>
      </c>
      <c r="O279" s="635">
        <v>43480</v>
      </c>
      <c r="P279" s="636">
        <f>IFERROR(VLOOKUP(W279,'Estimación CRP'!$D$21:$E$30,2,FALSE),0)</f>
        <v>10</v>
      </c>
      <c r="Q279" s="637">
        <f>IF(O279="No aplica","No aplica",WORKDAY.INTL(O279,P279,1,'Estimación CRP'!A465:A481))</f>
        <v>43494</v>
      </c>
      <c r="R279" s="636">
        <f t="shared" si="80"/>
        <v>1</v>
      </c>
      <c r="S279" s="636">
        <f t="shared" si="81"/>
        <v>1</v>
      </c>
      <c r="T279" s="636">
        <f t="shared" si="82"/>
        <v>1</v>
      </c>
      <c r="U279" s="712">
        <v>4</v>
      </c>
      <c r="V279" s="638">
        <v>1</v>
      </c>
      <c r="W279" s="639" t="s">
        <v>274</v>
      </c>
      <c r="X279" s="640" t="str">
        <f>IFERROR(VLOOKUP(W279,Listas!$A$60:$B$73,2,FALSE),"Alerta: Seleccione primero Modalidad de selección")</f>
        <v>CCE-16</v>
      </c>
      <c r="Y279" s="641">
        <v>0</v>
      </c>
      <c r="Z279" s="641" t="s">
        <v>346</v>
      </c>
      <c r="AA279" s="641" t="s">
        <v>1296</v>
      </c>
      <c r="AB279" s="642">
        <f t="shared" si="83"/>
        <v>22000000</v>
      </c>
      <c r="AC279" s="642">
        <f t="shared" si="84"/>
        <v>22000000</v>
      </c>
      <c r="AD279" s="641">
        <v>0</v>
      </c>
      <c r="AE279" s="643">
        <v>0</v>
      </c>
      <c r="AF279" s="639" t="s">
        <v>276</v>
      </c>
      <c r="AG279" s="639" t="s">
        <v>277</v>
      </c>
      <c r="AH279" s="639" t="s">
        <v>285</v>
      </c>
      <c r="AI279" s="626" t="str">
        <f>IFERROR(VLOOKUP(AH279,Listas!$A$77:$C$83,2,FALSE),"Alerta: Seleccione primero el responsable")</f>
        <v>3550800</v>
      </c>
      <c r="AJ279" s="640" t="str">
        <f>IFERROR(VLOOKUP(AH279,Listas!$A$77:$C$83,3,FALSE),"Alerta: Seleccione primero el responsable")</f>
        <v>maria.villamil@idpc.gov.co</v>
      </c>
      <c r="AK279" s="640" t="str">
        <f>IF(J279="Funcionamiento Gastos Generales","No aplica",IF(J279="Funcionamiento Servicios Personales indirectos","No aplica",IFERROR(VLOOKUP(J279,Listas!$A$127:$E$139,3,FALSE),"Alerta: Seleccione la celda en la comumna B con el nombre del proyecto")))</f>
        <v>ME20181112</v>
      </c>
      <c r="AL279" s="640" t="str">
        <f>IF(J279="Funcionamiento Gastos Generales","No aplica",IF(J279="Funcionamiento Servicios Personales","No aplica",IFERROR(VLOOKUP(J279,Listas!$A$220:$D$224,2,FALSE),"Alerta: Seleccione la celda en la comumna B con el nombre del proyecto")))</f>
        <v>COMP1112</v>
      </c>
      <c r="AM279" s="640" t="str">
        <f>IF(J279="Funcionamiento Gastos Generales","No aplica",IF(J279="Funcionamiento Servicios Personales","No aplica",IFERROR(VLOOKUP(J279,Listas!$A$220:$D$224,3,FALSE),"Alerta: Seleccione la celda en la comumna B con el nombre del proyecto")))</f>
        <v>CONC1112</v>
      </c>
      <c r="AN279" s="633" t="s">
        <v>1050</v>
      </c>
      <c r="AO279" s="633" t="s">
        <v>126</v>
      </c>
      <c r="AP279" s="634" t="str">
        <f>IFERROR(VLOOKUP(J279,Listas!$A$182:$E$215,5,FALSE),"Alerta: Seleccione la celda en la comumna B con el nombre del proyecto")</f>
        <v>15. Instrumentos técnicos de gestión para la preservación del patrimonio cultural</v>
      </c>
      <c r="AQ279" s="634" t="str">
        <f>IF(J279="Funcionamiento Gastos Generales","No aplica",IF(J279="Funcionamiento Servicios Personales","No aplica",IFERROR(VLOOKUP(J279,Listas!$A$220:$D$224,4,FALSE),"Alerta: Seleccione la celda en la comumna B con el nombre del proyecto")))</f>
        <v>FONT1112</v>
      </c>
      <c r="AR279" s="633" t="s">
        <v>198</v>
      </c>
      <c r="AS279" s="634" t="str">
        <f>IFERROR(VLOOKUP(AU279,Listas!$E$85:$L$105,7,FALSE),"Alerta: Seleccione la celda en la comumna AI con el concepto de gasto")</f>
        <v>04-INVESTIGACION Y ESTUDIOS</v>
      </c>
      <c r="AT279" s="634" t="str">
        <f>IFERROR(VLOOKUP(AU279,Listas!$E$85:$L$105,8,FALSE),"Alerta: Seleccione la celda en la comumna AI con el concepto de gasto")</f>
        <v>01-INVESTIGACIÓN BÁSICA APLICADA Y ESTUDIOS PROPIOS DEL SECTOR</v>
      </c>
      <c r="AU279" s="633" t="s">
        <v>201</v>
      </c>
      <c r="AV279" s="634">
        <f>IFERROR(VLOOKUP(AU279,Listas!$E$85:$F$105,2,FALSE),"Alerta: Seleccione el Concepto de Gasto primero")</f>
        <v>0</v>
      </c>
      <c r="AW279" s="644">
        <v>22000000</v>
      </c>
      <c r="AX279" s="645"/>
      <c r="AY279" s="645"/>
      <c r="AZ279" s="645"/>
      <c r="BA279" s="646">
        <f t="shared" si="85"/>
        <v>22000000</v>
      </c>
      <c r="BB279" s="647"/>
      <c r="BC279" s="648"/>
      <c r="BD279" s="649"/>
      <c r="BE279" s="647"/>
      <c r="BF279" s="644"/>
      <c r="BG279" s="646">
        <f t="shared" si="86"/>
        <v>22000000</v>
      </c>
      <c r="BH279" s="650"/>
      <c r="BI279" s="647"/>
      <c r="BJ279" s="644"/>
      <c r="BK279" s="646">
        <f t="shared" si="87"/>
        <v>0</v>
      </c>
      <c r="BL279" s="651"/>
      <c r="BM279" s="652">
        <f t="shared" si="88"/>
        <v>1</v>
      </c>
      <c r="BN279" s="628"/>
      <c r="BO279" s="670"/>
      <c r="BP279" s="644"/>
      <c r="BQ279" s="644"/>
      <c r="BR279" s="644"/>
      <c r="BS279" s="644"/>
      <c r="BT279" s="644"/>
      <c r="BU279" s="644"/>
      <c r="BV279" s="644"/>
      <c r="BW279" s="644"/>
      <c r="BX279" s="644"/>
      <c r="BY279" s="644"/>
      <c r="BZ279" s="644"/>
      <c r="CA279" s="644"/>
      <c r="CB279" s="646">
        <f t="shared" si="89"/>
        <v>0</v>
      </c>
      <c r="CC279" s="646">
        <f t="shared" si="90"/>
        <v>0</v>
      </c>
      <c r="CD279" s="614"/>
    </row>
    <row r="280" spans="1:82" s="561" customFormat="1" ht="61.5" customHeight="1">
      <c r="A280" s="625" t="str">
        <f t="shared" si="72"/>
        <v>1112-140-FONT1112-04-01-0185-Plan especial de manejo y protección del centro histórico</v>
      </c>
      <c r="B280" s="626" t="str">
        <f t="shared" si="73"/>
        <v>1112-140-FONT1112-04-01-0185</v>
      </c>
      <c r="C280" s="626" t="str">
        <f t="shared" si="74"/>
        <v>1112-140-FONT1112-Plan especial de manejo y protección del centro histórico</v>
      </c>
      <c r="D280" s="626" t="str">
        <f t="shared" si="75"/>
        <v>1112-140-12-Otros Distrito-04-01-0185</v>
      </c>
      <c r="E280" s="626" t="str">
        <f t="shared" si="76"/>
        <v>Plan especial de manejo y protección del centro histórico-12-Otros Distrito-0185-Actividades de investigación para la valoración, protección, conservación, sostenibilidad y apropiación del Patrimonio Cultural</v>
      </c>
      <c r="F280" s="627">
        <v>231</v>
      </c>
      <c r="G280" s="628">
        <f t="shared" si="77"/>
        <v>231</v>
      </c>
      <c r="H280" s="629" t="b">
        <f t="shared" si="78"/>
        <v>0</v>
      </c>
      <c r="I280" s="630" t="s">
        <v>594</v>
      </c>
      <c r="J280" s="627" t="s">
        <v>179</v>
      </c>
      <c r="K280" s="631" t="str">
        <f>+IFERROR(VLOOKUP(J280,Listas!$A$108:$B$114,2,FALSE),"Alerta: Seleccione la celda en la comumna B con el nombre del proyecto")</f>
        <v>3-3-1-15-02-17-1112-140</v>
      </c>
      <c r="L280" s="632">
        <v>80111600</v>
      </c>
      <c r="M280" s="633" t="s">
        <v>829</v>
      </c>
      <c r="N280" s="634" t="str">
        <f t="shared" si="79"/>
        <v>(Cód. 231) Prestar servicios profesionales al Instituto Distrital de Patrimonio Cultural para apoyar las actividades de seguimiento y ajustes al inventario y valoración del patrimonio cultural inmueble en el marco del Plan Especial de Manejo y Protección- PEMP- del Centro Histórico de Bogotá D.C.</v>
      </c>
      <c r="O280" s="635">
        <v>43480</v>
      </c>
      <c r="P280" s="636">
        <f>IFERROR(VLOOKUP(W280,'Estimación CRP'!$D$21:$E$30,2,FALSE),0)</f>
        <v>10</v>
      </c>
      <c r="Q280" s="637">
        <f>IF(O280="No aplica","No aplica",WORKDAY.INTL(O280,P280,1,'Estimación CRP'!A466:A482))</f>
        <v>43494</v>
      </c>
      <c r="R280" s="636">
        <f t="shared" si="80"/>
        <v>1</v>
      </c>
      <c r="S280" s="636">
        <f t="shared" si="81"/>
        <v>1</v>
      </c>
      <c r="T280" s="636">
        <f t="shared" si="82"/>
        <v>1</v>
      </c>
      <c r="U280" s="712">
        <v>5</v>
      </c>
      <c r="V280" s="638">
        <v>1</v>
      </c>
      <c r="W280" s="639" t="s">
        <v>274</v>
      </c>
      <c r="X280" s="640" t="str">
        <f>IFERROR(VLOOKUP(W280,Listas!$A$60:$B$73,2,FALSE),"Alerta: Seleccione primero Modalidad de selección")</f>
        <v>CCE-16</v>
      </c>
      <c r="Y280" s="641">
        <v>0</v>
      </c>
      <c r="Z280" s="641" t="s">
        <v>346</v>
      </c>
      <c r="AA280" s="641" t="s">
        <v>1296</v>
      </c>
      <c r="AB280" s="642">
        <f t="shared" si="83"/>
        <v>27500000</v>
      </c>
      <c r="AC280" s="642">
        <f t="shared" si="84"/>
        <v>27500000</v>
      </c>
      <c r="AD280" s="641">
        <v>0</v>
      </c>
      <c r="AE280" s="643">
        <v>0</v>
      </c>
      <c r="AF280" s="639" t="s">
        <v>276</v>
      </c>
      <c r="AG280" s="639" t="s">
        <v>277</v>
      </c>
      <c r="AH280" s="639" t="s">
        <v>285</v>
      </c>
      <c r="AI280" s="626" t="str">
        <f>IFERROR(VLOOKUP(AH280,Listas!$A$77:$C$83,2,FALSE),"Alerta: Seleccione primero el responsable")</f>
        <v>3550800</v>
      </c>
      <c r="AJ280" s="640" t="str">
        <f>IFERROR(VLOOKUP(AH280,Listas!$A$77:$C$83,3,FALSE),"Alerta: Seleccione primero el responsable")</f>
        <v>maria.villamil@idpc.gov.co</v>
      </c>
      <c r="AK280" s="640" t="str">
        <f>IF(J280="Funcionamiento Gastos Generales","No aplica",IF(J280="Funcionamiento Servicios Personales indirectos","No aplica",IFERROR(VLOOKUP(J280,Listas!$A$127:$E$139,3,FALSE),"Alerta: Seleccione la celda en la comumna B con el nombre del proyecto")))</f>
        <v>ME20181112</v>
      </c>
      <c r="AL280" s="640" t="str">
        <f>IF(J280="Funcionamiento Gastos Generales","No aplica",IF(J280="Funcionamiento Servicios Personales","No aplica",IFERROR(VLOOKUP(J280,Listas!$A$220:$D$224,2,FALSE),"Alerta: Seleccione la celda en la comumna B con el nombre del proyecto")))</f>
        <v>COMP1112</v>
      </c>
      <c r="AM280" s="640" t="str">
        <f>IF(J280="Funcionamiento Gastos Generales","No aplica",IF(J280="Funcionamiento Servicios Personales","No aplica",IFERROR(VLOOKUP(J280,Listas!$A$220:$D$224,3,FALSE),"Alerta: Seleccione la celda en la comumna B con el nombre del proyecto")))</f>
        <v>CONC1112</v>
      </c>
      <c r="AN280" s="633" t="s">
        <v>1050</v>
      </c>
      <c r="AO280" s="633" t="s">
        <v>126</v>
      </c>
      <c r="AP280" s="634" t="str">
        <f>IFERROR(VLOOKUP(J280,Listas!$A$182:$E$215,5,FALSE),"Alerta: Seleccione la celda en la comumna B con el nombre del proyecto")</f>
        <v>15. Instrumentos técnicos de gestión para la preservación del patrimonio cultural</v>
      </c>
      <c r="AQ280" s="634" t="str">
        <f>IF(J280="Funcionamiento Gastos Generales","No aplica",IF(J280="Funcionamiento Servicios Personales","No aplica",IFERROR(VLOOKUP(J280,Listas!$A$220:$D$224,4,FALSE),"Alerta: Seleccione la celda en la comumna B con el nombre del proyecto")))</f>
        <v>FONT1112</v>
      </c>
      <c r="AR280" s="633" t="s">
        <v>198</v>
      </c>
      <c r="AS280" s="634" t="str">
        <f>IFERROR(VLOOKUP(AU280,Listas!$E$85:$L$105,7,FALSE),"Alerta: Seleccione la celda en la comumna AI con el concepto de gasto")</f>
        <v>04-INVESTIGACION Y ESTUDIOS</v>
      </c>
      <c r="AT280" s="634" t="str">
        <f>IFERROR(VLOOKUP(AU280,Listas!$E$85:$L$105,8,FALSE),"Alerta: Seleccione la celda en la comumna AI con el concepto de gasto")</f>
        <v>01-INVESTIGACIÓN BÁSICA APLICADA Y ESTUDIOS PROPIOS DEL SECTOR</v>
      </c>
      <c r="AU280" s="633" t="s">
        <v>201</v>
      </c>
      <c r="AV280" s="634">
        <f>IFERROR(VLOOKUP(AU280,Listas!$E$85:$F$105,2,FALSE),"Alerta: Seleccione el Concepto de Gasto primero")</f>
        <v>0</v>
      </c>
      <c r="AW280" s="644">
        <v>27500000</v>
      </c>
      <c r="AX280" s="645"/>
      <c r="AY280" s="645"/>
      <c r="AZ280" s="645"/>
      <c r="BA280" s="646">
        <f t="shared" si="85"/>
        <v>27500000</v>
      </c>
      <c r="BB280" s="647"/>
      <c r="BC280" s="648"/>
      <c r="BD280" s="649"/>
      <c r="BE280" s="647"/>
      <c r="BF280" s="644"/>
      <c r="BG280" s="646">
        <f t="shared" si="86"/>
        <v>27500000</v>
      </c>
      <c r="BH280" s="650"/>
      <c r="BI280" s="647"/>
      <c r="BJ280" s="644"/>
      <c r="BK280" s="646">
        <f t="shared" si="87"/>
        <v>0</v>
      </c>
      <c r="BL280" s="651"/>
      <c r="BM280" s="652">
        <f t="shared" si="88"/>
        <v>1</v>
      </c>
      <c r="BN280" s="628"/>
      <c r="BO280" s="670"/>
      <c r="BP280" s="644"/>
      <c r="BQ280" s="644"/>
      <c r="BR280" s="644"/>
      <c r="BS280" s="644"/>
      <c r="BT280" s="644"/>
      <c r="BU280" s="644"/>
      <c r="BV280" s="644"/>
      <c r="BW280" s="644"/>
      <c r="BX280" s="644"/>
      <c r="BY280" s="644"/>
      <c r="BZ280" s="644"/>
      <c r="CA280" s="644"/>
      <c r="CB280" s="646">
        <f t="shared" si="89"/>
        <v>0</v>
      </c>
      <c r="CC280" s="646">
        <f t="shared" si="90"/>
        <v>0</v>
      </c>
      <c r="CD280" s="614"/>
    </row>
    <row r="281" spans="1:82" s="561" customFormat="1" ht="61.5" customHeight="1">
      <c r="A281" s="625" t="str">
        <f t="shared" si="72"/>
        <v>1112-140-FONT1112-04-01-0185-Plan especial de manejo y protección del centro histórico</v>
      </c>
      <c r="B281" s="626" t="str">
        <f t="shared" si="73"/>
        <v>1112-140-FONT1112-04-01-0185</v>
      </c>
      <c r="C281" s="626" t="str">
        <f t="shared" si="74"/>
        <v>1112-140-FONT1112-Plan especial de manejo y protección del centro histórico</v>
      </c>
      <c r="D281" s="626" t="str">
        <f t="shared" si="75"/>
        <v>1112-140-12-Otros Distrito-04-01-0185</v>
      </c>
      <c r="E281" s="626" t="str">
        <f t="shared" si="76"/>
        <v>Plan especial de manejo y protección del centro histórico-12-Otros Distrito-0185-Actividades de investigación para la valoración, protección, conservación, sostenibilidad y apropiación del Patrimonio Cultural</v>
      </c>
      <c r="F281" s="627">
        <v>232</v>
      </c>
      <c r="G281" s="628">
        <f t="shared" si="77"/>
        <v>232</v>
      </c>
      <c r="H281" s="629" t="b">
        <f t="shared" si="78"/>
        <v>0</v>
      </c>
      <c r="I281" s="630" t="s">
        <v>594</v>
      </c>
      <c r="J281" s="627" t="s">
        <v>179</v>
      </c>
      <c r="K281" s="631" t="str">
        <f>+IFERROR(VLOOKUP(J281,Listas!$A$108:$B$114,2,FALSE),"Alerta: Seleccione la celda en la comumna B con el nombre del proyecto")</f>
        <v>3-3-1-15-02-17-1112-140</v>
      </c>
      <c r="L281" s="632">
        <v>80111600</v>
      </c>
      <c r="M281" s="633" t="s">
        <v>830</v>
      </c>
      <c r="N281" s="634" t="str">
        <f t="shared" si="79"/>
        <v>(Cód. 232) Prestar servicios profesionales al Instituto Distrital de Patrimonio Cultural en la orientación de la gestión de los programas, planes, proyectos e intervenciones integrales del Plan Especial de Manejo y Protección -PEMP- del Centro Histórico de Bogotá D.C., y otros proyectos.</v>
      </c>
      <c r="O281" s="635">
        <v>43480</v>
      </c>
      <c r="P281" s="636">
        <f>IFERROR(VLOOKUP(W281,'Estimación CRP'!$D$21:$E$30,2,FALSE),0)</f>
        <v>10</v>
      </c>
      <c r="Q281" s="637">
        <f>IF(O281="No aplica","No aplica",WORKDAY.INTL(O281,P281,1,'Estimación CRP'!A467:A483))</f>
        <v>43494</v>
      </c>
      <c r="R281" s="636">
        <f t="shared" si="80"/>
        <v>1</v>
      </c>
      <c r="S281" s="636">
        <f t="shared" si="81"/>
        <v>1</v>
      </c>
      <c r="T281" s="636">
        <f t="shared" si="82"/>
        <v>1</v>
      </c>
      <c r="U281" s="712">
        <v>11</v>
      </c>
      <c r="V281" s="638">
        <v>1</v>
      </c>
      <c r="W281" s="639" t="s">
        <v>274</v>
      </c>
      <c r="X281" s="640" t="str">
        <f>IFERROR(VLOOKUP(W281,Listas!$A$60:$B$73,2,FALSE),"Alerta: Seleccione primero Modalidad de selección")</f>
        <v>CCE-16</v>
      </c>
      <c r="Y281" s="641">
        <v>0</v>
      </c>
      <c r="Z281" s="641" t="s">
        <v>346</v>
      </c>
      <c r="AA281" s="641" t="s">
        <v>1297</v>
      </c>
      <c r="AB281" s="642">
        <f t="shared" si="83"/>
        <v>112200000</v>
      </c>
      <c r="AC281" s="642">
        <f t="shared" si="84"/>
        <v>112200000</v>
      </c>
      <c r="AD281" s="641">
        <v>0</v>
      </c>
      <c r="AE281" s="643">
        <v>0</v>
      </c>
      <c r="AF281" s="639" t="s">
        <v>276</v>
      </c>
      <c r="AG281" s="639" t="s">
        <v>277</v>
      </c>
      <c r="AH281" s="639" t="s">
        <v>285</v>
      </c>
      <c r="AI281" s="626" t="str">
        <f>IFERROR(VLOOKUP(AH281,Listas!$A$77:$C$83,2,FALSE),"Alerta: Seleccione primero el responsable")</f>
        <v>3550800</v>
      </c>
      <c r="AJ281" s="640" t="str">
        <f>IFERROR(VLOOKUP(AH281,Listas!$A$77:$C$83,3,FALSE),"Alerta: Seleccione primero el responsable")</f>
        <v>maria.villamil@idpc.gov.co</v>
      </c>
      <c r="AK281" s="640" t="str">
        <f>IF(J281="Funcionamiento Gastos Generales","No aplica",IF(J281="Funcionamiento Servicios Personales indirectos","No aplica",IFERROR(VLOOKUP(J281,Listas!$A$127:$E$139,3,FALSE),"Alerta: Seleccione la celda en la comumna B con el nombre del proyecto")))</f>
        <v>ME20181112</v>
      </c>
      <c r="AL281" s="640" t="str">
        <f>IF(J281="Funcionamiento Gastos Generales","No aplica",IF(J281="Funcionamiento Servicios Personales","No aplica",IFERROR(VLOOKUP(J281,Listas!$A$220:$D$224,2,FALSE),"Alerta: Seleccione la celda en la comumna B con el nombre del proyecto")))</f>
        <v>COMP1112</v>
      </c>
      <c r="AM281" s="640" t="str">
        <f>IF(J281="Funcionamiento Gastos Generales","No aplica",IF(J281="Funcionamiento Servicios Personales","No aplica",IFERROR(VLOOKUP(J281,Listas!$A$220:$D$224,3,FALSE),"Alerta: Seleccione la celda en la comumna B con el nombre del proyecto")))</f>
        <v>CONC1112</v>
      </c>
      <c r="AN281" s="633" t="s">
        <v>1050</v>
      </c>
      <c r="AO281" s="633" t="s">
        <v>126</v>
      </c>
      <c r="AP281" s="634" t="str">
        <f>IFERROR(VLOOKUP(J281,Listas!$A$182:$E$215,5,FALSE),"Alerta: Seleccione la celda en la comumna B con el nombre del proyecto")</f>
        <v>15. Instrumentos técnicos de gestión para la preservación del patrimonio cultural</v>
      </c>
      <c r="AQ281" s="634" t="str">
        <f>IF(J281="Funcionamiento Gastos Generales","No aplica",IF(J281="Funcionamiento Servicios Personales","No aplica",IFERROR(VLOOKUP(J281,Listas!$A$220:$D$224,4,FALSE),"Alerta: Seleccione la celda en la comumna B con el nombre del proyecto")))</f>
        <v>FONT1112</v>
      </c>
      <c r="AR281" s="633" t="s">
        <v>198</v>
      </c>
      <c r="AS281" s="634" t="str">
        <f>IFERROR(VLOOKUP(AU281,Listas!$E$85:$L$105,7,FALSE),"Alerta: Seleccione la celda en la comumna AI con el concepto de gasto")</f>
        <v>04-INVESTIGACION Y ESTUDIOS</v>
      </c>
      <c r="AT281" s="634" t="str">
        <f>IFERROR(VLOOKUP(AU281,Listas!$E$85:$L$105,8,FALSE),"Alerta: Seleccione la celda en la comumna AI con el concepto de gasto")</f>
        <v>01-INVESTIGACIÓN BÁSICA APLICADA Y ESTUDIOS PROPIOS DEL SECTOR</v>
      </c>
      <c r="AU281" s="633" t="s">
        <v>201</v>
      </c>
      <c r="AV281" s="634">
        <f>IFERROR(VLOOKUP(AU281,Listas!$E$85:$F$105,2,FALSE),"Alerta: Seleccione el Concepto de Gasto primero")</f>
        <v>0</v>
      </c>
      <c r="AW281" s="644">
        <v>112200000</v>
      </c>
      <c r="AX281" s="645"/>
      <c r="AY281" s="645"/>
      <c r="AZ281" s="645"/>
      <c r="BA281" s="646">
        <f t="shared" si="85"/>
        <v>112200000</v>
      </c>
      <c r="BB281" s="647"/>
      <c r="BC281" s="648"/>
      <c r="BD281" s="649"/>
      <c r="BE281" s="647"/>
      <c r="BF281" s="644"/>
      <c r="BG281" s="646">
        <f t="shared" si="86"/>
        <v>112200000</v>
      </c>
      <c r="BH281" s="650"/>
      <c r="BI281" s="647"/>
      <c r="BJ281" s="644"/>
      <c r="BK281" s="646">
        <f t="shared" si="87"/>
        <v>0</v>
      </c>
      <c r="BL281" s="651"/>
      <c r="BM281" s="652">
        <f t="shared" si="88"/>
        <v>1</v>
      </c>
      <c r="BN281" s="628"/>
      <c r="BO281" s="670"/>
      <c r="BP281" s="644"/>
      <c r="BQ281" s="644"/>
      <c r="BR281" s="644"/>
      <c r="BS281" s="644"/>
      <c r="BT281" s="644"/>
      <c r="BU281" s="644"/>
      <c r="BV281" s="644"/>
      <c r="BW281" s="644"/>
      <c r="BX281" s="644"/>
      <c r="BY281" s="644"/>
      <c r="BZ281" s="644"/>
      <c r="CA281" s="644"/>
      <c r="CB281" s="646">
        <f t="shared" si="89"/>
        <v>0</v>
      </c>
      <c r="CC281" s="646">
        <f t="shared" si="90"/>
        <v>0</v>
      </c>
      <c r="CD281" s="614"/>
    </row>
    <row r="282" spans="1:82" s="561" customFormat="1" ht="61.5" customHeight="1">
      <c r="A282" s="625" t="str">
        <f t="shared" si="72"/>
        <v>1112-140-FONT1112-04-01-0185-Plan especial de manejo y protección del centro histórico</v>
      </c>
      <c r="B282" s="626" t="str">
        <f t="shared" si="73"/>
        <v>1112-140-FONT1112-04-01-0185</v>
      </c>
      <c r="C282" s="626" t="str">
        <f t="shared" si="74"/>
        <v>1112-140-FONT1112-Plan especial de manejo y protección del centro histórico</v>
      </c>
      <c r="D282" s="626" t="str">
        <f t="shared" si="75"/>
        <v>1112-140-12-Otros Distrito-04-01-0185</v>
      </c>
      <c r="E282" s="626" t="str">
        <f t="shared" si="76"/>
        <v>Plan especial de manejo y protección del centro histórico-12-Otros Distrito-0185-Actividades de investigación para la valoración, protección, conservación, sostenibilidad y apropiación del Patrimonio Cultural</v>
      </c>
      <c r="F282" s="627">
        <v>233</v>
      </c>
      <c r="G282" s="628">
        <f t="shared" si="77"/>
        <v>233</v>
      </c>
      <c r="H282" s="629" t="b">
        <f t="shared" si="78"/>
        <v>0</v>
      </c>
      <c r="I282" s="630" t="s">
        <v>594</v>
      </c>
      <c r="J282" s="627" t="s">
        <v>179</v>
      </c>
      <c r="K282" s="631" t="str">
        <f>+IFERROR(VLOOKUP(J282,Listas!$A$108:$B$114,2,FALSE),"Alerta: Seleccione la celda en la comumna B con el nombre del proyecto")</f>
        <v>3-3-1-15-02-17-1112-140</v>
      </c>
      <c r="L282" s="632">
        <v>80111600</v>
      </c>
      <c r="M282" s="633" t="s">
        <v>831</v>
      </c>
      <c r="N282" s="634" t="str">
        <f t="shared" si="79"/>
        <v>(Cód. 233) Prestar servicios profesionales al Instituto Distrital de Patrimonio Cultural en el direccionamiento de proyectos e intervenciones integrales   del Plan Especial de Manejo y Protección -PEMP- del Centro Histórico de Bogotá D.C.</v>
      </c>
      <c r="O282" s="635">
        <v>43480</v>
      </c>
      <c r="P282" s="636">
        <f>IFERROR(VLOOKUP(W282,'Estimación CRP'!$D$21:$E$30,2,FALSE),0)</f>
        <v>10</v>
      </c>
      <c r="Q282" s="637">
        <f>IF(O282="No aplica","No aplica",WORKDAY.INTL(O282,P282,1,'Estimación CRP'!A468:A484))</f>
        <v>43494</v>
      </c>
      <c r="R282" s="636">
        <f t="shared" si="80"/>
        <v>1</v>
      </c>
      <c r="S282" s="636">
        <f t="shared" si="81"/>
        <v>1</v>
      </c>
      <c r="T282" s="636">
        <f t="shared" si="82"/>
        <v>1</v>
      </c>
      <c r="U282" s="712">
        <v>11</v>
      </c>
      <c r="V282" s="638">
        <v>1</v>
      </c>
      <c r="W282" s="639" t="s">
        <v>274</v>
      </c>
      <c r="X282" s="640" t="str">
        <f>IFERROR(VLOOKUP(W282,Listas!$A$60:$B$73,2,FALSE),"Alerta: Seleccione primero Modalidad de selección")</f>
        <v>CCE-16</v>
      </c>
      <c r="Y282" s="641">
        <v>0</v>
      </c>
      <c r="Z282" s="641" t="s">
        <v>346</v>
      </c>
      <c r="AA282" s="641" t="s">
        <v>1298</v>
      </c>
      <c r="AB282" s="642">
        <f t="shared" si="83"/>
        <v>114840000</v>
      </c>
      <c r="AC282" s="642">
        <f t="shared" si="84"/>
        <v>114840000</v>
      </c>
      <c r="AD282" s="641">
        <v>0</v>
      </c>
      <c r="AE282" s="643">
        <v>0</v>
      </c>
      <c r="AF282" s="639" t="s">
        <v>276</v>
      </c>
      <c r="AG282" s="639" t="s">
        <v>277</v>
      </c>
      <c r="AH282" s="639" t="s">
        <v>285</v>
      </c>
      <c r="AI282" s="626" t="str">
        <f>IFERROR(VLOOKUP(AH282,Listas!$A$77:$C$83,2,FALSE),"Alerta: Seleccione primero el responsable")</f>
        <v>3550800</v>
      </c>
      <c r="AJ282" s="640" t="str">
        <f>IFERROR(VLOOKUP(AH282,Listas!$A$77:$C$83,3,FALSE),"Alerta: Seleccione primero el responsable")</f>
        <v>maria.villamil@idpc.gov.co</v>
      </c>
      <c r="AK282" s="640" t="str">
        <f>IF(J282="Funcionamiento Gastos Generales","No aplica",IF(J282="Funcionamiento Servicios Personales indirectos","No aplica",IFERROR(VLOOKUP(J282,Listas!$A$127:$E$139,3,FALSE),"Alerta: Seleccione la celda en la comumna B con el nombre del proyecto")))</f>
        <v>ME20181112</v>
      </c>
      <c r="AL282" s="640" t="str">
        <f>IF(J282="Funcionamiento Gastos Generales","No aplica",IF(J282="Funcionamiento Servicios Personales","No aplica",IFERROR(VLOOKUP(J282,Listas!$A$220:$D$224,2,FALSE),"Alerta: Seleccione la celda en la comumna B con el nombre del proyecto")))</f>
        <v>COMP1112</v>
      </c>
      <c r="AM282" s="640" t="str">
        <f>IF(J282="Funcionamiento Gastos Generales","No aplica",IF(J282="Funcionamiento Servicios Personales","No aplica",IFERROR(VLOOKUP(J282,Listas!$A$220:$D$224,3,FALSE),"Alerta: Seleccione la celda en la comumna B con el nombre del proyecto")))</f>
        <v>CONC1112</v>
      </c>
      <c r="AN282" s="633" t="s">
        <v>1050</v>
      </c>
      <c r="AO282" s="633" t="s">
        <v>126</v>
      </c>
      <c r="AP282" s="634" t="str">
        <f>IFERROR(VLOOKUP(J282,Listas!$A$182:$E$215,5,FALSE),"Alerta: Seleccione la celda en la comumna B con el nombre del proyecto")</f>
        <v>15. Instrumentos técnicos de gestión para la preservación del patrimonio cultural</v>
      </c>
      <c r="AQ282" s="634" t="str">
        <f>IF(J282="Funcionamiento Gastos Generales","No aplica",IF(J282="Funcionamiento Servicios Personales","No aplica",IFERROR(VLOOKUP(J282,Listas!$A$220:$D$224,4,FALSE),"Alerta: Seleccione la celda en la comumna B con el nombre del proyecto")))</f>
        <v>FONT1112</v>
      </c>
      <c r="AR282" s="633" t="s">
        <v>198</v>
      </c>
      <c r="AS282" s="634" t="str">
        <f>IFERROR(VLOOKUP(AU282,Listas!$E$85:$L$105,7,FALSE),"Alerta: Seleccione la celda en la comumna AI con el concepto de gasto")</f>
        <v>04-INVESTIGACION Y ESTUDIOS</v>
      </c>
      <c r="AT282" s="634" t="str">
        <f>IFERROR(VLOOKUP(AU282,Listas!$E$85:$L$105,8,FALSE),"Alerta: Seleccione la celda en la comumna AI con el concepto de gasto")</f>
        <v>01-INVESTIGACIÓN BÁSICA APLICADA Y ESTUDIOS PROPIOS DEL SECTOR</v>
      </c>
      <c r="AU282" s="633" t="s">
        <v>201</v>
      </c>
      <c r="AV282" s="634">
        <f>IFERROR(VLOOKUP(AU282,Listas!$E$85:$F$105,2,FALSE),"Alerta: Seleccione el Concepto de Gasto primero")</f>
        <v>0</v>
      </c>
      <c r="AW282" s="644">
        <v>114840000</v>
      </c>
      <c r="AX282" s="645"/>
      <c r="AY282" s="645"/>
      <c r="AZ282" s="645"/>
      <c r="BA282" s="646">
        <f t="shared" si="85"/>
        <v>114840000</v>
      </c>
      <c r="BB282" s="647"/>
      <c r="BC282" s="648"/>
      <c r="BD282" s="649"/>
      <c r="BE282" s="647"/>
      <c r="BF282" s="644"/>
      <c r="BG282" s="646">
        <f t="shared" si="86"/>
        <v>114840000</v>
      </c>
      <c r="BH282" s="650"/>
      <c r="BI282" s="647"/>
      <c r="BJ282" s="644"/>
      <c r="BK282" s="646">
        <f t="shared" si="87"/>
        <v>0</v>
      </c>
      <c r="BL282" s="651"/>
      <c r="BM282" s="652">
        <f t="shared" si="88"/>
        <v>1</v>
      </c>
      <c r="BN282" s="628"/>
      <c r="BO282" s="670"/>
      <c r="BP282" s="644"/>
      <c r="BQ282" s="644"/>
      <c r="BR282" s="644"/>
      <c r="BS282" s="644"/>
      <c r="BT282" s="644"/>
      <c r="BU282" s="644"/>
      <c r="BV282" s="644"/>
      <c r="BW282" s="644"/>
      <c r="BX282" s="644"/>
      <c r="BY282" s="644"/>
      <c r="BZ282" s="644"/>
      <c r="CA282" s="644"/>
      <c r="CB282" s="646">
        <f t="shared" si="89"/>
        <v>0</v>
      </c>
      <c r="CC282" s="646">
        <f t="shared" si="90"/>
        <v>0</v>
      </c>
      <c r="CD282" s="614"/>
    </row>
    <row r="283" spans="1:82" s="561" customFormat="1" ht="61.5" customHeight="1">
      <c r="A283" s="625" t="str">
        <f t="shared" si="72"/>
        <v>1112-140-FONT1112-04-01-0185-Plan especial de manejo y protección del centro histórico</v>
      </c>
      <c r="B283" s="626" t="str">
        <f t="shared" si="73"/>
        <v>1112-140-FONT1112-04-01-0185</v>
      </c>
      <c r="C283" s="626" t="str">
        <f t="shared" si="74"/>
        <v>1112-140-FONT1112-Plan especial de manejo y protección del centro histórico</v>
      </c>
      <c r="D283" s="626" t="str">
        <f t="shared" si="75"/>
        <v>1112-140-12-Otros Distrito-04-01-0185</v>
      </c>
      <c r="E283" s="626" t="str">
        <f t="shared" si="76"/>
        <v>Plan especial de manejo y protección del centro histórico-12-Otros Distrito-0185-Actividades de investigación para la valoración, protección, conservación, sostenibilidad y apropiación del Patrimonio Cultural</v>
      </c>
      <c r="F283" s="627">
        <v>234</v>
      </c>
      <c r="G283" s="628">
        <f t="shared" si="77"/>
        <v>234</v>
      </c>
      <c r="H283" s="629" t="b">
        <f t="shared" si="78"/>
        <v>0</v>
      </c>
      <c r="I283" s="630" t="s">
        <v>594</v>
      </c>
      <c r="J283" s="627" t="s">
        <v>179</v>
      </c>
      <c r="K283" s="631" t="str">
        <f>+IFERROR(VLOOKUP(J283,Listas!$A$108:$B$114,2,FALSE),"Alerta: Seleccione la celda en la comumna B con el nombre del proyecto")</f>
        <v>3-3-1-15-02-17-1112-140</v>
      </c>
      <c r="L283" s="632">
        <v>80111600</v>
      </c>
      <c r="M283" s="633" t="s">
        <v>832</v>
      </c>
      <c r="N283" s="634" t="str">
        <f t="shared" si="79"/>
        <v xml:space="preserve">(Cód. 234) Prestar servicios profesionales al Instituto Distrital de Patrimonio Cultural para realizar una propuesta de estructura legal e institucional del modelo de gestión del Plan Especial de Manejo y Protección -PEMP- del Centro Histórico de Bogotá D.C. </v>
      </c>
      <c r="O283" s="635">
        <v>43480</v>
      </c>
      <c r="P283" s="636">
        <f>IFERROR(VLOOKUP(W283,'Estimación CRP'!$D$21:$E$30,2,FALSE),0)</f>
        <v>10</v>
      </c>
      <c r="Q283" s="637">
        <f>IF(O283="No aplica","No aplica",WORKDAY.INTL(O283,P283,1,'Estimación CRP'!A469:A485))</f>
        <v>43494</v>
      </c>
      <c r="R283" s="636">
        <f t="shared" si="80"/>
        <v>1</v>
      </c>
      <c r="S283" s="636">
        <f t="shared" si="81"/>
        <v>1</v>
      </c>
      <c r="T283" s="636">
        <f t="shared" si="82"/>
        <v>1</v>
      </c>
      <c r="U283" s="712">
        <v>11</v>
      </c>
      <c r="V283" s="638">
        <v>1</v>
      </c>
      <c r="W283" s="639" t="s">
        <v>274</v>
      </c>
      <c r="X283" s="640" t="str">
        <f>IFERROR(VLOOKUP(W283,Listas!$A$60:$B$73,2,FALSE),"Alerta: Seleccione primero Modalidad de selección")</f>
        <v>CCE-16</v>
      </c>
      <c r="Y283" s="641">
        <v>0</v>
      </c>
      <c r="Z283" s="641" t="s">
        <v>346</v>
      </c>
      <c r="AA283" s="641" t="s">
        <v>1299</v>
      </c>
      <c r="AB283" s="642">
        <f t="shared" si="83"/>
        <v>112200000</v>
      </c>
      <c r="AC283" s="642">
        <f t="shared" si="84"/>
        <v>112200000</v>
      </c>
      <c r="AD283" s="641">
        <v>0</v>
      </c>
      <c r="AE283" s="643">
        <v>0</v>
      </c>
      <c r="AF283" s="639" t="s">
        <v>276</v>
      </c>
      <c r="AG283" s="639" t="s">
        <v>277</v>
      </c>
      <c r="AH283" s="639" t="s">
        <v>285</v>
      </c>
      <c r="AI283" s="626" t="str">
        <f>IFERROR(VLOOKUP(AH283,Listas!$A$77:$C$83,2,FALSE),"Alerta: Seleccione primero el responsable")</f>
        <v>3550800</v>
      </c>
      <c r="AJ283" s="640" t="str">
        <f>IFERROR(VLOOKUP(AH283,Listas!$A$77:$C$83,3,FALSE),"Alerta: Seleccione primero el responsable")</f>
        <v>maria.villamil@idpc.gov.co</v>
      </c>
      <c r="AK283" s="640" t="str">
        <f>IF(J283="Funcionamiento Gastos Generales","No aplica",IF(J283="Funcionamiento Servicios Personales indirectos","No aplica",IFERROR(VLOOKUP(J283,Listas!$A$127:$E$139,3,FALSE),"Alerta: Seleccione la celda en la comumna B con el nombre del proyecto")))</f>
        <v>ME20181112</v>
      </c>
      <c r="AL283" s="640" t="str">
        <f>IF(J283="Funcionamiento Gastos Generales","No aplica",IF(J283="Funcionamiento Servicios Personales","No aplica",IFERROR(VLOOKUP(J283,Listas!$A$220:$D$224,2,FALSE),"Alerta: Seleccione la celda en la comumna B con el nombre del proyecto")))</f>
        <v>COMP1112</v>
      </c>
      <c r="AM283" s="640" t="str">
        <f>IF(J283="Funcionamiento Gastos Generales","No aplica",IF(J283="Funcionamiento Servicios Personales","No aplica",IFERROR(VLOOKUP(J283,Listas!$A$220:$D$224,3,FALSE),"Alerta: Seleccione la celda en la comumna B con el nombre del proyecto")))</f>
        <v>CONC1112</v>
      </c>
      <c r="AN283" s="633" t="s">
        <v>1050</v>
      </c>
      <c r="AO283" s="633" t="s">
        <v>126</v>
      </c>
      <c r="AP283" s="634" t="str">
        <f>IFERROR(VLOOKUP(J283,Listas!$A$182:$E$215,5,FALSE),"Alerta: Seleccione la celda en la comumna B con el nombre del proyecto")</f>
        <v>15. Instrumentos técnicos de gestión para la preservación del patrimonio cultural</v>
      </c>
      <c r="AQ283" s="634" t="str">
        <f>IF(J283="Funcionamiento Gastos Generales","No aplica",IF(J283="Funcionamiento Servicios Personales","No aplica",IFERROR(VLOOKUP(J283,Listas!$A$220:$D$224,4,FALSE),"Alerta: Seleccione la celda en la comumna B con el nombre del proyecto")))</f>
        <v>FONT1112</v>
      </c>
      <c r="AR283" s="633" t="s">
        <v>198</v>
      </c>
      <c r="AS283" s="634" t="str">
        <f>IFERROR(VLOOKUP(AU283,Listas!$E$85:$L$105,7,FALSE),"Alerta: Seleccione la celda en la comumna AI con el concepto de gasto")</f>
        <v>04-INVESTIGACION Y ESTUDIOS</v>
      </c>
      <c r="AT283" s="634" t="str">
        <f>IFERROR(VLOOKUP(AU283,Listas!$E$85:$L$105,8,FALSE),"Alerta: Seleccione la celda en la comumna AI con el concepto de gasto")</f>
        <v>01-INVESTIGACIÓN BÁSICA APLICADA Y ESTUDIOS PROPIOS DEL SECTOR</v>
      </c>
      <c r="AU283" s="633" t="s">
        <v>201</v>
      </c>
      <c r="AV283" s="634">
        <f>IFERROR(VLOOKUP(AU283,Listas!$E$85:$F$105,2,FALSE),"Alerta: Seleccione el Concepto de Gasto primero")</f>
        <v>0</v>
      </c>
      <c r="AW283" s="644">
        <v>112200000</v>
      </c>
      <c r="AX283" s="645"/>
      <c r="AY283" s="645"/>
      <c r="AZ283" s="645"/>
      <c r="BA283" s="646">
        <f t="shared" si="85"/>
        <v>112200000</v>
      </c>
      <c r="BB283" s="647"/>
      <c r="BC283" s="648"/>
      <c r="BD283" s="649"/>
      <c r="BE283" s="647"/>
      <c r="BF283" s="644"/>
      <c r="BG283" s="646">
        <f t="shared" si="86"/>
        <v>112200000</v>
      </c>
      <c r="BH283" s="650"/>
      <c r="BI283" s="647"/>
      <c r="BJ283" s="644"/>
      <c r="BK283" s="646">
        <f t="shared" si="87"/>
        <v>0</v>
      </c>
      <c r="BL283" s="651"/>
      <c r="BM283" s="652">
        <f t="shared" si="88"/>
        <v>1</v>
      </c>
      <c r="BN283" s="628"/>
      <c r="BO283" s="670"/>
      <c r="BP283" s="644"/>
      <c r="BQ283" s="644"/>
      <c r="BR283" s="644"/>
      <c r="BS283" s="644"/>
      <c r="BT283" s="644"/>
      <c r="BU283" s="644"/>
      <c r="BV283" s="644"/>
      <c r="BW283" s="644"/>
      <c r="BX283" s="644"/>
      <c r="BY283" s="644"/>
      <c r="BZ283" s="644"/>
      <c r="CA283" s="644"/>
      <c r="CB283" s="646">
        <f t="shared" si="89"/>
        <v>0</v>
      </c>
      <c r="CC283" s="646">
        <f t="shared" si="90"/>
        <v>0</v>
      </c>
      <c r="CD283" s="614"/>
    </row>
    <row r="284" spans="1:82" s="561" customFormat="1" ht="61.5" customHeight="1">
      <c r="A284" s="625" t="str">
        <f t="shared" si="72"/>
        <v>1112-140-FONT1112-04-01-0185-Plan especial de manejo y protección del centro histórico</v>
      </c>
      <c r="B284" s="626" t="str">
        <f t="shared" si="73"/>
        <v>1112-140-FONT1112-04-01-0185</v>
      </c>
      <c r="C284" s="626" t="str">
        <f t="shared" si="74"/>
        <v>1112-140-FONT1112-Plan especial de manejo y protección del centro histórico</v>
      </c>
      <c r="D284" s="626" t="str">
        <f t="shared" si="75"/>
        <v>1112-140-12-Otros Distrito-04-01-0185</v>
      </c>
      <c r="E284" s="626" t="str">
        <f t="shared" si="76"/>
        <v>Plan especial de manejo y protección del centro histórico-12-Otros Distrito-0185-Actividades de investigación para la valoración, protección, conservación, sostenibilidad y apropiación del Patrimonio Cultural</v>
      </c>
      <c r="F284" s="627">
        <v>235</v>
      </c>
      <c r="G284" s="628">
        <f t="shared" si="77"/>
        <v>235</v>
      </c>
      <c r="H284" s="629" t="b">
        <f t="shared" si="78"/>
        <v>0</v>
      </c>
      <c r="I284" s="630" t="s">
        <v>594</v>
      </c>
      <c r="J284" s="627" t="s">
        <v>179</v>
      </c>
      <c r="K284" s="631" t="str">
        <f>+IFERROR(VLOOKUP(J284,Listas!$A$108:$B$114,2,FALSE),"Alerta: Seleccione la celda en la comumna B con el nombre del proyecto")</f>
        <v>3-3-1-15-02-17-1112-140</v>
      </c>
      <c r="L284" s="632">
        <v>80111600</v>
      </c>
      <c r="M284" s="633" t="s">
        <v>833</v>
      </c>
      <c r="N284" s="634" t="str">
        <f t="shared" si="79"/>
        <v>(Cód. 235) Prestar servicios profesionales al Instituto Distrital de Patrimonio Cultural en el direccionamiento de norma e instrumentos del Plan Especial de Manejo y Protección -PEMP- del Centro Histórico de Bogotá D.C.</v>
      </c>
      <c r="O284" s="635">
        <v>43480</v>
      </c>
      <c r="P284" s="636">
        <f>IFERROR(VLOOKUP(W284,'Estimación CRP'!$D$21:$E$30,2,FALSE),0)</f>
        <v>10</v>
      </c>
      <c r="Q284" s="637">
        <f>IF(O284="No aplica","No aplica",WORKDAY.INTL(O284,P284,1,'Estimación CRP'!A470:A486))</f>
        <v>43494</v>
      </c>
      <c r="R284" s="636">
        <f t="shared" si="80"/>
        <v>1</v>
      </c>
      <c r="S284" s="636">
        <f t="shared" si="81"/>
        <v>1</v>
      </c>
      <c r="T284" s="636">
        <f t="shared" si="82"/>
        <v>1</v>
      </c>
      <c r="U284" s="712">
        <v>11</v>
      </c>
      <c r="V284" s="638">
        <v>1</v>
      </c>
      <c r="W284" s="639" t="s">
        <v>274</v>
      </c>
      <c r="X284" s="640" t="str">
        <f>IFERROR(VLOOKUP(W284,Listas!$A$60:$B$73,2,FALSE),"Alerta: Seleccione primero Modalidad de selección")</f>
        <v>CCE-16</v>
      </c>
      <c r="Y284" s="641">
        <v>0</v>
      </c>
      <c r="Z284" s="641" t="s">
        <v>346</v>
      </c>
      <c r="AA284" s="641" t="s">
        <v>1300</v>
      </c>
      <c r="AB284" s="642">
        <f t="shared" si="83"/>
        <v>0</v>
      </c>
      <c r="AC284" s="642">
        <f t="shared" si="84"/>
        <v>0</v>
      </c>
      <c r="AD284" s="641">
        <v>0</v>
      </c>
      <c r="AE284" s="643">
        <v>0</v>
      </c>
      <c r="AF284" s="639" t="s">
        <v>276</v>
      </c>
      <c r="AG284" s="639" t="s">
        <v>277</v>
      </c>
      <c r="AH284" s="639" t="s">
        <v>285</v>
      </c>
      <c r="AI284" s="626" t="str">
        <f>IFERROR(VLOOKUP(AH284,Listas!$A$77:$C$83,2,FALSE),"Alerta: Seleccione primero el responsable")</f>
        <v>3550800</v>
      </c>
      <c r="AJ284" s="640" t="str">
        <f>IFERROR(VLOOKUP(AH284,Listas!$A$77:$C$83,3,FALSE),"Alerta: Seleccione primero el responsable")</f>
        <v>maria.villamil@idpc.gov.co</v>
      </c>
      <c r="AK284" s="640" t="str">
        <f>IF(J284="Funcionamiento Gastos Generales","No aplica",IF(J284="Funcionamiento Servicios Personales indirectos","No aplica",IFERROR(VLOOKUP(J284,Listas!$A$127:$E$139,3,FALSE),"Alerta: Seleccione la celda en la comumna B con el nombre del proyecto")))</f>
        <v>ME20181112</v>
      </c>
      <c r="AL284" s="640" t="str">
        <f>IF(J284="Funcionamiento Gastos Generales","No aplica",IF(J284="Funcionamiento Servicios Personales","No aplica",IFERROR(VLOOKUP(J284,Listas!$A$220:$D$224,2,FALSE),"Alerta: Seleccione la celda en la comumna B con el nombre del proyecto")))</f>
        <v>COMP1112</v>
      </c>
      <c r="AM284" s="640" t="str">
        <f>IF(J284="Funcionamiento Gastos Generales","No aplica",IF(J284="Funcionamiento Servicios Personales","No aplica",IFERROR(VLOOKUP(J284,Listas!$A$220:$D$224,3,FALSE),"Alerta: Seleccione la celda en la comumna B con el nombre del proyecto")))</f>
        <v>CONC1112</v>
      </c>
      <c r="AN284" s="633" t="s">
        <v>1050</v>
      </c>
      <c r="AO284" s="633" t="s">
        <v>126</v>
      </c>
      <c r="AP284" s="634" t="str">
        <f>IFERROR(VLOOKUP(J284,Listas!$A$182:$E$215,5,FALSE),"Alerta: Seleccione la celda en la comumna B con el nombre del proyecto")</f>
        <v>15. Instrumentos técnicos de gestión para la preservación del patrimonio cultural</v>
      </c>
      <c r="AQ284" s="634" t="str">
        <f>IF(J284="Funcionamiento Gastos Generales","No aplica",IF(J284="Funcionamiento Servicios Personales","No aplica",IFERROR(VLOOKUP(J284,Listas!$A$220:$D$224,4,FALSE),"Alerta: Seleccione la celda en la comumna B con el nombre del proyecto")))</f>
        <v>FONT1112</v>
      </c>
      <c r="AR284" s="633" t="s">
        <v>198</v>
      </c>
      <c r="AS284" s="634" t="str">
        <f>IFERROR(VLOOKUP(AU284,Listas!$E$85:$L$105,7,FALSE),"Alerta: Seleccione la celda en la comumna AI con el concepto de gasto")</f>
        <v>04-INVESTIGACION Y ESTUDIOS</v>
      </c>
      <c r="AT284" s="634" t="str">
        <f>IFERROR(VLOOKUP(AU284,Listas!$E$85:$L$105,8,FALSE),"Alerta: Seleccione la celda en la comumna AI con el concepto de gasto")</f>
        <v>01-INVESTIGACIÓN BÁSICA APLICADA Y ESTUDIOS PROPIOS DEL SECTOR</v>
      </c>
      <c r="AU284" s="633" t="s">
        <v>201</v>
      </c>
      <c r="AV284" s="634">
        <f>IFERROR(VLOOKUP(AU284,Listas!$E$85:$F$105,2,FALSE),"Alerta: Seleccione el Concepto de Gasto primero")</f>
        <v>0</v>
      </c>
      <c r="AW284" s="644">
        <v>0</v>
      </c>
      <c r="AX284" s="645"/>
      <c r="AY284" s="645"/>
      <c r="AZ284" s="645"/>
      <c r="BA284" s="646">
        <f t="shared" si="85"/>
        <v>0</v>
      </c>
      <c r="BB284" s="647"/>
      <c r="BC284" s="648"/>
      <c r="BD284" s="649"/>
      <c r="BE284" s="647"/>
      <c r="BF284" s="644"/>
      <c r="BG284" s="646">
        <f t="shared" si="86"/>
        <v>0</v>
      </c>
      <c r="BH284" s="650"/>
      <c r="BI284" s="647"/>
      <c r="BJ284" s="644"/>
      <c r="BK284" s="646">
        <f t="shared" si="87"/>
        <v>0</v>
      </c>
      <c r="BL284" s="651"/>
      <c r="BM284" s="652">
        <f t="shared" si="88"/>
        <v>1</v>
      </c>
      <c r="BN284" s="628"/>
      <c r="BO284" s="670"/>
      <c r="BP284" s="644"/>
      <c r="BQ284" s="644"/>
      <c r="BR284" s="644"/>
      <c r="BS284" s="644"/>
      <c r="BT284" s="644"/>
      <c r="BU284" s="644"/>
      <c r="BV284" s="644"/>
      <c r="BW284" s="644"/>
      <c r="BX284" s="644"/>
      <c r="BY284" s="644"/>
      <c r="BZ284" s="644"/>
      <c r="CA284" s="644"/>
      <c r="CB284" s="646">
        <f t="shared" si="89"/>
        <v>0</v>
      </c>
      <c r="CC284" s="646">
        <f t="shared" si="90"/>
        <v>0</v>
      </c>
      <c r="CD284" s="614"/>
    </row>
    <row r="285" spans="1:82" s="561" customFormat="1" ht="61.5" customHeight="1">
      <c r="A285" s="625" t="str">
        <f t="shared" si="72"/>
        <v>1112-140-FONT1112-04-01-0185-Planes y proyectos urbanos en ámbitos patrimoniales</v>
      </c>
      <c r="B285" s="626" t="str">
        <f t="shared" si="73"/>
        <v>1112-140-FONT1112-04-01-0185</v>
      </c>
      <c r="C285" s="626" t="str">
        <f t="shared" si="74"/>
        <v>1112-140-FONT1112-Planes y proyectos urbanos en ámbitos patrimoniales</v>
      </c>
      <c r="D285" s="626" t="str">
        <f t="shared" si="75"/>
        <v>1112-140-12-Otros Distrito-04-01-0185</v>
      </c>
      <c r="E285" s="626" t="str">
        <f t="shared" si="76"/>
        <v>Planes y proyectos urbanos en ámbitos patrimoniales-12-Otros Distrito-0185-Actividades de investigación para la valoración, protección, conservación, sostenibilidad y apropiación del Patrimonio Cultural</v>
      </c>
      <c r="F285" s="627">
        <v>236</v>
      </c>
      <c r="G285" s="628">
        <f t="shared" si="77"/>
        <v>236</v>
      </c>
      <c r="H285" s="629" t="b">
        <f t="shared" si="78"/>
        <v>0</v>
      </c>
      <c r="I285" s="630" t="s">
        <v>594</v>
      </c>
      <c r="J285" s="627" t="s">
        <v>179</v>
      </c>
      <c r="K285" s="631" t="str">
        <f>+IFERROR(VLOOKUP(J285,Listas!$A$108:$B$114,2,FALSE),"Alerta: Seleccione la celda en la comumna B con el nombre del proyecto")</f>
        <v>3-3-1-15-02-17-1112-140</v>
      </c>
      <c r="L285" s="632">
        <v>80111600</v>
      </c>
      <c r="M285" s="633" t="s">
        <v>834</v>
      </c>
      <c r="N285" s="634" t="str">
        <f t="shared" si="79"/>
        <v xml:space="preserve">(Cód. 236) Prestar servicios profesionales al Instituto Distrital de Patrimonio Cultural para elaborar insumos en el componente de innovación en la formulación de proyectos del Instituto. </v>
      </c>
      <c r="O285" s="635">
        <v>43489</v>
      </c>
      <c r="P285" s="636">
        <f>IFERROR(VLOOKUP(W285,'Estimación CRP'!$D$21:$E$30,2,FALSE),0)</f>
        <v>10</v>
      </c>
      <c r="Q285" s="637">
        <f>IF(O285="No aplica","No aplica",WORKDAY.INTL(O285,P285,1,'Estimación CRP'!A471:A487))</f>
        <v>43503</v>
      </c>
      <c r="R285" s="636">
        <f t="shared" si="80"/>
        <v>2</v>
      </c>
      <c r="S285" s="636">
        <f t="shared" si="81"/>
        <v>1</v>
      </c>
      <c r="T285" s="636">
        <f t="shared" si="82"/>
        <v>1</v>
      </c>
      <c r="U285" s="712">
        <v>5</v>
      </c>
      <c r="V285" s="638">
        <v>1</v>
      </c>
      <c r="W285" s="639" t="s">
        <v>274</v>
      </c>
      <c r="X285" s="640" t="str">
        <f>IFERROR(VLOOKUP(W285,Listas!$A$60:$B$73,2,FALSE),"Alerta: Seleccione primero Modalidad de selección")</f>
        <v>CCE-16</v>
      </c>
      <c r="Y285" s="641">
        <v>0</v>
      </c>
      <c r="Z285" s="641" t="s">
        <v>346</v>
      </c>
      <c r="AA285" s="641" t="s">
        <v>1301</v>
      </c>
      <c r="AB285" s="642">
        <f t="shared" si="83"/>
        <v>19000000</v>
      </c>
      <c r="AC285" s="642">
        <f t="shared" si="84"/>
        <v>19000000</v>
      </c>
      <c r="AD285" s="641">
        <v>0</v>
      </c>
      <c r="AE285" s="643">
        <v>0</v>
      </c>
      <c r="AF285" s="639" t="s">
        <v>276</v>
      </c>
      <c r="AG285" s="639" t="s">
        <v>277</v>
      </c>
      <c r="AH285" s="639" t="s">
        <v>285</v>
      </c>
      <c r="AI285" s="626" t="str">
        <f>IFERROR(VLOOKUP(AH285,Listas!$A$77:$C$83,2,FALSE),"Alerta: Seleccione primero el responsable")</f>
        <v>3550800</v>
      </c>
      <c r="AJ285" s="640" t="str">
        <f>IFERROR(VLOOKUP(AH285,Listas!$A$77:$C$83,3,FALSE),"Alerta: Seleccione primero el responsable")</f>
        <v>maria.villamil@idpc.gov.co</v>
      </c>
      <c r="AK285" s="640" t="str">
        <f>IF(J285="Funcionamiento Gastos Generales","No aplica",IF(J285="Funcionamiento Servicios Personales indirectos","No aplica",IFERROR(VLOOKUP(J285,Listas!$A$127:$E$139,3,FALSE),"Alerta: Seleccione la celda en la comumna B con el nombre del proyecto")))</f>
        <v>ME20181112</v>
      </c>
      <c r="AL285" s="640" t="str">
        <f>IF(J285="Funcionamiento Gastos Generales","No aplica",IF(J285="Funcionamiento Servicios Personales","No aplica",IFERROR(VLOOKUP(J285,Listas!$A$220:$D$224,2,FALSE),"Alerta: Seleccione la celda en la comumna B con el nombre del proyecto")))</f>
        <v>COMP1112</v>
      </c>
      <c r="AM285" s="640" t="str">
        <f>IF(J285="Funcionamiento Gastos Generales","No aplica",IF(J285="Funcionamiento Servicios Personales","No aplica",IFERROR(VLOOKUP(J285,Listas!$A$220:$D$224,3,FALSE),"Alerta: Seleccione la celda en la comumna B con el nombre del proyecto")))</f>
        <v>CONC1112</v>
      </c>
      <c r="AN285" s="633" t="s">
        <v>1051</v>
      </c>
      <c r="AO285" s="633" t="s">
        <v>127</v>
      </c>
      <c r="AP285" s="634" t="str">
        <f>IFERROR(VLOOKUP(J285,Listas!$A$182:$E$215,5,FALSE),"Alerta: Seleccione la celda en la comumna B con el nombre del proyecto")</f>
        <v>15. Instrumentos técnicos de gestión para la preservación del patrimonio cultural</v>
      </c>
      <c r="AQ285" s="634" t="str">
        <f>IF(J285="Funcionamiento Gastos Generales","No aplica",IF(J285="Funcionamiento Servicios Personales","No aplica",IFERROR(VLOOKUP(J285,Listas!$A$220:$D$224,4,FALSE),"Alerta: Seleccione la celda en la comumna B con el nombre del proyecto")))</f>
        <v>FONT1112</v>
      </c>
      <c r="AR285" s="633" t="s">
        <v>198</v>
      </c>
      <c r="AS285" s="634" t="str">
        <f>IFERROR(VLOOKUP(AU285,Listas!$E$85:$L$105,7,FALSE),"Alerta: Seleccione la celda en la comumna AI con el concepto de gasto")</f>
        <v>04-INVESTIGACION Y ESTUDIOS</v>
      </c>
      <c r="AT285" s="634" t="str">
        <f>IFERROR(VLOOKUP(AU285,Listas!$E$85:$L$105,8,FALSE),"Alerta: Seleccione la celda en la comumna AI con el concepto de gasto")</f>
        <v>01-INVESTIGACIÓN BÁSICA APLICADA Y ESTUDIOS PROPIOS DEL SECTOR</v>
      </c>
      <c r="AU285" s="633" t="s">
        <v>201</v>
      </c>
      <c r="AV285" s="634">
        <f>IFERROR(VLOOKUP(AU285,Listas!$E$85:$F$105,2,FALSE),"Alerta: Seleccione el Concepto de Gasto primero")</f>
        <v>0</v>
      </c>
      <c r="AW285" s="644">
        <v>19000000</v>
      </c>
      <c r="AX285" s="645"/>
      <c r="AY285" s="645"/>
      <c r="AZ285" s="645"/>
      <c r="BA285" s="646">
        <f t="shared" si="85"/>
        <v>19000000</v>
      </c>
      <c r="BB285" s="647"/>
      <c r="BC285" s="648"/>
      <c r="BD285" s="649"/>
      <c r="BE285" s="647"/>
      <c r="BF285" s="644"/>
      <c r="BG285" s="646">
        <f t="shared" si="86"/>
        <v>19000000</v>
      </c>
      <c r="BH285" s="650"/>
      <c r="BI285" s="647"/>
      <c r="BJ285" s="644"/>
      <c r="BK285" s="646">
        <f t="shared" si="87"/>
        <v>0</v>
      </c>
      <c r="BL285" s="651"/>
      <c r="BM285" s="652">
        <f t="shared" si="88"/>
        <v>1</v>
      </c>
      <c r="BN285" s="628"/>
      <c r="BO285" s="670"/>
      <c r="BP285" s="644"/>
      <c r="BQ285" s="644"/>
      <c r="BR285" s="644"/>
      <c r="BS285" s="644"/>
      <c r="BT285" s="644"/>
      <c r="BU285" s="644"/>
      <c r="BV285" s="644"/>
      <c r="BW285" s="644"/>
      <c r="BX285" s="644"/>
      <c r="BY285" s="644"/>
      <c r="BZ285" s="644"/>
      <c r="CA285" s="644"/>
      <c r="CB285" s="646">
        <f t="shared" si="89"/>
        <v>0</v>
      </c>
      <c r="CC285" s="646">
        <f t="shared" si="90"/>
        <v>0</v>
      </c>
      <c r="CD285" s="614"/>
    </row>
    <row r="286" spans="1:82" s="561" customFormat="1" ht="61.5" customHeight="1">
      <c r="A286" s="625" t="str">
        <f t="shared" si="72"/>
        <v>1112-140-FONT1112-04-01-0185-Plan especial de manejo y protección del centro histórico</v>
      </c>
      <c r="B286" s="626" t="str">
        <f t="shared" si="73"/>
        <v>1112-140-FONT1112-04-01-0185</v>
      </c>
      <c r="C286" s="626" t="str">
        <f t="shared" si="74"/>
        <v>1112-140-FONT1112-Plan especial de manejo y protección del centro histórico</v>
      </c>
      <c r="D286" s="626" t="str">
        <f t="shared" si="75"/>
        <v>1112-140-12-Otros Distrito-04-01-0185</v>
      </c>
      <c r="E286" s="626" t="str">
        <f t="shared" si="76"/>
        <v>Plan especial de manejo y protección del centro histórico-12-Otros Distrito-0185-Actividades de investigación para la valoración, protección, conservación, sostenibilidad y apropiación del Patrimonio Cultural</v>
      </c>
      <c r="F286" s="627">
        <v>237</v>
      </c>
      <c r="G286" s="628">
        <f t="shared" si="77"/>
        <v>237</v>
      </c>
      <c r="H286" s="629" t="b">
        <f t="shared" si="78"/>
        <v>0</v>
      </c>
      <c r="I286" s="630" t="s">
        <v>594</v>
      </c>
      <c r="J286" s="627" t="s">
        <v>179</v>
      </c>
      <c r="K286" s="631" t="str">
        <f>+IFERROR(VLOOKUP(J286,Listas!$A$108:$B$114,2,FALSE),"Alerta: Seleccione la celda en la comumna B con el nombre del proyecto")</f>
        <v>3-3-1-15-02-17-1112-140</v>
      </c>
      <c r="L286" s="632">
        <v>80111600</v>
      </c>
      <c r="M286" s="633" t="s">
        <v>811</v>
      </c>
      <c r="N286" s="634" t="str">
        <f t="shared" si="79"/>
        <v xml:space="preserve">(Cód. 237) Prestar servicios profesionales al Instituto Distrital de Patrimonio Cultural en la ejecución de las actividades de edición de textos e imágenes y montaje para la consolidación de la valoración e inventario de los bienes del patrimonio cultural inmueble del Plan Especial de Manejo y Protección- PEMP- del Centro Histórico de Bogotá D.C.  </v>
      </c>
      <c r="O286" s="635">
        <v>43480</v>
      </c>
      <c r="P286" s="636">
        <f>IFERROR(VLOOKUP(W286,'Estimación CRP'!$D$21:$E$30,2,FALSE),0)</f>
        <v>10</v>
      </c>
      <c r="Q286" s="637">
        <f>IF(O286="No aplica","No aplica",WORKDAY.INTL(O286,P286,1,'Estimación CRP'!A472:A488))</f>
        <v>43494</v>
      </c>
      <c r="R286" s="636">
        <f t="shared" si="80"/>
        <v>1</v>
      </c>
      <c r="S286" s="636">
        <f t="shared" si="81"/>
        <v>1</v>
      </c>
      <c r="T286" s="636">
        <f t="shared" si="82"/>
        <v>1</v>
      </c>
      <c r="U286" s="712">
        <v>3</v>
      </c>
      <c r="V286" s="638">
        <v>1</v>
      </c>
      <c r="W286" s="639" t="s">
        <v>274</v>
      </c>
      <c r="X286" s="640" t="str">
        <f>IFERROR(VLOOKUP(W286,Listas!$A$60:$B$73,2,FALSE),"Alerta: Seleccione primero Modalidad de selección")</f>
        <v>CCE-16</v>
      </c>
      <c r="Y286" s="641">
        <v>0</v>
      </c>
      <c r="Z286" s="641" t="s">
        <v>346</v>
      </c>
      <c r="AA286" s="641" t="s">
        <v>1302</v>
      </c>
      <c r="AB286" s="642">
        <f t="shared" si="83"/>
        <v>12360000</v>
      </c>
      <c r="AC286" s="642">
        <f t="shared" si="84"/>
        <v>12360000</v>
      </c>
      <c r="AD286" s="641">
        <v>0</v>
      </c>
      <c r="AE286" s="643">
        <v>0</v>
      </c>
      <c r="AF286" s="639" t="s">
        <v>276</v>
      </c>
      <c r="AG286" s="639" t="s">
        <v>277</v>
      </c>
      <c r="AH286" s="639" t="s">
        <v>285</v>
      </c>
      <c r="AI286" s="626" t="str">
        <f>IFERROR(VLOOKUP(AH286,Listas!$A$77:$C$83,2,FALSE),"Alerta: Seleccione primero el responsable")</f>
        <v>3550800</v>
      </c>
      <c r="AJ286" s="640" t="str">
        <f>IFERROR(VLOOKUP(AH286,Listas!$A$77:$C$83,3,FALSE),"Alerta: Seleccione primero el responsable")</f>
        <v>maria.villamil@idpc.gov.co</v>
      </c>
      <c r="AK286" s="640" t="str">
        <f>IF(J286="Funcionamiento Gastos Generales","No aplica",IF(J286="Funcionamiento Servicios Personales indirectos","No aplica",IFERROR(VLOOKUP(J286,Listas!$A$127:$E$139,3,FALSE),"Alerta: Seleccione la celda en la comumna B con el nombre del proyecto")))</f>
        <v>ME20181112</v>
      </c>
      <c r="AL286" s="640" t="str">
        <f>IF(J286="Funcionamiento Gastos Generales","No aplica",IF(J286="Funcionamiento Servicios Personales","No aplica",IFERROR(VLOOKUP(J286,Listas!$A$220:$D$224,2,FALSE),"Alerta: Seleccione la celda en la comumna B con el nombre del proyecto")))</f>
        <v>COMP1112</v>
      </c>
      <c r="AM286" s="640" t="str">
        <f>IF(J286="Funcionamiento Gastos Generales","No aplica",IF(J286="Funcionamiento Servicios Personales","No aplica",IFERROR(VLOOKUP(J286,Listas!$A$220:$D$224,3,FALSE),"Alerta: Seleccione la celda en la comumna B con el nombre del proyecto")))</f>
        <v>CONC1112</v>
      </c>
      <c r="AN286" s="633" t="s">
        <v>1050</v>
      </c>
      <c r="AO286" s="633" t="s">
        <v>126</v>
      </c>
      <c r="AP286" s="634" t="str">
        <f>IFERROR(VLOOKUP(J286,Listas!$A$182:$E$215,5,FALSE),"Alerta: Seleccione la celda en la comumna B con el nombre del proyecto")</f>
        <v>15. Instrumentos técnicos de gestión para la preservación del patrimonio cultural</v>
      </c>
      <c r="AQ286" s="634" t="str">
        <f>IF(J286="Funcionamiento Gastos Generales","No aplica",IF(J286="Funcionamiento Servicios Personales","No aplica",IFERROR(VLOOKUP(J286,Listas!$A$220:$D$224,4,FALSE),"Alerta: Seleccione la celda en la comumna B con el nombre del proyecto")))</f>
        <v>FONT1112</v>
      </c>
      <c r="AR286" s="633" t="s">
        <v>198</v>
      </c>
      <c r="AS286" s="634" t="str">
        <f>IFERROR(VLOOKUP(AU286,Listas!$E$85:$L$105,7,FALSE),"Alerta: Seleccione la celda en la comumna AI con el concepto de gasto")</f>
        <v>04-INVESTIGACION Y ESTUDIOS</v>
      </c>
      <c r="AT286" s="634" t="str">
        <f>IFERROR(VLOOKUP(AU286,Listas!$E$85:$L$105,8,FALSE),"Alerta: Seleccione la celda en la comumna AI con el concepto de gasto")</f>
        <v>01-INVESTIGACIÓN BÁSICA APLICADA Y ESTUDIOS PROPIOS DEL SECTOR</v>
      </c>
      <c r="AU286" s="633" t="s">
        <v>201</v>
      </c>
      <c r="AV286" s="634">
        <f>IFERROR(VLOOKUP(AU286,Listas!$E$85:$F$105,2,FALSE),"Alerta: Seleccione el Concepto de Gasto primero")</f>
        <v>0</v>
      </c>
      <c r="AW286" s="644">
        <v>12360000</v>
      </c>
      <c r="AX286" s="645"/>
      <c r="AY286" s="645"/>
      <c r="AZ286" s="645"/>
      <c r="BA286" s="646">
        <f t="shared" si="85"/>
        <v>12360000</v>
      </c>
      <c r="BB286" s="647"/>
      <c r="BC286" s="648"/>
      <c r="BD286" s="649"/>
      <c r="BE286" s="647"/>
      <c r="BF286" s="644"/>
      <c r="BG286" s="646">
        <f t="shared" si="86"/>
        <v>12360000</v>
      </c>
      <c r="BH286" s="650"/>
      <c r="BI286" s="647"/>
      <c r="BJ286" s="644"/>
      <c r="BK286" s="646">
        <f t="shared" si="87"/>
        <v>0</v>
      </c>
      <c r="BL286" s="651"/>
      <c r="BM286" s="652">
        <f t="shared" si="88"/>
        <v>1</v>
      </c>
      <c r="BN286" s="628"/>
      <c r="BO286" s="670"/>
      <c r="BP286" s="644"/>
      <c r="BQ286" s="644"/>
      <c r="BR286" s="644"/>
      <c r="BS286" s="644"/>
      <c r="BT286" s="644"/>
      <c r="BU286" s="644"/>
      <c r="BV286" s="644"/>
      <c r="BW286" s="644"/>
      <c r="BX286" s="644"/>
      <c r="BY286" s="644"/>
      <c r="BZ286" s="644"/>
      <c r="CA286" s="644"/>
      <c r="CB286" s="646">
        <f t="shared" si="89"/>
        <v>0</v>
      </c>
      <c r="CC286" s="646">
        <f t="shared" si="90"/>
        <v>0</v>
      </c>
      <c r="CD286" s="614"/>
    </row>
    <row r="287" spans="1:82" s="561" customFormat="1" ht="61.5" customHeight="1">
      <c r="A287" s="625" t="str">
        <f t="shared" si="72"/>
        <v>1112-140-FONT1112-04-01-0185-Plan especial de manejo y protección del centro histórico</v>
      </c>
      <c r="B287" s="626" t="str">
        <f t="shared" si="73"/>
        <v>1112-140-FONT1112-04-01-0185</v>
      </c>
      <c r="C287" s="626" t="str">
        <f t="shared" si="74"/>
        <v>1112-140-FONT1112-Plan especial de manejo y protección del centro histórico</v>
      </c>
      <c r="D287" s="626" t="str">
        <f t="shared" si="75"/>
        <v>1112-140-12-Otros Distrito-04-01-0185</v>
      </c>
      <c r="E287" s="626" t="str">
        <f t="shared" si="76"/>
        <v>Plan especial de manejo y protección del centro histórico-12-Otros Distrito-0185-Actividades de investigación para la valoración, protección, conservación, sostenibilidad y apropiación del Patrimonio Cultural</v>
      </c>
      <c r="F287" s="627">
        <v>238</v>
      </c>
      <c r="G287" s="628">
        <f t="shared" si="77"/>
        <v>238</v>
      </c>
      <c r="H287" s="629" t="b">
        <f t="shared" si="78"/>
        <v>0</v>
      </c>
      <c r="I287" s="630" t="s">
        <v>594</v>
      </c>
      <c r="J287" s="627" t="s">
        <v>179</v>
      </c>
      <c r="K287" s="631" t="str">
        <f>+IFERROR(VLOOKUP(J287,Listas!$A$108:$B$114,2,FALSE),"Alerta: Seleccione la celda en la comumna B con el nombre del proyecto")</f>
        <v>3-3-1-15-02-17-1112-140</v>
      </c>
      <c r="L287" s="632">
        <v>80111600</v>
      </c>
      <c r="M287" s="633" t="s">
        <v>811</v>
      </c>
      <c r="N287" s="634" t="str">
        <f t="shared" si="79"/>
        <v xml:space="preserve">(Cód. 238) Prestar servicios profesionales al Instituto Distrital de Patrimonio Cultural en la ejecución de las actividades de edición de textos e imágenes y montaje para la consolidación de la valoración e inventario de los bienes del patrimonio cultural inmueble del Plan Especial de Manejo y Protección- PEMP- del Centro Histórico de Bogotá D.C.  </v>
      </c>
      <c r="O287" s="635">
        <v>43480</v>
      </c>
      <c r="P287" s="636">
        <f>IFERROR(VLOOKUP(W287,'Estimación CRP'!$D$21:$E$30,2,FALSE),0)</f>
        <v>10</v>
      </c>
      <c r="Q287" s="637">
        <f>IF(O287="No aplica","No aplica",WORKDAY.INTL(O287,P287,1,'Estimación CRP'!A473:A489))</f>
        <v>43494</v>
      </c>
      <c r="R287" s="636">
        <f t="shared" si="80"/>
        <v>1</v>
      </c>
      <c r="S287" s="636">
        <f t="shared" si="81"/>
        <v>1</v>
      </c>
      <c r="T287" s="636">
        <f t="shared" si="82"/>
        <v>1</v>
      </c>
      <c r="U287" s="712">
        <v>3</v>
      </c>
      <c r="V287" s="638">
        <v>1</v>
      </c>
      <c r="W287" s="639" t="s">
        <v>274</v>
      </c>
      <c r="X287" s="640" t="str">
        <f>IFERROR(VLOOKUP(W287,Listas!$A$60:$B$73,2,FALSE),"Alerta: Seleccione primero Modalidad de selección")</f>
        <v>CCE-16</v>
      </c>
      <c r="Y287" s="641">
        <v>0</v>
      </c>
      <c r="Z287" s="641" t="s">
        <v>346</v>
      </c>
      <c r="AA287" s="641" t="s">
        <v>1303</v>
      </c>
      <c r="AB287" s="642">
        <f t="shared" si="83"/>
        <v>12360000</v>
      </c>
      <c r="AC287" s="642">
        <f t="shared" si="84"/>
        <v>12360000</v>
      </c>
      <c r="AD287" s="641">
        <v>0</v>
      </c>
      <c r="AE287" s="643">
        <v>0</v>
      </c>
      <c r="AF287" s="639" t="s">
        <v>276</v>
      </c>
      <c r="AG287" s="639" t="s">
        <v>277</v>
      </c>
      <c r="AH287" s="639" t="s">
        <v>285</v>
      </c>
      <c r="AI287" s="626" t="str">
        <f>IFERROR(VLOOKUP(AH287,Listas!$A$77:$C$83,2,FALSE),"Alerta: Seleccione primero el responsable")</f>
        <v>3550800</v>
      </c>
      <c r="AJ287" s="640" t="str">
        <f>IFERROR(VLOOKUP(AH287,Listas!$A$77:$C$83,3,FALSE),"Alerta: Seleccione primero el responsable")</f>
        <v>maria.villamil@idpc.gov.co</v>
      </c>
      <c r="AK287" s="640" t="str">
        <f>IF(J287="Funcionamiento Gastos Generales","No aplica",IF(J287="Funcionamiento Servicios Personales indirectos","No aplica",IFERROR(VLOOKUP(J287,Listas!$A$127:$E$139,3,FALSE),"Alerta: Seleccione la celda en la comumna B con el nombre del proyecto")))</f>
        <v>ME20181112</v>
      </c>
      <c r="AL287" s="640" t="str">
        <f>IF(J287="Funcionamiento Gastos Generales","No aplica",IF(J287="Funcionamiento Servicios Personales","No aplica",IFERROR(VLOOKUP(J287,Listas!$A$220:$D$224,2,FALSE),"Alerta: Seleccione la celda en la comumna B con el nombre del proyecto")))</f>
        <v>COMP1112</v>
      </c>
      <c r="AM287" s="640" t="str">
        <f>IF(J287="Funcionamiento Gastos Generales","No aplica",IF(J287="Funcionamiento Servicios Personales","No aplica",IFERROR(VLOOKUP(J287,Listas!$A$220:$D$224,3,FALSE),"Alerta: Seleccione la celda en la comumna B con el nombre del proyecto")))</f>
        <v>CONC1112</v>
      </c>
      <c r="AN287" s="633" t="s">
        <v>1050</v>
      </c>
      <c r="AO287" s="633" t="s">
        <v>126</v>
      </c>
      <c r="AP287" s="634" t="str">
        <f>IFERROR(VLOOKUP(J287,Listas!$A$182:$E$215,5,FALSE),"Alerta: Seleccione la celda en la comumna B con el nombre del proyecto")</f>
        <v>15. Instrumentos técnicos de gestión para la preservación del patrimonio cultural</v>
      </c>
      <c r="AQ287" s="634" t="str">
        <f>IF(J287="Funcionamiento Gastos Generales","No aplica",IF(J287="Funcionamiento Servicios Personales","No aplica",IFERROR(VLOOKUP(J287,Listas!$A$220:$D$224,4,FALSE),"Alerta: Seleccione la celda en la comumna B con el nombre del proyecto")))</f>
        <v>FONT1112</v>
      </c>
      <c r="AR287" s="633" t="s">
        <v>198</v>
      </c>
      <c r="AS287" s="634" t="str">
        <f>IFERROR(VLOOKUP(AU287,Listas!$E$85:$L$105,7,FALSE),"Alerta: Seleccione la celda en la comumna AI con el concepto de gasto")</f>
        <v>04-INVESTIGACION Y ESTUDIOS</v>
      </c>
      <c r="AT287" s="634" t="str">
        <f>IFERROR(VLOOKUP(AU287,Listas!$E$85:$L$105,8,FALSE),"Alerta: Seleccione la celda en la comumna AI con el concepto de gasto")</f>
        <v>01-INVESTIGACIÓN BÁSICA APLICADA Y ESTUDIOS PROPIOS DEL SECTOR</v>
      </c>
      <c r="AU287" s="633" t="s">
        <v>201</v>
      </c>
      <c r="AV287" s="634">
        <f>IFERROR(VLOOKUP(AU287,Listas!$E$85:$F$105,2,FALSE),"Alerta: Seleccione el Concepto de Gasto primero")</f>
        <v>0</v>
      </c>
      <c r="AW287" s="644">
        <v>12360000</v>
      </c>
      <c r="AX287" s="645"/>
      <c r="AY287" s="645"/>
      <c r="AZ287" s="645"/>
      <c r="BA287" s="646">
        <f t="shared" si="85"/>
        <v>12360000</v>
      </c>
      <c r="BB287" s="647"/>
      <c r="BC287" s="648"/>
      <c r="BD287" s="649"/>
      <c r="BE287" s="647"/>
      <c r="BF287" s="644"/>
      <c r="BG287" s="646">
        <f t="shared" si="86"/>
        <v>12360000</v>
      </c>
      <c r="BH287" s="650"/>
      <c r="BI287" s="647"/>
      <c r="BJ287" s="644"/>
      <c r="BK287" s="646">
        <f t="shared" si="87"/>
        <v>0</v>
      </c>
      <c r="BL287" s="651"/>
      <c r="BM287" s="652">
        <f t="shared" si="88"/>
        <v>1</v>
      </c>
      <c r="BN287" s="628"/>
      <c r="BO287" s="670"/>
      <c r="BP287" s="644"/>
      <c r="BQ287" s="644"/>
      <c r="BR287" s="644"/>
      <c r="BS287" s="644"/>
      <c r="BT287" s="644"/>
      <c r="BU287" s="644"/>
      <c r="BV287" s="644"/>
      <c r="BW287" s="644"/>
      <c r="BX287" s="644"/>
      <c r="BY287" s="644"/>
      <c r="BZ287" s="644"/>
      <c r="CA287" s="644"/>
      <c r="CB287" s="646">
        <f t="shared" si="89"/>
        <v>0</v>
      </c>
      <c r="CC287" s="646">
        <f t="shared" si="90"/>
        <v>0</v>
      </c>
      <c r="CD287" s="614"/>
    </row>
    <row r="288" spans="1:82" s="561" customFormat="1" ht="61.5" customHeight="1">
      <c r="A288" s="625" t="str">
        <f t="shared" ref="A288:A351" si="91">+CONCATENATE(B288,"-",AO288)</f>
        <v>1112-140-FONT1112-04-01-0185-Plan especial de manejo y protección del centro histórico</v>
      </c>
      <c r="B288" s="626" t="str">
        <f t="shared" ref="B288:B351" si="92">CONCATENATE(RIGHT(K288,8),"-",AQ288,"-",LEFT(AS288,2),"-",LEFT(AT288,2),"-",LEFT(AU288,4))</f>
        <v>1112-140-FONT1112-04-01-0185</v>
      </c>
      <c r="C288" s="626" t="str">
        <f t="shared" ref="C288:C351" si="93">+CONCATENATE(RIGHT(K288,8),"-",AQ288,"-",AO288)</f>
        <v>1112-140-FONT1112-Plan especial de manejo y protección del centro histórico</v>
      </c>
      <c r="D288" s="626" t="str">
        <f t="shared" ref="D288:D351" si="94">+CONCATENATE(RIGHT(K288,8),"-",AR288,"-",LEFT(AS288,2),"-",LEFT(AT288,2),"-",LEFT(AU288,4))</f>
        <v>1112-140-12-Otros Distrito-04-01-0185</v>
      </c>
      <c r="E288" s="626" t="str">
        <f t="shared" si="76"/>
        <v>Plan especial de manejo y protección del centro histórico-12-Otros Distrito-0185-Actividades de investigación para la valoración, protección, conservación, sostenibilidad y apropiación del Patrimonio Cultural</v>
      </c>
      <c r="F288" s="627">
        <v>239</v>
      </c>
      <c r="G288" s="628">
        <f t="shared" si="77"/>
        <v>239</v>
      </c>
      <c r="H288" s="629" t="b">
        <f t="shared" si="78"/>
        <v>0</v>
      </c>
      <c r="I288" s="630" t="s">
        <v>594</v>
      </c>
      <c r="J288" s="627" t="s">
        <v>179</v>
      </c>
      <c r="K288" s="631" t="str">
        <f>+IFERROR(VLOOKUP(J288,Listas!$A$108:$B$114,2,FALSE),"Alerta: Seleccione la celda en la comumna B con el nombre del proyecto")</f>
        <v>3-3-1-15-02-17-1112-140</v>
      </c>
      <c r="L288" s="632">
        <v>80111600</v>
      </c>
      <c r="M288" s="633" t="s">
        <v>822</v>
      </c>
      <c r="N288" s="634" t="str">
        <f t="shared" si="79"/>
        <v xml:space="preserve">(Cód. 239) Prestar servicios profesionales al Instituto Distrital de Patrimonio Cultural en la ejecución de las actividades de planimetría y montaje para la consolidación de la valoración e inventario de los bienes del patrimonio cultural inmueble del Plan Especial de Manejo y Protección- PEMP- del Centro Histórico de Bogotá D.C.  </v>
      </c>
      <c r="O288" s="635">
        <v>43480</v>
      </c>
      <c r="P288" s="636">
        <f>IFERROR(VLOOKUP(W288,'Estimación CRP'!$D$21:$E$30,2,FALSE),0)</f>
        <v>10</v>
      </c>
      <c r="Q288" s="637">
        <f>IF(O288="No aplica","No aplica",WORKDAY.INTL(O288,P288,1,'Estimación CRP'!A474:A490))</f>
        <v>43494</v>
      </c>
      <c r="R288" s="636">
        <f t="shared" si="80"/>
        <v>1</v>
      </c>
      <c r="S288" s="636">
        <f t="shared" si="81"/>
        <v>1</v>
      </c>
      <c r="T288" s="636">
        <f t="shared" si="82"/>
        <v>1</v>
      </c>
      <c r="U288" s="712">
        <v>3</v>
      </c>
      <c r="V288" s="638">
        <v>1</v>
      </c>
      <c r="W288" s="639" t="s">
        <v>274</v>
      </c>
      <c r="X288" s="640" t="str">
        <f>IFERROR(VLOOKUP(W288,Listas!$A$60:$B$73,2,FALSE),"Alerta: Seleccione primero Modalidad de selección")</f>
        <v>CCE-16</v>
      </c>
      <c r="Y288" s="641">
        <v>0</v>
      </c>
      <c r="Z288" s="641" t="s">
        <v>346</v>
      </c>
      <c r="AA288" s="641" t="s">
        <v>1304</v>
      </c>
      <c r="AB288" s="642">
        <f t="shared" si="83"/>
        <v>11100000</v>
      </c>
      <c r="AC288" s="642">
        <f t="shared" si="84"/>
        <v>11100000</v>
      </c>
      <c r="AD288" s="641">
        <v>0</v>
      </c>
      <c r="AE288" s="643">
        <v>0</v>
      </c>
      <c r="AF288" s="639" t="s">
        <v>276</v>
      </c>
      <c r="AG288" s="639" t="s">
        <v>277</v>
      </c>
      <c r="AH288" s="639" t="s">
        <v>285</v>
      </c>
      <c r="AI288" s="626" t="str">
        <f>IFERROR(VLOOKUP(AH288,Listas!$A$77:$C$83,2,FALSE),"Alerta: Seleccione primero el responsable")</f>
        <v>3550800</v>
      </c>
      <c r="AJ288" s="640" t="str">
        <f>IFERROR(VLOOKUP(AH288,Listas!$A$77:$C$83,3,FALSE),"Alerta: Seleccione primero el responsable")</f>
        <v>maria.villamil@idpc.gov.co</v>
      </c>
      <c r="AK288" s="640" t="str">
        <f>IF(J288="Funcionamiento Gastos Generales","No aplica",IF(J288="Funcionamiento Servicios Personales indirectos","No aplica",IFERROR(VLOOKUP(J288,Listas!$A$127:$E$139,3,FALSE),"Alerta: Seleccione la celda en la comumna B con el nombre del proyecto")))</f>
        <v>ME20181112</v>
      </c>
      <c r="AL288" s="640" t="str">
        <f>IF(J288="Funcionamiento Gastos Generales","No aplica",IF(J288="Funcionamiento Servicios Personales","No aplica",IFERROR(VLOOKUP(J288,Listas!$A$220:$D$224,2,FALSE),"Alerta: Seleccione la celda en la comumna B con el nombre del proyecto")))</f>
        <v>COMP1112</v>
      </c>
      <c r="AM288" s="640" t="str">
        <f>IF(J288="Funcionamiento Gastos Generales","No aplica",IF(J288="Funcionamiento Servicios Personales","No aplica",IFERROR(VLOOKUP(J288,Listas!$A$220:$D$224,3,FALSE),"Alerta: Seleccione la celda en la comumna B con el nombre del proyecto")))</f>
        <v>CONC1112</v>
      </c>
      <c r="AN288" s="633" t="s">
        <v>1050</v>
      </c>
      <c r="AO288" s="633" t="s">
        <v>126</v>
      </c>
      <c r="AP288" s="634" t="str">
        <f>IFERROR(VLOOKUP(J288,Listas!$A$182:$E$215,5,FALSE),"Alerta: Seleccione la celda en la comumna B con el nombre del proyecto")</f>
        <v>15. Instrumentos técnicos de gestión para la preservación del patrimonio cultural</v>
      </c>
      <c r="AQ288" s="634" t="str">
        <f>IF(J288="Funcionamiento Gastos Generales","No aplica",IF(J288="Funcionamiento Servicios Personales","No aplica",IFERROR(VLOOKUP(J288,Listas!$A$220:$D$224,4,FALSE),"Alerta: Seleccione la celda en la comumna B con el nombre del proyecto")))</f>
        <v>FONT1112</v>
      </c>
      <c r="AR288" s="633" t="s">
        <v>198</v>
      </c>
      <c r="AS288" s="634" t="str">
        <f>IFERROR(VLOOKUP(AU288,Listas!$E$85:$L$105,7,FALSE),"Alerta: Seleccione la celda en la comumna AI con el concepto de gasto")</f>
        <v>04-INVESTIGACION Y ESTUDIOS</v>
      </c>
      <c r="AT288" s="634" t="str">
        <f>IFERROR(VLOOKUP(AU288,Listas!$E$85:$L$105,8,FALSE),"Alerta: Seleccione la celda en la comumna AI con el concepto de gasto")</f>
        <v>01-INVESTIGACIÓN BÁSICA APLICADA Y ESTUDIOS PROPIOS DEL SECTOR</v>
      </c>
      <c r="AU288" s="633" t="s">
        <v>201</v>
      </c>
      <c r="AV288" s="634">
        <f>IFERROR(VLOOKUP(AU288,Listas!$E$85:$F$105,2,FALSE),"Alerta: Seleccione el Concepto de Gasto primero")</f>
        <v>0</v>
      </c>
      <c r="AW288" s="644">
        <v>11100000</v>
      </c>
      <c r="AX288" s="645"/>
      <c r="AY288" s="645"/>
      <c r="AZ288" s="645"/>
      <c r="BA288" s="646">
        <f t="shared" si="85"/>
        <v>11100000</v>
      </c>
      <c r="BB288" s="647"/>
      <c r="BC288" s="648"/>
      <c r="BD288" s="649"/>
      <c r="BE288" s="647"/>
      <c r="BF288" s="644"/>
      <c r="BG288" s="646">
        <f t="shared" si="86"/>
        <v>11100000</v>
      </c>
      <c r="BH288" s="650"/>
      <c r="BI288" s="647"/>
      <c r="BJ288" s="644"/>
      <c r="BK288" s="646">
        <f t="shared" si="87"/>
        <v>0</v>
      </c>
      <c r="BL288" s="651"/>
      <c r="BM288" s="652">
        <f t="shared" si="88"/>
        <v>1</v>
      </c>
      <c r="BN288" s="628"/>
      <c r="BO288" s="670"/>
      <c r="BP288" s="644"/>
      <c r="BQ288" s="644"/>
      <c r="BR288" s="644"/>
      <c r="BS288" s="644"/>
      <c r="BT288" s="644"/>
      <c r="BU288" s="644"/>
      <c r="BV288" s="644"/>
      <c r="BW288" s="644"/>
      <c r="BX288" s="644"/>
      <c r="BY288" s="644"/>
      <c r="BZ288" s="644"/>
      <c r="CA288" s="644"/>
      <c r="CB288" s="646">
        <f t="shared" si="89"/>
        <v>0</v>
      </c>
      <c r="CC288" s="646">
        <f t="shared" si="90"/>
        <v>0</v>
      </c>
      <c r="CD288" s="614"/>
    </row>
    <row r="289" spans="1:82" s="561" customFormat="1" ht="61.5" customHeight="1">
      <c r="A289" s="625" t="str">
        <f t="shared" si="91"/>
        <v>1112-140-FONT1112-04-01-0185-Plan especial de manejo y protección del centro histórico</v>
      </c>
      <c r="B289" s="626" t="str">
        <f t="shared" si="92"/>
        <v>1112-140-FONT1112-04-01-0185</v>
      </c>
      <c r="C289" s="626" t="str">
        <f t="shared" si="93"/>
        <v>1112-140-FONT1112-Plan especial de manejo y protección del centro histórico</v>
      </c>
      <c r="D289" s="626" t="str">
        <f t="shared" si="94"/>
        <v>1112-140-12-Otros Distrito-04-01-0185</v>
      </c>
      <c r="E289" s="626" t="str">
        <f t="shared" ref="E289:E352" si="95">+CONCATENATE(AO289,"-",AR289,"-",AU289)</f>
        <v>Plan especial de manejo y protección del centro histórico-12-Otros Distrito-0185-Actividades de investigación para la valoración, protección, conservación, sostenibilidad y apropiación del Patrimonio Cultural</v>
      </c>
      <c r="F289" s="627">
        <v>240</v>
      </c>
      <c r="G289" s="628">
        <f t="shared" ref="G289:G352" si="96">+F289</f>
        <v>240</v>
      </c>
      <c r="H289" s="629" t="b">
        <f t="shared" ref="H289:H352" si="97">+G289=G288</f>
        <v>0</v>
      </c>
      <c r="I289" s="630" t="s">
        <v>594</v>
      </c>
      <c r="J289" s="627" t="s">
        <v>179</v>
      </c>
      <c r="K289" s="631" t="str">
        <f>+IFERROR(VLOOKUP(J289,Listas!$A$108:$B$114,2,FALSE),"Alerta: Seleccione la celda en la comumna B con el nombre del proyecto")</f>
        <v>3-3-1-15-02-17-1112-140</v>
      </c>
      <c r="L289" s="632">
        <v>80111600</v>
      </c>
      <c r="M289" s="633" t="s">
        <v>835</v>
      </c>
      <c r="N289" s="634" t="str">
        <f t="shared" ref="N289:N352" si="98">+CONCATENATE("(Cód. ",F289,") ",M289)</f>
        <v xml:space="preserve">(Cód. 240)  Prestar servicios profesionales al Instituto Distrital de Patrimonio Cultural para realizar insumos arquitectonicos y de espacialización de proyectos en la formulación de proyectos y del Plan Especial de Manejo y Protección -PEMP- del Centro Histórico de Bogotá D.C, a partir de la consolidación de la formulación del mismo. </v>
      </c>
      <c r="O289" s="635">
        <v>43480</v>
      </c>
      <c r="P289" s="636">
        <f>IFERROR(VLOOKUP(W289,'Estimación CRP'!$D$21:$E$30,2,FALSE),0)</f>
        <v>10</v>
      </c>
      <c r="Q289" s="637">
        <f>IF(O289="No aplica","No aplica",WORKDAY.INTL(O289,P289,1,'Estimación CRP'!A475:A491))</f>
        <v>43494</v>
      </c>
      <c r="R289" s="636">
        <f t="shared" ref="R289:R352" si="99">IF(O289="No aplica","No aplica",MONTH(Q289))</f>
        <v>1</v>
      </c>
      <c r="S289" s="636">
        <f t="shared" ref="S289:S352" si="100">IF(O289="No aplica","No aplica",MONTH(O289))</f>
        <v>1</v>
      </c>
      <c r="T289" s="636">
        <f t="shared" ref="T289:T352" si="101">IF(O289="No aplica","No aplica",S289)</f>
        <v>1</v>
      </c>
      <c r="U289" s="712">
        <v>11</v>
      </c>
      <c r="V289" s="638">
        <v>1</v>
      </c>
      <c r="W289" s="639" t="s">
        <v>274</v>
      </c>
      <c r="X289" s="640" t="str">
        <f>IFERROR(VLOOKUP(W289,Listas!$A$60:$B$73,2,FALSE),"Alerta: Seleccione primero Modalidad de selección")</f>
        <v>CCE-16</v>
      </c>
      <c r="Y289" s="641">
        <v>0</v>
      </c>
      <c r="Z289" s="641" t="s">
        <v>346</v>
      </c>
      <c r="AA289" s="641" t="s">
        <v>1305</v>
      </c>
      <c r="AB289" s="642">
        <f t="shared" ref="AB289:AB352" si="102">+BA289</f>
        <v>40700000</v>
      </c>
      <c r="AC289" s="642">
        <f t="shared" ref="AC289:AC352" si="103">+AB289</f>
        <v>40700000</v>
      </c>
      <c r="AD289" s="641">
        <v>0</v>
      </c>
      <c r="AE289" s="643">
        <v>0</v>
      </c>
      <c r="AF289" s="639" t="s">
        <v>276</v>
      </c>
      <c r="AG289" s="639" t="s">
        <v>277</v>
      </c>
      <c r="AH289" s="639" t="s">
        <v>285</v>
      </c>
      <c r="AI289" s="626" t="str">
        <f>IFERROR(VLOOKUP(AH289,Listas!$A$77:$C$83,2,FALSE),"Alerta: Seleccione primero el responsable")</f>
        <v>3550800</v>
      </c>
      <c r="AJ289" s="640" t="str">
        <f>IFERROR(VLOOKUP(AH289,Listas!$A$77:$C$83,3,FALSE),"Alerta: Seleccione primero el responsable")</f>
        <v>maria.villamil@idpc.gov.co</v>
      </c>
      <c r="AK289" s="640" t="str">
        <f>IF(J289="Funcionamiento Gastos Generales","No aplica",IF(J289="Funcionamiento Servicios Personales indirectos","No aplica",IFERROR(VLOOKUP(J289,Listas!$A$127:$E$139,3,FALSE),"Alerta: Seleccione la celda en la comumna B con el nombre del proyecto")))</f>
        <v>ME20181112</v>
      </c>
      <c r="AL289" s="640" t="str">
        <f>IF(J289="Funcionamiento Gastos Generales","No aplica",IF(J289="Funcionamiento Servicios Personales","No aplica",IFERROR(VLOOKUP(J289,Listas!$A$220:$D$224,2,FALSE),"Alerta: Seleccione la celda en la comumna B con el nombre del proyecto")))</f>
        <v>COMP1112</v>
      </c>
      <c r="AM289" s="640" t="str">
        <f>IF(J289="Funcionamiento Gastos Generales","No aplica",IF(J289="Funcionamiento Servicios Personales","No aplica",IFERROR(VLOOKUP(J289,Listas!$A$220:$D$224,3,FALSE),"Alerta: Seleccione la celda en la comumna B con el nombre del proyecto")))</f>
        <v>CONC1112</v>
      </c>
      <c r="AN289" s="633" t="s">
        <v>1050</v>
      </c>
      <c r="AO289" s="633" t="s">
        <v>126</v>
      </c>
      <c r="AP289" s="634" t="str">
        <f>IFERROR(VLOOKUP(J289,Listas!$A$182:$E$215,5,FALSE),"Alerta: Seleccione la celda en la comumna B con el nombre del proyecto")</f>
        <v>15. Instrumentos técnicos de gestión para la preservación del patrimonio cultural</v>
      </c>
      <c r="AQ289" s="634" t="str">
        <f>IF(J289="Funcionamiento Gastos Generales","No aplica",IF(J289="Funcionamiento Servicios Personales","No aplica",IFERROR(VLOOKUP(J289,Listas!$A$220:$D$224,4,FALSE),"Alerta: Seleccione la celda en la comumna B con el nombre del proyecto")))</f>
        <v>FONT1112</v>
      </c>
      <c r="AR289" s="633" t="s">
        <v>198</v>
      </c>
      <c r="AS289" s="634" t="str">
        <f>IFERROR(VLOOKUP(AU289,Listas!$E$85:$L$105,7,FALSE),"Alerta: Seleccione la celda en la comumna AI con el concepto de gasto")</f>
        <v>04-INVESTIGACION Y ESTUDIOS</v>
      </c>
      <c r="AT289" s="634" t="str">
        <f>IFERROR(VLOOKUP(AU289,Listas!$E$85:$L$105,8,FALSE),"Alerta: Seleccione la celda en la comumna AI con el concepto de gasto")</f>
        <v>01-INVESTIGACIÓN BÁSICA APLICADA Y ESTUDIOS PROPIOS DEL SECTOR</v>
      </c>
      <c r="AU289" s="633" t="s">
        <v>201</v>
      </c>
      <c r="AV289" s="634">
        <f>IFERROR(VLOOKUP(AU289,Listas!$E$85:$F$105,2,FALSE),"Alerta: Seleccione el Concepto de Gasto primero")</f>
        <v>0</v>
      </c>
      <c r="AW289" s="644">
        <v>40700000</v>
      </c>
      <c r="AX289" s="645"/>
      <c r="AY289" s="645"/>
      <c r="AZ289" s="645"/>
      <c r="BA289" s="646">
        <f t="shared" ref="BA289:BA352" si="104">+AW289+AX289+AY289-AZ289</f>
        <v>40700000</v>
      </c>
      <c r="BB289" s="647"/>
      <c r="BC289" s="648"/>
      <c r="BD289" s="649"/>
      <c r="BE289" s="647"/>
      <c r="BF289" s="644"/>
      <c r="BG289" s="646">
        <f t="shared" ref="BG289:BG352" si="105">+BA289-BF289</f>
        <v>40700000</v>
      </c>
      <c r="BH289" s="650"/>
      <c r="BI289" s="647"/>
      <c r="BJ289" s="644"/>
      <c r="BK289" s="646">
        <f t="shared" ref="BK289:BK352" si="106">BF289-BJ289</f>
        <v>0</v>
      </c>
      <c r="BL289" s="651"/>
      <c r="BM289" s="652">
        <f t="shared" ref="BM289:BM352" si="107">MONTH(BL289)</f>
        <v>1</v>
      </c>
      <c r="BN289" s="628"/>
      <c r="BO289" s="670"/>
      <c r="BP289" s="644"/>
      <c r="BQ289" s="644"/>
      <c r="BR289" s="644"/>
      <c r="BS289" s="644"/>
      <c r="BT289" s="644"/>
      <c r="BU289" s="644"/>
      <c r="BV289" s="644"/>
      <c r="BW289" s="644"/>
      <c r="BX289" s="644"/>
      <c r="BY289" s="644"/>
      <c r="BZ289" s="644"/>
      <c r="CA289" s="644"/>
      <c r="CB289" s="646">
        <f t="shared" ref="CB289:CB352" si="108">+SUM(BP289:CA289)</f>
        <v>0</v>
      </c>
      <c r="CC289" s="646">
        <f t="shared" ref="CC289:CC352" si="109">BJ289-CB289</f>
        <v>0</v>
      </c>
      <c r="CD289" s="614"/>
    </row>
    <row r="290" spans="1:82" s="561" customFormat="1" ht="61.5" customHeight="1">
      <c r="A290" s="625" t="str">
        <f t="shared" si="91"/>
        <v>1112-140-FONT1112-04-01-0185-Plan especial de manejo y protección del centro histórico</v>
      </c>
      <c r="B290" s="626" t="str">
        <f t="shared" si="92"/>
        <v>1112-140-FONT1112-04-01-0185</v>
      </c>
      <c r="C290" s="626" t="str">
        <f t="shared" si="93"/>
        <v>1112-140-FONT1112-Plan especial de manejo y protección del centro histórico</v>
      </c>
      <c r="D290" s="626" t="str">
        <f t="shared" si="94"/>
        <v>1112-140-12-Otros Distrito-04-01-0185</v>
      </c>
      <c r="E290" s="626" t="str">
        <f t="shared" si="95"/>
        <v>Plan especial de manejo y protección del centro histórico-12-Otros Distrito-0185-Actividades de investigación para la valoración, protección, conservación, sostenibilidad y apropiación del Patrimonio Cultural</v>
      </c>
      <c r="F290" s="627">
        <v>241</v>
      </c>
      <c r="G290" s="628">
        <f t="shared" si="96"/>
        <v>241</v>
      </c>
      <c r="H290" s="629" t="b">
        <f t="shared" si="97"/>
        <v>0</v>
      </c>
      <c r="I290" s="630" t="s">
        <v>594</v>
      </c>
      <c r="J290" s="627" t="s">
        <v>179</v>
      </c>
      <c r="K290" s="631" t="str">
        <f>+IFERROR(VLOOKUP(J290,Listas!$A$108:$B$114,2,FALSE),"Alerta: Seleccione la celda en la comumna B con el nombre del proyecto")</f>
        <v>3-3-1-15-02-17-1112-140</v>
      </c>
      <c r="L290" s="632">
        <v>80111600</v>
      </c>
      <c r="M290" s="633" t="s">
        <v>836</v>
      </c>
      <c r="N290" s="634" t="str">
        <f t="shared" si="98"/>
        <v xml:space="preserve">(Cód. 241) Prestar servicios profesionales al Instituto Distrital de Patrimonio Cultural para apoyar la producción de insumos técnicos relacionados con el direccionamiento estratégico del Plan Especial de Manejo y Protección -PEMP- del Centro Histórico de Bogotá D.C y otros proyectos asociados.  </v>
      </c>
      <c r="O290" s="635">
        <v>43480</v>
      </c>
      <c r="P290" s="636">
        <f>IFERROR(VLOOKUP(W290,'Estimación CRP'!$D$21:$E$30,2,FALSE),0)</f>
        <v>10</v>
      </c>
      <c r="Q290" s="637">
        <f>IF(O290="No aplica","No aplica",WORKDAY.INTL(O290,P290,1,'Estimación CRP'!A476:A492))</f>
        <v>43494</v>
      </c>
      <c r="R290" s="636">
        <f t="shared" si="99"/>
        <v>1</v>
      </c>
      <c r="S290" s="636">
        <f t="shared" si="100"/>
        <v>1</v>
      </c>
      <c r="T290" s="636">
        <f t="shared" si="101"/>
        <v>1</v>
      </c>
      <c r="U290" s="712">
        <v>11</v>
      </c>
      <c r="V290" s="638">
        <v>1</v>
      </c>
      <c r="W290" s="639" t="s">
        <v>274</v>
      </c>
      <c r="X290" s="640" t="str">
        <f>IFERROR(VLOOKUP(W290,Listas!$A$60:$B$73,2,FALSE),"Alerta: Seleccione primero Modalidad de selección")</f>
        <v>CCE-16</v>
      </c>
      <c r="Y290" s="641">
        <v>0</v>
      </c>
      <c r="Z290" s="641" t="s">
        <v>346</v>
      </c>
      <c r="AA290" s="641" t="s">
        <v>1306</v>
      </c>
      <c r="AB290" s="642">
        <f t="shared" si="102"/>
        <v>60500000</v>
      </c>
      <c r="AC290" s="642">
        <f t="shared" si="103"/>
        <v>60500000</v>
      </c>
      <c r="AD290" s="641">
        <v>0</v>
      </c>
      <c r="AE290" s="643">
        <v>0</v>
      </c>
      <c r="AF290" s="639" t="s">
        <v>276</v>
      </c>
      <c r="AG290" s="639" t="s">
        <v>277</v>
      </c>
      <c r="AH290" s="639" t="s">
        <v>285</v>
      </c>
      <c r="AI290" s="626" t="str">
        <f>IFERROR(VLOOKUP(AH290,Listas!$A$77:$C$83,2,FALSE),"Alerta: Seleccione primero el responsable")</f>
        <v>3550800</v>
      </c>
      <c r="AJ290" s="640" t="str">
        <f>IFERROR(VLOOKUP(AH290,Listas!$A$77:$C$83,3,FALSE),"Alerta: Seleccione primero el responsable")</f>
        <v>maria.villamil@idpc.gov.co</v>
      </c>
      <c r="AK290" s="640" t="str">
        <f>IF(J290="Funcionamiento Gastos Generales","No aplica",IF(J290="Funcionamiento Servicios Personales indirectos","No aplica",IFERROR(VLOOKUP(J290,Listas!$A$127:$E$139,3,FALSE),"Alerta: Seleccione la celda en la comumna B con el nombre del proyecto")))</f>
        <v>ME20181112</v>
      </c>
      <c r="AL290" s="640" t="str">
        <f>IF(J290="Funcionamiento Gastos Generales","No aplica",IF(J290="Funcionamiento Servicios Personales","No aplica",IFERROR(VLOOKUP(J290,Listas!$A$220:$D$224,2,FALSE),"Alerta: Seleccione la celda en la comumna B con el nombre del proyecto")))</f>
        <v>COMP1112</v>
      </c>
      <c r="AM290" s="640" t="str">
        <f>IF(J290="Funcionamiento Gastos Generales","No aplica",IF(J290="Funcionamiento Servicios Personales","No aplica",IFERROR(VLOOKUP(J290,Listas!$A$220:$D$224,3,FALSE),"Alerta: Seleccione la celda en la comumna B con el nombre del proyecto")))</f>
        <v>CONC1112</v>
      </c>
      <c r="AN290" s="633" t="s">
        <v>1050</v>
      </c>
      <c r="AO290" s="633" t="s">
        <v>126</v>
      </c>
      <c r="AP290" s="634" t="str">
        <f>IFERROR(VLOOKUP(J290,Listas!$A$182:$E$215,5,FALSE),"Alerta: Seleccione la celda en la comumna B con el nombre del proyecto")</f>
        <v>15. Instrumentos técnicos de gestión para la preservación del patrimonio cultural</v>
      </c>
      <c r="AQ290" s="634" t="str">
        <f>IF(J290="Funcionamiento Gastos Generales","No aplica",IF(J290="Funcionamiento Servicios Personales","No aplica",IFERROR(VLOOKUP(J290,Listas!$A$220:$D$224,4,FALSE),"Alerta: Seleccione la celda en la comumna B con el nombre del proyecto")))</f>
        <v>FONT1112</v>
      </c>
      <c r="AR290" s="633" t="s">
        <v>198</v>
      </c>
      <c r="AS290" s="634" t="str">
        <f>IFERROR(VLOOKUP(AU290,Listas!$E$85:$L$105,7,FALSE),"Alerta: Seleccione la celda en la comumna AI con el concepto de gasto")</f>
        <v>04-INVESTIGACION Y ESTUDIOS</v>
      </c>
      <c r="AT290" s="634" t="str">
        <f>IFERROR(VLOOKUP(AU290,Listas!$E$85:$L$105,8,FALSE),"Alerta: Seleccione la celda en la comumna AI con el concepto de gasto")</f>
        <v>01-INVESTIGACIÓN BÁSICA APLICADA Y ESTUDIOS PROPIOS DEL SECTOR</v>
      </c>
      <c r="AU290" s="633" t="s">
        <v>201</v>
      </c>
      <c r="AV290" s="634">
        <f>IFERROR(VLOOKUP(AU290,Listas!$E$85:$F$105,2,FALSE),"Alerta: Seleccione el Concepto de Gasto primero")</f>
        <v>0</v>
      </c>
      <c r="AW290" s="644">
        <v>60500000</v>
      </c>
      <c r="AX290" s="645"/>
      <c r="AY290" s="645"/>
      <c r="AZ290" s="645"/>
      <c r="BA290" s="646">
        <f t="shared" si="104"/>
        <v>60500000</v>
      </c>
      <c r="BB290" s="647"/>
      <c r="BC290" s="648"/>
      <c r="BD290" s="649"/>
      <c r="BE290" s="647"/>
      <c r="BF290" s="644"/>
      <c r="BG290" s="646">
        <f t="shared" si="105"/>
        <v>60500000</v>
      </c>
      <c r="BH290" s="650"/>
      <c r="BI290" s="647"/>
      <c r="BJ290" s="644"/>
      <c r="BK290" s="646">
        <f t="shared" si="106"/>
        <v>0</v>
      </c>
      <c r="BL290" s="651"/>
      <c r="BM290" s="652">
        <f t="shared" si="107"/>
        <v>1</v>
      </c>
      <c r="BN290" s="628"/>
      <c r="BO290" s="670"/>
      <c r="BP290" s="644"/>
      <c r="BQ290" s="644"/>
      <c r="BR290" s="644"/>
      <c r="BS290" s="644"/>
      <c r="BT290" s="644"/>
      <c r="BU290" s="644"/>
      <c r="BV290" s="644"/>
      <c r="BW290" s="644"/>
      <c r="BX290" s="644"/>
      <c r="BY290" s="644"/>
      <c r="BZ290" s="644"/>
      <c r="CA290" s="644"/>
      <c r="CB290" s="646">
        <f t="shared" si="108"/>
        <v>0</v>
      </c>
      <c r="CC290" s="646">
        <f t="shared" si="109"/>
        <v>0</v>
      </c>
      <c r="CD290" s="614"/>
    </row>
    <row r="291" spans="1:82" s="561" customFormat="1" ht="61.5" customHeight="1">
      <c r="A291" s="625" t="str">
        <f t="shared" si="91"/>
        <v>1112-140-FONT1112-04-01-0185-Plan especial de manejo y protección del centro histórico</v>
      </c>
      <c r="B291" s="626" t="str">
        <f t="shared" si="92"/>
        <v>1112-140-FONT1112-04-01-0185</v>
      </c>
      <c r="C291" s="626" t="str">
        <f t="shared" si="93"/>
        <v>1112-140-FONT1112-Plan especial de manejo y protección del centro histórico</v>
      </c>
      <c r="D291" s="626" t="str">
        <f t="shared" si="94"/>
        <v>1112-140-12-Otros Distrito-04-01-0185</v>
      </c>
      <c r="E291" s="626" t="str">
        <f t="shared" si="95"/>
        <v>Plan especial de manejo y protección del centro histórico-12-Otros Distrito-0185-Actividades de investigación para la valoración, protección, conservación, sostenibilidad y apropiación del Patrimonio Cultural</v>
      </c>
      <c r="F291" s="627">
        <v>242</v>
      </c>
      <c r="G291" s="628">
        <f t="shared" si="96"/>
        <v>242</v>
      </c>
      <c r="H291" s="629" t="b">
        <f t="shared" si="97"/>
        <v>0</v>
      </c>
      <c r="I291" s="630" t="s">
        <v>594</v>
      </c>
      <c r="J291" s="627" t="s">
        <v>179</v>
      </c>
      <c r="K291" s="631" t="str">
        <f>+IFERROR(VLOOKUP(J291,Listas!$A$108:$B$114,2,FALSE),"Alerta: Seleccione la celda en la comumna B con el nombre del proyecto")</f>
        <v>3-3-1-15-02-17-1112-140</v>
      </c>
      <c r="L291" s="632">
        <v>80111600</v>
      </c>
      <c r="M291" s="633" t="s">
        <v>837</v>
      </c>
      <c r="N291" s="634" t="str">
        <f t="shared" si="98"/>
        <v xml:space="preserve">(Cód. 242) Prestar servicios profesionales al Instituto Distrital de Patrimonio Cultural en la ejecución de las actividades de información gráfica, edición y montaje para la consolidación de la valoración e inventario de los bienes del patrimonio cultural inmueble del Plan Especial de Manejo y Protección- PEMP- del Centro Histórico de Bogotá D.C.  </v>
      </c>
      <c r="O291" s="635">
        <v>43480</v>
      </c>
      <c r="P291" s="636">
        <f>IFERROR(VLOOKUP(W291,'Estimación CRP'!$D$21:$E$30,2,FALSE),0)</f>
        <v>10</v>
      </c>
      <c r="Q291" s="637">
        <f>IF(O291="No aplica","No aplica",WORKDAY.INTL(O291,P291,1,'Estimación CRP'!A477:A493))</f>
        <v>43494</v>
      </c>
      <c r="R291" s="636">
        <f t="shared" si="99"/>
        <v>1</v>
      </c>
      <c r="S291" s="636">
        <f t="shared" si="100"/>
        <v>1</v>
      </c>
      <c r="T291" s="636">
        <f t="shared" si="101"/>
        <v>1</v>
      </c>
      <c r="U291" s="712">
        <v>3</v>
      </c>
      <c r="V291" s="638">
        <v>1</v>
      </c>
      <c r="W291" s="639" t="s">
        <v>274</v>
      </c>
      <c r="X291" s="640" t="str">
        <f>IFERROR(VLOOKUP(W291,Listas!$A$60:$B$73,2,FALSE),"Alerta: Seleccione primero Modalidad de selección")</f>
        <v>CCE-16</v>
      </c>
      <c r="Y291" s="641">
        <v>0</v>
      </c>
      <c r="Z291" s="641" t="s">
        <v>346</v>
      </c>
      <c r="AA291" s="641" t="s">
        <v>1307</v>
      </c>
      <c r="AB291" s="642">
        <f t="shared" si="102"/>
        <v>11100000</v>
      </c>
      <c r="AC291" s="642">
        <f t="shared" si="103"/>
        <v>11100000</v>
      </c>
      <c r="AD291" s="641">
        <v>0</v>
      </c>
      <c r="AE291" s="643">
        <v>0</v>
      </c>
      <c r="AF291" s="639" t="s">
        <v>276</v>
      </c>
      <c r="AG291" s="639" t="s">
        <v>277</v>
      </c>
      <c r="AH291" s="639" t="s">
        <v>285</v>
      </c>
      <c r="AI291" s="626" t="str">
        <f>IFERROR(VLOOKUP(AH291,Listas!$A$77:$C$83,2,FALSE),"Alerta: Seleccione primero el responsable")</f>
        <v>3550800</v>
      </c>
      <c r="AJ291" s="640" t="str">
        <f>IFERROR(VLOOKUP(AH291,Listas!$A$77:$C$83,3,FALSE),"Alerta: Seleccione primero el responsable")</f>
        <v>maria.villamil@idpc.gov.co</v>
      </c>
      <c r="AK291" s="640" t="str">
        <f>IF(J291="Funcionamiento Gastos Generales","No aplica",IF(J291="Funcionamiento Servicios Personales indirectos","No aplica",IFERROR(VLOOKUP(J291,Listas!$A$127:$E$139,3,FALSE),"Alerta: Seleccione la celda en la comumna B con el nombre del proyecto")))</f>
        <v>ME20181112</v>
      </c>
      <c r="AL291" s="640" t="str">
        <f>IF(J291="Funcionamiento Gastos Generales","No aplica",IF(J291="Funcionamiento Servicios Personales","No aplica",IFERROR(VLOOKUP(J291,Listas!$A$220:$D$224,2,FALSE),"Alerta: Seleccione la celda en la comumna B con el nombre del proyecto")))</f>
        <v>COMP1112</v>
      </c>
      <c r="AM291" s="640" t="str">
        <f>IF(J291="Funcionamiento Gastos Generales","No aplica",IF(J291="Funcionamiento Servicios Personales","No aplica",IFERROR(VLOOKUP(J291,Listas!$A$220:$D$224,3,FALSE),"Alerta: Seleccione la celda en la comumna B con el nombre del proyecto")))</f>
        <v>CONC1112</v>
      </c>
      <c r="AN291" s="633" t="s">
        <v>1050</v>
      </c>
      <c r="AO291" s="633" t="s">
        <v>126</v>
      </c>
      <c r="AP291" s="634" t="str">
        <f>IFERROR(VLOOKUP(J291,Listas!$A$182:$E$215,5,FALSE),"Alerta: Seleccione la celda en la comumna B con el nombre del proyecto")</f>
        <v>15. Instrumentos técnicos de gestión para la preservación del patrimonio cultural</v>
      </c>
      <c r="AQ291" s="634" t="str">
        <f>IF(J291="Funcionamiento Gastos Generales","No aplica",IF(J291="Funcionamiento Servicios Personales","No aplica",IFERROR(VLOOKUP(J291,Listas!$A$220:$D$224,4,FALSE),"Alerta: Seleccione la celda en la comumna B con el nombre del proyecto")))</f>
        <v>FONT1112</v>
      </c>
      <c r="AR291" s="633" t="s">
        <v>198</v>
      </c>
      <c r="AS291" s="634" t="str">
        <f>IFERROR(VLOOKUP(AU291,Listas!$E$85:$L$105,7,FALSE),"Alerta: Seleccione la celda en la comumna AI con el concepto de gasto")</f>
        <v>04-INVESTIGACION Y ESTUDIOS</v>
      </c>
      <c r="AT291" s="634" t="str">
        <f>IFERROR(VLOOKUP(AU291,Listas!$E$85:$L$105,8,FALSE),"Alerta: Seleccione la celda en la comumna AI con el concepto de gasto")</f>
        <v>01-INVESTIGACIÓN BÁSICA APLICADA Y ESTUDIOS PROPIOS DEL SECTOR</v>
      </c>
      <c r="AU291" s="633" t="s">
        <v>201</v>
      </c>
      <c r="AV291" s="634">
        <f>IFERROR(VLOOKUP(AU291,Listas!$E$85:$F$105,2,FALSE),"Alerta: Seleccione el Concepto de Gasto primero")</f>
        <v>0</v>
      </c>
      <c r="AW291" s="644">
        <v>11100000</v>
      </c>
      <c r="AX291" s="645"/>
      <c r="AY291" s="645"/>
      <c r="AZ291" s="645"/>
      <c r="BA291" s="646">
        <f t="shared" si="104"/>
        <v>11100000</v>
      </c>
      <c r="BB291" s="647"/>
      <c r="BC291" s="648"/>
      <c r="BD291" s="649"/>
      <c r="BE291" s="647"/>
      <c r="BF291" s="644"/>
      <c r="BG291" s="646">
        <f t="shared" si="105"/>
        <v>11100000</v>
      </c>
      <c r="BH291" s="650"/>
      <c r="BI291" s="647"/>
      <c r="BJ291" s="644"/>
      <c r="BK291" s="646">
        <f t="shared" si="106"/>
        <v>0</v>
      </c>
      <c r="BL291" s="651"/>
      <c r="BM291" s="652">
        <f t="shared" si="107"/>
        <v>1</v>
      </c>
      <c r="BN291" s="628"/>
      <c r="BO291" s="670"/>
      <c r="BP291" s="644"/>
      <c r="BQ291" s="644"/>
      <c r="BR291" s="644"/>
      <c r="BS291" s="644"/>
      <c r="BT291" s="644"/>
      <c r="BU291" s="644"/>
      <c r="BV291" s="644"/>
      <c r="BW291" s="644"/>
      <c r="BX291" s="644"/>
      <c r="BY291" s="644"/>
      <c r="BZ291" s="644"/>
      <c r="CA291" s="644"/>
      <c r="CB291" s="646">
        <f t="shared" si="108"/>
        <v>0</v>
      </c>
      <c r="CC291" s="646">
        <f t="shared" si="109"/>
        <v>0</v>
      </c>
      <c r="CD291" s="614"/>
    </row>
    <row r="292" spans="1:82" s="561" customFormat="1" ht="61.5" customHeight="1">
      <c r="A292" s="625" t="str">
        <f t="shared" si="91"/>
        <v>1112-140-FONT1112-04-01-0185-Plan especial de manejo y protección del centro histórico</v>
      </c>
      <c r="B292" s="626" t="str">
        <f t="shared" si="92"/>
        <v>1112-140-FONT1112-04-01-0185</v>
      </c>
      <c r="C292" s="626" t="str">
        <f t="shared" si="93"/>
        <v>1112-140-FONT1112-Plan especial de manejo y protección del centro histórico</v>
      </c>
      <c r="D292" s="626" t="str">
        <f t="shared" si="94"/>
        <v>1112-140-12-Otros Distrito-04-01-0185</v>
      </c>
      <c r="E292" s="626" t="str">
        <f t="shared" si="95"/>
        <v>Plan especial de manejo y protección del centro histórico-12-Otros Distrito-0185-Actividades de investigación para la valoración, protección, conservación, sostenibilidad y apropiación del Patrimonio Cultural</v>
      </c>
      <c r="F292" s="627">
        <v>243</v>
      </c>
      <c r="G292" s="628">
        <f t="shared" si="96"/>
        <v>243</v>
      </c>
      <c r="H292" s="629" t="b">
        <f t="shared" si="97"/>
        <v>0</v>
      </c>
      <c r="I292" s="630" t="s">
        <v>594</v>
      </c>
      <c r="J292" s="627" t="s">
        <v>179</v>
      </c>
      <c r="K292" s="631" t="str">
        <f>+IFERROR(VLOOKUP(J292,Listas!$A$108:$B$114,2,FALSE),"Alerta: Seleccione la celda en la comumna B con el nombre del proyecto")</f>
        <v>3-3-1-15-02-17-1112-140</v>
      </c>
      <c r="L292" s="632">
        <v>80111600</v>
      </c>
      <c r="M292" s="633" t="s">
        <v>837</v>
      </c>
      <c r="N292" s="634" t="str">
        <f t="shared" si="98"/>
        <v xml:space="preserve">(Cód. 243) Prestar servicios profesionales al Instituto Distrital de Patrimonio Cultural en la ejecución de las actividades de información gráfica, edición y montaje para la consolidación de la valoración e inventario de los bienes del patrimonio cultural inmueble del Plan Especial de Manejo y Protección- PEMP- del Centro Histórico de Bogotá D.C.  </v>
      </c>
      <c r="O292" s="635">
        <v>43480</v>
      </c>
      <c r="P292" s="636">
        <f>IFERROR(VLOOKUP(W292,'Estimación CRP'!$D$21:$E$30,2,FALSE),0)</f>
        <v>10</v>
      </c>
      <c r="Q292" s="637">
        <f>IF(O292="No aplica","No aplica",WORKDAY.INTL(O292,P292,1,'Estimación CRP'!A478:A494))</f>
        <v>43494</v>
      </c>
      <c r="R292" s="636">
        <f t="shared" si="99"/>
        <v>1</v>
      </c>
      <c r="S292" s="636">
        <f t="shared" si="100"/>
        <v>1</v>
      </c>
      <c r="T292" s="636">
        <f t="shared" si="101"/>
        <v>1</v>
      </c>
      <c r="U292" s="712">
        <v>3</v>
      </c>
      <c r="V292" s="638">
        <v>1</v>
      </c>
      <c r="W292" s="639" t="s">
        <v>274</v>
      </c>
      <c r="X292" s="640" t="str">
        <f>IFERROR(VLOOKUP(W292,Listas!$A$60:$B$73,2,FALSE),"Alerta: Seleccione primero Modalidad de selección")</f>
        <v>CCE-16</v>
      </c>
      <c r="Y292" s="641">
        <v>0</v>
      </c>
      <c r="Z292" s="641" t="s">
        <v>346</v>
      </c>
      <c r="AA292" s="641" t="s">
        <v>1308</v>
      </c>
      <c r="AB292" s="642">
        <f t="shared" si="102"/>
        <v>11100000</v>
      </c>
      <c r="AC292" s="642">
        <f t="shared" si="103"/>
        <v>11100000</v>
      </c>
      <c r="AD292" s="641">
        <v>0</v>
      </c>
      <c r="AE292" s="643">
        <v>0</v>
      </c>
      <c r="AF292" s="639" t="s">
        <v>276</v>
      </c>
      <c r="AG292" s="639" t="s">
        <v>277</v>
      </c>
      <c r="AH292" s="639" t="s">
        <v>285</v>
      </c>
      <c r="AI292" s="626" t="str">
        <f>IFERROR(VLOOKUP(AH292,Listas!$A$77:$C$83,2,FALSE),"Alerta: Seleccione primero el responsable")</f>
        <v>3550800</v>
      </c>
      <c r="AJ292" s="640" t="str">
        <f>IFERROR(VLOOKUP(AH292,Listas!$A$77:$C$83,3,FALSE),"Alerta: Seleccione primero el responsable")</f>
        <v>maria.villamil@idpc.gov.co</v>
      </c>
      <c r="AK292" s="640" t="str">
        <f>IF(J292="Funcionamiento Gastos Generales","No aplica",IF(J292="Funcionamiento Servicios Personales indirectos","No aplica",IFERROR(VLOOKUP(J292,Listas!$A$127:$E$139,3,FALSE),"Alerta: Seleccione la celda en la comumna B con el nombre del proyecto")))</f>
        <v>ME20181112</v>
      </c>
      <c r="AL292" s="640" t="str">
        <f>IF(J292="Funcionamiento Gastos Generales","No aplica",IF(J292="Funcionamiento Servicios Personales","No aplica",IFERROR(VLOOKUP(J292,Listas!$A$220:$D$224,2,FALSE),"Alerta: Seleccione la celda en la comumna B con el nombre del proyecto")))</f>
        <v>COMP1112</v>
      </c>
      <c r="AM292" s="640" t="str">
        <f>IF(J292="Funcionamiento Gastos Generales","No aplica",IF(J292="Funcionamiento Servicios Personales","No aplica",IFERROR(VLOOKUP(J292,Listas!$A$220:$D$224,3,FALSE),"Alerta: Seleccione la celda en la comumna B con el nombre del proyecto")))</f>
        <v>CONC1112</v>
      </c>
      <c r="AN292" s="633" t="s">
        <v>1050</v>
      </c>
      <c r="AO292" s="633" t="s">
        <v>126</v>
      </c>
      <c r="AP292" s="634" t="str">
        <f>IFERROR(VLOOKUP(J292,Listas!$A$182:$E$215,5,FALSE),"Alerta: Seleccione la celda en la comumna B con el nombre del proyecto")</f>
        <v>15. Instrumentos técnicos de gestión para la preservación del patrimonio cultural</v>
      </c>
      <c r="AQ292" s="634" t="str">
        <f>IF(J292="Funcionamiento Gastos Generales","No aplica",IF(J292="Funcionamiento Servicios Personales","No aplica",IFERROR(VLOOKUP(J292,Listas!$A$220:$D$224,4,FALSE),"Alerta: Seleccione la celda en la comumna B con el nombre del proyecto")))</f>
        <v>FONT1112</v>
      </c>
      <c r="AR292" s="633" t="s">
        <v>198</v>
      </c>
      <c r="AS292" s="634" t="str">
        <f>IFERROR(VLOOKUP(AU292,Listas!$E$85:$L$105,7,FALSE),"Alerta: Seleccione la celda en la comumna AI con el concepto de gasto")</f>
        <v>04-INVESTIGACION Y ESTUDIOS</v>
      </c>
      <c r="AT292" s="634" t="str">
        <f>IFERROR(VLOOKUP(AU292,Listas!$E$85:$L$105,8,FALSE),"Alerta: Seleccione la celda en la comumna AI con el concepto de gasto")</f>
        <v>01-INVESTIGACIÓN BÁSICA APLICADA Y ESTUDIOS PROPIOS DEL SECTOR</v>
      </c>
      <c r="AU292" s="633" t="s">
        <v>201</v>
      </c>
      <c r="AV292" s="634">
        <f>IFERROR(VLOOKUP(AU292,Listas!$E$85:$F$105,2,FALSE),"Alerta: Seleccione el Concepto de Gasto primero")</f>
        <v>0</v>
      </c>
      <c r="AW292" s="644">
        <v>11100000</v>
      </c>
      <c r="AX292" s="645"/>
      <c r="AY292" s="645"/>
      <c r="AZ292" s="645"/>
      <c r="BA292" s="646">
        <f t="shared" si="104"/>
        <v>11100000</v>
      </c>
      <c r="BB292" s="647"/>
      <c r="BC292" s="648"/>
      <c r="BD292" s="649"/>
      <c r="BE292" s="647"/>
      <c r="BF292" s="644"/>
      <c r="BG292" s="646">
        <f t="shared" si="105"/>
        <v>11100000</v>
      </c>
      <c r="BH292" s="650"/>
      <c r="BI292" s="647"/>
      <c r="BJ292" s="644"/>
      <c r="BK292" s="646">
        <f t="shared" si="106"/>
        <v>0</v>
      </c>
      <c r="BL292" s="651"/>
      <c r="BM292" s="652">
        <f t="shared" si="107"/>
        <v>1</v>
      </c>
      <c r="BN292" s="628"/>
      <c r="BO292" s="670"/>
      <c r="BP292" s="644"/>
      <c r="BQ292" s="644"/>
      <c r="BR292" s="644"/>
      <c r="BS292" s="644"/>
      <c r="BT292" s="644"/>
      <c r="BU292" s="644"/>
      <c r="BV292" s="644"/>
      <c r="BW292" s="644"/>
      <c r="BX292" s="644"/>
      <c r="BY292" s="644"/>
      <c r="BZ292" s="644"/>
      <c r="CA292" s="644"/>
      <c r="CB292" s="646">
        <f t="shared" si="108"/>
        <v>0</v>
      </c>
      <c r="CC292" s="646">
        <f t="shared" si="109"/>
        <v>0</v>
      </c>
      <c r="CD292" s="614"/>
    </row>
    <row r="293" spans="1:82" s="561" customFormat="1" ht="61.5" customHeight="1">
      <c r="A293" s="625" t="str">
        <f t="shared" si="91"/>
        <v>1112-140-FONT1112-04-01-0185-Plan especial de manejo y protección del centro histórico</v>
      </c>
      <c r="B293" s="626" t="str">
        <f t="shared" si="92"/>
        <v>1112-140-FONT1112-04-01-0185</v>
      </c>
      <c r="C293" s="626" t="str">
        <f t="shared" si="93"/>
        <v>1112-140-FONT1112-Plan especial de manejo y protección del centro histórico</v>
      </c>
      <c r="D293" s="626" t="str">
        <f t="shared" si="94"/>
        <v>1112-140-12-Otros Distrito-04-01-0185</v>
      </c>
      <c r="E293" s="626" t="str">
        <f t="shared" si="95"/>
        <v>Plan especial de manejo y protección del centro histórico-12-Otros Distrito-0185-Actividades de investigación para la valoración, protección, conservación, sostenibilidad y apropiación del Patrimonio Cultural</v>
      </c>
      <c r="F293" s="627">
        <v>244</v>
      </c>
      <c r="G293" s="628">
        <f t="shared" si="96"/>
        <v>244</v>
      </c>
      <c r="H293" s="629" t="b">
        <f t="shared" si="97"/>
        <v>0</v>
      </c>
      <c r="I293" s="630" t="s">
        <v>594</v>
      </c>
      <c r="J293" s="627" t="s">
        <v>179</v>
      </c>
      <c r="K293" s="631" t="str">
        <f>+IFERROR(VLOOKUP(J293,Listas!$A$108:$B$114,2,FALSE),"Alerta: Seleccione la celda en la comumna B con el nombre del proyecto")</f>
        <v>3-3-1-15-02-17-1112-140</v>
      </c>
      <c r="L293" s="632">
        <v>80111600</v>
      </c>
      <c r="M293" s="633" t="s">
        <v>837</v>
      </c>
      <c r="N293" s="634" t="str">
        <f t="shared" si="98"/>
        <v xml:space="preserve">(Cód. 244) Prestar servicios profesionales al Instituto Distrital de Patrimonio Cultural en la ejecución de las actividades de información gráfica, edición y montaje para la consolidación de la valoración e inventario de los bienes del patrimonio cultural inmueble del Plan Especial de Manejo y Protección- PEMP- del Centro Histórico de Bogotá D.C.  </v>
      </c>
      <c r="O293" s="635">
        <v>43480</v>
      </c>
      <c r="P293" s="636">
        <f>IFERROR(VLOOKUP(W293,'Estimación CRP'!$D$21:$E$30,2,FALSE),0)</f>
        <v>10</v>
      </c>
      <c r="Q293" s="637">
        <f>IF(O293="No aplica","No aplica",WORKDAY.INTL(O293,P293,1,'Estimación CRP'!A479:A495))</f>
        <v>43494</v>
      </c>
      <c r="R293" s="636">
        <f t="shared" si="99"/>
        <v>1</v>
      </c>
      <c r="S293" s="636">
        <f t="shared" si="100"/>
        <v>1</v>
      </c>
      <c r="T293" s="636">
        <f t="shared" si="101"/>
        <v>1</v>
      </c>
      <c r="U293" s="712">
        <v>3</v>
      </c>
      <c r="V293" s="638">
        <v>1</v>
      </c>
      <c r="W293" s="639" t="s">
        <v>274</v>
      </c>
      <c r="X293" s="640" t="str">
        <f>IFERROR(VLOOKUP(W293,Listas!$A$60:$B$73,2,FALSE),"Alerta: Seleccione primero Modalidad de selección")</f>
        <v>CCE-16</v>
      </c>
      <c r="Y293" s="641">
        <v>0</v>
      </c>
      <c r="Z293" s="641" t="s">
        <v>346</v>
      </c>
      <c r="AA293" s="641" t="s">
        <v>1309</v>
      </c>
      <c r="AB293" s="642">
        <f t="shared" si="102"/>
        <v>11100000</v>
      </c>
      <c r="AC293" s="642">
        <f t="shared" si="103"/>
        <v>11100000</v>
      </c>
      <c r="AD293" s="641">
        <v>0</v>
      </c>
      <c r="AE293" s="643">
        <v>0</v>
      </c>
      <c r="AF293" s="639" t="s">
        <v>276</v>
      </c>
      <c r="AG293" s="639" t="s">
        <v>277</v>
      </c>
      <c r="AH293" s="639" t="s">
        <v>285</v>
      </c>
      <c r="AI293" s="626" t="str">
        <f>IFERROR(VLOOKUP(AH293,Listas!$A$77:$C$83,2,FALSE),"Alerta: Seleccione primero el responsable")</f>
        <v>3550800</v>
      </c>
      <c r="AJ293" s="640" t="str">
        <f>IFERROR(VLOOKUP(AH293,Listas!$A$77:$C$83,3,FALSE),"Alerta: Seleccione primero el responsable")</f>
        <v>maria.villamil@idpc.gov.co</v>
      </c>
      <c r="AK293" s="640" t="str">
        <f>IF(J293="Funcionamiento Gastos Generales","No aplica",IF(J293="Funcionamiento Servicios Personales indirectos","No aplica",IFERROR(VLOOKUP(J293,Listas!$A$127:$E$139,3,FALSE),"Alerta: Seleccione la celda en la comumna B con el nombre del proyecto")))</f>
        <v>ME20181112</v>
      </c>
      <c r="AL293" s="640" t="str">
        <f>IF(J293="Funcionamiento Gastos Generales","No aplica",IF(J293="Funcionamiento Servicios Personales","No aplica",IFERROR(VLOOKUP(J293,Listas!$A$220:$D$224,2,FALSE),"Alerta: Seleccione la celda en la comumna B con el nombre del proyecto")))</f>
        <v>COMP1112</v>
      </c>
      <c r="AM293" s="640" t="str">
        <f>IF(J293="Funcionamiento Gastos Generales","No aplica",IF(J293="Funcionamiento Servicios Personales","No aplica",IFERROR(VLOOKUP(J293,Listas!$A$220:$D$224,3,FALSE),"Alerta: Seleccione la celda en la comumna B con el nombre del proyecto")))</f>
        <v>CONC1112</v>
      </c>
      <c r="AN293" s="633" t="s">
        <v>1050</v>
      </c>
      <c r="AO293" s="633" t="s">
        <v>126</v>
      </c>
      <c r="AP293" s="634" t="str">
        <f>IFERROR(VLOOKUP(J293,Listas!$A$182:$E$215,5,FALSE),"Alerta: Seleccione la celda en la comumna B con el nombre del proyecto")</f>
        <v>15. Instrumentos técnicos de gestión para la preservación del patrimonio cultural</v>
      </c>
      <c r="AQ293" s="634" t="str">
        <f>IF(J293="Funcionamiento Gastos Generales","No aplica",IF(J293="Funcionamiento Servicios Personales","No aplica",IFERROR(VLOOKUP(J293,Listas!$A$220:$D$224,4,FALSE),"Alerta: Seleccione la celda en la comumna B con el nombre del proyecto")))</f>
        <v>FONT1112</v>
      </c>
      <c r="AR293" s="633" t="s">
        <v>198</v>
      </c>
      <c r="AS293" s="634" t="str">
        <f>IFERROR(VLOOKUP(AU293,Listas!$E$85:$L$105,7,FALSE),"Alerta: Seleccione la celda en la comumna AI con el concepto de gasto")</f>
        <v>04-INVESTIGACION Y ESTUDIOS</v>
      </c>
      <c r="AT293" s="634" t="str">
        <f>IFERROR(VLOOKUP(AU293,Listas!$E$85:$L$105,8,FALSE),"Alerta: Seleccione la celda en la comumna AI con el concepto de gasto")</f>
        <v>01-INVESTIGACIÓN BÁSICA APLICADA Y ESTUDIOS PROPIOS DEL SECTOR</v>
      </c>
      <c r="AU293" s="633" t="s">
        <v>201</v>
      </c>
      <c r="AV293" s="634">
        <f>IFERROR(VLOOKUP(AU293,Listas!$E$85:$F$105,2,FALSE),"Alerta: Seleccione el Concepto de Gasto primero")</f>
        <v>0</v>
      </c>
      <c r="AW293" s="644">
        <v>11100000</v>
      </c>
      <c r="AX293" s="645"/>
      <c r="AY293" s="645"/>
      <c r="AZ293" s="645"/>
      <c r="BA293" s="646">
        <f t="shared" si="104"/>
        <v>11100000</v>
      </c>
      <c r="BB293" s="647"/>
      <c r="BC293" s="648"/>
      <c r="BD293" s="649"/>
      <c r="BE293" s="647"/>
      <c r="BF293" s="644"/>
      <c r="BG293" s="646">
        <f t="shared" si="105"/>
        <v>11100000</v>
      </c>
      <c r="BH293" s="650"/>
      <c r="BI293" s="647"/>
      <c r="BJ293" s="644"/>
      <c r="BK293" s="646">
        <f t="shared" si="106"/>
        <v>0</v>
      </c>
      <c r="BL293" s="651"/>
      <c r="BM293" s="652">
        <f t="shared" si="107"/>
        <v>1</v>
      </c>
      <c r="BN293" s="628"/>
      <c r="BO293" s="670"/>
      <c r="BP293" s="644"/>
      <c r="BQ293" s="644"/>
      <c r="BR293" s="644"/>
      <c r="BS293" s="644"/>
      <c r="BT293" s="644"/>
      <c r="BU293" s="644"/>
      <c r="BV293" s="644"/>
      <c r="BW293" s="644"/>
      <c r="BX293" s="644"/>
      <c r="BY293" s="644"/>
      <c r="BZ293" s="644"/>
      <c r="CA293" s="644"/>
      <c r="CB293" s="646">
        <f t="shared" si="108"/>
        <v>0</v>
      </c>
      <c r="CC293" s="646">
        <f t="shared" si="109"/>
        <v>0</v>
      </c>
      <c r="CD293" s="614"/>
    </row>
    <row r="294" spans="1:82" s="561" customFormat="1" ht="61.5" customHeight="1">
      <c r="A294" s="625" t="str">
        <f t="shared" si="91"/>
        <v>1112-140-FONT1112-04-01-0185-Planes y proyectos urbanos en ámbitos patrimoniales</v>
      </c>
      <c r="B294" s="626" t="str">
        <f t="shared" si="92"/>
        <v>1112-140-FONT1112-04-01-0185</v>
      </c>
      <c r="C294" s="626" t="str">
        <f t="shared" si="93"/>
        <v>1112-140-FONT1112-Planes y proyectos urbanos en ámbitos patrimoniales</v>
      </c>
      <c r="D294" s="626" t="str">
        <f t="shared" si="94"/>
        <v>1112-140-12-Otros Distrito-04-01-0185</v>
      </c>
      <c r="E294" s="626" t="str">
        <f t="shared" si="95"/>
        <v>Planes y proyectos urbanos en ámbitos patrimoniales-12-Otros Distrito-0185-Actividades de investigación para la valoración, protección, conservación, sostenibilidad y apropiación del Patrimonio Cultural</v>
      </c>
      <c r="F294" s="627">
        <v>245</v>
      </c>
      <c r="G294" s="628">
        <f t="shared" si="96"/>
        <v>245</v>
      </c>
      <c r="H294" s="629" t="b">
        <f t="shared" si="97"/>
        <v>0</v>
      </c>
      <c r="I294" s="630" t="s">
        <v>594</v>
      </c>
      <c r="J294" s="627" t="s">
        <v>179</v>
      </c>
      <c r="K294" s="631" t="str">
        <f>+IFERROR(VLOOKUP(J294,Listas!$A$108:$B$114,2,FALSE),"Alerta: Seleccione la celda en la comumna B con el nombre del proyecto")</f>
        <v>3-3-1-15-02-17-1112-140</v>
      </c>
      <c r="L294" s="632">
        <v>80111600</v>
      </c>
      <c r="M294" s="633" t="s">
        <v>838</v>
      </c>
      <c r="N294" s="634" t="str">
        <f t="shared" si="98"/>
        <v>(Cód. 245) Prestar servicios de apoyo a la gestión del Instituto Distrital de Patrimonio Cultural en la producción de insumos documentales relacionados con los planes y proyectos del Instituto.</v>
      </c>
      <c r="O294" s="635">
        <v>43480</v>
      </c>
      <c r="P294" s="636">
        <f>IFERROR(VLOOKUP(W294,'Estimación CRP'!$D$21:$E$30,2,FALSE),0)</f>
        <v>10</v>
      </c>
      <c r="Q294" s="637">
        <f>IF(O294="No aplica","No aplica",WORKDAY.INTL(O294,P294,1,'Estimación CRP'!A480:A496))</f>
        <v>43494</v>
      </c>
      <c r="R294" s="636">
        <f t="shared" si="99"/>
        <v>1</v>
      </c>
      <c r="S294" s="636">
        <f t="shared" si="100"/>
        <v>1</v>
      </c>
      <c r="T294" s="636">
        <f t="shared" si="101"/>
        <v>1</v>
      </c>
      <c r="U294" s="712">
        <v>11</v>
      </c>
      <c r="V294" s="638">
        <v>1</v>
      </c>
      <c r="W294" s="639" t="s">
        <v>274</v>
      </c>
      <c r="X294" s="640" t="str">
        <f>IFERROR(VLOOKUP(W294,Listas!$A$60:$B$73,2,FALSE),"Alerta: Seleccione primero Modalidad de selección")</f>
        <v>CCE-16</v>
      </c>
      <c r="Y294" s="641">
        <v>0</v>
      </c>
      <c r="Z294" s="641" t="s">
        <v>346</v>
      </c>
      <c r="AA294" s="641" t="s">
        <v>1310</v>
      </c>
      <c r="AB294" s="642">
        <f t="shared" si="102"/>
        <v>27500000</v>
      </c>
      <c r="AC294" s="642">
        <f t="shared" si="103"/>
        <v>27500000</v>
      </c>
      <c r="AD294" s="641">
        <v>0</v>
      </c>
      <c r="AE294" s="643">
        <v>0</v>
      </c>
      <c r="AF294" s="639" t="s">
        <v>276</v>
      </c>
      <c r="AG294" s="639" t="s">
        <v>277</v>
      </c>
      <c r="AH294" s="639" t="s">
        <v>285</v>
      </c>
      <c r="AI294" s="626" t="str">
        <f>IFERROR(VLOOKUP(AH294,Listas!$A$77:$C$83,2,FALSE),"Alerta: Seleccione primero el responsable")</f>
        <v>3550800</v>
      </c>
      <c r="AJ294" s="640" t="str">
        <f>IFERROR(VLOOKUP(AH294,Listas!$A$77:$C$83,3,FALSE),"Alerta: Seleccione primero el responsable")</f>
        <v>maria.villamil@idpc.gov.co</v>
      </c>
      <c r="AK294" s="640" t="str">
        <f>IF(J294="Funcionamiento Gastos Generales","No aplica",IF(J294="Funcionamiento Servicios Personales indirectos","No aplica",IFERROR(VLOOKUP(J294,Listas!$A$127:$E$139,3,FALSE),"Alerta: Seleccione la celda en la comumna B con el nombre del proyecto")))</f>
        <v>ME20181112</v>
      </c>
      <c r="AL294" s="640" t="str">
        <f>IF(J294="Funcionamiento Gastos Generales","No aplica",IF(J294="Funcionamiento Servicios Personales","No aplica",IFERROR(VLOOKUP(J294,Listas!$A$220:$D$224,2,FALSE),"Alerta: Seleccione la celda en la comumna B con el nombre del proyecto")))</f>
        <v>COMP1112</v>
      </c>
      <c r="AM294" s="640" t="str">
        <f>IF(J294="Funcionamiento Gastos Generales","No aplica",IF(J294="Funcionamiento Servicios Personales","No aplica",IFERROR(VLOOKUP(J294,Listas!$A$220:$D$224,3,FALSE),"Alerta: Seleccione la celda en la comumna B con el nombre del proyecto")))</f>
        <v>CONC1112</v>
      </c>
      <c r="AN294" s="633" t="s">
        <v>1051</v>
      </c>
      <c r="AO294" s="633" t="s">
        <v>127</v>
      </c>
      <c r="AP294" s="634" t="str">
        <f>IFERROR(VLOOKUP(J294,Listas!$A$182:$E$215,5,FALSE),"Alerta: Seleccione la celda en la comumna B con el nombre del proyecto")</f>
        <v>15. Instrumentos técnicos de gestión para la preservación del patrimonio cultural</v>
      </c>
      <c r="AQ294" s="634" t="str">
        <f>IF(J294="Funcionamiento Gastos Generales","No aplica",IF(J294="Funcionamiento Servicios Personales","No aplica",IFERROR(VLOOKUP(J294,Listas!$A$220:$D$224,4,FALSE),"Alerta: Seleccione la celda en la comumna B con el nombre del proyecto")))</f>
        <v>FONT1112</v>
      </c>
      <c r="AR294" s="633" t="s">
        <v>198</v>
      </c>
      <c r="AS294" s="634" t="str">
        <f>IFERROR(VLOOKUP(AU294,Listas!$E$85:$L$105,7,FALSE),"Alerta: Seleccione la celda en la comumna AI con el concepto de gasto")</f>
        <v>04-INVESTIGACION Y ESTUDIOS</v>
      </c>
      <c r="AT294" s="634" t="str">
        <f>IFERROR(VLOOKUP(AU294,Listas!$E$85:$L$105,8,FALSE),"Alerta: Seleccione la celda en la comumna AI con el concepto de gasto")</f>
        <v>01-INVESTIGACIÓN BÁSICA APLICADA Y ESTUDIOS PROPIOS DEL SECTOR</v>
      </c>
      <c r="AU294" s="633" t="s">
        <v>201</v>
      </c>
      <c r="AV294" s="634">
        <f>IFERROR(VLOOKUP(AU294,Listas!$E$85:$F$105,2,FALSE),"Alerta: Seleccione el Concepto de Gasto primero")</f>
        <v>0</v>
      </c>
      <c r="AW294" s="644">
        <v>27500000</v>
      </c>
      <c r="AX294" s="645"/>
      <c r="AY294" s="645"/>
      <c r="AZ294" s="645"/>
      <c r="BA294" s="646">
        <f t="shared" si="104"/>
        <v>27500000</v>
      </c>
      <c r="BB294" s="647"/>
      <c r="BC294" s="648"/>
      <c r="BD294" s="649"/>
      <c r="BE294" s="647"/>
      <c r="BF294" s="644"/>
      <c r="BG294" s="646">
        <f t="shared" si="105"/>
        <v>27500000</v>
      </c>
      <c r="BH294" s="650"/>
      <c r="BI294" s="647"/>
      <c r="BJ294" s="644"/>
      <c r="BK294" s="646">
        <f t="shared" si="106"/>
        <v>0</v>
      </c>
      <c r="BL294" s="651"/>
      <c r="BM294" s="652">
        <f t="shared" si="107"/>
        <v>1</v>
      </c>
      <c r="BN294" s="628"/>
      <c r="BO294" s="670"/>
      <c r="BP294" s="644"/>
      <c r="BQ294" s="644"/>
      <c r="BR294" s="644"/>
      <c r="BS294" s="644"/>
      <c r="BT294" s="644"/>
      <c r="BU294" s="644"/>
      <c r="BV294" s="644"/>
      <c r="BW294" s="644"/>
      <c r="BX294" s="644"/>
      <c r="BY294" s="644"/>
      <c r="BZ294" s="644"/>
      <c r="CA294" s="644"/>
      <c r="CB294" s="646">
        <f t="shared" si="108"/>
        <v>0</v>
      </c>
      <c r="CC294" s="646">
        <f t="shared" si="109"/>
        <v>0</v>
      </c>
      <c r="CD294" s="614"/>
    </row>
    <row r="295" spans="1:82" s="561" customFormat="1" ht="61.5" customHeight="1">
      <c r="A295" s="625" t="str">
        <f t="shared" si="91"/>
        <v>1112-140-FONT1112-04-01-0185-Plan especial de manejo y protección del centro histórico</v>
      </c>
      <c r="B295" s="626" t="str">
        <f t="shared" si="92"/>
        <v>1112-140-FONT1112-04-01-0185</v>
      </c>
      <c r="C295" s="626" t="str">
        <f t="shared" si="93"/>
        <v>1112-140-FONT1112-Plan especial de manejo y protección del centro histórico</v>
      </c>
      <c r="D295" s="626" t="str">
        <f t="shared" si="94"/>
        <v>1112-140-12-Otros Distrito-04-01-0185</v>
      </c>
      <c r="E295" s="626" t="str">
        <f t="shared" si="95"/>
        <v>Plan especial de manejo y protección del centro histórico-12-Otros Distrito-0185-Actividades de investigación para la valoración, protección, conservación, sostenibilidad y apropiación del Patrimonio Cultural</v>
      </c>
      <c r="F295" s="627">
        <v>246</v>
      </c>
      <c r="G295" s="628">
        <f t="shared" si="96"/>
        <v>246</v>
      </c>
      <c r="H295" s="629" t="b">
        <f t="shared" si="97"/>
        <v>0</v>
      </c>
      <c r="I295" s="630" t="s">
        <v>594</v>
      </c>
      <c r="J295" s="627" t="s">
        <v>179</v>
      </c>
      <c r="K295" s="631" t="str">
        <f>+IFERROR(VLOOKUP(J295,Listas!$A$108:$B$114,2,FALSE),"Alerta: Seleccione la celda en la comumna B con el nombre del proyecto")</f>
        <v>3-3-1-15-02-17-1112-140</v>
      </c>
      <c r="L295" s="632">
        <v>80111600</v>
      </c>
      <c r="M295" s="633" t="s">
        <v>811</v>
      </c>
      <c r="N295" s="634" t="str">
        <f t="shared" si="98"/>
        <v xml:space="preserve">(Cód. 246) Prestar servicios profesionales al Instituto Distrital de Patrimonio Cultural en la ejecución de las actividades de edición de textos e imágenes y montaje para la consolidación de la valoración e inventario de los bienes del patrimonio cultural inmueble del Plan Especial de Manejo y Protección- PEMP- del Centro Histórico de Bogotá D.C.  </v>
      </c>
      <c r="O295" s="635">
        <v>43480</v>
      </c>
      <c r="P295" s="636">
        <f>IFERROR(VLOOKUP(W295,'Estimación CRP'!$D$21:$E$30,2,FALSE),0)</f>
        <v>10</v>
      </c>
      <c r="Q295" s="637">
        <f>IF(O295="No aplica","No aplica",WORKDAY.INTL(O295,P295,1,'Estimación CRP'!A481:A497))</f>
        <v>43494</v>
      </c>
      <c r="R295" s="636">
        <f t="shared" si="99"/>
        <v>1</v>
      </c>
      <c r="S295" s="636">
        <f t="shared" si="100"/>
        <v>1</v>
      </c>
      <c r="T295" s="636">
        <f t="shared" si="101"/>
        <v>1</v>
      </c>
      <c r="U295" s="712">
        <v>3</v>
      </c>
      <c r="V295" s="638">
        <v>1</v>
      </c>
      <c r="W295" s="639" t="s">
        <v>274</v>
      </c>
      <c r="X295" s="640" t="str">
        <f>IFERROR(VLOOKUP(W295,Listas!$A$60:$B$73,2,FALSE),"Alerta: Seleccione primero Modalidad de selección")</f>
        <v>CCE-16</v>
      </c>
      <c r="Y295" s="641">
        <v>0</v>
      </c>
      <c r="Z295" s="641" t="s">
        <v>346</v>
      </c>
      <c r="AA295" s="641" t="s">
        <v>1311</v>
      </c>
      <c r="AB295" s="642">
        <f t="shared" si="102"/>
        <v>12360000</v>
      </c>
      <c r="AC295" s="642">
        <f t="shared" si="103"/>
        <v>12360000</v>
      </c>
      <c r="AD295" s="641">
        <v>0</v>
      </c>
      <c r="AE295" s="643">
        <v>0</v>
      </c>
      <c r="AF295" s="639" t="s">
        <v>276</v>
      </c>
      <c r="AG295" s="639" t="s">
        <v>277</v>
      </c>
      <c r="AH295" s="639" t="s">
        <v>285</v>
      </c>
      <c r="AI295" s="626" t="str">
        <f>IFERROR(VLOOKUP(AH295,Listas!$A$77:$C$83,2,FALSE),"Alerta: Seleccione primero el responsable")</f>
        <v>3550800</v>
      </c>
      <c r="AJ295" s="640" t="str">
        <f>IFERROR(VLOOKUP(AH295,Listas!$A$77:$C$83,3,FALSE),"Alerta: Seleccione primero el responsable")</f>
        <v>maria.villamil@idpc.gov.co</v>
      </c>
      <c r="AK295" s="640" t="str">
        <f>IF(J295="Funcionamiento Gastos Generales","No aplica",IF(J295="Funcionamiento Servicios Personales indirectos","No aplica",IFERROR(VLOOKUP(J295,Listas!$A$127:$E$139,3,FALSE),"Alerta: Seleccione la celda en la comumna B con el nombre del proyecto")))</f>
        <v>ME20181112</v>
      </c>
      <c r="AL295" s="640" t="str">
        <f>IF(J295="Funcionamiento Gastos Generales","No aplica",IF(J295="Funcionamiento Servicios Personales","No aplica",IFERROR(VLOOKUP(J295,Listas!$A$220:$D$224,2,FALSE),"Alerta: Seleccione la celda en la comumna B con el nombre del proyecto")))</f>
        <v>COMP1112</v>
      </c>
      <c r="AM295" s="640" t="str">
        <f>IF(J295="Funcionamiento Gastos Generales","No aplica",IF(J295="Funcionamiento Servicios Personales","No aplica",IFERROR(VLOOKUP(J295,Listas!$A$220:$D$224,3,FALSE),"Alerta: Seleccione la celda en la comumna B con el nombre del proyecto")))</f>
        <v>CONC1112</v>
      </c>
      <c r="AN295" s="633" t="s">
        <v>1050</v>
      </c>
      <c r="AO295" s="633" t="s">
        <v>126</v>
      </c>
      <c r="AP295" s="634" t="str">
        <f>IFERROR(VLOOKUP(J295,Listas!$A$182:$E$215,5,FALSE),"Alerta: Seleccione la celda en la comumna B con el nombre del proyecto")</f>
        <v>15. Instrumentos técnicos de gestión para la preservación del patrimonio cultural</v>
      </c>
      <c r="AQ295" s="634" t="str">
        <f>IF(J295="Funcionamiento Gastos Generales","No aplica",IF(J295="Funcionamiento Servicios Personales","No aplica",IFERROR(VLOOKUP(J295,Listas!$A$220:$D$224,4,FALSE),"Alerta: Seleccione la celda en la comumna B con el nombre del proyecto")))</f>
        <v>FONT1112</v>
      </c>
      <c r="AR295" s="633" t="s">
        <v>198</v>
      </c>
      <c r="AS295" s="634" t="str">
        <f>IFERROR(VLOOKUP(AU295,Listas!$E$85:$L$105,7,FALSE),"Alerta: Seleccione la celda en la comumna AI con el concepto de gasto")</f>
        <v>04-INVESTIGACION Y ESTUDIOS</v>
      </c>
      <c r="AT295" s="634" t="str">
        <f>IFERROR(VLOOKUP(AU295,Listas!$E$85:$L$105,8,FALSE),"Alerta: Seleccione la celda en la comumna AI con el concepto de gasto")</f>
        <v>01-INVESTIGACIÓN BÁSICA APLICADA Y ESTUDIOS PROPIOS DEL SECTOR</v>
      </c>
      <c r="AU295" s="633" t="s">
        <v>201</v>
      </c>
      <c r="AV295" s="634">
        <f>IFERROR(VLOOKUP(AU295,Listas!$E$85:$F$105,2,FALSE),"Alerta: Seleccione el Concepto de Gasto primero")</f>
        <v>0</v>
      </c>
      <c r="AW295" s="644">
        <v>12360000</v>
      </c>
      <c r="AX295" s="645"/>
      <c r="AY295" s="645"/>
      <c r="AZ295" s="645"/>
      <c r="BA295" s="646">
        <f t="shared" si="104"/>
        <v>12360000</v>
      </c>
      <c r="BB295" s="647"/>
      <c r="BC295" s="648"/>
      <c r="BD295" s="649"/>
      <c r="BE295" s="647"/>
      <c r="BF295" s="644"/>
      <c r="BG295" s="646">
        <f t="shared" si="105"/>
        <v>12360000</v>
      </c>
      <c r="BH295" s="650"/>
      <c r="BI295" s="647"/>
      <c r="BJ295" s="644"/>
      <c r="BK295" s="646">
        <f t="shared" si="106"/>
        <v>0</v>
      </c>
      <c r="BL295" s="651"/>
      <c r="BM295" s="652">
        <f t="shared" si="107"/>
        <v>1</v>
      </c>
      <c r="BN295" s="628"/>
      <c r="BO295" s="670"/>
      <c r="BP295" s="644"/>
      <c r="BQ295" s="644"/>
      <c r="BR295" s="644"/>
      <c r="BS295" s="644"/>
      <c r="BT295" s="644"/>
      <c r="BU295" s="644"/>
      <c r="BV295" s="644"/>
      <c r="BW295" s="644"/>
      <c r="BX295" s="644"/>
      <c r="BY295" s="644"/>
      <c r="BZ295" s="644"/>
      <c r="CA295" s="644"/>
      <c r="CB295" s="646">
        <f t="shared" si="108"/>
        <v>0</v>
      </c>
      <c r="CC295" s="646">
        <f t="shared" si="109"/>
        <v>0</v>
      </c>
      <c r="CD295" s="614"/>
    </row>
    <row r="296" spans="1:82" s="561" customFormat="1" ht="61.5" customHeight="1">
      <c r="A296" s="625" t="str">
        <f t="shared" si="91"/>
        <v>1112-140-FONT1112-04-01-0185-Plan especial de manejo y protección del centro histórico</v>
      </c>
      <c r="B296" s="626" t="str">
        <f t="shared" si="92"/>
        <v>1112-140-FONT1112-04-01-0185</v>
      </c>
      <c r="C296" s="626" t="str">
        <f t="shared" si="93"/>
        <v>1112-140-FONT1112-Plan especial de manejo y protección del centro histórico</v>
      </c>
      <c r="D296" s="626" t="str">
        <f t="shared" si="94"/>
        <v>1112-140-12-Otros Distrito-04-01-0185</v>
      </c>
      <c r="E296" s="626" t="str">
        <f t="shared" si="95"/>
        <v>Plan especial de manejo y protección del centro histórico-12-Otros Distrito-0185-Actividades de investigación para la valoración, protección, conservación, sostenibilidad y apropiación del Patrimonio Cultural</v>
      </c>
      <c r="F296" s="627">
        <v>247</v>
      </c>
      <c r="G296" s="628">
        <f t="shared" si="96"/>
        <v>247</v>
      </c>
      <c r="H296" s="629" t="b">
        <f t="shared" si="97"/>
        <v>0</v>
      </c>
      <c r="I296" s="630" t="s">
        <v>594</v>
      </c>
      <c r="J296" s="627" t="s">
        <v>179</v>
      </c>
      <c r="K296" s="631" t="str">
        <f>+IFERROR(VLOOKUP(J296,Listas!$A$108:$B$114,2,FALSE),"Alerta: Seleccione la celda en la comumna B con el nombre del proyecto")</f>
        <v>3-3-1-15-02-17-1112-140</v>
      </c>
      <c r="L296" s="632">
        <v>80111600</v>
      </c>
      <c r="M296" s="633" t="s">
        <v>839</v>
      </c>
      <c r="N296" s="634" t="str">
        <f t="shared" si="98"/>
        <v>(Cód. 247) Prestar servicios profesionales al Instituto Distrital de Patrimonio Cultural para el direccionamiento, verificación y consolidación del inventario y valoración del patrimonio cultural inmueble en el marco de la propuesta integral del Patrimonio Inmueble del Plan Especial de Manejo y Protección -PEMP - del Centro Histórico de Bogota D.C-</v>
      </c>
      <c r="O296" s="635">
        <v>43480</v>
      </c>
      <c r="P296" s="636">
        <f>IFERROR(VLOOKUP(W296,'Estimación CRP'!$D$21:$E$30,2,FALSE),0)</f>
        <v>10</v>
      </c>
      <c r="Q296" s="637">
        <f>IF(O296="No aplica","No aplica",WORKDAY.INTL(O296,P296,1,'Estimación CRP'!A482:A498))</f>
        <v>43494</v>
      </c>
      <c r="R296" s="636">
        <f t="shared" si="99"/>
        <v>1</v>
      </c>
      <c r="S296" s="636">
        <f t="shared" si="100"/>
        <v>1</v>
      </c>
      <c r="T296" s="636">
        <f t="shared" si="101"/>
        <v>1</v>
      </c>
      <c r="U296" s="712">
        <v>3</v>
      </c>
      <c r="V296" s="638">
        <v>1</v>
      </c>
      <c r="W296" s="639" t="s">
        <v>274</v>
      </c>
      <c r="X296" s="640" t="str">
        <f>IFERROR(VLOOKUP(W296,Listas!$A$60:$B$73,2,FALSE),"Alerta: Seleccione primero Modalidad de selección")</f>
        <v>CCE-16</v>
      </c>
      <c r="Y296" s="641">
        <v>0</v>
      </c>
      <c r="Z296" s="641" t="s">
        <v>346</v>
      </c>
      <c r="AA296" s="641" t="s">
        <v>1312</v>
      </c>
      <c r="AB296" s="642">
        <f t="shared" si="102"/>
        <v>22560000</v>
      </c>
      <c r="AC296" s="642">
        <f t="shared" si="103"/>
        <v>22560000</v>
      </c>
      <c r="AD296" s="641">
        <v>0</v>
      </c>
      <c r="AE296" s="643">
        <v>0</v>
      </c>
      <c r="AF296" s="639" t="s">
        <v>276</v>
      </c>
      <c r="AG296" s="639" t="s">
        <v>277</v>
      </c>
      <c r="AH296" s="639" t="s">
        <v>285</v>
      </c>
      <c r="AI296" s="626" t="str">
        <f>IFERROR(VLOOKUP(AH296,Listas!$A$77:$C$83,2,FALSE),"Alerta: Seleccione primero el responsable")</f>
        <v>3550800</v>
      </c>
      <c r="AJ296" s="640" t="str">
        <f>IFERROR(VLOOKUP(AH296,Listas!$A$77:$C$83,3,FALSE),"Alerta: Seleccione primero el responsable")</f>
        <v>maria.villamil@idpc.gov.co</v>
      </c>
      <c r="AK296" s="640" t="str">
        <f>IF(J296="Funcionamiento Gastos Generales","No aplica",IF(J296="Funcionamiento Servicios Personales indirectos","No aplica",IFERROR(VLOOKUP(J296,Listas!$A$127:$E$139,3,FALSE),"Alerta: Seleccione la celda en la comumna B con el nombre del proyecto")))</f>
        <v>ME20181112</v>
      </c>
      <c r="AL296" s="640" t="str">
        <f>IF(J296="Funcionamiento Gastos Generales","No aplica",IF(J296="Funcionamiento Servicios Personales","No aplica",IFERROR(VLOOKUP(J296,Listas!$A$220:$D$224,2,FALSE),"Alerta: Seleccione la celda en la comumna B con el nombre del proyecto")))</f>
        <v>COMP1112</v>
      </c>
      <c r="AM296" s="640" t="str">
        <f>IF(J296="Funcionamiento Gastos Generales","No aplica",IF(J296="Funcionamiento Servicios Personales","No aplica",IFERROR(VLOOKUP(J296,Listas!$A$220:$D$224,3,FALSE),"Alerta: Seleccione la celda en la comumna B con el nombre del proyecto")))</f>
        <v>CONC1112</v>
      </c>
      <c r="AN296" s="633" t="s">
        <v>1050</v>
      </c>
      <c r="AO296" s="633" t="s">
        <v>126</v>
      </c>
      <c r="AP296" s="634" t="str">
        <f>IFERROR(VLOOKUP(J296,Listas!$A$182:$E$215,5,FALSE),"Alerta: Seleccione la celda en la comumna B con el nombre del proyecto")</f>
        <v>15. Instrumentos técnicos de gestión para la preservación del patrimonio cultural</v>
      </c>
      <c r="AQ296" s="634" t="str">
        <f>IF(J296="Funcionamiento Gastos Generales","No aplica",IF(J296="Funcionamiento Servicios Personales","No aplica",IFERROR(VLOOKUP(J296,Listas!$A$220:$D$224,4,FALSE),"Alerta: Seleccione la celda en la comumna B con el nombre del proyecto")))</f>
        <v>FONT1112</v>
      </c>
      <c r="AR296" s="633" t="s">
        <v>198</v>
      </c>
      <c r="AS296" s="634" t="str">
        <f>IFERROR(VLOOKUP(AU296,Listas!$E$85:$L$105,7,FALSE),"Alerta: Seleccione la celda en la comumna AI con el concepto de gasto")</f>
        <v>04-INVESTIGACION Y ESTUDIOS</v>
      </c>
      <c r="AT296" s="634" t="str">
        <f>IFERROR(VLOOKUP(AU296,Listas!$E$85:$L$105,8,FALSE),"Alerta: Seleccione la celda en la comumna AI con el concepto de gasto")</f>
        <v>01-INVESTIGACIÓN BÁSICA APLICADA Y ESTUDIOS PROPIOS DEL SECTOR</v>
      </c>
      <c r="AU296" s="633" t="s">
        <v>201</v>
      </c>
      <c r="AV296" s="634">
        <f>IFERROR(VLOOKUP(AU296,Listas!$E$85:$F$105,2,FALSE),"Alerta: Seleccione el Concepto de Gasto primero")</f>
        <v>0</v>
      </c>
      <c r="AW296" s="644">
        <v>22560000</v>
      </c>
      <c r="AX296" s="645"/>
      <c r="AY296" s="645"/>
      <c r="AZ296" s="645"/>
      <c r="BA296" s="646">
        <f t="shared" si="104"/>
        <v>22560000</v>
      </c>
      <c r="BB296" s="647"/>
      <c r="BC296" s="648"/>
      <c r="BD296" s="649"/>
      <c r="BE296" s="647"/>
      <c r="BF296" s="644"/>
      <c r="BG296" s="646">
        <f t="shared" si="105"/>
        <v>22560000</v>
      </c>
      <c r="BH296" s="650"/>
      <c r="BI296" s="647"/>
      <c r="BJ296" s="644"/>
      <c r="BK296" s="646">
        <f t="shared" si="106"/>
        <v>0</v>
      </c>
      <c r="BL296" s="651"/>
      <c r="BM296" s="652">
        <f t="shared" si="107"/>
        <v>1</v>
      </c>
      <c r="BN296" s="628"/>
      <c r="BO296" s="670"/>
      <c r="BP296" s="644"/>
      <c r="BQ296" s="644"/>
      <c r="BR296" s="644"/>
      <c r="BS296" s="644"/>
      <c r="BT296" s="644"/>
      <c r="BU296" s="644"/>
      <c r="BV296" s="644"/>
      <c r="BW296" s="644"/>
      <c r="BX296" s="644"/>
      <c r="BY296" s="644"/>
      <c r="BZ296" s="644"/>
      <c r="CA296" s="644"/>
      <c r="CB296" s="646">
        <f t="shared" si="108"/>
        <v>0</v>
      </c>
      <c r="CC296" s="646">
        <f t="shared" si="109"/>
        <v>0</v>
      </c>
      <c r="CD296" s="614"/>
    </row>
    <row r="297" spans="1:82" s="561" customFormat="1" ht="61.5" customHeight="1">
      <c r="A297" s="625" t="str">
        <f t="shared" si="91"/>
        <v>1112-140-FONT1112-04-01-0185-Plan especial de manejo y protección del centro histórico</v>
      </c>
      <c r="B297" s="626" t="str">
        <f t="shared" si="92"/>
        <v>1112-140-FONT1112-04-01-0185</v>
      </c>
      <c r="C297" s="626" t="str">
        <f t="shared" si="93"/>
        <v>1112-140-FONT1112-Plan especial de manejo y protección del centro histórico</v>
      </c>
      <c r="D297" s="626" t="str">
        <f t="shared" si="94"/>
        <v>1112-140-12-Otros Distrito-04-01-0185</v>
      </c>
      <c r="E297" s="626" t="str">
        <f t="shared" si="95"/>
        <v>Plan especial de manejo y protección del centro histórico-12-Otros Distrito-0185-Actividades de investigación para la valoración, protección, conservación, sostenibilidad y apropiación del Patrimonio Cultural</v>
      </c>
      <c r="F297" s="627">
        <v>248</v>
      </c>
      <c r="G297" s="628">
        <f t="shared" si="96"/>
        <v>248</v>
      </c>
      <c r="H297" s="629" t="b">
        <f t="shared" si="97"/>
        <v>0</v>
      </c>
      <c r="I297" s="630" t="s">
        <v>594</v>
      </c>
      <c r="J297" s="627" t="s">
        <v>179</v>
      </c>
      <c r="K297" s="631" t="str">
        <f>+IFERROR(VLOOKUP(J297,Listas!$A$108:$B$114,2,FALSE),"Alerta: Seleccione la celda en la comumna B con el nombre del proyecto")</f>
        <v>3-3-1-15-02-17-1112-140</v>
      </c>
      <c r="L297" s="632">
        <v>80111600</v>
      </c>
      <c r="M297" s="633" t="s">
        <v>840</v>
      </c>
      <c r="N297" s="634" t="str">
        <f t="shared" si="98"/>
        <v>(Cód. 248) Prestar servicios profesionales al Instituto Distrital de Patrimonio Cultural para apoyar la propuesta normativa y de instrumentos derivados del Plan Especial de Manejo y Protección -PEMP- del Centro Histórico de Bogotá D.C.</v>
      </c>
      <c r="O297" s="635">
        <v>43480</v>
      </c>
      <c r="P297" s="636">
        <f>IFERROR(VLOOKUP(W297,'Estimación CRP'!$D$21:$E$30,2,FALSE),0)</f>
        <v>10</v>
      </c>
      <c r="Q297" s="637">
        <f>IF(O297="No aplica","No aplica",WORKDAY.INTL(O297,P297,1,'Estimación CRP'!A483:A499))</f>
        <v>43494</v>
      </c>
      <c r="R297" s="636">
        <f t="shared" si="99"/>
        <v>1</v>
      </c>
      <c r="S297" s="636">
        <f t="shared" si="100"/>
        <v>1</v>
      </c>
      <c r="T297" s="636">
        <f t="shared" si="101"/>
        <v>1</v>
      </c>
      <c r="U297" s="712">
        <v>5</v>
      </c>
      <c r="V297" s="638">
        <v>1</v>
      </c>
      <c r="W297" s="639" t="s">
        <v>274</v>
      </c>
      <c r="X297" s="640" t="str">
        <f>IFERROR(VLOOKUP(W297,Listas!$A$60:$B$73,2,FALSE),"Alerta: Seleccione primero Modalidad de selección")</f>
        <v>CCE-16</v>
      </c>
      <c r="Y297" s="641">
        <v>0</v>
      </c>
      <c r="Z297" s="641" t="s">
        <v>346</v>
      </c>
      <c r="AA297" s="641" t="s">
        <v>1313</v>
      </c>
      <c r="AB297" s="642">
        <f t="shared" si="102"/>
        <v>30000000</v>
      </c>
      <c r="AC297" s="642">
        <f t="shared" si="103"/>
        <v>30000000</v>
      </c>
      <c r="AD297" s="641">
        <v>0</v>
      </c>
      <c r="AE297" s="643">
        <v>0</v>
      </c>
      <c r="AF297" s="639" t="s">
        <v>276</v>
      </c>
      <c r="AG297" s="639" t="s">
        <v>277</v>
      </c>
      <c r="AH297" s="639" t="s">
        <v>285</v>
      </c>
      <c r="AI297" s="626" t="str">
        <f>IFERROR(VLOOKUP(AH297,Listas!$A$77:$C$83,2,FALSE),"Alerta: Seleccione primero el responsable")</f>
        <v>3550800</v>
      </c>
      <c r="AJ297" s="640" t="str">
        <f>IFERROR(VLOOKUP(AH297,Listas!$A$77:$C$83,3,FALSE),"Alerta: Seleccione primero el responsable")</f>
        <v>maria.villamil@idpc.gov.co</v>
      </c>
      <c r="AK297" s="640" t="str">
        <f>IF(J297="Funcionamiento Gastos Generales","No aplica",IF(J297="Funcionamiento Servicios Personales indirectos","No aplica",IFERROR(VLOOKUP(J297,Listas!$A$127:$E$139,3,FALSE),"Alerta: Seleccione la celda en la comumna B con el nombre del proyecto")))</f>
        <v>ME20181112</v>
      </c>
      <c r="AL297" s="640" t="str">
        <f>IF(J297="Funcionamiento Gastos Generales","No aplica",IF(J297="Funcionamiento Servicios Personales","No aplica",IFERROR(VLOOKUP(J297,Listas!$A$220:$D$224,2,FALSE),"Alerta: Seleccione la celda en la comumna B con el nombre del proyecto")))</f>
        <v>COMP1112</v>
      </c>
      <c r="AM297" s="640" t="str">
        <f>IF(J297="Funcionamiento Gastos Generales","No aplica",IF(J297="Funcionamiento Servicios Personales","No aplica",IFERROR(VLOOKUP(J297,Listas!$A$220:$D$224,3,FALSE),"Alerta: Seleccione la celda en la comumna B con el nombre del proyecto")))</f>
        <v>CONC1112</v>
      </c>
      <c r="AN297" s="633" t="s">
        <v>1050</v>
      </c>
      <c r="AO297" s="633" t="s">
        <v>126</v>
      </c>
      <c r="AP297" s="634" t="str">
        <f>IFERROR(VLOOKUP(J297,Listas!$A$182:$E$215,5,FALSE),"Alerta: Seleccione la celda en la comumna B con el nombre del proyecto")</f>
        <v>15. Instrumentos técnicos de gestión para la preservación del patrimonio cultural</v>
      </c>
      <c r="AQ297" s="634" t="str">
        <f>IF(J297="Funcionamiento Gastos Generales","No aplica",IF(J297="Funcionamiento Servicios Personales","No aplica",IFERROR(VLOOKUP(J297,Listas!$A$220:$D$224,4,FALSE),"Alerta: Seleccione la celda en la comumna B con el nombre del proyecto")))</f>
        <v>FONT1112</v>
      </c>
      <c r="AR297" s="633" t="s">
        <v>198</v>
      </c>
      <c r="AS297" s="634" t="str">
        <f>IFERROR(VLOOKUP(AU297,Listas!$E$85:$L$105,7,FALSE),"Alerta: Seleccione la celda en la comumna AI con el concepto de gasto")</f>
        <v>04-INVESTIGACION Y ESTUDIOS</v>
      </c>
      <c r="AT297" s="634" t="str">
        <f>IFERROR(VLOOKUP(AU297,Listas!$E$85:$L$105,8,FALSE),"Alerta: Seleccione la celda en la comumna AI con el concepto de gasto")</f>
        <v>01-INVESTIGACIÓN BÁSICA APLICADA Y ESTUDIOS PROPIOS DEL SECTOR</v>
      </c>
      <c r="AU297" s="633" t="s">
        <v>201</v>
      </c>
      <c r="AV297" s="634">
        <f>IFERROR(VLOOKUP(AU297,Listas!$E$85:$F$105,2,FALSE),"Alerta: Seleccione el Concepto de Gasto primero")</f>
        <v>0</v>
      </c>
      <c r="AW297" s="644">
        <v>30000000</v>
      </c>
      <c r="AX297" s="645"/>
      <c r="AY297" s="645"/>
      <c r="AZ297" s="645"/>
      <c r="BA297" s="646">
        <f t="shared" si="104"/>
        <v>30000000</v>
      </c>
      <c r="BB297" s="647"/>
      <c r="BC297" s="648"/>
      <c r="BD297" s="649"/>
      <c r="BE297" s="647"/>
      <c r="BF297" s="644"/>
      <c r="BG297" s="646">
        <f t="shared" si="105"/>
        <v>30000000</v>
      </c>
      <c r="BH297" s="650"/>
      <c r="BI297" s="647"/>
      <c r="BJ297" s="644"/>
      <c r="BK297" s="646">
        <f t="shared" si="106"/>
        <v>0</v>
      </c>
      <c r="BL297" s="651"/>
      <c r="BM297" s="652">
        <f t="shared" si="107"/>
        <v>1</v>
      </c>
      <c r="BN297" s="628"/>
      <c r="BO297" s="670"/>
      <c r="BP297" s="644"/>
      <c r="BQ297" s="644"/>
      <c r="BR297" s="644"/>
      <c r="BS297" s="644"/>
      <c r="BT297" s="644"/>
      <c r="BU297" s="644"/>
      <c r="BV297" s="644"/>
      <c r="BW297" s="644"/>
      <c r="BX297" s="644"/>
      <c r="BY297" s="644"/>
      <c r="BZ297" s="644"/>
      <c r="CA297" s="644"/>
      <c r="CB297" s="646">
        <f t="shared" si="108"/>
        <v>0</v>
      </c>
      <c r="CC297" s="646">
        <f t="shared" si="109"/>
        <v>0</v>
      </c>
      <c r="CD297" s="614"/>
    </row>
    <row r="298" spans="1:82" s="561" customFormat="1" ht="61.5" customHeight="1">
      <c r="A298" s="625" t="str">
        <f t="shared" si="91"/>
        <v>1112-140-FONT1112-04-01-0185-Plan especial de manejo y protección del centro histórico</v>
      </c>
      <c r="B298" s="626" t="str">
        <f t="shared" si="92"/>
        <v>1112-140-FONT1112-04-01-0185</v>
      </c>
      <c r="C298" s="626" t="str">
        <f t="shared" si="93"/>
        <v>1112-140-FONT1112-Plan especial de manejo y protección del centro histórico</v>
      </c>
      <c r="D298" s="626" t="str">
        <f t="shared" si="94"/>
        <v>1112-140-12-Otros Distrito-04-01-0185</v>
      </c>
      <c r="E298" s="626" t="str">
        <f t="shared" si="95"/>
        <v>Plan especial de manejo y protección del centro histórico-12-Otros Distrito-0185-Actividades de investigación para la valoración, protección, conservación, sostenibilidad y apropiación del Patrimonio Cultural</v>
      </c>
      <c r="F298" s="627">
        <v>249</v>
      </c>
      <c r="G298" s="628">
        <f t="shared" si="96"/>
        <v>249</v>
      </c>
      <c r="H298" s="629" t="b">
        <f t="shared" si="97"/>
        <v>0</v>
      </c>
      <c r="I298" s="630" t="s">
        <v>594</v>
      </c>
      <c r="J298" s="627" t="s">
        <v>179</v>
      </c>
      <c r="K298" s="631" t="str">
        <f>+IFERROR(VLOOKUP(J298,Listas!$A$108:$B$114,2,FALSE),"Alerta: Seleccione la celda en la comumna B con el nombre del proyecto")</f>
        <v>3-3-1-15-02-17-1112-140</v>
      </c>
      <c r="L298" s="632">
        <v>80111600</v>
      </c>
      <c r="M298" s="633" t="s">
        <v>841</v>
      </c>
      <c r="N298" s="634" t="str">
        <f t="shared" si="98"/>
        <v>(Cód. 249) Prestar servicios profesionales al Instituto Distrital de Patrimonio Cultural para apoyar la consolidación de la propuesta normativa y de instrumentos derivados del Plan Especial de Manejo y Protección -PEMP- del Centro Histórico de Bogotá D.C., y otros proyectos.</v>
      </c>
      <c r="O298" s="635">
        <v>43570</v>
      </c>
      <c r="P298" s="636">
        <f>IFERROR(VLOOKUP(W298,'Estimación CRP'!$D$21:$E$30,2,FALSE),0)</f>
        <v>10</v>
      </c>
      <c r="Q298" s="637">
        <f>IF(O298="No aplica","No aplica",WORKDAY.INTL(O298,P298,1,'Estimación CRP'!A484:A500))</f>
        <v>43584</v>
      </c>
      <c r="R298" s="636">
        <f t="shared" si="99"/>
        <v>4</v>
      </c>
      <c r="S298" s="636">
        <f t="shared" si="100"/>
        <v>4</v>
      </c>
      <c r="T298" s="636">
        <f t="shared" si="101"/>
        <v>4</v>
      </c>
      <c r="U298" s="712">
        <v>5</v>
      </c>
      <c r="V298" s="638">
        <v>1</v>
      </c>
      <c r="W298" s="639" t="s">
        <v>274</v>
      </c>
      <c r="X298" s="640" t="str">
        <f>IFERROR(VLOOKUP(W298,Listas!$A$60:$B$73,2,FALSE),"Alerta: Seleccione primero Modalidad de selección")</f>
        <v>CCE-16</v>
      </c>
      <c r="Y298" s="641">
        <v>0</v>
      </c>
      <c r="Z298" s="641" t="s">
        <v>346</v>
      </c>
      <c r="AA298" s="641" t="s">
        <v>1313</v>
      </c>
      <c r="AB298" s="642">
        <f t="shared" si="102"/>
        <v>30000000</v>
      </c>
      <c r="AC298" s="642">
        <f t="shared" si="103"/>
        <v>30000000</v>
      </c>
      <c r="AD298" s="641">
        <v>0</v>
      </c>
      <c r="AE298" s="643">
        <v>0</v>
      </c>
      <c r="AF298" s="639" t="s">
        <v>276</v>
      </c>
      <c r="AG298" s="639" t="s">
        <v>277</v>
      </c>
      <c r="AH298" s="639" t="s">
        <v>285</v>
      </c>
      <c r="AI298" s="626" t="str">
        <f>IFERROR(VLOOKUP(AH298,Listas!$A$77:$C$83,2,FALSE),"Alerta: Seleccione primero el responsable")</f>
        <v>3550800</v>
      </c>
      <c r="AJ298" s="640" t="str">
        <f>IFERROR(VLOOKUP(AH298,Listas!$A$77:$C$83,3,FALSE),"Alerta: Seleccione primero el responsable")</f>
        <v>maria.villamil@idpc.gov.co</v>
      </c>
      <c r="AK298" s="640" t="str">
        <f>IF(J298="Funcionamiento Gastos Generales","No aplica",IF(J298="Funcionamiento Servicios Personales indirectos","No aplica",IFERROR(VLOOKUP(J298,Listas!$A$127:$E$139,3,FALSE),"Alerta: Seleccione la celda en la comumna B con el nombre del proyecto")))</f>
        <v>ME20181112</v>
      </c>
      <c r="AL298" s="640" t="str">
        <f>IF(J298="Funcionamiento Gastos Generales","No aplica",IF(J298="Funcionamiento Servicios Personales","No aplica",IFERROR(VLOOKUP(J298,Listas!$A$220:$D$224,2,FALSE),"Alerta: Seleccione la celda en la comumna B con el nombre del proyecto")))</f>
        <v>COMP1112</v>
      </c>
      <c r="AM298" s="640" t="str">
        <f>IF(J298="Funcionamiento Gastos Generales","No aplica",IF(J298="Funcionamiento Servicios Personales","No aplica",IFERROR(VLOOKUP(J298,Listas!$A$220:$D$224,3,FALSE),"Alerta: Seleccione la celda en la comumna B con el nombre del proyecto")))</f>
        <v>CONC1112</v>
      </c>
      <c r="AN298" s="633" t="s">
        <v>1050</v>
      </c>
      <c r="AO298" s="633" t="s">
        <v>126</v>
      </c>
      <c r="AP298" s="634" t="str">
        <f>IFERROR(VLOOKUP(J298,Listas!$A$182:$E$215,5,FALSE),"Alerta: Seleccione la celda en la comumna B con el nombre del proyecto")</f>
        <v>15. Instrumentos técnicos de gestión para la preservación del patrimonio cultural</v>
      </c>
      <c r="AQ298" s="634" t="str">
        <f>IF(J298="Funcionamiento Gastos Generales","No aplica",IF(J298="Funcionamiento Servicios Personales","No aplica",IFERROR(VLOOKUP(J298,Listas!$A$220:$D$224,4,FALSE),"Alerta: Seleccione la celda en la comumna B con el nombre del proyecto")))</f>
        <v>FONT1112</v>
      </c>
      <c r="AR298" s="633" t="s">
        <v>198</v>
      </c>
      <c r="AS298" s="634" t="str">
        <f>IFERROR(VLOOKUP(AU298,Listas!$E$85:$L$105,7,FALSE),"Alerta: Seleccione la celda en la comumna AI con el concepto de gasto")</f>
        <v>04-INVESTIGACION Y ESTUDIOS</v>
      </c>
      <c r="AT298" s="634" t="str">
        <f>IFERROR(VLOOKUP(AU298,Listas!$E$85:$L$105,8,FALSE),"Alerta: Seleccione la celda en la comumna AI con el concepto de gasto")</f>
        <v>01-INVESTIGACIÓN BÁSICA APLICADA Y ESTUDIOS PROPIOS DEL SECTOR</v>
      </c>
      <c r="AU298" s="633" t="s">
        <v>201</v>
      </c>
      <c r="AV298" s="634">
        <f>IFERROR(VLOOKUP(AU298,Listas!$E$85:$F$105,2,FALSE),"Alerta: Seleccione el Concepto de Gasto primero")</f>
        <v>0</v>
      </c>
      <c r="AW298" s="644">
        <v>30000000</v>
      </c>
      <c r="AX298" s="645"/>
      <c r="AY298" s="645"/>
      <c r="AZ298" s="645"/>
      <c r="BA298" s="646">
        <f t="shared" si="104"/>
        <v>30000000</v>
      </c>
      <c r="BB298" s="647"/>
      <c r="BC298" s="648"/>
      <c r="BD298" s="649"/>
      <c r="BE298" s="647"/>
      <c r="BF298" s="644"/>
      <c r="BG298" s="646">
        <f t="shared" si="105"/>
        <v>30000000</v>
      </c>
      <c r="BH298" s="650"/>
      <c r="BI298" s="647"/>
      <c r="BJ298" s="644"/>
      <c r="BK298" s="646">
        <f t="shared" si="106"/>
        <v>0</v>
      </c>
      <c r="BL298" s="651"/>
      <c r="BM298" s="652">
        <f t="shared" si="107"/>
        <v>1</v>
      </c>
      <c r="BN298" s="628"/>
      <c r="BO298" s="670"/>
      <c r="BP298" s="644"/>
      <c r="BQ298" s="644"/>
      <c r="BR298" s="644"/>
      <c r="BS298" s="644"/>
      <c r="BT298" s="644"/>
      <c r="BU298" s="644"/>
      <c r="BV298" s="644"/>
      <c r="BW298" s="644"/>
      <c r="BX298" s="644"/>
      <c r="BY298" s="644"/>
      <c r="BZ298" s="644"/>
      <c r="CA298" s="644"/>
      <c r="CB298" s="646">
        <f t="shared" si="108"/>
        <v>0</v>
      </c>
      <c r="CC298" s="646">
        <f t="shared" si="109"/>
        <v>0</v>
      </c>
      <c r="CD298" s="614"/>
    </row>
    <row r="299" spans="1:82" s="561" customFormat="1" ht="61.5" customHeight="1">
      <c r="A299" s="625" t="str">
        <f t="shared" si="91"/>
        <v>1112-140-FONT1112-04-01-0185-Plan especial de manejo y protección del centro histórico</v>
      </c>
      <c r="B299" s="626" t="str">
        <f t="shared" si="92"/>
        <v>1112-140-FONT1112-04-01-0185</v>
      </c>
      <c r="C299" s="626" t="str">
        <f t="shared" si="93"/>
        <v>1112-140-FONT1112-Plan especial de manejo y protección del centro histórico</v>
      </c>
      <c r="D299" s="626" t="str">
        <f t="shared" si="94"/>
        <v>1112-140-12-Otros Distrito-04-01-0185</v>
      </c>
      <c r="E299" s="626" t="str">
        <f t="shared" si="95"/>
        <v>Plan especial de manejo y protección del centro histórico-12-Otros Distrito-0185-Actividades de investigación para la valoración, protección, conservación, sostenibilidad y apropiación del Patrimonio Cultural</v>
      </c>
      <c r="F299" s="627">
        <v>250</v>
      </c>
      <c r="G299" s="628">
        <f t="shared" si="96"/>
        <v>250</v>
      </c>
      <c r="H299" s="629" t="b">
        <f t="shared" si="97"/>
        <v>0</v>
      </c>
      <c r="I299" s="630" t="s">
        <v>594</v>
      </c>
      <c r="J299" s="627" t="s">
        <v>179</v>
      </c>
      <c r="K299" s="631" t="str">
        <f>+IFERROR(VLOOKUP(J299,Listas!$A$108:$B$114,2,FALSE),"Alerta: Seleccione la celda en la comumna B con el nombre del proyecto")</f>
        <v>3-3-1-15-02-17-1112-140</v>
      </c>
      <c r="L299" s="632">
        <v>80111600</v>
      </c>
      <c r="M299" s="633" t="s">
        <v>842</v>
      </c>
      <c r="N299" s="634" t="str">
        <f t="shared" si="98"/>
        <v>(Cód. 250) Prestar servicios profesionales al Instituto Distrital de Patrimonio Cultural para avanzar en el desarrollo normativo y de instrumentos del componente patrimonial del Plan Especial de Manejo y Protección -PEMP- del Centro Histórico de Bogotá D.C.</v>
      </c>
      <c r="O299" s="635">
        <v>43480</v>
      </c>
      <c r="P299" s="636">
        <f>IFERROR(VLOOKUP(W299,'Estimación CRP'!$D$21:$E$30,2,FALSE),0)</f>
        <v>10</v>
      </c>
      <c r="Q299" s="637">
        <f>IF(O299="No aplica","No aplica",WORKDAY.INTL(O299,P299,1,'Estimación CRP'!A485:A501))</f>
        <v>43494</v>
      </c>
      <c r="R299" s="636">
        <f t="shared" si="99"/>
        <v>1</v>
      </c>
      <c r="S299" s="636">
        <f t="shared" si="100"/>
        <v>1</v>
      </c>
      <c r="T299" s="636">
        <f t="shared" si="101"/>
        <v>1</v>
      </c>
      <c r="U299" s="712">
        <v>5</v>
      </c>
      <c r="V299" s="638">
        <v>1</v>
      </c>
      <c r="W299" s="639" t="s">
        <v>274</v>
      </c>
      <c r="X299" s="640" t="str">
        <f>IFERROR(VLOOKUP(W299,Listas!$A$60:$B$73,2,FALSE),"Alerta: Seleccione primero Modalidad de selección")</f>
        <v>CCE-16</v>
      </c>
      <c r="Y299" s="641">
        <v>0</v>
      </c>
      <c r="Z299" s="641" t="s">
        <v>346</v>
      </c>
      <c r="AA299" s="641" t="s">
        <v>1314</v>
      </c>
      <c r="AB299" s="642">
        <f t="shared" si="102"/>
        <v>40000000</v>
      </c>
      <c r="AC299" s="642">
        <f t="shared" si="103"/>
        <v>40000000</v>
      </c>
      <c r="AD299" s="641">
        <v>0</v>
      </c>
      <c r="AE299" s="643">
        <v>0</v>
      </c>
      <c r="AF299" s="639" t="s">
        <v>276</v>
      </c>
      <c r="AG299" s="639" t="s">
        <v>277</v>
      </c>
      <c r="AH299" s="639" t="s">
        <v>285</v>
      </c>
      <c r="AI299" s="626" t="str">
        <f>IFERROR(VLOOKUP(AH299,Listas!$A$77:$C$83,2,FALSE),"Alerta: Seleccione primero el responsable")</f>
        <v>3550800</v>
      </c>
      <c r="AJ299" s="640" t="str">
        <f>IFERROR(VLOOKUP(AH299,Listas!$A$77:$C$83,3,FALSE),"Alerta: Seleccione primero el responsable")</f>
        <v>maria.villamil@idpc.gov.co</v>
      </c>
      <c r="AK299" s="640" t="str">
        <f>IF(J299="Funcionamiento Gastos Generales","No aplica",IF(J299="Funcionamiento Servicios Personales indirectos","No aplica",IFERROR(VLOOKUP(J299,Listas!$A$127:$E$139,3,FALSE),"Alerta: Seleccione la celda en la comumna B con el nombre del proyecto")))</f>
        <v>ME20181112</v>
      </c>
      <c r="AL299" s="640" t="str">
        <f>IF(J299="Funcionamiento Gastos Generales","No aplica",IF(J299="Funcionamiento Servicios Personales","No aplica",IFERROR(VLOOKUP(J299,Listas!$A$220:$D$224,2,FALSE),"Alerta: Seleccione la celda en la comumna B con el nombre del proyecto")))</f>
        <v>COMP1112</v>
      </c>
      <c r="AM299" s="640" t="str">
        <f>IF(J299="Funcionamiento Gastos Generales","No aplica",IF(J299="Funcionamiento Servicios Personales","No aplica",IFERROR(VLOOKUP(J299,Listas!$A$220:$D$224,3,FALSE),"Alerta: Seleccione la celda en la comumna B con el nombre del proyecto")))</f>
        <v>CONC1112</v>
      </c>
      <c r="AN299" s="633" t="s">
        <v>1050</v>
      </c>
      <c r="AO299" s="633" t="s">
        <v>126</v>
      </c>
      <c r="AP299" s="634" t="str">
        <f>IFERROR(VLOOKUP(J299,Listas!$A$182:$E$215,5,FALSE),"Alerta: Seleccione la celda en la comumna B con el nombre del proyecto")</f>
        <v>15. Instrumentos técnicos de gestión para la preservación del patrimonio cultural</v>
      </c>
      <c r="AQ299" s="634" t="str">
        <f>IF(J299="Funcionamiento Gastos Generales","No aplica",IF(J299="Funcionamiento Servicios Personales","No aplica",IFERROR(VLOOKUP(J299,Listas!$A$220:$D$224,4,FALSE),"Alerta: Seleccione la celda en la comumna B con el nombre del proyecto")))</f>
        <v>FONT1112</v>
      </c>
      <c r="AR299" s="633" t="s">
        <v>198</v>
      </c>
      <c r="AS299" s="634" t="str">
        <f>IFERROR(VLOOKUP(AU299,Listas!$E$85:$L$105,7,FALSE),"Alerta: Seleccione la celda en la comumna AI con el concepto de gasto")</f>
        <v>04-INVESTIGACION Y ESTUDIOS</v>
      </c>
      <c r="AT299" s="634" t="str">
        <f>IFERROR(VLOOKUP(AU299,Listas!$E$85:$L$105,8,FALSE),"Alerta: Seleccione la celda en la comumna AI con el concepto de gasto")</f>
        <v>01-INVESTIGACIÓN BÁSICA APLICADA Y ESTUDIOS PROPIOS DEL SECTOR</v>
      </c>
      <c r="AU299" s="633" t="s">
        <v>201</v>
      </c>
      <c r="AV299" s="634">
        <f>IFERROR(VLOOKUP(AU299,Listas!$E$85:$F$105,2,FALSE),"Alerta: Seleccione el Concepto de Gasto primero")</f>
        <v>0</v>
      </c>
      <c r="AW299" s="644">
        <v>40000000</v>
      </c>
      <c r="AX299" s="645"/>
      <c r="AY299" s="645"/>
      <c r="AZ299" s="645"/>
      <c r="BA299" s="646">
        <f t="shared" si="104"/>
        <v>40000000</v>
      </c>
      <c r="BB299" s="647"/>
      <c r="BC299" s="648"/>
      <c r="BD299" s="649"/>
      <c r="BE299" s="647"/>
      <c r="BF299" s="644"/>
      <c r="BG299" s="646">
        <f t="shared" si="105"/>
        <v>40000000</v>
      </c>
      <c r="BH299" s="650"/>
      <c r="BI299" s="647"/>
      <c r="BJ299" s="644"/>
      <c r="BK299" s="646">
        <f t="shared" si="106"/>
        <v>0</v>
      </c>
      <c r="BL299" s="651"/>
      <c r="BM299" s="652">
        <f t="shared" si="107"/>
        <v>1</v>
      </c>
      <c r="BN299" s="628"/>
      <c r="BO299" s="670"/>
      <c r="BP299" s="644"/>
      <c r="BQ299" s="644"/>
      <c r="BR299" s="644"/>
      <c r="BS299" s="644"/>
      <c r="BT299" s="644"/>
      <c r="BU299" s="644"/>
      <c r="BV299" s="644"/>
      <c r="BW299" s="644"/>
      <c r="BX299" s="644"/>
      <c r="BY299" s="644"/>
      <c r="BZ299" s="644"/>
      <c r="CA299" s="644"/>
      <c r="CB299" s="646">
        <f t="shared" si="108"/>
        <v>0</v>
      </c>
      <c r="CC299" s="646">
        <f t="shared" si="109"/>
        <v>0</v>
      </c>
      <c r="CD299" s="614"/>
    </row>
    <row r="300" spans="1:82" s="561" customFormat="1" ht="61.5" customHeight="1">
      <c r="A300" s="625" t="str">
        <f t="shared" si="91"/>
        <v>1112-140-FONT1112-04-01-0185-Plan especial de manejo y protección del centro histórico</v>
      </c>
      <c r="B300" s="626" t="str">
        <f t="shared" si="92"/>
        <v>1112-140-FONT1112-04-01-0185</v>
      </c>
      <c r="C300" s="626" t="str">
        <f t="shared" si="93"/>
        <v>1112-140-FONT1112-Plan especial de manejo y protección del centro histórico</v>
      </c>
      <c r="D300" s="626" t="str">
        <f t="shared" si="94"/>
        <v>1112-140-12-Otros Distrito-04-01-0185</v>
      </c>
      <c r="E300" s="626" t="str">
        <f t="shared" si="95"/>
        <v>Plan especial de manejo y protección del centro histórico-12-Otros Distrito-0185-Actividades de investigación para la valoración, protección, conservación, sostenibilidad y apropiación del Patrimonio Cultural</v>
      </c>
      <c r="F300" s="627">
        <v>260</v>
      </c>
      <c r="G300" s="628">
        <f t="shared" si="96"/>
        <v>260</v>
      </c>
      <c r="H300" s="629" t="b">
        <f t="shared" si="97"/>
        <v>0</v>
      </c>
      <c r="I300" s="630" t="s">
        <v>594</v>
      </c>
      <c r="J300" s="627" t="s">
        <v>179</v>
      </c>
      <c r="K300" s="631" t="str">
        <f>+IFERROR(VLOOKUP(J300,Listas!$A$108:$B$114,2,FALSE),"Alerta: Seleccione la celda en la comumna B con el nombre del proyecto")</f>
        <v>3-3-1-15-02-17-1112-140</v>
      </c>
      <c r="L300" s="632">
        <v>80111600</v>
      </c>
      <c r="M300" s="633" t="s">
        <v>843</v>
      </c>
      <c r="N300" s="634" t="str">
        <f t="shared" si="98"/>
        <v>(Cód. 260) Prestar servicios profesionales al Instituto Distrital de Patrimonio Cultural para la consolidación del desarrollo normativo y de instrumentos del componente patrimonial del Plan Especial de Manejo y Protección -PEMP- del Centro Histórico de Bogotá D.C., y otros proyectos.</v>
      </c>
      <c r="O300" s="635">
        <v>43570</v>
      </c>
      <c r="P300" s="636">
        <f>IFERROR(VLOOKUP(W300,'Estimación CRP'!$D$21:$E$30,2,FALSE),0)</f>
        <v>10</v>
      </c>
      <c r="Q300" s="637">
        <f>IF(O300="No aplica","No aplica",WORKDAY.INTL(O300,P300,1,'Estimación CRP'!A486:A502))</f>
        <v>43584</v>
      </c>
      <c r="R300" s="636">
        <f t="shared" si="99"/>
        <v>4</v>
      </c>
      <c r="S300" s="636">
        <f t="shared" si="100"/>
        <v>4</v>
      </c>
      <c r="T300" s="636">
        <f t="shared" si="101"/>
        <v>4</v>
      </c>
      <c r="U300" s="712">
        <v>5</v>
      </c>
      <c r="V300" s="638">
        <v>1</v>
      </c>
      <c r="W300" s="639" t="s">
        <v>274</v>
      </c>
      <c r="X300" s="640" t="str">
        <f>IFERROR(VLOOKUP(W300,Listas!$A$60:$B$73,2,FALSE),"Alerta: Seleccione primero Modalidad de selección")</f>
        <v>CCE-16</v>
      </c>
      <c r="Y300" s="641">
        <v>0</v>
      </c>
      <c r="Z300" s="641" t="s">
        <v>346</v>
      </c>
      <c r="AA300" s="641" t="s">
        <v>1314</v>
      </c>
      <c r="AB300" s="642">
        <f t="shared" si="102"/>
        <v>40000000</v>
      </c>
      <c r="AC300" s="642">
        <f t="shared" si="103"/>
        <v>40000000</v>
      </c>
      <c r="AD300" s="641">
        <v>0</v>
      </c>
      <c r="AE300" s="643">
        <v>0</v>
      </c>
      <c r="AF300" s="639" t="s">
        <v>276</v>
      </c>
      <c r="AG300" s="639" t="s">
        <v>277</v>
      </c>
      <c r="AH300" s="639" t="s">
        <v>285</v>
      </c>
      <c r="AI300" s="626" t="str">
        <f>IFERROR(VLOOKUP(AH300,Listas!$A$77:$C$83,2,FALSE),"Alerta: Seleccione primero el responsable")</f>
        <v>3550800</v>
      </c>
      <c r="AJ300" s="640" t="str">
        <f>IFERROR(VLOOKUP(AH300,Listas!$A$77:$C$83,3,FALSE),"Alerta: Seleccione primero el responsable")</f>
        <v>maria.villamil@idpc.gov.co</v>
      </c>
      <c r="AK300" s="640" t="str">
        <f>IF(J300="Funcionamiento Gastos Generales","No aplica",IF(J300="Funcionamiento Servicios Personales indirectos","No aplica",IFERROR(VLOOKUP(J300,Listas!$A$127:$E$139,3,FALSE),"Alerta: Seleccione la celda en la comumna B con el nombre del proyecto")))</f>
        <v>ME20181112</v>
      </c>
      <c r="AL300" s="640" t="str">
        <f>IF(J300="Funcionamiento Gastos Generales","No aplica",IF(J300="Funcionamiento Servicios Personales","No aplica",IFERROR(VLOOKUP(J300,Listas!$A$220:$D$224,2,FALSE),"Alerta: Seleccione la celda en la comumna B con el nombre del proyecto")))</f>
        <v>COMP1112</v>
      </c>
      <c r="AM300" s="640" t="str">
        <f>IF(J300="Funcionamiento Gastos Generales","No aplica",IF(J300="Funcionamiento Servicios Personales","No aplica",IFERROR(VLOOKUP(J300,Listas!$A$220:$D$224,3,FALSE),"Alerta: Seleccione la celda en la comumna B con el nombre del proyecto")))</f>
        <v>CONC1112</v>
      </c>
      <c r="AN300" s="633" t="s">
        <v>1050</v>
      </c>
      <c r="AO300" s="633" t="s">
        <v>126</v>
      </c>
      <c r="AP300" s="634" t="str">
        <f>IFERROR(VLOOKUP(J300,Listas!$A$182:$E$215,5,FALSE),"Alerta: Seleccione la celda en la comumna B con el nombre del proyecto")</f>
        <v>15. Instrumentos técnicos de gestión para la preservación del patrimonio cultural</v>
      </c>
      <c r="AQ300" s="634" t="str">
        <f>IF(J300="Funcionamiento Gastos Generales","No aplica",IF(J300="Funcionamiento Servicios Personales","No aplica",IFERROR(VLOOKUP(J300,Listas!$A$220:$D$224,4,FALSE),"Alerta: Seleccione la celda en la comumna B con el nombre del proyecto")))</f>
        <v>FONT1112</v>
      </c>
      <c r="AR300" s="633" t="s">
        <v>198</v>
      </c>
      <c r="AS300" s="634" t="str">
        <f>IFERROR(VLOOKUP(AU300,Listas!$E$85:$L$105,7,FALSE),"Alerta: Seleccione la celda en la comumna AI con el concepto de gasto")</f>
        <v>04-INVESTIGACION Y ESTUDIOS</v>
      </c>
      <c r="AT300" s="634" t="str">
        <f>IFERROR(VLOOKUP(AU300,Listas!$E$85:$L$105,8,FALSE),"Alerta: Seleccione la celda en la comumna AI con el concepto de gasto")</f>
        <v>01-INVESTIGACIÓN BÁSICA APLICADA Y ESTUDIOS PROPIOS DEL SECTOR</v>
      </c>
      <c r="AU300" s="633" t="s">
        <v>201</v>
      </c>
      <c r="AV300" s="634">
        <f>IFERROR(VLOOKUP(AU300,Listas!$E$85:$F$105,2,FALSE),"Alerta: Seleccione el Concepto de Gasto primero")</f>
        <v>0</v>
      </c>
      <c r="AW300" s="644">
        <v>40000000</v>
      </c>
      <c r="AX300" s="645"/>
      <c r="AY300" s="645"/>
      <c r="AZ300" s="645"/>
      <c r="BA300" s="646">
        <f t="shared" si="104"/>
        <v>40000000</v>
      </c>
      <c r="BB300" s="647"/>
      <c r="BC300" s="648"/>
      <c r="BD300" s="649"/>
      <c r="BE300" s="647"/>
      <c r="BF300" s="644"/>
      <c r="BG300" s="646">
        <f t="shared" si="105"/>
        <v>40000000</v>
      </c>
      <c r="BH300" s="650"/>
      <c r="BI300" s="647"/>
      <c r="BJ300" s="644"/>
      <c r="BK300" s="646">
        <f t="shared" si="106"/>
        <v>0</v>
      </c>
      <c r="BL300" s="651"/>
      <c r="BM300" s="652">
        <f t="shared" si="107"/>
        <v>1</v>
      </c>
      <c r="BN300" s="628"/>
      <c r="BO300" s="670"/>
      <c r="BP300" s="644"/>
      <c r="BQ300" s="644"/>
      <c r="BR300" s="644"/>
      <c r="BS300" s="644"/>
      <c r="BT300" s="644"/>
      <c r="BU300" s="644"/>
      <c r="BV300" s="644"/>
      <c r="BW300" s="644"/>
      <c r="BX300" s="644"/>
      <c r="BY300" s="644"/>
      <c r="BZ300" s="644"/>
      <c r="CA300" s="644"/>
      <c r="CB300" s="646">
        <f t="shared" si="108"/>
        <v>0</v>
      </c>
      <c r="CC300" s="646">
        <f t="shared" si="109"/>
        <v>0</v>
      </c>
      <c r="CD300" s="614"/>
    </row>
    <row r="301" spans="1:82" s="561" customFormat="1" ht="61.5" customHeight="1">
      <c r="A301" s="625" t="str">
        <f t="shared" si="91"/>
        <v>1112-140-FONT1112-04-01-0185-Instrumentos de gestión, financiación e incentivos para la recuperación y sostenibilidad del patrimonio cultural</v>
      </c>
      <c r="B301" s="626" t="str">
        <f t="shared" si="92"/>
        <v>1112-140-FONT1112-04-01-0185</v>
      </c>
      <c r="C301" s="626" t="str">
        <f t="shared" si="93"/>
        <v>1112-140-FONT1112-Instrumentos de gestión, financiación e incentivos para la recuperación y sostenibilidad del patrimonio cultural</v>
      </c>
      <c r="D301" s="626" t="str">
        <f t="shared" si="94"/>
        <v>1112-140-12-Otros Distrito-04-01-0185</v>
      </c>
      <c r="E301" s="626" t="str">
        <f t="shared" si="95"/>
        <v>Instrumentos de gestión, financiación e incentivos para la recuperación y sostenibilidad del patrimonio cultural-12-Otros Distrito-0185-Actividades de investigación para la valoración, protección, conservación, sostenibilidad y apropiación del Patrimonio Cultural</v>
      </c>
      <c r="F301" s="627">
        <v>261</v>
      </c>
      <c r="G301" s="628">
        <f t="shared" si="96"/>
        <v>261</v>
      </c>
      <c r="H301" s="629" t="b">
        <f t="shared" si="97"/>
        <v>0</v>
      </c>
      <c r="I301" s="630" t="s">
        <v>594</v>
      </c>
      <c r="J301" s="627" t="s">
        <v>179</v>
      </c>
      <c r="K301" s="631" t="str">
        <f>+IFERROR(VLOOKUP(J301,Listas!$A$108:$B$114,2,FALSE),"Alerta: Seleccione la celda en la comumna B con el nombre del proyecto")</f>
        <v>3-3-1-15-02-17-1112-140</v>
      </c>
      <c r="L301" s="632">
        <v>80111600</v>
      </c>
      <c r="M301" s="633" t="s">
        <v>844</v>
      </c>
      <c r="N301" s="634" t="str">
        <f t="shared" si="98"/>
        <v xml:space="preserve">(Cód. 261) Prestar servicios profesionales al Instituto Distrital de Patrimonio Cultural para orientar y desarrollar estrategias, programas y proyectos en el marco de la aplicación de instrumentos de financiación y gestión  para la recuperación de los sectores y Bienes de Interés Cultural en el Distrito Capital. </v>
      </c>
      <c r="O301" s="635">
        <v>43480</v>
      </c>
      <c r="P301" s="636">
        <f>IFERROR(VLOOKUP(W301,'Estimación CRP'!$D$21:$E$30,2,FALSE),0)</f>
        <v>10</v>
      </c>
      <c r="Q301" s="637">
        <f>IF(O301="No aplica","No aplica",WORKDAY.INTL(O301,P301,1,'Estimación CRP'!A487:A503))</f>
        <v>43494</v>
      </c>
      <c r="R301" s="636">
        <f t="shared" si="99"/>
        <v>1</v>
      </c>
      <c r="S301" s="636">
        <f t="shared" si="100"/>
        <v>1</v>
      </c>
      <c r="T301" s="636">
        <f t="shared" si="101"/>
        <v>1</v>
      </c>
      <c r="U301" s="712">
        <v>11</v>
      </c>
      <c r="V301" s="638">
        <v>1</v>
      </c>
      <c r="W301" s="639" t="s">
        <v>274</v>
      </c>
      <c r="X301" s="640" t="str">
        <f>IFERROR(VLOOKUP(W301,Listas!$A$60:$B$73,2,FALSE),"Alerta: Seleccione primero Modalidad de selección")</f>
        <v>CCE-16</v>
      </c>
      <c r="Y301" s="641">
        <v>0</v>
      </c>
      <c r="Z301" s="641" t="s">
        <v>346</v>
      </c>
      <c r="AA301" s="641" t="s">
        <v>1315</v>
      </c>
      <c r="AB301" s="642">
        <f t="shared" si="102"/>
        <v>101200000</v>
      </c>
      <c r="AC301" s="642">
        <f t="shared" si="103"/>
        <v>101200000</v>
      </c>
      <c r="AD301" s="641">
        <v>0</v>
      </c>
      <c r="AE301" s="643">
        <v>0</v>
      </c>
      <c r="AF301" s="639" t="s">
        <v>276</v>
      </c>
      <c r="AG301" s="639" t="s">
        <v>277</v>
      </c>
      <c r="AH301" s="639" t="s">
        <v>285</v>
      </c>
      <c r="AI301" s="626" t="str">
        <f>IFERROR(VLOOKUP(AH301,Listas!$A$77:$C$83,2,FALSE),"Alerta: Seleccione primero el responsable")</f>
        <v>3550800</v>
      </c>
      <c r="AJ301" s="640" t="str">
        <f>IFERROR(VLOOKUP(AH301,Listas!$A$77:$C$83,3,FALSE),"Alerta: Seleccione primero el responsable")</f>
        <v>maria.villamil@idpc.gov.co</v>
      </c>
      <c r="AK301" s="640" t="str">
        <f>IF(J301="Funcionamiento Gastos Generales","No aplica",IF(J301="Funcionamiento Servicios Personales indirectos","No aplica",IFERROR(VLOOKUP(J301,Listas!$A$127:$E$139,3,FALSE),"Alerta: Seleccione la celda en la comumna B con el nombre del proyecto")))</f>
        <v>ME20181112</v>
      </c>
      <c r="AL301" s="640" t="str">
        <f>IF(J301="Funcionamiento Gastos Generales","No aplica",IF(J301="Funcionamiento Servicios Personales","No aplica",IFERROR(VLOOKUP(J301,Listas!$A$220:$D$224,2,FALSE),"Alerta: Seleccione la celda en la comumna B con el nombre del proyecto")))</f>
        <v>COMP1112</v>
      </c>
      <c r="AM301" s="640" t="str">
        <f>IF(J301="Funcionamiento Gastos Generales","No aplica",IF(J301="Funcionamiento Servicios Personales","No aplica",IFERROR(VLOOKUP(J301,Listas!$A$220:$D$224,3,FALSE),"Alerta: Seleccione la celda en la comumna B con el nombre del proyecto")))</f>
        <v>CONC1112</v>
      </c>
      <c r="AN301" s="633" t="s">
        <v>1052</v>
      </c>
      <c r="AO301" s="633" t="s">
        <v>128</v>
      </c>
      <c r="AP301" s="634" t="str">
        <f>IFERROR(VLOOKUP(J301,Listas!$A$182:$E$215,5,FALSE),"Alerta: Seleccione la celda en la comumna B con el nombre del proyecto")</f>
        <v>15. Instrumentos técnicos de gestión para la preservación del patrimonio cultural</v>
      </c>
      <c r="AQ301" s="634" t="str">
        <f>IF(J301="Funcionamiento Gastos Generales","No aplica",IF(J301="Funcionamiento Servicios Personales","No aplica",IFERROR(VLOOKUP(J301,Listas!$A$220:$D$224,4,FALSE),"Alerta: Seleccione la celda en la comumna B con el nombre del proyecto")))</f>
        <v>FONT1112</v>
      </c>
      <c r="AR301" s="633" t="s">
        <v>198</v>
      </c>
      <c r="AS301" s="634" t="str">
        <f>IFERROR(VLOOKUP(AU301,Listas!$E$85:$L$105,7,FALSE),"Alerta: Seleccione la celda en la comumna AI con el concepto de gasto")</f>
        <v>04-INVESTIGACION Y ESTUDIOS</v>
      </c>
      <c r="AT301" s="634" t="str">
        <f>IFERROR(VLOOKUP(AU301,Listas!$E$85:$L$105,8,FALSE),"Alerta: Seleccione la celda en la comumna AI con el concepto de gasto")</f>
        <v>01-INVESTIGACIÓN BÁSICA APLICADA Y ESTUDIOS PROPIOS DEL SECTOR</v>
      </c>
      <c r="AU301" s="633" t="s">
        <v>201</v>
      </c>
      <c r="AV301" s="634">
        <f>IFERROR(VLOOKUP(AU301,Listas!$E$85:$F$105,2,FALSE),"Alerta: Seleccione el Concepto de Gasto primero")</f>
        <v>0</v>
      </c>
      <c r="AW301" s="644">
        <v>101200000</v>
      </c>
      <c r="AX301" s="645"/>
      <c r="AY301" s="645"/>
      <c r="AZ301" s="645"/>
      <c r="BA301" s="646">
        <f t="shared" si="104"/>
        <v>101200000</v>
      </c>
      <c r="BB301" s="647"/>
      <c r="BC301" s="648"/>
      <c r="BD301" s="649"/>
      <c r="BE301" s="647"/>
      <c r="BF301" s="644"/>
      <c r="BG301" s="646">
        <f t="shared" si="105"/>
        <v>101200000</v>
      </c>
      <c r="BH301" s="650"/>
      <c r="BI301" s="647"/>
      <c r="BJ301" s="644"/>
      <c r="BK301" s="646">
        <f t="shared" si="106"/>
        <v>0</v>
      </c>
      <c r="BL301" s="651"/>
      <c r="BM301" s="652">
        <f t="shared" si="107"/>
        <v>1</v>
      </c>
      <c r="BN301" s="628"/>
      <c r="BO301" s="670"/>
      <c r="BP301" s="644"/>
      <c r="BQ301" s="644"/>
      <c r="BR301" s="644"/>
      <c r="BS301" s="644"/>
      <c r="BT301" s="644"/>
      <c r="BU301" s="644"/>
      <c r="BV301" s="644"/>
      <c r="BW301" s="644"/>
      <c r="BX301" s="644"/>
      <c r="BY301" s="644"/>
      <c r="BZ301" s="644"/>
      <c r="CA301" s="644"/>
      <c r="CB301" s="646">
        <f t="shared" si="108"/>
        <v>0</v>
      </c>
      <c r="CC301" s="646">
        <f t="shared" si="109"/>
        <v>0</v>
      </c>
      <c r="CD301" s="614"/>
    </row>
    <row r="302" spans="1:82" s="561" customFormat="1" ht="61.5" customHeight="1">
      <c r="A302" s="625" t="str">
        <f t="shared" si="91"/>
        <v>1112-140-FONT1112-04-01-0185-Planes y proyectos urbanos en ámbitos patrimoniales</v>
      </c>
      <c r="B302" s="626" t="str">
        <f t="shared" si="92"/>
        <v>1112-140-FONT1112-04-01-0185</v>
      </c>
      <c r="C302" s="626" t="str">
        <f t="shared" si="93"/>
        <v>1112-140-FONT1112-Planes y proyectos urbanos en ámbitos patrimoniales</v>
      </c>
      <c r="D302" s="626" t="str">
        <f t="shared" si="94"/>
        <v>1112-140-12-Otros Distrito-04-01-0185</v>
      </c>
      <c r="E302" s="626" t="str">
        <f t="shared" si="95"/>
        <v>Planes y proyectos urbanos en ámbitos patrimoniales-12-Otros Distrito-0185-Actividades de investigación para la valoración, protección, conservación, sostenibilidad y apropiación del Patrimonio Cultural</v>
      </c>
      <c r="F302" s="627">
        <v>262</v>
      </c>
      <c r="G302" s="628">
        <f t="shared" si="96"/>
        <v>262</v>
      </c>
      <c r="H302" s="629" t="b">
        <f t="shared" si="97"/>
        <v>0</v>
      </c>
      <c r="I302" s="630" t="s">
        <v>594</v>
      </c>
      <c r="J302" s="627" t="s">
        <v>179</v>
      </c>
      <c r="K302" s="631" t="str">
        <f>+IFERROR(VLOOKUP(J302,Listas!$A$108:$B$114,2,FALSE),"Alerta: Seleccione la celda en la comumna B con el nombre del proyecto")</f>
        <v>3-3-1-15-02-17-1112-140</v>
      </c>
      <c r="L302" s="632">
        <v>80111600</v>
      </c>
      <c r="M302" s="633" t="s">
        <v>845</v>
      </c>
      <c r="N302" s="634" t="str">
        <f t="shared" si="98"/>
        <v xml:space="preserve">(Cód. 262) Prestar servicios profesionales al Instituto Distrital de Patrimonio Cultural para desarrollar actividades técnicas y operativas de los planes, programas y proyectos del instituto. </v>
      </c>
      <c r="O302" s="635">
        <v>43480</v>
      </c>
      <c r="P302" s="636">
        <f>IFERROR(VLOOKUP(W302,'Estimación CRP'!$D$21:$E$30,2,FALSE),0)</f>
        <v>10</v>
      </c>
      <c r="Q302" s="637">
        <f>IF(O302="No aplica","No aplica",WORKDAY.INTL(O302,P302,1,'Estimación CRP'!A488:A504))</f>
        <v>43494</v>
      </c>
      <c r="R302" s="636">
        <f t="shared" si="99"/>
        <v>1</v>
      </c>
      <c r="S302" s="636">
        <f t="shared" si="100"/>
        <v>1</v>
      </c>
      <c r="T302" s="636">
        <f t="shared" si="101"/>
        <v>1</v>
      </c>
      <c r="U302" s="712">
        <v>11</v>
      </c>
      <c r="V302" s="638">
        <v>1</v>
      </c>
      <c r="W302" s="639" t="s">
        <v>274</v>
      </c>
      <c r="X302" s="640" t="str">
        <f>IFERROR(VLOOKUP(W302,Listas!$A$60:$B$73,2,FALSE),"Alerta: Seleccione primero Modalidad de selección")</f>
        <v>CCE-16</v>
      </c>
      <c r="Y302" s="641">
        <v>0</v>
      </c>
      <c r="Z302" s="641" t="s">
        <v>346</v>
      </c>
      <c r="AA302" s="641" t="s">
        <v>1316</v>
      </c>
      <c r="AB302" s="642">
        <f t="shared" si="102"/>
        <v>51040000</v>
      </c>
      <c r="AC302" s="642">
        <f t="shared" si="103"/>
        <v>51040000</v>
      </c>
      <c r="AD302" s="641">
        <v>0</v>
      </c>
      <c r="AE302" s="643">
        <v>0</v>
      </c>
      <c r="AF302" s="639" t="s">
        <v>276</v>
      </c>
      <c r="AG302" s="639" t="s">
        <v>277</v>
      </c>
      <c r="AH302" s="639" t="s">
        <v>285</v>
      </c>
      <c r="AI302" s="626" t="str">
        <f>IFERROR(VLOOKUP(AH302,Listas!$A$77:$C$83,2,FALSE),"Alerta: Seleccione primero el responsable")</f>
        <v>3550800</v>
      </c>
      <c r="AJ302" s="640" t="str">
        <f>IFERROR(VLOOKUP(AH302,Listas!$A$77:$C$83,3,FALSE),"Alerta: Seleccione primero el responsable")</f>
        <v>maria.villamil@idpc.gov.co</v>
      </c>
      <c r="AK302" s="640" t="str">
        <f>IF(J302="Funcionamiento Gastos Generales","No aplica",IF(J302="Funcionamiento Servicios Personales indirectos","No aplica",IFERROR(VLOOKUP(J302,Listas!$A$127:$E$139,3,FALSE),"Alerta: Seleccione la celda en la comumna B con el nombre del proyecto")))</f>
        <v>ME20181112</v>
      </c>
      <c r="AL302" s="640" t="str">
        <f>IF(J302="Funcionamiento Gastos Generales","No aplica",IF(J302="Funcionamiento Servicios Personales","No aplica",IFERROR(VLOOKUP(J302,Listas!$A$220:$D$224,2,FALSE),"Alerta: Seleccione la celda en la comumna B con el nombre del proyecto")))</f>
        <v>COMP1112</v>
      </c>
      <c r="AM302" s="640" t="str">
        <f>IF(J302="Funcionamiento Gastos Generales","No aplica",IF(J302="Funcionamiento Servicios Personales","No aplica",IFERROR(VLOOKUP(J302,Listas!$A$220:$D$224,3,FALSE),"Alerta: Seleccione la celda en la comumna B con el nombre del proyecto")))</f>
        <v>CONC1112</v>
      </c>
      <c r="AN302" s="633" t="s">
        <v>1050</v>
      </c>
      <c r="AO302" s="633" t="s">
        <v>127</v>
      </c>
      <c r="AP302" s="634" t="str">
        <f>IFERROR(VLOOKUP(J302,Listas!$A$182:$E$215,5,FALSE),"Alerta: Seleccione la celda en la comumna B con el nombre del proyecto")</f>
        <v>15. Instrumentos técnicos de gestión para la preservación del patrimonio cultural</v>
      </c>
      <c r="AQ302" s="634" t="str">
        <f>IF(J302="Funcionamiento Gastos Generales","No aplica",IF(J302="Funcionamiento Servicios Personales","No aplica",IFERROR(VLOOKUP(J302,Listas!$A$220:$D$224,4,FALSE),"Alerta: Seleccione la celda en la comumna B con el nombre del proyecto")))</f>
        <v>FONT1112</v>
      </c>
      <c r="AR302" s="633" t="s">
        <v>198</v>
      </c>
      <c r="AS302" s="634" t="str">
        <f>IFERROR(VLOOKUP(AU302,Listas!$E$85:$L$105,7,FALSE),"Alerta: Seleccione la celda en la comumna AI con el concepto de gasto")</f>
        <v>04-INVESTIGACION Y ESTUDIOS</v>
      </c>
      <c r="AT302" s="634" t="str">
        <f>IFERROR(VLOOKUP(AU302,Listas!$E$85:$L$105,8,FALSE),"Alerta: Seleccione la celda en la comumna AI con el concepto de gasto")</f>
        <v>01-INVESTIGACIÓN BÁSICA APLICADA Y ESTUDIOS PROPIOS DEL SECTOR</v>
      </c>
      <c r="AU302" s="633" t="s">
        <v>201</v>
      </c>
      <c r="AV302" s="634">
        <f>IFERROR(VLOOKUP(AU302,Listas!$E$85:$F$105,2,FALSE),"Alerta: Seleccione el Concepto de Gasto primero")</f>
        <v>0</v>
      </c>
      <c r="AW302" s="644">
        <v>51040000</v>
      </c>
      <c r="AX302" s="645"/>
      <c r="AY302" s="645"/>
      <c r="AZ302" s="645"/>
      <c r="BA302" s="646">
        <f t="shared" si="104"/>
        <v>51040000</v>
      </c>
      <c r="BB302" s="647"/>
      <c r="BC302" s="648"/>
      <c r="BD302" s="649"/>
      <c r="BE302" s="647"/>
      <c r="BF302" s="644"/>
      <c r="BG302" s="646">
        <f t="shared" si="105"/>
        <v>51040000</v>
      </c>
      <c r="BH302" s="650"/>
      <c r="BI302" s="647"/>
      <c r="BJ302" s="644"/>
      <c r="BK302" s="646">
        <f t="shared" si="106"/>
        <v>0</v>
      </c>
      <c r="BL302" s="651"/>
      <c r="BM302" s="652">
        <f t="shared" si="107"/>
        <v>1</v>
      </c>
      <c r="BN302" s="628"/>
      <c r="BO302" s="670"/>
      <c r="BP302" s="644"/>
      <c r="BQ302" s="644"/>
      <c r="BR302" s="644"/>
      <c r="BS302" s="644"/>
      <c r="BT302" s="644"/>
      <c r="BU302" s="644"/>
      <c r="BV302" s="644"/>
      <c r="BW302" s="644"/>
      <c r="BX302" s="644"/>
      <c r="BY302" s="644"/>
      <c r="BZ302" s="644"/>
      <c r="CA302" s="644"/>
      <c r="CB302" s="646">
        <f t="shared" si="108"/>
        <v>0</v>
      </c>
      <c r="CC302" s="646">
        <f t="shared" si="109"/>
        <v>0</v>
      </c>
      <c r="CD302" s="614"/>
    </row>
    <row r="303" spans="1:82" s="561" customFormat="1" ht="61.5" customHeight="1">
      <c r="A303" s="625" t="str">
        <f t="shared" si="91"/>
        <v>1112-140-FONT1112-04-01-0185-Planes y proyectos urbanos en ámbitos patrimoniales</v>
      </c>
      <c r="B303" s="626" t="str">
        <f t="shared" si="92"/>
        <v>1112-140-FONT1112-04-01-0185</v>
      </c>
      <c r="C303" s="626" t="str">
        <f t="shared" si="93"/>
        <v>1112-140-FONT1112-Planes y proyectos urbanos en ámbitos patrimoniales</v>
      </c>
      <c r="D303" s="626" t="str">
        <f t="shared" si="94"/>
        <v>1112-140-12-Otros Distrito-04-01-0185</v>
      </c>
      <c r="E303" s="626" t="str">
        <f t="shared" si="95"/>
        <v>Planes y proyectos urbanos en ámbitos patrimoniales-12-Otros Distrito-0185-Actividades de investigación para la valoración, protección, conservación, sostenibilidad y apropiación del Patrimonio Cultural</v>
      </c>
      <c r="F303" s="627">
        <v>263</v>
      </c>
      <c r="G303" s="628">
        <f t="shared" si="96"/>
        <v>263</v>
      </c>
      <c r="H303" s="629" t="b">
        <f t="shared" si="97"/>
        <v>0</v>
      </c>
      <c r="I303" s="630" t="s">
        <v>594</v>
      </c>
      <c r="J303" s="627" t="s">
        <v>179</v>
      </c>
      <c r="K303" s="631" t="str">
        <f>+IFERROR(VLOOKUP(J303,Listas!$A$108:$B$114,2,FALSE),"Alerta: Seleccione la celda en la comumna B con el nombre del proyecto")</f>
        <v>3-3-1-15-02-17-1112-140</v>
      </c>
      <c r="L303" s="632">
        <v>80111600</v>
      </c>
      <c r="M303" s="633" t="s">
        <v>846</v>
      </c>
      <c r="N303" s="634" t="str">
        <f t="shared" si="98"/>
        <v xml:space="preserve">(Cód. 263) Prestar servicios profesionales al Instituto Distrital de Patrimonio Cultural para realizar insumos en el componente de accesibilidad y movilidad en la formulación  de proyectos del Instituto. </v>
      </c>
      <c r="O303" s="635">
        <v>43489</v>
      </c>
      <c r="P303" s="636">
        <f>IFERROR(VLOOKUP(W303,'Estimación CRP'!$D$21:$E$30,2,FALSE),0)</f>
        <v>10</v>
      </c>
      <c r="Q303" s="637">
        <f>IF(O303="No aplica","No aplica",WORKDAY.INTL(O303,P303,1,'Estimación CRP'!A489:A505))</f>
        <v>43503</v>
      </c>
      <c r="R303" s="636">
        <f t="shared" si="99"/>
        <v>2</v>
      </c>
      <c r="S303" s="636">
        <f t="shared" si="100"/>
        <v>1</v>
      </c>
      <c r="T303" s="636">
        <f t="shared" si="101"/>
        <v>1</v>
      </c>
      <c r="U303" s="712">
        <v>10</v>
      </c>
      <c r="V303" s="638">
        <v>1</v>
      </c>
      <c r="W303" s="639" t="s">
        <v>274</v>
      </c>
      <c r="X303" s="640" t="str">
        <f>IFERROR(VLOOKUP(W303,Listas!$A$60:$B$73,2,FALSE),"Alerta: Seleccione primero Modalidad de selección")</f>
        <v>CCE-16</v>
      </c>
      <c r="Y303" s="641">
        <v>0</v>
      </c>
      <c r="Z303" s="641" t="s">
        <v>346</v>
      </c>
      <c r="AA303" s="641" t="s">
        <v>1317</v>
      </c>
      <c r="AB303" s="642">
        <f t="shared" si="102"/>
        <v>38000000</v>
      </c>
      <c r="AC303" s="642">
        <f t="shared" si="103"/>
        <v>38000000</v>
      </c>
      <c r="AD303" s="641">
        <v>0</v>
      </c>
      <c r="AE303" s="643">
        <v>0</v>
      </c>
      <c r="AF303" s="639" t="s">
        <v>276</v>
      </c>
      <c r="AG303" s="639" t="s">
        <v>277</v>
      </c>
      <c r="AH303" s="639" t="s">
        <v>285</v>
      </c>
      <c r="AI303" s="626" t="str">
        <f>IFERROR(VLOOKUP(AH303,Listas!$A$77:$C$83,2,FALSE),"Alerta: Seleccione primero el responsable")</f>
        <v>3550800</v>
      </c>
      <c r="AJ303" s="640" t="str">
        <f>IFERROR(VLOOKUP(AH303,Listas!$A$77:$C$83,3,FALSE),"Alerta: Seleccione primero el responsable")</f>
        <v>maria.villamil@idpc.gov.co</v>
      </c>
      <c r="AK303" s="640" t="str">
        <f>IF(J303="Funcionamiento Gastos Generales","No aplica",IF(J303="Funcionamiento Servicios Personales indirectos","No aplica",IFERROR(VLOOKUP(J303,Listas!$A$127:$E$139,3,FALSE),"Alerta: Seleccione la celda en la comumna B con el nombre del proyecto")))</f>
        <v>ME20181112</v>
      </c>
      <c r="AL303" s="640" t="str">
        <f>IF(J303="Funcionamiento Gastos Generales","No aplica",IF(J303="Funcionamiento Servicios Personales","No aplica",IFERROR(VLOOKUP(J303,Listas!$A$220:$D$224,2,FALSE),"Alerta: Seleccione la celda en la comumna B con el nombre del proyecto")))</f>
        <v>COMP1112</v>
      </c>
      <c r="AM303" s="640" t="str">
        <f>IF(J303="Funcionamiento Gastos Generales","No aplica",IF(J303="Funcionamiento Servicios Personales","No aplica",IFERROR(VLOOKUP(J303,Listas!$A$220:$D$224,3,FALSE),"Alerta: Seleccione la celda en la comumna B con el nombre del proyecto")))</f>
        <v>CONC1112</v>
      </c>
      <c r="AN303" s="633" t="s">
        <v>1051</v>
      </c>
      <c r="AO303" s="633" t="s">
        <v>127</v>
      </c>
      <c r="AP303" s="634" t="str">
        <f>IFERROR(VLOOKUP(J303,Listas!$A$182:$E$215,5,FALSE),"Alerta: Seleccione la celda en la comumna B con el nombre del proyecto")</f>
        <v>15. Instrumentos técnicos de gestión para la preservación del patrimonio cultural</v>
      </c>
      <c r="AQ303" s="634" t="str">
        <f>IF(J303="Funcionamiento Gastos Generales","No aplica",IF(J303="Funcionamiento Servicios Personales","No aplica",IFERROR(VLOOKUP(J303,Listas!$A$220:$D$224,4,FALSE),"Alerta: Seleccione la celda en la comumna B con el nombre del proyecto")))</f>
        <v>FONT1112</v>
      </c>
      <c r="AR303" s="633" t="s">
        <v>198</v>
      </c>
      <c r="AS303" s="634" t="str">
        <f>IFERROR(VLOOKUP(AU303,Listas!$E$85:$L$105,7,FALSE),"Alerta: Seleccione la celda en la comumna AI con el concepto de gasto")</f>
        <v>04-INVESTIGACION Y ESTUDIOS</v>
      </c>
      <c r="AT303" s="634" t="str">
        <f>IFERROR(VLOOKUP(AU303,Listas!$E$85:$L$105,8,FALSE),"Alerta: Seleccione la celda en la comumna AI con el concepto de gasto")</f>
        <v>01-INVESTIGACIÓN BÁSICA APLICADA Y ESTUDIOS PROPIOS DEL SECTOR</v>
      </c>
      <c r="AU303" s="633" t="s">
        <v>201</v>
      </c>
      <c r="AV303" s="634">
        <f>IFERROR(VLOOKUP(AU303,Listas!$E$85:$F$105,2,FALSE),"Alerta: Seleccione el Concepto de Gasto primero")</f>
        <v>0</v>
      </c>
      <c r="AW303" s="644">
        <v>38000000</v>
      </c>
      <c r="AX303" s="645"/>
      <c r="AY303" s="645"/>
      <c r="AZ303" s="645"/>
      <c r="BA303" s="646">
        <f t="shared" si="104"/>
        <v>38000000</v>
      </c>
      <c r="BB303" s="647"/>
      <c r="BC303" s="648"/>
      <c r="BD303" s="649"/>
      <c r="BE303" s="647"/>
      <c r="BF303" s="644"/>
      <c r="BG303" s="646">
        <f t="shared" si="105"/>
        <v>38000000</v>
      </c>
      <c r="BH303" s="650"/>
      <c r="BI303" s="647"/>
      <c r="BJ303" s="644"/>
      <c r="BK303" s="646">
        <f t="shared" si="106"/>
        <v>0</v>
      </c>
      <c r="BL303" s="651"/>
      <c r="BM303" s="652">
        <f t="shared" si="107"/>
        <v>1</v>
      </c>
      <c r="BN303" s="628"/>
      <c r="BO303" s="670"/>
      <c r="BP303" s="644"/>
      <c r="BQ303" s="644"/>
      <c r="BR303" s="644"/>
      <c r="BS303" s="644"/>
      <c r="BT303" s="644"/>
      <c r="BU303" s="644"/>
      <c r="BV303" s="644"/>
      <c r="BW303" s="644"/>
      <c r="BX303" s="644"/>
      <c r="BY303" s="644"/>
      <c r="BZ303" s="644"/>
      <c r="CA303" s="644"/>
      <c r="CB303" s="646">
        <f t="shared" si="108"/>
        <v>0</v>
      </c>
      <c r="CC303" s="646">
        <f t="shared" si="109"/>
        <v>0</v>
      </c>
      <c r="CD303" s="614"/>
    </row>
    <row r="304" spans="1:82" s="561" customFormat="1" ht="61.5" customHeight="1">
      <c r="A304" s="625" t="str">
        <f t="shared" si="91"/>
        <v>1112-140-FONT1112-04-01-0185-Planes y proyectos urbanos en ámbitos patrimoniales</v>
      </c>
      <c r="B304" s="626" t="str">
        <f t="shared" si="92"/>
        <v>1112-140-FONT1112-04-01-0185</v>
      </c>
      <c r="C304" s="626" t="str">
        <f t="shared" si="93"/>
        <v>1112-140-FONT1112-Planes y proyectos urbanos en ámbitos patrimoniales</v>
      </c>
      <c r="D304" s="626" t="str">
        <f t="shared" si="94"/>
        <v>1112-140-12-Otros Distrito-04-01-0185</v>
      </c>
      <c r="E304" s="626" t="str">
        <f t="shared" si="95"/>
        <v>Planes y proyectos urbanos en ámbitos patrimoniales-12-Otros Distrito-0185-Actividades de investigación para la valoración, protección, conservación, sostenibilidad y apropiación del Patrimonio Cultural</v>
      </c>
      <c r="F304" s="627">
        <v>264</v>
      </c>
      <c r="G304" s="628">
        <f t="shared" si="96"/>
        <v>264</v>
      </c>
      <c r="H304" s="629" t="b">
        <f t="shared" si="97"/>
        <v>0</v>
      </c>
      <c r="I304" s="630" t="s">
        <v>594</v>
      </c>
      <c r="J304" s="627" t="s">
        <v>179</v>
      </c>
      <c r="K304" s="631" t="str">
        <f>+IFERROR(VLOOKUP(J304,Listas!$A$108:$B$114,2,FALSE),"Alerta: Seleccione la celda en la comumna B con el nombre del proyecto")</f>
        <v>3-3-1-15-02-17-1112-140</v>
      </c>
      <c r="L304" s="632">
        <v>80111600</v>
      </c>
      <c r="M304" s="633" t="s">
        <v>847</v>
      </c>
      <c r="N304" s="634" t="str">
        <f t="shared" si="98"/>
        <v xml:space="preserve">(Cód. 264) Prestar servicios profesionales al Instituto Distrital de Patrimonio Cultural para apoyar las actividades técnicas y administrativas de los planes, programas y proyectos del Instituto. </v>
      </c>
      <c r="O304" s="635">
        <v>43480</v>
      </c>
      <c r="P304" s="636">
        <f>IFERROR(VLOOKUP(W304,'Estimación CRP'!$D$21:$E$30,2,FALSE),0)</f>
        <v>10</v>
      </c>
      <c r="Q304" s="637">
        <f>IF(O304="No aplica","No aplica",WORKDAY.INTL(O304,P304,1,'Estimación CRP'!A490:A506))</f>
        <v>43494</v>
      </c>
      <c r="R304" s="636">
        <f t="shared" si="99"/>
        <v>1</v>
      </c>
      <c r="S304" s="636">
        <f t="shared" si="100"/>
        <v>1</v>
      </c>
      <c r="T304" s="636">
        <f t="shared" si="101"/>
        <v>1</v>
      </c>
      <c r="U304" s="712">
        <v>11</v>
      </c>
      <c r="V304" s="638">
        <v>1</v>
      </c>
      <c r="W304" s="639" t="s">
        <v>274</v>
      </c>
      <c r="X304" s="640" t="str">
        <f>IFERROR(VLOOKUP(W304,Listas!$A$60:$B$73,2,FALSE),"Alerta: Seleccione primero Modalidad de selección")</f>
        <v>CCE-16</v>
      </c>
      <c r="Y304" s="641">
        <v>0</v>
      </c>
      <c r="Z304" s="641" t="s">
        <v>346</v>
      </c>
      <c r="AA304" s="641" t="s">
        <v>1318</v>
      </c>
      <c r="AB304" s="642">
        <f t="shared" si="102"/>
        <v>41800000</v>
      </c>
      <c r="AC304" s="642">
        <f t="shared" si="103"/>
        <v>41800000</v>
      </c>
      <c r="AD304" s="641">
        <v>0</v>
      </c>
      <c r="AE304" s="643">
        <v>0</v>
      </c>
      <c r="AF304" s="639" t="s">
        <v>276</v>
      </c>
      <c r="AG304" s="639" t="s">
        <v>277</v>
      </c>
      <c r="AH304" s="639" t="s">
        <v>285</v>
      </c>
      <c r="AI304" s="626" t="str">
        <f>IFERROR(VLOOKUP(AH304,Listas!$A$77:$C$83,2,FALSE),"Alerta: Seleccione primero el responsable")</f>
        <v>3550800</v>
      </c>
      <c r="AJ304" s="640" t="str">
        <f>IFERROR(VLOOKUP(AH304,Listas!$A$77:$C$83,3,FALSE),"Alerta: Seleccione primero el responsable")</f>
        <v>maria.villamil@idpc.gov.co</v>
      </c>
      <c r="AK304" s="640" t="str">
        <f>IF(J304="Funcionamiento Gastos Generales","No aplica",IF(J304="Funcionamiento Servicios Personales indirectos","No aplica",IFERROR(VLOOKUP(J304,Listas!$A$127:$E$139,3,FALSE),"Alerta: Seleccione la celda en la comumna B con el nombre del proyecto")))</f>
        <v>ME20181112</v>
      </c>
      <c r="AL304" s="640" t="str">
        <f>IF(J304="Funcionamiento Gastos Generales","No aplica",IF(J304="Funcionamiento Servicios Personales","No aplica",IFERROR(VLOOKUP(J304,Listas!$A$220:$D$224,2,FALSE),"Alerta: Seleccione la celda en la comumna B con el nombre del proyecto")))</f>
        <v>COMP1112</v>
      </c>
      <c r="AM304" s="640" t="str">
        <f>IF(J304="Funcionamiento Gastos Generales","No aplica",IF(J304="Funcionamiento Servicios Personales","No aplica",IFERROR(VLOOKUP(J304,Listas!$A$220:$D$224,3,FALSE),"Alerta: Seleccione la celda en la comumna B con el nombre del proyecto")))</f>
        <v>CONC1112</v>
      </c>
      <c r="AN304" s="633" t="s">
        <v>1050</v>
      </c>
      <c r="AO304" s="633" t="s">
        <v>127</v>
      </c>
      <c r="AP304" s="634" t="str">
        <f>IFERROR(VLOOKUP(J304,Listas!$A$182:$E$215,5,FALSE),"Alerta: Seleccione la celda en la comumna B con el nombre del proyecto")</f>
        <v>15. Instrumentos técnicos de gestión para la preservación del patrimonio cultural</v>
      </c>
      <c r="AQ304" s="634" t="str">
        <f>IF(J304="Funcionamiento Gastos Generales","No aplica",IF(J304="Funcionamiento Servicios Personales","No aplica",IFERROR(VLOOKUP(J304,Listas!$A$220:$D$224,4,FALSE),"Alerta: Seleccione la celda en la comumna B con el nombre del proyecto")))</f>
        <v>FONT1112</v>
      </c>
      <c r="AR304" s="633" t="s">
        <v>198</v>
      </c>
      <c r="AS304" s="634" t="str">
        <f>IFERROR(VLOOKUP(AU304,Listas!$E$85:$L$105,7,FALSE),"Alerta: Seleccione la celda en la comumna AI con el concepto de gasto")</f>
        <v>04-INVESTIGACION Y ESTUDIOS</v>
      </c>
      <c r="AT304" s="634" t="str">
        <f>IFERROR(VLOOKUP(AU304,Listas!$E$85:$L$105,8,FALSE),"Alerta: Seleccione la celda en la comumna AI con el concepto de gasto")</f>
        <v>01-INVESTIGACIÓN BÁSICA APLICADA Y ESTUDIOS PROPIOS DEL SECTOR</v>
      </c>
      <c r="AU304" s="633" t="s">
        <v>201</v>
      </c>
      <c r="AV304" s="634">
        <f>IFERROR(VLOOKUP(AU304,Listas!$E$85:$F$105,2,FALSE),"Alerta: Seleccione el Concepto de Gasto primero")</f>
        <v>0</v>
      </c>
      <c r="AW304" s="644">
        <v>41800000</v>
      </c>
      <c r="AX304" s="645"/>
      <c r="AY304" s="645"/>
      <c r="AZ304" s="645"/>
      <c r="BA304" s="646">
        <f t="shared" si="104"/>
        <v>41800000</v>
      </c>
      <c r="BB304" s="647"/>
      <c r="BC304" s="648"/>
      <c r="BD304" s="649"/>
      <c r="BE304" s="647"/>
      <c r="BF304" s="644"/>
      <c r="BG304" s="646">
        <f t="shared" si="105"/>
        <v>41800000</v>
      </c>
      <c r="BH304" s="650"/>
      <c r="BI304" s="647"/>
      <c r="BJ304" s="644"/>
      <c r="BK304" s="646">
        <f t="shared" si="106"/>
        <v>0</v>
      </c>
      <c r="BL304" s="651"/>
      <c r="BM304" s="652">
        <f t="shared" si="107"/>
        <v>1</v>
      </c>
      <c r="BN304" s="628"/>
      <c r="BO304" s="670"/>
      <c r="BP304" s="644"/>
      <c r="BQ304" s="644"/>
      <c r="BR304" s="644"/>
      <c r="BS304" s="644"/>
      <c r="BT304" s="644"/>
      <c r="BU304" s="644"/>
      <c r="BV304" s="644"/>
      <c r="BW304" s="644"/>
      <c r="BX304" s="644"/>
      <c r="BY304" s="644"/>
      <c r="BZ304" s="644"/>
      <c r="CA304" s="644"/>
      <c r="CB304" s="646">
        <f t="shared" si="108"/>
        <v>0</v>
      </c>
      <c r="CC304" s="646">
        <f t="shared" si="109"/>
        <v>0</v>
      </c>
      <c r="CD304" s="614"/>
    </row>
    <row r="305" spans="1:82" s="561" customFormat="1" ht="61.5" customHeight="1">
      <c r="A305" s="625" t="str">
        <f t="shared" si="91"/>
        <v>1112-140-FONT1112-04-01-0185-Instrumentos de gestión, financiación e incentivos para la recuperación y sostenibilidad del patrimonio cultural</v>
      </c>
      <c r="B305" s="626" t="str">
        <f t="shared" si="92"/>
        <v>1112-140-FONT1112-04-01-0185</v>
      </c>
      <c r="C305" s="626" t="str">
        <f t="shared" si="93"/>
        <v>1112-140-FONT1112-Instrumentos de gestión, financiación e incentivos para la recuperación y sostenibilidad del patrimonio cultural</v>
      </c>
      <c r="D305" s="626" t="str">
        <f t="shared" si="94"/>
        <v>1112-140-12-Otros Distrito-04-01-0185</v>
      </c>
      <c r="E305" s="626" t="str">
        <f t="shared" si="95"/>
        <v>Instrumentos de gestión, financiación e incentivos para la recuperación y sostenibilidad del patrimonio cultural-12-Otros Distrito-0185-Actividades de investigación para la valoración, protección, conservación, sostenibilidad y apropiación del Patrimonio Cultural</v>
      </c>
      <c r="F305" s="627">
        <v>265</v>
      </c>
      <c r="G305" s="628">
        <f t="shared" si="96"/>
        <v>265</v>
      </c>
      <c r="H305" s="629" t="b">
        <f t="shared" si="97"/>
        <v>0</v>
      </c>
      <c r="I305" s="630" t="s">
        <v>594</v>
      </c>
      <c r="J305" s="627" t="s">
        <v>179</v>
      </c>
      <c r="K305" s="631" t="str">
        <f>+IFERROR(VLOOKUP(J305,Listas!$A$108:$B$114,2,FALSE),"Alerta: Seleccione la celda en la comumna B con el nombre del proyecto")</f>
        <v>3-3-1-15-02-17-1112-140</v>
      </c>
      <c r="L305" s="632">
        <v>80111600</v>
      </c>
      <c r="M305" s="633" t="s">
        <v>848</v>
      </c>
      <c r="N305" s="634" t="str">
        <f t="shared" si="98"/>
        <v>(Cód. 265) Prestar servicios profesionales al Instituto Distrital de Patrimonio Cultural para apoyar el desarrollo de insumos y actividades relacionadas con las estrategias, programas y proyectos en el marco de la aplicación de instrumentos de financiación y gestión  para la recuperación de los sectores y Bienes de Interés Cultural en el Distrito Capital</v>
      </c>
      <c r="O305" s="635">
        <v>43480</v>
      </c>
      <c r="P305" s="636">
        <f>IFERROR(VLOOKUP(W305,'Estimación CRP'!$D$21:$E$30,2,FALSE),0)</f>
        <v>10</v>
      </c>
      <c r="Q305" s="637">
        <f>IF(O305="No aplica","No aplica",WORKDAY.INTL(O305,P305,1,'Estimación CRP'!A491:A507))</f>
        <v>43494</v>
      </c>
      <c r="R305" s="636">
        <f t="shared" si="99"/>
        <v>1</v>
      </c>
      <c r="S305" s="636">
        <f t="shared" si="100"/>
        <v>1</v>
      </c>
      <c r="T305" s="636">
        <f t="shared" si="101"/>
        <v>1</v>
      </c>
      <c r="U305" s="712">
        <v>11</v>
      </c>
      <c r="V305" s="638">
        <v>1</v>
      </c>
      <c r="W305" s="639" t="s">
        <v>274</v>
      </c>
      <c r="X305" s="640" t="str">
        <f>IFERROR(VLOOKUP(W305,Listas!$A$60:$B$73,2,FALSE),"Alerta: Seleccione primero Modalidad de selección")</f>
        <v>CCE-16</v>
      </c>
      <c r="Y305" s="641">
        <v>0</v>
      </c>
      <c r="Z305" s="641" t="s">
        <v>346</v>
      </c>
      <c r="AA305" s="641" t="s">
        <v>1319</v>
      </c>
      <c r="AB305" s="642">
        <f t="shared" si="102"/>
        <v>44660000</v>
      </c>
      <c r="AC305" s="642">
        <f t="shared" si="103"/>
        <v>44660000</v>
      </c>
      <c r="AD305" s="641">
        <v>0</v>
      </c>
      <c r="AE305" s="643">
        <v>0</v>
      </c>
      <c r="AF305" s="639" t="s">
        <v>276</v>
      </c>
      <c r="AG305" s="639" t="s">
        <v>277</v>
      </c>
      <c r="AH305" s="639" t="s">
        <v>285</v>
      </c>
      <c r="AI305" s="626" t="str">
        <f>IFERROR(VLOOKUP(AH305,Listas!$A$77:$C$83,2,FALSE),"Alerta: Seleccione primero el responsable")</f>
        <v>3550800</v>
      </c>
      <c r="AJ305" s="640" t="str">
        <f>IFERROR(VLOOKUP(AH305,Listas!$A$77:$C$83,3,FALSE),"Alerta: Seleccione primero el responsable")</f>
        <v>maria.villamil@idpc.gov.co</v>
      </c>
      <c r="AK305" s="640" t="str">
        <f>IF(J305="Funcionamiento Gastos Generales","No aplica",IF(J305="Funcionamiento Servicios Personales indirectos","No aplica",IFERROR(VLOOKUP(J305,Listas!$A$127:$E$139,3,FALSE),"Alerta: Seleccione la celda en la comumna B con el nombre del proyecto")))</f>
        <v>ME20181112</v>
      </c>
      <c r="AL305" s="640" t="str">
        <f>IF(J305="Funcionamiento Gastos Generales","No aplica",IF(J305="Funcionamiento Servicios Personales","No aplica",IFERROR(VLOOKUP(J305,Listas!$A$220:$D$224,2,FALSE),"Alerta: Seleccione la celda en la comumna B con el nombre del proyecto")))</f>
        <v>COMP1112</v>
      </c>
      <c r="AM305" s="640" t="str">
        <f>IF(J305="Funcionamiento Gastos Generales","No aplica",IF(J305="Funcionamiento Servicios Personales","No aplica",IFERROR(VLOOKUP(J305,Listas!$A$220:$D$224,3,FALSE),"Alerta: Seleccione la celda en la comumna B con el nombre del proyecto")))</f>
        <v>CONC1112</v>
      </c>
      <c r="AN305" s="633" t="s">
        <v>1052</v>
      </c>
      <c r="AO305" s="633" t="s">
        <v>128</v>
      </c>
      <c r="AP305" s="634" t="str">
        <f>IFERROR(VLOOKUP(J305,Listas!$A$182:$E$215,5,FALSE),"Alerta: Seleccione la celda en la comumna B con el nombre del proyecto")</f>
        <v>15. Instrumentos técnicos de gestión para la preservación del patrimonio cultural</v>
      </c>
      <c r="AQ305" s="634" t="str">
        <f>IF(J305="Funcionamiento Gastos Generales","No aplica",IF(J305="Funcionamiento Servicios Personales","No aplica",IFERROR(VLOOKUP(J305,Listas!$A$220:$D$224,4,FALSE),"Alerta: Seleccione la celda en la comumna B con el nombre del proyecto")))</f>
        <v>FONT1112</v>
      </c>
      <c r="AR305" s="633" t="s">
        <v>198</v>
      </c>
      <c r="AS305" s="634" t="str">
        <f>IFERROR(VLOOKUP(AU305,Listas!$E$85:$L$105,7,FALSE),"Alerta: Seleccione la celda en la comumna AI con el concepto de gasto")</f>
        <v>04-INVESTIGACION Y ESTUDIOS</v>
      </c>
      <c r="AT305" s="634" t="str">
        <f>IFERROR(VLOOKUP(AU305,Listas!$E$85:$L$105,8,FALSE),"Alerta: Seleccione la celda en la comumna AI con el concepto de gasto")</f>
        <v>01-INVESTIGACIÓN BÁSICA APLICADA Y ESTUDIOS PROPIOS DEL SECTOR</v>
      </c>
      <c r="AU305" s="633" t="s">
        <v>201</v>
      </c>
      <c r="AV305" s="634">
        <f>IFERROR(VLOOKUP(AU305,Listas!$E$85:$F$105,2,FALSE),"Alerta: Seleccione el Concepto de Gasto primero")</f>
        <v>0</v>
      </c>
      <c r="AW305" s="644">
        <v>44660000</v>
      </c>
      <c r="AX305" s="645"/>
      <c r="AY305" s="645"/>
      <c r="AZ305" s="645"/>
      <c r="BA305" s="646">
        <f t="shared" si="104"/>
        <v>44660000</v>
      </c>
      <c r="BB305" s="647"/>
      <c r="BC305" s="648"/>
      <c r="BD305" s="649"/>
      <c r="BE305" s="647"/>
      <c r="BF305" s="644"/>
      <c r="BG305" s="646">
        <f t="shared" si="105"/>
        <v>44660000</v>
      </c>
      <c r="BH305" s="650"/>
      <c r="BI305" s="647"/>
      <c r="BJ305" s="644"/>
      <c r="BK305" s="646">
        <f t="shared" si="106"/>
        <v>0</v>
      </c>
      <c r="BL305" s="651"/>
      <c r="BM305" s="652">
        <f t="shared" si="107"/>
        <v>1</v>
      </c>
      <c r="BN305" s="628"/>
      <c r="BO305" s="670"/>
      <c r="BP305" s="644"/>
      <c r="BQ305" s="644"/>
      <c r="BR305" s="644"/>
      <c r="BS305" s="644"/>
      <c r="BT305" s="644"/>
      <c r="BU305" s="644"/>
      <c r="BV305" s="644"/>
      <c r="BW305" s="644"/>
      <c r="BX305" s="644"/>
      <c r="BY305" s="644"/>
      <c r="BZ305" s="644"/>
      <c r="CA305" s="644"/>
      <c r="CB305" s="646">
        <f t="shared" si="108"/>
        <v>0</v>
      </c>
      <c r="CC305" s="646">
        <f t="shared" si="109"/>
        <v>0</v>
      </c>
      <c r="CD305" s="614"/>
    </row>
    <row r="306" spans="1:82" s="561" customFormat="1" ht="61.5" customHeight="1">
      <c r="A306" s="625" t="str">
        <f t="shared" si="91"/>
        <v>1112-140-FONT1112-04-01-0185-Instrumentos de gestión, financiación e incentivos para la recuperación y sostenibilidad del patrimonio cultural</v>
      </c>
      <c r="B306" s="626" t="str">
        <f t="shared" si="92"/>
        <v>1112-140-FONT1112-04-01-0185</v>
      </c>
      <c r="C306" s="626" t="str">
        <f t="shared" si="93"/>
        <v>1112-140-FONT1112-Instrumentos de gestión, financiación e incentivos para la recuperación y sostenibilidad del patrimonio cultural</v>
      </c>
      <c r="D306" s="626" t="str">
        <f t="shared" si="94"/>
        <v>1112-140-12-Otros Distrito-04-01-0185</v>
      </c>
      <c r="E306" s="626" t="str">
        <f t="shared" si="95"/>
        <v>Instrumentos de gestión, financiación e incentivos para la recuperación y sostenibilidad del patrimonio cultural-12-Otros Distrito-0185-Actividades de investigación para la valoración, protección, conservación, sostenibilidad y apropiación del Patrimonio Cultural</v>
      </c>
      <c r="F306" s="627">
        <v>266</v>
      </c>
      <c r="G306" s="628">
        <f t="shared" si="96"/>
        <v>266</v>
      </c>
      <c r="H306" s="629" t="b">
        <f t="shared" si="97"/>
        <v>0</v>
      </c>
      <c r="I306" s="630" t="s">
        <v>594</v>
      </c>
      <c r="J306" s="627" t="s">
        <v>179</v>
      </c>
      <c r="K306" s="631" t="str">
        <f>+IFERROR(VLOOKUP(J306,Listas!$A$108:$B$114,2,FALSE),"Alerta: Seleccione la celda en la comumna B con el nombre del proyecto")</f>
        <v>3-3-1-15-02-17-1112-140</v>
      </c>
      <c r="L306" s="632">
        <v>80111600</v>
      </c>
      <c r="M306" s="633" t="s">
        <v>849</v>
      </c>
      <c r="N306" s="634" t="str">
        <f t="shared" si="98"/>
        <v xml:space="preserve">(Cód. 266) Prestar servicios profesionales al Instituto Distrital de Patrimonio Cultural para ejecutar  actividades relacionadas con las estrategias, programas y proyectos en el marco de la aplicación de instrumentos de financiación y gestión para la recuperación de los sectores y Bienes de Interés Cultural en el Distrito Capital. </v>
      </c>
      <c r="O306" s="635">
        <v>43480</v>
      </c>
      <c r="P306" s="636">
        <f>IFERROR(VLOOKUP(W306,'Estimación CRP'!$D$21:$E$30,2,FALSE),0)</f>
        <v>10</v>
      </c>
      <c r="Q306" s="637">
        <f>IF(O306="No aplica","No aplica",WORKDAY.INTL(O306,P306,1,'Estimación CRP'!A492:A508))</f>
        <v>43494</v>
      </c>
      <c r="R306" s="636">
        <f t="shared" si="99"/>
        <v>1</v>
      </c>
      <c r="S306" s="636">
        <f t="shared" si="100"/>
        <v>1</v>
      </c>
      <c r="T306" s="636">
        <f t="shared" si="101"/>
        <v>1</v>
      </c>
      <c r="U306" s="712">
        <v>11</v>
      </c>
      <c r="V306" s="638">
        <v>1</v>
      </c>
      <c r="W306" s="639" t="s">
        <v>274</v>
      </c>
      <c r="X306" s="640" t="str">
        <f>IFERROR(VLOOKUP(W306,Listas!$A$60:$B$73,2,FALSE),"Alerta: Seleccione primero Modalidad de selección")</f>
        <v>CCE-16</v>
      </c>
      <c r="Y306" s="641">
        <v>0</v>
      </c>
      <c r="Z306" s="641" t="s">
        <v>346</v>
      </c>
      <c r="AA306" s="641" t="s">
        <v>1320</v>
      </c>
      <c r="AB306" s="642">
        <f t="shared" si="102"/>
        <v>77000000</v>
      </c>
      <c r="AC306" s="642">
        <f t="shared" si="103"/>
        <v>77000000</v>
      </c>
      <c r="AD306" s="641">
        <v>0</v>
      </c>
      <c r="AE306" s="643">
        <v>0</v>
      </c>
      <c r="AF306" s="639" t="s">
        <v>276</v>
      </c>
      <c r="AG306" s="639" t="s">
        <v>277</v>
      </c>
      <c r="AH306" s="639" t="s">
        <v>285</v>
      </c>
      <c r="AI306" s="626" t="str">
        <f>IFERROR(VLOOKUP(AH306,Listas!$A$77:$C$83,2,FALSE),"Alerta: Seleccione primero el responsable")</f>
        <v>3550800</v>
      </c>
      <c r="AJ306" s="640" t="str">
        <f>IFERROR(VLOOKUP(AH306,Listas!$A$77:$C$83,3,FALSE),"Alerta: Seleccione primero el responsable")</f>
        <v>maria.villamil@idpc.gov.co</v>
      </c>
      <c r="AK306" s="640" t="str">
        <f>IF(J306="Funcionamiento Gastos Generales","No aplica",IF(J306="Funcionamiento Servicios Personales indirectos","No aplica",IFERROR(VLOOKUP(J306,Listas!$A$127:$E$139,3,FALSE),"Alerta: Seleccione la celda en la comumna B con el nombre del proyecto")))</f>
        <v>ME20181112</v>
      </c>
      <c r="AL306" s="640" t="str">
        <f>IF(J306="Funcionamiento Gastos Generales","No aplica",IF(J306="Funcionamiento Servicios Personales","No aplica",IFERROR(VLOOKUP(J306,Listas!$A$220:$D$224,2,FALSE),"Alerta: Seleccione la celda en la comumna B con el nombre del proyecto")))</f>
        <v>COMP1112</v>
      </c>
      <c r="AM306" s="640" t="str">
        <f>IF(J306="Funcionamiento Gastos Generales","No aplica",IF(J306="Funcionamiento Servicios Personales","No aplica",IFERROR(VLOOKUP(J306,Listas!$A$220:$D$224,3,FALSE),"Alerta: Seleccione la celda en la comumna B con el nombre del proyecto")))</f>
        <v>CONC1112</v>
      </c>
      <c r="AN306" s="633" t="s">
        <v>1052</v>
      </c>
      <c r="AO306" s="633" t="s">
        <v>128</v>
      </c>
      <c r="AP306" s="634" t="str">
        <f>IFERROR(VLOOKUP(J306,Listas!$A$182:$E$215,5,FALSE),"Alerta: Seleccione la celda en la comumna B con el nombre del proyecto")</f>
        <v>15. Instrumentos técnicos de gestión para la preservación del patrimonio cultural</v>
      </c>
      <c r="AQ306" s="634" t="str">
        <f>IF(J306="Funcionamiento Gastos Generales","No aplica",IF(J306="Funcionamiento Servicios Personales","No aplica",IFERROR(VLOOKUP(J306,Listas!$A$220:$D$224,4,FALSE),"Alerta: Seleccione la celda en la comumna B con el nombre del proyecto")))</f>
        <v>FONT1112</v>
      </c>
      <c r="AR306" s="633" t="s">
        <v>198</v>
      </c>
      <c r="AS306" s="634" t="str">
        <f>IFERROR(VLOOKUP(AU306,Listas!$E$85:$L$105,7,FALSE),"Alerta: Seleccione la celda en la comumna AI con el concepto de gasto")</f>
        <v>04-INVESTIGACION Y ESTUDIOS</v>
      </c>
      <c r="AT306" s="634" t="str">
        <f>IFERROR(VLOOKUP(AU306,Listas!$E$85:$L$105,8,FALSE),"Alerta: Seleccione la celda en la comumna AI con el concepto de gasto")</f>
        <v>01-INVESTIGACIÓN BÁSICA APLICADA Y ESTUDIOS PROPIOS DEL SECTOR</v>
      </c>
      <c r="AU306" s="633" t="s">
        <v>201</v>
      </c>
      <c r="AV306" s="634">
        <f>IFERROR(VLOOKUP(AU306,Listas!$E$85:$F$105,2,FALSE),"Alerta: Seleccione el Concepto de Gasto primero")</f>
        <v>0</v>
      </c>
      <c r="AW306" s="644">
        <v>77000000</v>
      </c>
      <c r="AX306" s="645"/>
      <c r="AY306" s="645"/>
      <c r="AZ306" s="645"/>
      <c r="BA306" s="646">
        <f t="shared" si="104"/>
        <v>77000000</v>
      </c>
      <c r="BB306" s="647"/>
      <c r="BC306" s="648"/>
      <c r="BD306" s="649"/>
      <c r="BE306" s="647"/>
      <c r="BF306" s="644"/>
      <c r="BG306" s="646">
        <f t="shared" si="105"/>
        <v>77000000</v>
      </c>
      <c r="BH306" s="650"/>
      <c r="BI306" s="647"/>
      <c r="BJ306" s="644"/>
      <c r="BK306" s="646">
        <f t="shared" si="106"/>
        <v>0</v>
      </c>
      <c r="BL306" s="651"/>
      <c r="BM306" s="652">
        <f t="shared" si="107"/>
        <v>1</v>
      </c>
      <c r="BN306" s="628"/>
      <c r="BO306" s="670"/>
      <c r="BP306" s="644"/>
      <c r="BQ306" s="644"/>
      <c r="BR306" s="644"/>
      <c r="BS306" s="644"/>
      <c r="BT306" s="644"/>
      <c r="BU306" s="644"/>
      <c r="BV306" s="644"/>
      <c r="BW306" s="644"/>
      <c r="BX306" s="644"/>
      <c r="BY306" s="644"/>
      <c r="BZ306" s="644"/>
      <c r="CA306" s="644"/>
      <c r="CB306" s="646">
        <f t="shared" si="108"/>
        <v>0</v>
      </c>
      <c r="CC306" s="646">
        <f t="shared" si="109"/>
        <v>0</v>
      </c>
      <c r="CD306" s="614"/>
    </row>
    <row r="307" spans="1:82" s="561" customFormat="1" ht="61.5" customHeight="1">
      <c r="A307" s="625" t="str">
        <f t="shared" si="91"/>
        <v>1112-140-FONT1112-04-01-0185-Plan especial de manejo y protección del centro histórico</v>
      </c>
      <c r="B307" s="626" t="str">
        <f t="shared" si="92"/>
        <v>1112-140-FONT1112-04-01-0185</v>
      </c>
      <c r="C307" s="626" t="str">
        <f t="shared" si="93"/>
        <v>1112-140-FONT1112-Plan especial de manejo y protección del centro histórico</v>
      </c>
      <c r="D307" s="626" t="str">
        <f t="shared" si="94"/>
        <v>1112-140-12-Otros Distrito-04-01-0185</v>
      </c>
      <c r="E307" s="626" t="str">
        <f t="shared" si="95"/>
        <v>Plan especial de manejo y protección del centro histórico-12-Otros Distrito-0185-Actividades de investigación para la valoración, protección, conservación, sostenibilidad y apropiación del Patrimonio Cultural</v>
      </c>
      <c r="F307" s="627">
        <v>267</v>
      </c>
      <c r="G307" s="628">
        <f t="shared" si="96"/>
        <v>267</v>
      </c>
      <c r="H307" s="629" t="b">
        <f t="shared" si="97"/>
        <v>0</v>
      </c>
      <c r="I307" s="630" t="s">
        <v>594</v>
      </c>
      <c r="J307" s="627" t="s">
        <v>179</v>
      </c>
      <c r="K307" s="631" t="str">
        <f>+IFERROR(VLOOKUP(J307,Listas!$A$108:$B$114,2,FALSE),"Alerta: Seleccione la celda en la comumna B con el nombre del proyecto")</f>
        <v>3-3-1-15-02-17-1112-140</v>
      </c>
      <c r="L307" s="632">
        <v>80111600</v>
      </c>
      <c r="M307" s="633" t="s">
        <v>850</v>
      </c>
      <c r="N307" s="634" t="str">
        <f t="shared" si="98"/>
        <v xml:space="preserve">(Cód. 267) Prestar servicios profesionales al Instituto Distrital de Patrimonio Cultural para apoyar la orientación y desarrollo del proceso de participación ciudadana y divulgación del Plan Especial de Manejo y Protección (PEMP) del Centro Histórico de Bogotá D.C y otros proyectos. </v>
      </c>
      <c r="O307" s="635">
        <v>43489</v>
      </c>
      <c r="P307" s="636">
        <f>IFERROR(VLOOKUP(W307,'Estimación CRP'!$D$21:$E$30,2,FALSE),0)</f>
        <v>10</v>
      </c>
      <c r="Q307" s="637">
        <f>IF(O307="No aplica","No aplica",WORKDAY.INTL(O307,P307,1,'Estimación CRP'!A493:A509))</f>
        <v>43503</v>
      </c>
      <c r="R307" s="636">
        <f t="shared" si="99"/>
        <v>2</v>
      </c>
      <c r="S307" s="636">
        <f t="shared" si="100"/>
        <v>1</v>
      </c>
      <c r="T307" s="636">
        <f t="shared" si="101"/>
        <v>1</v>
      </c>
      <c r="U307" s="712">
        <v>11</v>
      </c>
      <c r="V307" s="638">
        <v>1</v>
      </c>
      <c r="W307" s="639" t="s">
        <v>274</v>
      </c>
      <c r="X307" s="640" t="str">
        <f>IFERROR(VLOOKUP(W307,Listas!$A$60:$B$73,2,FALSE),"Alerta: Seleccione primero Modalidad de selección")</f>
        <v>CCE-16</v>
      </c>
      <c r="Y307" s="641">
        <v>0</v>
      </c>
      <c r="Z307" s="641" t="s">
        <v>346</v>
      </c>
      <c r="AA307" s="641" t="s">
        <v>1321</v>
      </c>
      <c r="AB307" s="642">
        <f t="shared" si="102"/>
        <v>55000000</v>
      </c>
      <c r="AC307" s="642">
        <f t="shared" si="103"/>
        <v>55000000</v>
      </c>
      <c r="AD307" s="641">
        <v>0</v>
      </c>
      <c r="AE307" s="643">
        <v>0</v>
      </c>
      <c r="AF307" s="639" t="s">
        <v>276</v>
      </c>
      <c r="AG307" s="639" t="s">
        <v>277</v>
      </c>
      <c r="AH307" s="639" t="s">
        <v>285</v>
      </c>
      <c r="AI307" s="626" t="str">
        <f>IFERROR(VLOOKUP(AH307,Listas!$A$77:$C$83,2,FALSE),"Alerta: Seleccione primero el responsable")</f>
        <v>3550800</v>
      </c>
      <c r="AJ307" s="640" t="str">
        <f>IFERROR(VLOOKUP(AH307,Listas!$A$77:$C$83,3,FALSE),"Alerta: Seleccione primero el responsable")</f>
        <v>maria.villamil@idpc.gov.co</v>
      </c>
      <c r="AK307" s="640" t="str">
        <f>IF(J307="Funcionamiento Gastos Generales","No aplica",IF(J307="Funcionamiento Servicios Personales indirectos","No aplica",IFERROR(VLOOKUP(J307,Listas!$A$127:$E$139,3,FALSE),"Alerta: Seleccione la celda en la comumna B con el nombre del proyecto")))</f>
        <v>ME20181112</v>
      </c>
      <c r="AL307" s="640" t="str">
        <f>IF(J307="Funcionamiento Gastos Generales","No aplica",IF(J307="Funcionamiento Servicios Personales","No aplica",IFERROR(VLOOKUP(J307,Listas!$A$220:$D$224,2,FALSE),"Alerta: Seleccione la celda en la comumna B con el nombre del proyecto")))</f>
        <v>COMP1112</v>
      </c>
      <c r="AM307" s="640" t="str">
        <f>IF(J307="Funcionamiento Gastos Generales","No aplica",IF(J307="Funcionamiento Servicios Personales","No aplica",IFERROR(VLOOKUP(J307,Listas!$A$220:$D$224,3,FALSE),"Alerta: Seleccione la celda en la comumna B con el nombre del proyecto")))</f>
        <v>CONC1112</v>
      </c>
      <c r="AN307" s="633" t="s">
        <v>1050</v>
      </c>
      <c r="AO307" s="633" t="s">
        <v>126</v>
      </c>
      <c r="AP307" s="634" t="str">
        <f>IFERROR(VLOOKUP(J307,Listas!$A$182:$E$215,5,FALSE),"Alerta: Seleccione la celda en la comumna B con el nombre del proyecto")</f>
        <v>15. Instrumentos técnicos de gestión para la preservación del patrimonio cultural</v>
      </c>
      <c r="AQ307" s="634" t="str">
        <f>IF(J307="Funcionamiento Gastos Generales","No aplica",IF(J307="Funcionamiento Servicios Personales","No aplica",IFERROR(VLOOKUP(J307,Listas!$A$220:$D$224,4,FALSE),"Alerta: Seleccione la celda en la comumna B con el nombre del proyecto")))</f>
        <v>FONT1112</v>
      </c>
      <c r="AR307" s="633" t="s">
        <v>198</v>
      </c>
      <c r="AS307" s="634" t="str">
        <f>IFERROR(VLOOKUP(AU307,Listas!$E$85:$L$105,7,FALSE),"Alerta: Seleccione la celda en la comumna AI con el concepto de gasto")</f>
        <v>04-INVESTIGACION Y ESTUDIOS</v>
      </c>
      <c r="AT307" s="634" t="str">
        <f>IFERROR(VLOOKUP(AU307,Listas!$E$85:$L$105,8,FALSE),"Alerta: Seleccione la celda en la comumna AI con el concepto de gasto")</f>
        <v>01-INVESTIGACIÓN BÁSICA APLICADA Y ESTUDIOS PROPIOS DEL SECTOR</v>
      </c>
      <c r="AU307" s="633" t="s">
        <v>201</v>
      </c>
      <c r="AV307" s="634">
        <f>IFERROR(VLOOKUP(AU307,Listas!$E$85:$F$105,2,FALSE),"Alerta: Seleccione el Concepto de Gasto primero")</f>
        <v>0</v>
      </c>
      <c r="AW307" s="644">
        <v>55000000</v>
      </c>
      <c r="AX307" s="645"/>
      <c r="AY307" s="645"/>
      <c r="AZ307" s="645"/>
      <c r="BA307" s="646">
        <f t="shared" si="104"/>
        <v>55000000</v>
      </c>
      <c r="BB307" s="647"/>
      <c r="BC307" s="648"/>
      <c r="BD307" s="649"/>
      <c r="BE307" s="647"/>
      <c r="BF307" s="644"/>
      <c r="BG307" s="646">
        <f t="shared" si="105"/>
        <v>55000000</v>
      </c>
      <c r="BH307" s="650"/>
      <c r="BI307" s="647"/>
      <c r="BJ307" s="644"/>
      <c r="BK307" s="646">
        <f t="shared" si="106"/>
        <v>0</v>
      </c>
      <c r="BL307" s="651"/>
      <c r="BM307" s="652">
        <f t="shared" si="107"/>
        <v>1</v>
      </c>
      <c r="BN307" s="628"/>
      <c r="BO307" s="670"/>
      <c r="BP307" s="644"/>
      <c r="BQ307" s="644"/>
      <c r="BR307" s="644"/>
      <c r="BS307" s="644"/>
      <c r="BT307" s="644"/>
      <c r="BU307" s="644"/>
      <c r="BV307" s="644"/>
      <c r="BW307" s="644"/>
      <c r="BX307" s="644"/>
      <c r="BY307" s="644"/>
      <c r="BZ307" s="644"/>
      <c r="CA307" s="644"/>
      <c r="CB307" s="646">
        <f t="shared" si="108"/>
        <v>0</v>
      </c>
      <c r="CC307" s="646">
        <f t="shared" si="109"/>
        <v>0</v>
      </c>
      <c r="CD307" s="614"/>
    </row>
    <row r="308" spans="1:82" s="653" customFormat="1" ht="61.5" customHeight="1">
      <c r="A308" s="625" t="str">
        <f t="shared" si="91"/>
        <v>1112-140-FONT1112-04-01-0185-Planes y proyectos urbanos en ámbitos patrimoniales</v>
      </c>
      <c r="B308" s="626" t="str">
        <f t="shared" si="92"/>
        <v>1112-140-FONT1112-04-01-0185</v>
      </c>
      <c r="C308" s="626" t="str">
        <f t="shared" si="93"/>
        <v>1112-140-FONT1112-Planes y proyectos urbanos en ámbitos patrimoniales</v>
      </c>
      <c r="D308" s="626" t="str">
        <f t="shared" si="94"/>
        <v>1112-140-12-Otros Distrito-04-01-0185</v>
      </c>
      <c r="E308" s="626" t="str">
        <f t="shared" si="95"/>
        <v>Planes y proyectos urbanos en ámbitos patrimoniales-12-Otros Distrito-0185-Actividades de investigación para la valoración, protección, conservación, sostenibilidad y apropiación del Patrimonio Cultural</v>
      </c>
      <c r="F308" s="627">
        <v>268</v>
      </c>
      <c r="G308" s="628">
        <f t="shared" si="96"/>
        <v>268</v>
      </c>
      <c r="H308" s="629" t="b">
        <f t="shared" si="97"/>
        <v>0</v>
      </c>
      <c r="I308" s="630" t="s">
        <v>594</v>
      </c>
      <c r="J308" s="627" t="s">
        <v>179</v>
      </c>
      <c r="K308" s="631" t="str">
        <f>+IFERROR(VLOOKUP(J308,Listas!$A$108:$B$114,2,FALSE),"Alerta: Seleccione la celda en la comumna B con el nombre del proyecto")</f>
        <v>3-3-1-15-02-17-1112-140</v>
      </c>
      <c r="L308" s="632">
        <v>80111600</v>
      </c>
      <c r="M308" s="633" t="s">
        <v>851</v>
      </c>
      <c r="N308" s="634" t="str">
        <f t="shared" si="98"/>
        <v>(Cód. 268) Prestar servicios profesionales al Instituto Distrital de Patrimonio Cultural en la consolidación normativa y arquitectónica de la propuesta de espacio público para el Plan Especial de Manejo y Protección -PEMP- del Centro Histórico de Bogotá D.C y otros proyectos.</v>
      </c>
      <c r="O308" s="635">
        <v>43480</v>
      </c>
      <c r="P308" s="636">
        <f>IFERROR(VLOOKUP(W308,'Estimación CRP'!$D$21:$E$30,2,FALSE),0)</f>
        <v>10</v>
      </c>
      <c r="Q308" s="637">
        <f>IF(O308="No aplica","No aplica",WORKDAY.INTL(O308,P308,1,'Estimación CRP'!A494:A510))</f>
        <v>43494</v>
      </c>
      <c r="R308" s="636">
        <f t="shared" si="99"/>
        <v>1</v>
      </c>
      <c r="S308" s="636">
        <f t="shared" si="100"/>
        <v>1</v>
      </c>
      <c r="T308" s="636">
        <f t="shared" si="101"/>
        <v>1</v>
      </c>
      <c r="U308" s="712">
        <v>11</v>
      </c>
      <c r="V308" s="638">
        <v>1</v>
      </c>
      <c r="W308" s="639" t="s">
        <v>274</v>
      </c>
      <c r="X308" s="640" t="str">
        <f>IFERROR(VLOOKUP(W308,Listas!$A$60:$B$73,2,FALSE),"Alerta: Seleccione primero Modalidad de selección")</f>
        <v>CCE-16</v>
      </c>
      <c r="Y308" s="641">
        <v>0</v>
      </c>
      <c r="Z308" s="641" t="s">
        <v>346</v>
      </c>
      <c r="AA308" s="641" t="s">
        <v>1322</v>
      </c>
      <c r="AB308" s="642">
        <f t="shared" si="102"/>
        <v>62700000</v>
      </c>
      <c r="AC308" s="642">
        <f t="shared" si="103"/>
        <v>62700000</v>
      </c>
      <c r="AD308" s="641">
        <v>0</v>
      </c>
      <c r="AE308" s="643">
        <v>0</v>
      </c>
      <c r="AF308" s="639" t="s">
        <v>276</v>
      </c>
      <c r="AG308" s="639" t="s">
        <v>277</v>
      </c>
      <c r="AH308" s="639" t="s">
        <v>285</v>
      </c>
      <c r="AI308" s="626" t="str">
        <f>IFERROR(VLOOKUP(AH308,Listas!$A$77:$C$83,2,FALSE),"Alerta: Seleccione primero el responsable")</f>
        <v>3550800</v>
      </c>
      <c r="AJ308" s="640" t="str">
        <f>IFERROR(VLOOKUP(AH308,Listas!$A$77:$C$83,3,FALSE),"Alerta: Seleccione primero el responsable")</f>
        <v>maria.villamil@idpc.gov.co</v>
      </c>
      <c r="AK308" s="640" t="str">
        <f>IF(J308="Funcionamiento Gastos Generales","No aplica",IF(J308="Funcionamiento Servicios Personales indirectos","No aplica",IFERROR(VLOOKUP(J308,Listas!$A$127:$E$139,3,FALSE),"Alerta: Seleccione la celda en la comumna B con el nombre del proyecto")))</f>
        <v>ME20181112</v>
      </c>
      <c r="AL308" s="640" t="str">
        <f>IF(J308="Funcionamiento Gastos Generales","No aplica",IF(J308="Funcionamiento Servicios Personales","No aplica",IFERROR(VLOOKUP(J308,Listas!$A$220:$D$224,2,FALSE),"Alerta: Seleccione la celda en la comumna B con el nombre del proyecto")))</f>
        <v>COMP1112</v>
      </c>
      <c r="AM308" s="640" t="str">
        <f>IF(J308="Funcionamiento Gastos Generales","No aplica",IF(J308="Funcionamiento Servicios Personales","No aplica",IFERROR(VLOOKUP(J308,Listas!$A$220:$D$224,3,FALSE),"Alerta: Seleccione la celda en la comumna B con el nombre del proyecto")))</f>
        <v>CONC1112</v>
      </c>
      <c r="AN308" s="633" t="s">
        <v>1051</v>
      </c>
      <c r="AO308" s="633" t="s">
        <v>127</v>
      </c>
      <c r="AP308" s="634" t="str">
        <f>IFERROR(VLOOKUP(J308,Listas!$A$182:$E$215,5,FALSE),"Alerta: Seleccione la celda en la comumna B con el nombre del proyecto")</f>
        <v>15. Instrumentos técnicos de gestión para la preservación del patrimonio cultural</v>
      </c>
      <c r="AQ308" s="634" t="str">
        <f>IF(J308="Funcionamiento Gastos Generales","No aplica",IF(J308="Funcionamiento Servicios Personales","No aplica",IFERROR(VLOOKUP(J308,Listas!$A$220:$D$224,4,FALSE),"Alerta: Seleccione la celda en la comumna B con el nombre del proyecto")))</f>
        <v>FONT1112</v>
      </c>
      <c r="AR308" s="633" t="s">
        <v>198</v>
      </c>
      <c r="AS308" s="634" t="str">
        <f>IFERROR(VLOOKUP(AU308,Listas!$E$85:$L$105,7,FALSE),"Alerta: Seleccione la celda en la comumna AI con el concepto de gasto")</f>
        <v>04-INVESTIGACION Y ESTUDIOS</v>
      </c>
      <c r="AT308" s="634" t="str">
        <f>IFERROR(VLOOKUP(AU308,Listas!$E$85:$L$105,8,FALSE),"Alerta: Seleccione la celda en la comumna AI con el concepto de gasto")</f>
        <v>01-INVESTIGACIÓN BÁSICA APLICADA Y ESTUDIOS PROPIOS DEL SECTOR</v>
      </c>
      <c r="AU308" s="633" t="s">
        <v>201</v>
      </c>
      <c r="AV308" s="634">
        <f>IFERROR(VLOOKUP(AU308,Listas!$E$85:$F$105,2,FALSE),"Alerta: Seleccione el Concepto de Gasto primero")</f>
        <v>0</v>
      </c>
      <c r="AW308" s="644">
        <v>62700000</v>
      </c>
      <c r="AX308" s="645"/>
      <c r="AY308" s="645"/>
      <c r="AZ308" s="645"/>
      <c r="BA308" s="646">
        <f t="shared" si="104"/>
        <v>62700000</v>
      </c>
      <c r="BB308" s="647"/>
      <c r="BC308" s="648"/>
      <c r="BD308" s="649"/>
      <c r="BE308" s="647"/>
      <c r="BF308" s="644"/>
      <c r="BG308" s="646">
        <f t="shared" si="105"/>
        <v>62700000</v>
      </c>
      <c r="BH308" s="650"/>
      <c r="BI308" s="647"/>
      <c r="BJ308" s="644"/>
      <c r="BK308" s="646">
        <f t="shared" si="106"/>
        <v>0</v>
      </c>
      <c r="BL308" s="651"/>
      <c r="BM308" s="652">
        <f t="shared" si="107"/>
        <v>1</v>
      </c>
      <c r="BN308" s="628"/>
      <c r="BO308" s="670"/>
      <c r="BP308" s="644"/>
      <c r="BQ308" s="644"/>
      <c r="BR308" s="644"/>
      <c r="BS308" s="644"/>
      <c r="BT308" s="644"/>
      <c r="BU308" s="644"/>
      <c r="BV308" s="644"/>
      <c r="BW308" s="644"/>
      <c r="BX308" s="644"/>
      <c r="BY308" s="644"/>
      <c r="BZ308" s="644"/>
      <c r="CA308" s="644"/>
      <c r="CB308" s="646">
        <f t="shared" si="108"/>
        <v>0</v>
      </c>
      <c r="CC308" s="646">
        <f t="shared" si="109"/>
        <v>0</v>
      </c>
      <c r="CD308" s="614"/>
    </row>
    <row r="309" spans="1:82" s="561" customFormat="1" ht="61.5" customHeight="1">
      <c r="A309" s="625" t="str">
        <f t="shared" si="91"/>
        <v>1112-140-FONT1112-04-01-0185-Planes y proyectos urbanos en ámbitos patrimoniales</v>
      </c>
      <c r="B309" s="626" t="str">
        <f t="shared" si="92"/>
        <v>1112-140-FONT1112-04-01-0185</v>
      </c>
      <c r="C309" s="626" t="str">
        <f t="shared" si="93"/>
        <v>1112-140-FONT1112-Planes y proyectos urbanos en ámbitos patrimoniales</v>
      </c>
      <c r="D309" s="626" t="str">
        <f t="shared" si="94"/>
        <v>1112-140-12-Otros Distrito-04-01-0185</v>
      </c>
      <c r="E309" s="626" t="str">
        <f t="shared" si="95"/>
        <v>Planes y proyectos urbanos en ámbitos patrimoniales-12-Otros Distrito-0185-Actividades de investigación para la valoración, protección, conservación, sostenibilidad y apropiación del Patrimonio Cultural</v>
      </c>
      <c r="F309" s="627">
        <v>269</v>
      </c>
      <c r="G309" s="628">
        <f t="shared" si="96"/>
        <v>269</v>
      </c>
      <c r="H309" s="629" t="b">
        <f t="shared" si="97"/>
        <v>0</v>
      </c>
      <c r="I309" s="630" t="s">
        <v>594</v>
      </c>
      <c r="J309" s="627" t="s">
        <v>179</v>
      </c>
      <c r="K309" s="631" t="str">
        <f>+IFERROR(VLOOKUP(J309,Listas!$A$108:$B$114,2,FALSE),"Alerta: Seleccione la celda en la comumna B con el nombre del proyecto")</f>
        <v>3-3-1-15-02-17-1112-140</v>
      </c>
      <c r="L309" s="632">
        <v>80111600</v>
      </c>
      <c r="M309" s="633" t="s">
        <v>852</v>
      </c>
      <c r="N309" s="634" t="str">
        <f t="shared" si="98"/>
        <v xml:space="preserve">(Cód. 269) Prestar servicios profesionales al Instituto Distrital de Patrimonio Cultural para elaborar insumos en el componente habitacional en la formulación  de proyectos del Instituto. </v>
      </c>
      <c r="O309" s="635">
        <v>43489</v>
      </c>
      <c r="P309" s="636">
        <f>IFERROR(VLOOKUP(W309,'Estimación CRP'!$D$21:$E$30,2,FALSE),0)</f>
        <v>10</v>
      </c>
      <c r="Q309" s="637">
        <f>IF(O309="No aplica","No aplica",WORKDAY.INTL(O309,P309,1,'Estimación CRP'!A495:A511))</f>
        <v>43503</v>
      </c>
      <c r="R309" s="636">
        <f t="shared" si="99"/>
        <v>2</v>
      </c>
      <c r="S309" s="636">
        <f t="shared" si="100"/>
        <v>1</v>
      </c>
      <c r="T309" s="636">
        <f t="shared" si="101"/>
        <v>1</v>
      </c>
      <c r="U309" s="712">
        <v>10</v>
      </c>
      <c r="V309" s="638">
        <v>1</v>
      </c>
      <c r="W309" s="639" t="s">
        <v>274</v>
      </c>
      <c r="X309" s="640" t="str">
        <f>IFERROR(VLOOKUP(W309,Listas!$A$60:$B$73,2,FALSE),"Alerta: Seleccione primero Modalidad de selección")</f>
        <v>CCE-16</v>
      </c>
      <c r="Y309" s="641">
        <v>0</v>
      </c>
      <c r="Z309" s="641" t="s">
        <v>346</v>
      </c>
      <c r="AA309" s="641" t="s">
        <v>1323</v>
      </c>
      <c r="AB309" s="642">
        <f t="shared" si="102"/>
        <v>38000000</v>
      </c>
      <c r="AC309" s="642">
        <f t="shared" si="103"/>
        <v>38000000</v>
      </c>
      <c r="AD309" s="641">
        <v>0</v>
      </c>
      <c r="AE309" s="643">
        <v>0</v>
      </c>
      <c r="AF309" s="639" t="s">
        <v>276</v>
      </c>
      <c r="AG309" s="639" t="s">
        <v>277</v>
      </c>
      <c r="AH309" s="639" t="s">
        <v>285</v>
      </c>
      <c r="AI309" s="626" t="str">
        <f>IFERROR(VLOOKUP(AH309,Listas!$A$77:$C$83,2,FALSE),"Alerta: Seleccione primero el responsable")</f>
        <v>3550800</v>
      </c>
      <c r="AJ309" s="640" t="str">
        <f>IFERROR(VLOOKUP(AH309,Listas!$A$77:$C$83,3,FALSE),"Alerta: Seleccione primero el responsable")</f>
        <v>maria.villamil@idpc.gov.co</v>
      </c>
      <c r="AK309" s="640" t="str">
        <f>IF(J309="Funcionamiento Gastos Generales","No aplica",IF(J309="Funcionamiento Servicios Personales indirectos","No aplica",IFERROR(VLOOKUP(J309,Listas!$A$127:$E$139,3,FALSE),"Alerta: Seleccione la celda en la comumna B con el nombre del proyecto")))</f>
        <v>ME20181112</v>
      </c>
      <c r="AL309" s="640" t="str">
        <f>IF(J309="Funcionamiento Gastos Generales","No aplica",IF(J309="Funcionamiento Servicios Personales","No aplica",IFERROR(VLOOKUP(J309,Listas!$A$220:$D$224,2,FALSE),"Alerta: Seleccione la celda en la comumna B con el nombre del proyecto")))</f>
        <v>COMP1112</v>
      </c>
      <c r="AM309" s="640" t="str">
        <f>IF(J309="Funcionamiento Gastos Generales","No aplica",IF(J309="Funcionamiento Servicios Personales","No aplica",IFERROR(VLOOKUP(J309,Listas!$A$220:$D$224,3,FALSE),"Alerta: Seleccione la celda en la comumna B con el nombre del proyecto")))</f>
        <v>CONC1112</v>
      </c>
      <c r="AN309" s="633" t="s">
        <v>1051</v>
      </c>
      <c r="AO309" s="633" t="s">
        <v>127</v>
      </c>
      <c r="AP309" s="634" t="str">
        <f>IFERROR(VLOOKUP(J309,Listas!$A$182:$E$215,5,FALSE),"Alerta: Seleccione la celda en la comumna B con el nombre del proyecto")</f>
        <v>15. Instrumentos técnicos de gestión para la preservación del patrimonio cultural</v>
      </c>
      <c r="AQ309" s="634" t="str">
        <f>IF(J309="Funcionamiento Gastos Generales","No aplica",IF(J309="Funcionamiento Servicios Personales","No aplica",IFERROR(VLOOKUP(J309,Listas!$A$220:$D$224,4,FALSE),"Alerta: Seleccione la celda en la comumna B con el nombre del proyecto")))</f>
        <v>FONT1112</v>
      </c>
      <c r="AR309" s="633" t="s">
        <v>198</v>
      </c>
      <c r="AS309" s="634" t="str">
        <f>IFERROR(VLOOKUP(AU309,Listas!$E$85:$L$105,7,FALSE),"Alerta: Seleccione la celda en la comumna AI con el concepto de gasto")</f>
        <v>04-INVESTIGACION Y ESTUDIOS</v>
      </c>
      <c r="AT309" s="634" t="str">
        <f>IFERROR(VLOOKUP(AU309,Listas!$E$85:$L$105,8,FALSE),"Alerta: Seleccione la celda en la comumna AI con el concepto de gasto")</f>
        <v>01-INVESTIGACIÓN BÁSICA APLICADA Y ESTUDIOS PROPIOS DEL SECTOR</v>
      </c>
      <c r="AU309" s="633" t="s">
        <v>201</v>
      </c>
      <c r="AV309" s="634">
        <f>IFERROR(VLOOKUP(AU309,Listas!$E$85:$F$105,2,FALSE),"Alerta: Seleccione el Concepto de Gasto primero")</f>
        <v>0</v>
      </c>
      <c r="AW309" s="644">
        <v>38000000</v>
      </c>
      <c r="AX309" s="645"/>
      <c r="AY309" s="645"/>
      <c r="AZ309" s="645"/>
      <c r="BA309" s="646">
        <f t="shared" si="104"/>
        <v>38000000</v>
      </c>
      <c r="BB309" s="647"/>
      <c r="BC309" s="648"/>
      <c r="BD309" s="649"/>
      <c r="BE309" s="647"/>
      <c r="BF309" s="644"/>
      <c r="BG309" s="646">
        <f t="shared" si="105"/>
        <v>38000000</v>
      </c>
      <c r="BH309" s="650"/>
      <c r="BI309" s="647"/>
      <c r="BJ309" s="644"/>
      <c r="BK309" s="646">
        <f t="shared" si="106"/>
        <v>0</v>
      </c>
      <c r="BL309" s="651"/>
      <c r="BM309" s="652">
        <f t="shared" si="107"/>
        <v>1</v>
      </c>
      <c r="BN309" s="628"/>
      <c r="BO309" s="670"/>
      <c r="BP309" s="644"/>
      <c r="BQ309" s="644"/>
      <c r="BR309" s="644"/>
      <c r="BS309" s="644"/>
      <c r="BT309" s="644"/>
      <c r="BU309" s="644"/>
      <c r="BV309" s="644"/>
      <c r="BW309" s="644"/>
      <c r="BX309" s="644"/>
      <c r="BY309" s="644"/>
      <c r="BZ309" s="644"/>
      <c r="CA309" s="644"/>
      <c r="CB309" s="646">
        <f t="shared" si="108"/>
        <v>0</v>
      </c>
      <c r="CC309" s="646">
        <f t="shared" si="109"/>
        <v>0</v>
      </c>
      <c r="CD309" s="614"/>
    </row>
    <row r="310" spans="1:82" s="653" customFormat="1" ht="61.5" customHeight="1">
      <c r="A310" s="625" t="str">
        <f t="shared" si="91"/>
        <v>1112-140-FONT1112-04-01-0185-Plan especial de manejo y protección del centro histórico</v>
      </c>
      <c r="B310" s="626" t="str">
        <f t="shared" si="92"/>
        <v>1112-140-FONT1112-04-01-0185</v>
      </c>
      <c r="C310" s="626" t="str">
        <f t="shared" si="93"/>
        <v>1112-140-FONT1112-Plan especial de manejo y protección del centro histórico</v>
      </c>
      <c r="D310" s="626" t="str">
        <f t="shared" si="94"/>
        <v>1112-140-12-Otros Distrito-04-01-0185</v>
      </c>
      <c r="E310" s="626" t="str">
        <f t="shared" si="95"/>
        <v>Plan especial de manejo y protección del centro histórico-12-Otros Distrito-0185-Actividades de investigación para la valoración, protección, conservación, sostenibilidad y apropiación del Patrimonio Cultural</v>
      </c>
      <c r="F310" s="627">
        <v>270</v>
      </c>
      <c r="G310" s="628">
        <f t="shared" si="96"/>
        <v>270</v>
      </c>
      <c r="H310" s="629" t="b">
        <f t="shared" si="97"/>
        <v>0</v>
      </c>
      <c r="I310" s="630" t="s">
        <v>594</v>
      </c>
      <c r="J310" s="627" t="s">
        <v>179</v>
      </c>
      <c r="K310" s="631" t="str">
        <f>+IFERROR(VLOOKUP(J310,Listas!$A$108:$B$114,2,FALSE),"Alerta: Seleccione la celda en la comumna B con el nombre del proyecto")</f>
        <v>3-3-1-15-02-17-1112-140</v>
      </c>
      <c r="L310" s="632">
        <v>80111600</v>
      </c>
      <c r="M310" s="633" t="s">
        <v>822</v>
      </c>
      <c r="N310" s="634" t="str">
        <f t="shared" si="98"/>
        <v xml:space="preserve">(Cód. 270) Prestar servicios profesionales al Instituto Distrital de Patrimonio Cultural en la ejecución de las actividades de planimetría y montaje para la consolidación de la valoración e inventario de los bienes del patrimonio cultural inmueble del Plan Especial de Manejo y Protección- PEMP- del Centro Histórico de Bogotá D.C.  </v>
      </c>
      <c r="O310" s="635">
        <v>43480</v>
      </c>
      <c r="P310" s="636">
        <f>IFERROR(VLOOKUP(W310,'Estimación CRP'!$D$21:$E$30,2,FALSE),0)</f>
        <v>10</v>
      </c>
      <c r="Q310" s="637">
        <f>IF(O310="No aplica","No aplica",WORKDAY.INTL(O310,P310,1,'Estimación CRP'!A496:A512))</f>
        <v>43494</v>
      </c>
      <c r="R310" s="636">
        <f t="shared" si="99"/>
        <v>1</v>
      </c>
      <c r="S310" s="636">
        <f t="shared" si="100"/>
        <v>1</v>
      </c>
      <c r="T310" s="636">
        <f t="shared" si="101"/>
        <v>1</v>
      </c>
      <c r="U310" s="712">
        <v>3</v>
      </c>
      <c r="V310" s="638">
        <v>1</v>
      </c>
      <c r="W310" s="639" t="s">
        <v>274</v>
      </c>
      <c r="X310" s="640" t="str">
        <f>IFERROR(VLOOKUP(W310,Listas!$A$60:$B$73,2,FALSE),"Alerta: Seleccione primero Modalidad de selección")</f>
        <v>CCE-16</v>
      </c>
      <c r="Y310" s="641">
        <v>0</v>
      </c>
      <c r="Z310" s="641" t="s">
        <v>346</v>
      </c>
      <c r="AA310" s="641" t="s">
        <v>1324</v>
      </c>
      <c r="AB310" s="642">
        <f t="shared" si="102"/>
        <v>11100000</v>
      </c>
      <c r="AC310" s="642">
        <f t="shared" si="103"/>
        <v>11100000</v>
      </c>
      <c r="AD310" s="641">
        <v>0</v>
      </c>
      <c r="AE310" s="643">
        <v>0</v>
      </c>
      <c r="AF310" s="639" t="s">
        <v>276</v>
      </c>
      <c r="AG310" s="639" t="s">
        <v>277</v>
      </c>
      <c r="AH310" s="639" t="s">
        <v>285</v>
      </c>
      <c r="AI310" s="626" t="str">
        <f>IFERROR(VLOOKUP(AH310,Listas!$A$77:$C$83,2,FALSE),"Alerta: Seleccione primero el responsable")</f>
        <v>3550800</v>
      </c>
      <c r="AJ310" s="640" t="str">
        <f>IFERROR(VLOOKUP(AH310,Listas!$A$77:$C$83,3,FALSE),"Alerta: Seleccione primero el responsable")</f>
        <v>maria.villamil@idpc.gov.co</v>
      </c>
      <c r="AK310" s="640" t="str">
        <f>IF(J310="Funcionamiento Gastos Generales","No aplica",IF(J310="Funcionamiento Servicios Personales indirectos","No aplica",IFERROR(VLOOKUP(J310,Listas!$A$127:$E$139,3,FALSE),"Alerta: Seleccione la celda en la comumna B con el nombre del proyecto")))</f>
        <v>ME20181112</v>
      </c>
      <c r="AL310" s="640" t="str">
        <f>IF(J310="Funcionamiento Gastos Generales","No aplica",IF(J310="Funcionamiento Servicios Personales","No aplica",IFERROR(VLOOKUP(J310,Listas!$A$220:$D$224,2,FALSE),"Alerta: Seleccione la celda en la comumna B con el nombre del proyecto")))</f>
        <v>COMP1112</v>
      </c>
      <c r="AM310" s="640" t="str">
        <f>IF(J310="Funcionamiento Gastos Generales","No aplica",IF(J310="Funcionamiento Servicios Personales","No aplica",IFERROR(VLOOKUP(J310,Listas!$A$220:$D$224,3,FALSE),"Alerta: Seleccione la celda en la comumna B con el nombre del proyecto")))</f>
        <v>CONC1112</v>
      </c>
      <c r="AN310" s="633" t="s">
        <v>1050</v>
      </c>
      <c r="AO310" s="633" t="s">
        <v>126</v>
      </c>
      <c r="AP310" s="634" t="str">
        <f>IFERROR(VLOOKUP(J310,Listas!$A$182:$E$215,5,FALSE),"Alerta: Seleccione la celda en la comumna B con el nombre del proyecto")</f>
        <v>15. Instrumentos técnicos de gestión para la preservación del patrimonio cultural</v>
      </c>
      <c r="AQ310" s="634" t="str">
        <f>IF(J310="Funcionamiento Gastos Generales","No aplica",IF(J310="Funcionamiento Servicios Personales","No aplica",IFERROR(VLOOKUP(J310,Listas!$A$220:$D$224,4,FALSE),"Alerta: Seleccione la celda en la comumna B con el nombre del proyecto")))</f>
        <v>FONT1112</v>
      </c>
      <c r="AR310" s="633" t="s">
        <v>198</v>
      </c>
      <c r="AS310" s="634" t="str">
        <f>IFERROR(VLOOKUP(AU310,Listas!$E$85:$L$105,7,FALSE),"Alerta: Seleccione la celda en la comumna AI con el concepto de gasto")</f>
        <v>04-INVESTIGACION Y ESTUDIOS</v>
      </c>
      <c r="AT310" s="634" t="str">
        <f>IFERROR(VLOOKUP(AU310,Listas!$E$85:$L$105,8,FALSE),"Alerta: Seleccione la celda en la comumna AI con el concepto de gasto")</f>
        <v>01-INVESTIGACIÓN BÁSICA APLICADA Y ESTUDIOS PROPIOS DEL SECTOR</v>
      </c>
      <c r="AU310" s="633" t="s">
        <v>201</v>
      </c>
      <c r="AV310" s="634">
        <f>IFERROR(VLOOKUP(AU310,Listas!$E$85:$F$105,2,FALSE),"Alerta: Seleccione el Concepto de Gasto primero")</f>
        <v>0</v>
      </c>
      <c r="AW310" s="644">
        <v>11100000</v>
      </c>
      <c r="AX310" s="645"/>
      <c r="AY310" s="645"/>
      <c r="AZ310" s="645"/>
      <c r="BA310" s="646">
        <f t="shared" si="104"/>
        <v>11100000</v>
      </c>
      <c r="BB310" s="647"/>
      <c r="BC310" s="648"/>
      <c r="BD310" s="649"/>
      <c r="BE310" s="647"/>
      <c r="BF310" s="644"/>
      <c r="BG310" s="646">
        <f t="shared" si="105"/>
        <v>11100000</v>
      </c>
      <c r="BH310" s="650"/>
      <c r="BI310" s="647"/>
      <c r="BJ310" s="644"/>
      <c r="BK310" s="646">
        <f t="shared" si="106"/>
        <v>0</v>
      </c>
      <c r="BL310" s="651"/>
      <c r="BM310" s="652">
        <f t="shared" si="107"/>
        <v>1</v>
      </c>
      <c r="BN310" s="628"/>
      <c r="BO310" s="670"/>
      <c r="BP310" s="644"/>
      <c r="BQ310" s="644"/>
      <c r="BR310" s="644"/>
      <c r="BS310" s="644"/>
      <c r="BT310" s="644"/>
      <c r="BU310" s="644"/>
      <c r="BV310" s="644"/>
      <c r="BW310" s="644"/>
      <c r="BX310" s="644"/>
      <c r="BY310" s="644"/>
      <c r="BZ310" s="644"/>
      <c r="CA310" s="644"/>
      <c r="CB310" s="646">
        <f t="shared" si="108"/>
        <v>0</v>
      </c>
      <c r="CC310" s="646">
        <f t="shared" si="109"/>
        <v>0</v>
      </c>
      <c r="CD310" s="614"/>
    </row>
    <row r="311" spans="1:82" s="653" customFormat="1" ht="61.5" customHeight="1">
      <c r="A311" s="625" t="str">
        <f t="shared" si="91"/>
        <v>1112-140-FONT1112-04-01-0185-Planes y proyectos urbanos en ámbitos patrimoniales</v>
      </c>
      <c r="B311" s="626" t="str">
        <f t="shared" si="92"/>
        <v>1112-140-FONT1112-04-01-0185</v>
      </c>
      <c r="C311" s="626" t="str">
        <f t="shared" si="93"/>
        <v>1112-140-FONT1112-Planes y proyectos urbanos en ámbitos patrimoniales</v>
      </c>
      <c r="D311" s="626" t="str">
        <f t="shared" si="94"/>
        <v>1112-140-12-Otros Distrito-04-01-0185</v>
      </c>
      <c r="E311" s="626" t="str">
        <f t="shared" si="95"/>
        <v>Planes y proyectos urbanos en ámbitos patrimoniales-12-Otros Distrito-0185-Actividades de investigación para la valoración, protección, conservación, sostenibilidad y apropiación del Patrimonio Cultural</v>
      </c>
      <c r="F311" s="627">
        <v>271</v>
      </c>
      <c r="G311" s="628">
        <f t="shared" si="96"/>
        <v>271</v>
      </c>
      <c r="H311" s="629" t="b">
        <f t="shared" si="97"/>
        <v>0</v>
      </c>
      <c r="I311" s="630" t="s">
        <v>594</v>
      </c>
      <c r="J311" s="627" t="s">
        <v>179</v>
      </c>
      <c r="K311" s="631" t="str">
        <f>+IFERROR(VLOOKUP(J311,Listas!$A$108:$B$114,2,FALSE),"Alerta: Seleccione la celda en la comumna B con el nombre del proyecto")</f>
        <v>3-3-1-15-02-17-1112-140</v>
      </c>
      <c r="L311" s="632">
        <v>80111600</v>
      </c>
      <c r="M311" s="633" t="s">
        <v>853</v>
      </c>
      <c r="N311" s="634" t="str">
        <f t="shared" si="98"/>
        <v xml:space="preserve">(Cód. 271) Prestar servicios profesionales al Instituto Distrital de Patrimonio Cultural para orientar el direccionamiento estratégico de los planes, programas y proyectos del Instituto. </v>
      </c>
      <c r="O311" s="635">
        <v>43480</v>
      </c>
      <c r="P311" s="636">
        <f>IFERROR(VLOOKUP(W311,'Estimación CRP'!$D$21:$E$30,2,FALSE),0)</f>
        <v>10</v>
      </c>
      <c r="Q311" s="637">
        <f>IF(O311="No aplica","No aplica",WORKDAY.INTL(O311,P311,1,'Estimación CRP'!A497:A513))</f>
        <v>43494</v>
      </c>
      <c r="R311" s="636">
        <f t="shared" si="99"/>
        <v>1</v>
      </c>
      <c r="S311" s="636">
        <f t="shared" si="100"/>
        <v>1</v>
      </c>
      <c r="T311" s="636">
        <f t="shared" si="101"/>
        <v>1</v>
      </c>
      <c r="U311" s="712">
        <v>11</v>
      </c>
      <c r="V311" s="638">
        <v>1</v>
      </c>
      <c r="W311" s="639" t="s">
        <v>274</v>
      </c>
      <c r="X311" s="640" t="str">
        <f>IFERROR(VLOOKUP(W311,Listas!$A$60:$B$73,2,FALSE),"Alerta: Seleccione primero Modalidad de selección")</f>
        <v>CCE-16</v>
      </c>
      <c r="Y311" s="641">
        <v>0</v>
      </c>
      <c r="Z311" s="641" t="s">
        <v>346</v>
      </c>
      <c r="AA311" s="641" t="s">
        <v>1325</v>
      </c>
      <c r="AB311" s="642">
        <f t="shared" si="102"/>
        <v>101200000</v>
      </c>
      <c r="AC311" s="642">
        <f t="shared" si="103"/>
        <v>101200000</v>
      </c>
      <c r="AD311" s="641">
        <v>0</v>
      </c>
      <c r="AE311" s="643">
        <v>0</v>
      </c>
      <c r="AF311" s="639" t="s">
        <v>276</v>
      </c>
      <c r="AG311" s="639" t="s">
        <v>277</v>
      </c>
      <c r="AH311" s="639" t="s">
        <v>285</v>
      </c>
      <c r="AI311" s="626" t="str">
        <f>IFERROR(VLOOKUP(AH311,Listas!$A$77:$C$83,2,FALSE),"Alerta: Seleccione primero el responsable")</f>
        <v>3550800</v>
      </c>
      <c r="AJ311" s="640" t="str">
        <f>IFERROR(VLOOKUP(AH311,Listas!$A$77:$C$83,3,FALSE),"Alerta: Seleccione primero el responsable")</f>
        <v>maria.villamil@idpc.gov.co</v>
      </c>
      <c r="AK311" s="640" t="str">
        <f>IF(J311="Funcionamiento Gastos Generales","No aplica",IF(J311="Funcionamiento Servicios Personales indirectos","No aplica",IFERROR(VLOOKUP(J311,Listas!$A$127:$E$139,3,FALSE),"Alerta: Seleccione la celda en la comumna B con el nombre del proyecto")))</f>
        <v>ME20181112</v>
      </c>
      <c r="AL311" s="640" t="str">
        <f>IF(J311="Funcionamiento Gastos Generales","No aplica",IF(J311="Funcionamiento Servicios Personales","No aplica",IFERROR(VLOOKUP(J311,Listas!$A$220:$D$224,2,FALSE),"Alerta: Seleccione la celda en la comumna B con el nombre del proyecto")))</f>
        <v>COMP1112</v>
      </c>
      <c r="AM311" s="640" t="str">
        <f>IF(J311="Funcionamiento Gastos Generales","No aplica",IF(J311="Funcionamiento Servicios Personales","No aplica",IFERROR(VLOOKUP(J311,Listas!$A$220:$D$224,3,FALSE),"Alerta: Seleccione la celda en la comumna B con el nombre del proyecto")))</f>
        <v>CONC1112</v>
      </c>
      <c r="AN311" s="633" t="s">
        <v>1051</v>
      </c>
      <c r="AO311" s="633" t="s">
        <v>127</v>
      </c>
      <c r="AP311" s="634" t="str">
        <f>IFERROR(VLOOKUP(J311,Listas!$A$182:$E$215,5,FALSE),"Alerta: Seleccione la celda en la comumna B con el nombre del proyecto")</f>
        <v>15. Instrumentos técnicos de gestión para la preservación del patrimonio cultural</v>
      </c>
      <c r="AQ311" s="634" t="str">
        <f>IF(J311="Funcionamiento Gastos Generales","No aplica",IF(J311="Funcionamiento Servicios Personales","No aplica",IFERROR(VLOOKUP(J311,Listas!$A$220:$D$224,4,FALSE),"Alerta: Seleccione la celda en la comumna B con el nombre del proyecto")))</f>
        <v>FONT1112</v>
      </c>
      <c r="AR311" s="633" t="s">
        <v>198</v>
      </c>
      <c r="AS311" s="634" t="str">
        <f>IFERROR(VLOOKUP(AU311,Listas!$E$85:$L$105,7,FALSE),"Alerta: Seleccione la celda en la comumna AI con el concepto de gasto")</f>
        <v>04-INVESTIGACION Y ESTUDIOS</v>
      </c>
      <c r="AT311" s="634" t="str">
        <f>IFERROR(VLOOKUP(AU311,Listas!$E$85:$L$105,8,FALSE),"Alerta: Seleccione la celda en la comumna AI con el concepto de gasto")</f>
        <v>01-INVESTIGACIÓN BÁSICA APLICADA Y ESTUDIOS PROPIOS DEL SECTOR</v>
      </c>
      <c r="AU311" s="633" t="s">
        <v>201</v>
      </c>
      <c r="AV311" s="634">
        <f>IFERROR(VLOOKUP(AU311,Listas!$E$85:$F$105,2,FALSE),"Alerta: Seleccione el Concepto de Gasto primero")</f>
        <v>0</v>
      </c>
      <c r="AW311" s="644">
        <v>101200000</v>
      </c>
      <c r="AX311" s="645"/>
      <c r="AY311" s="645"/>
      <c r="AZ311" s="645"/>
      <c r="BA311" s="646">
        <f t="shared" si="104"/>
        <v>101200000</v>
      </c>
      <c r="BB311" s="647"/>
      <c r="BC311" s="648"/>
      <c r="BD311" s="649"/>
      <c r="BE311" s="647"/>
      <c r="BF311" s="644"/>
      <c r="BG311" s="646">
        <f t="shared" si="105"/>
        <v>101200000</v>
      </c>
      <c r="BH311" s="650"/>
      <c r="BI311" s="647"/>
      <c r="BJ311" s="644"/>
      <c r="BK311" s="646">
        <f t="shared" si="106"/>
        <v>0</v>
      </c>
      <c r="BL311" s="651"/>
      <c r="BM311" s="652">
        <f t="shared" si="107"/>
        <v>1</v>
      </c>
      <c r="BN311" s="628"/>
      <c r="BO311" s="670"/>
      <c r="BP311" s="644"/>
      <c r="BQ311" s="644"/>
      <c r="BR311" s="644"/>
      <c r="BS311" s="644"/>
      <c r="BT311" s="644"/>
      <c r="BU311" s="644"/>
      <c r="BV311" s="644"/>
      <c r="BW311" s="644"/>
      <c r="BX311" s="644"/>
      <c r="BY311" s="644"/>
      <c r="BZ311" s="644"/>
      <c r="CA311" s="644"/>
      <c r="CB311" s="646">
        <f t="shared" si="108"/>
        <v>0</v>
      </c>
      <c r="CC311" s="646">
        <f t="shared" si="109"/>
        <v>0</v>
      </c>
      <c r="CD311" s="614"/>
    </row>
    <row r="312" spans="1:82" s="561" customFormat="1" ht="61.5" customHeight="1">
      <c r="A312" s="625" t="str">
        <f t="shared" si="91"/>
        <v>1114-140-FONT1114-03-04-0316-Asesoría técnica para la protección y promoción del patrimonio cultural material del distrito capital</v>
      </c>
      <c r="B312" s="626" t="str">
        <f t="shared" si="92"/>
        <v>1114-140-FONT1114-03-04-0316</v>
      </c>
      <c r="C312" s="626" t="str">
        <f t="shared" si="93"/>
        <v>1114-140-FONT1114-Asesoría técnica para la protección y promoción del patrimonio cultural material del distrito capital</v>
      </c>
      <c r="D312" s="626" t="str">
        <f t="shared" si="94"/>
        <v>1114-140-12-Otros Distrito-03-04-0316</v>
      </c>
      <c r="E312" s="626" t="str">
        <f t="shared" si="95"/>
        <v>Asesoría técnica para la protección y promoción del patrimonio cultural material del distrito capital-12-Otros Distrito-0316-Personal de apoyo para las actividades de valoración, protección y conservación del Patrimonio Cultural</v>
      </c>
      <c r="F312" s="627">
        <v>272</v>
      </c>
      <c r="G312" s="628">
        <f t="shared" si="96"/>
        <v>272</v>
      </c>
      <c r="H312" s="629" t="b">
        <f t="shared" si="97"/>
        <v>0</v>
      </c>
      <c r="I312" s="630" t="s">
        <v>594</v>
      </c>
      <c r="J312" s="627" t="s">
        <v>180</v>
      </c>
      <c r="K312" s="631" t="str">
        <f>+IFERROR(VLOOKUP(J312,Listas!$A$108:$B$114,2,FALSE),"Alerta: Seleccione la celda en la comumna B con el nombre del proyecto")</f>
        <v>3-3-1-15-02-17-1114-140</v>
      </c>
      <c r="L312" s="632" t="s">
        <v>854</v>
      </c>
      <c r="M312" s="633" t="s">
        <v>855</v>
      </c>
      <c r="N312" s="634" t="str">
        <f t="shared" si="98"/>
        <v>(Cód. 272) Prestar servicios de apoyo a la gestión al Instituto Distrital de Patrimonio Cultural para el seguimiento y revisión de la radicación en debida forma de las solicitudes de trámites y servicios  para la evaluación de proyectos de intervención y atención al público a cargo de la Subdirección de Intervención.</v>
      </c>
      <c r="O312" s="635">
        <v>43485</v>
      </c>
      <c r="P312" s="636">
        <f>IFERROR(VLOOKUP(W312,'Estimación CRP'!$D$21:$E$30,2,FALSE),0)</f>
        <v>10</v>
      </c>
      <c r="Q312" s="637">
        <f>IF(O312="No aplica","No aplica",WORKDAY.INTL(O312,P312,1,'Estimación CRP'!A498:A514))</f>
        <v>43497</v>
      </c>
      <c r="R312" s="636">
        <f t="shared" si="99"/>
        <v>2</v>
      </c>
      <c r="S312" s="636">
        <f t="shared" si="100"/>
        <v>1</v>
      </c>
      <c r="T312" s="636">
        <f t="shared" si="101"/>
        <v>1</v>
      </c>
      <c r="U312" s="712">
        <v>11</v>
      </c>
      <c r="V312" s="638">
        <v>1</v>
      </c>
      <c r="W312" s="639" t="s">
        <v>274</v>
      </c>
      <c r="X312" s="640" t="str">
        <f>IFERROR(VLOOKUP(W312,Listas!$A$60:$B$73,2,FALSE),"Alerta: Seleccione primero Modalidad de selección")</f>
        <v>CCE-16</v>
      </c>
      <c r="Y312" s="641">
        <v>0</v>
      </c>
      <c r="Z312" s="641" t="s">
        <v>346</v>
      </c>
      <c r="AA312" s="641" t="s">
        <v>1326</v>
      </c>
      <c r="AB312" s="642">
        <f t="shared" si="102"/>
        <v>32450000</v>
      </c>
      <c r="AC312" s="642">
        <f t="shared" si="103"/>
        <v>32450000</v>
      </c>
      <c r="AD312" s="641">
        <v>0</v>
      </c>
      <c r="AE312" s="643">
        <v>0</v>
      </c>
      <c r="AF312" s="639" t="s">
        <v>276</v>
      </c>
      <c r="AG312" s="639" t="s">
        <v>277</v>
      </c>
      <c r="AH312" s="639" t="s">
        <v>573</v>
      </c>
      <c r="AI312" s="626" t="str">
        <f>IFERROR(VLOOKUP(AH312,Listas!$A$77:$C$83,2,FALSE),"Alerta: Seleccione primero el responsable")</f>
        <v>3550800</v>
      </c>
      <c r="AJ312" s="640" t="str">
        <f>IFERROR(VLOOKUP(AH312,Listas!$A$77:$C$83,3,FALSE),"Alerta: Seleccione primero el responsable")</f>
        <v>carolina.fernandez@idpc.gov.co</v>
      </c>
      <c r="AK312" s="640" t="str">
        <f>IF(J312="Funcionamiento Gastos Generales","No aplica",IF(J312="Funcionamiento Servicios Personales indirectos","No aplica",IFERROR(VLOOKUP(J312,Listas!$A$127:$E$139,3,FALSE),"Alerta: Seleccione la celda en la comumna B con el nombre del proyecto")))</f>
        <v>ME20181114</v>
      </c>
      <c r="AL312" s="640" t="str">
        <f>IF(J312="Funcionamiento Gastos Generales","No aplica",IF(J312="Funcionamiento Servicios Personales","No aplica",IFERROR(VLOOKUP(J312,Listas!$A$220:$D$224,2,FALSE),"Alerta: Seleccione la celda en la comumna B con el nombre del proyecto")))</f>
        <v>COMP1114</v>
      </c>
      <c r="AM312" s="640" t="str">
        <f>IF(J312="Funcionamiento Gastos Generales","No aplica",IF(J312="Funcionamiento Servicios Personales","No aplica",IFERROR(VLOOKUP(J312,Listas!$A$220:$D$224,3,FALSE),"Alerta: Seleccione la celda en la comumna B con el nombre del proyecto")))</f>
        <v>CONC1114</v>
      </c>
      <c r="AN312" s="633" t="s">
        <v>1053</v>
      </c>
      <c r="AO312" s="633" t="s">
        <v>391</v>
      </c>
      <c r="AP312" s="634" t="str">
        <f>IFERROR(VLOOKUP(J312,Listas!$A$182:$E$215,5,FALSE),"Alerta: Seleccione la celda en la comumna B con el nombre del proyecto")</f>
        <v>4. Obras de Intervención en Bienes muebles - inmuebles y sectores que conforman el patrimonio cultural del D.C.</v>
      </c>
      <c r="AQ312" s="634" t="str">
        <f>IF(J312="Funcionamiento Gastos Generales","No aplica",IF(J312="Funcionamiento Servicios Personales","No aplica",IFERROR(VLOOKUP(J312,Listas!$A$220:$D$224,4,FALSE),"Alerta: Seleccione la celda en la comumna B con el nombre del proyecto")))</f>
        <v>FONT1114</v>
      </c>
      <c r="AR312" s="633" t="s">
        <v>198</v>
      </c>
      <c r="AS312" s="634" t="str">
        <f>IFERROR(VLOOKUP(AU312,Listas!$E$85:$L$105,7,FALSE),"Alerta: Seleccione la celda en la comumna AI con el concepto de gasto")</f>
        <v>03-RECURSO HUMANO</v>
      </c>
      <c r="AT312" s="634" t="str">
        <f>IFERROR(VLOOKUP(AU312,Listas!$E$85:$L$105,8,FALSE),"Alerta: Seleccione la celda en la comumna AI con el concepto de gasto")</f>
        <v>04-GASTOS DE PERSONAL OPERATIVO</v>
      </c>
      <c r="AU312" s="633" t="s">
        <v>228</v>
      </c>
      <c r="AV312" s="634">
        <f>IFERROR(VLOOKUP(AU312,Listas!$E$85:$F$105,2,FALSE),"Alerta: Seleccione el Concepto de Gasto primero")</f>
        <v>0</v>
      </c>
      <c r="AW312" s="644">
        <v>32450000</v>
      </c>
      <c r="AX312" s="645"/>
      <c r="AY312" s="645"/>
      <c r="AZ312" s="645"/>
      <c r="BA312" s="646">
        <f t="shared" si="104"/>
        <v>32450000</v>
      </c>
      <c r="BB312" s="647"/>
      <c r="BC312" s="648"/>
      <c r="BD312" s="649"/>
      <c r="BE312" s="647"/>
      <c r="BF312" s="644"/>
      <c r="BG312" s="646">
        <f t="shared" si="105"/>
        <v>32450000</v>
      </c>
      <c r="BH312" s="650"/>
      <c r="BI312" s="647"/>
      <c r="BJ312" s="644"/>
      <c r="BK312" s="646">
        <f t="shared" si="106"/>
        <v>0</v>
      </c>
      <c r="BL312" s="651"/>
      <c r="BM312" s="652">
        <f t="shared" si="107"/>
        <v>1</v>
      </c>
      <c r="BN312" s="628"/>
      <c r="BO312" s="670"/>
      <c r="BP312" s="644"/>
      <c r="BQ312" s="644"/>
      <c r="BR312" s="644"/>
      <c r="BS312" s="644"/>
      <c r="BT312" s="644"/>
      <c r="BU312" s="644"/>
      <c r="BV312" s="644"/>
      <c r="BW312" s="644"/>
      <c r="BX312" s="644"/>
      <c r="BY312" s="644"/>
      <c r="BZ312" s="644"/>
      <c r="CA312" s="644"/>
      <c r="CB312" s="646">
        <f t="shared" si="108"/>
        <v>0</v>
      </c>
      <c r="CC312" s="646">
        <f t="shared" si="109"/>
        <v>0</v>
      </c>
      <c r="CD312" s="614"/>
    </row>
    <row r="313" spans="1:82" s="561" customFormat="1" ht="61.5" customHeight="1">
      <c r="A313" s="625" t="str">
        <f t="shared" si="91"/>
        <v>1114-140-FONT1114-03-04-0316-Asesoría técnica para la protección y promoción del patrimonio cultural material del distrito capital</v>
      </c>
      <c r="B313" s="626" t="str">
        <f t="shared" si="92"/>
        <v>1114-140-FONT1114-03-04-0316</v>
      </c>
      <c r="C313" s="626" t="str">
        <f t="shared" si="93"/>
        <v>1114-140-FONT1114-Asesoría técnica para la protección y promoción del patrimonio cultural material del distrito capital</v>
      </c>
      <c r="D313" s="626" t="str">
        <f t="shared" si="94"/>
        <v>1114-140-12-Otros Distrito-03-04-0316</v>
      </c>
      <c r="E313" s="626" t="str">
        <f t="shared" si="95"/>
        <v>Asesoría técnica para la protección y promoción del patrimonio cultural material del distrito capital-12-Otros Distrito-0316-Personal de apoyo para las actividades de valoración, protección y conservación del Patrimonio Cultural</v>
      </c>
      <c r="F313" s="627">
        <v>273</v>
      </c>
      <c r="G313" s="628">
        <f t="shared" si="96"/>
        <v>273</v>
      </c>
      <c r="H313" s="629" t="b">
        <f t="shared" si="97"/>
        <v>0</v>
      </c>
      <c r="I313" s="630" t="s">
        <v>594</v>
      </c>
      <c r="J313" s="627" t="s">
        <v>180</v>
      </c>
      <c r="K313" s="631" t="str">
        <f>+IFERROR(VLOOKUP(J313,Listas!$A$108:$B$114,2,FALSE),"Alerta: Seleccione la celda en la comumna B con el nombre del proyecto")</f>
        <v>3-3-1-15-02-17-1114-140</v>
      </c>
      <c r="L313" s="632" t="s">
        <v>854</v>
      </c>
      <c r="M313" s="633" t="s">
        <v>856</v>
      </c>
      <c r="N313" s="634" t="str">
        <f t="shared" si="98"/>
        <v>(Cód. 273) Prestar servicios de apoyo a la gestión al Instituto Distrital de Patrimonio Cultural para atención y notificación al usuario, y demás actividades administrativas de la Subdirección de Intervención.</v>
      </c>
      <c r="O313" s="635">
        <v>43485</v>
      </c>
      <c r="P313" s="636">
        <f>IFERROR(VLOOKUP(W313,'Estimación CRP'!$D$21:$E$30,2,FALSE),0)</f>
        <v>10</v>
      </c>
      <c r="Q313" s="637">
        <f>IF(O313="No aplica","No aplica",WORKDAY.INTL(O313,P313,1,'Estimación CRP'!A499:A515))</f>
        <v>43497</v>
      </c>
      <c r="R313" s="636">
        <f t="shared" si="99"/>
        <v>2</v>
      </c>
      <c r="S313" s="636">
        <f t="shared" si="100"/>
        <v>1</v>
      </c>
      <c r="T313" s="636">
        <f t="shared" si="101"/>
        <v>1</v>
      </c>
      <c r="U313" s="712">
        <v>10</v>
      </c>
      <c r="V313" s="638">
        <v>1</v>
      </c>
      <c r="W313" s="639" t="s">
        <v>274</v>
      </c>
      <c r="X313" s="640" t="str">
        <f>IFERROR(VLOOKUP(W313,Listas!$A$60:$B$73,2,FALSE),"Alerta: Seleccione primero Modalidad de selección")</f>
        <v>CCE-16</v>
      </c>
      <c r="Y313" s="641">
        <v>0</v>
      </c>
      <c r="Z313" s="641" t="s">
        <v>346</v>
      </c>
      <c r="AA313" s="641" t="s">
        <v>1326</v>
      </c>
      <c r="AB313" s="642">
        <f t="shared" si="102"/>
        <v>33200000</v>
      </c>
      <c r="AC313" s="642">
        <f t="shared" si="103"/>
        <v>33200000</v>
      </c>
      <c r="AD313" s="641">
        <v>0</v>
      </c>
      <c r="AE313" s="643">
        <v>0</v>
      </c>
      <c r="AF313" s="639" t="s">
        <v>276</v>
      </c>
      <c r="AG313" s="639" t="s">
        <v>277</v>
      </c>
      <c r="AH313" s="639" t="s">
        <v>573</v>
      </c>
      <c r="AI313" s="626" t="str">
        <f>IFERROR(VLOOKUP(AH313,Listas!$A$77:$C$83,2,FALSE),"Alerta: Seleccione primero el responsable")</f>
        <v>3550800</v>
      </c>
      <c r="AJ313" s="640" t="str">
        <f>IFERROR(VLOOKUP(AH313,Listas!$A$77:$C$83,3,FALSE),"Alerta: Seleccione primero el responsable")</f>
        <v>carolina.fernandez@idpc.gov.co</v>
      </c>
      <c r="AK313" s="640" t="str">
        <f>IF(J313="Funcionamiento Gastos Generales","No aplica",IF(J313="Funcionamiento Servicios Personales indirectos","No aplica",IFERROR(VLOOKUP(J313,Listas!$A$127:$E$139,3,FALSE),"Alerta: Seleccione la celda en la comumna B con el nombre del proyecto")))</f>
        <v>ME20181114</v>
      </c>
      <c r="AL313" s="640" t="str">
        <f>IF(J313="Funcionamiento Gastos Generales","No aplica",IF(J313="Funcionamiento Servicios Personales","No aplica",IFERROR(VLOOKUP(J313,Listas!$A$220:$D$224,2,FALSE),"Alerta: Seleccione la celda en la comumna B con el nombre del proyecto")))</f>
        <v>COMP1114</v>
      </c>
      <c r="AM313" s="640" t="str">
        <f>IF(J313="Funcionamiento Gastos Generales","No aplica",IF(J313="Funcionamiento Servicios Personales","No aplica",IFERROR(VLOOKUP(J313,Listas!$A$220:$D$224,3,FALSE),"Alerta: Seleccione la celda en la comumna B con el nombre del proyecto")))</f>
        <v>CONC1114</v>
      </c>
      <c r="AN313" s="633" t="s">
        <v>1053</v>
      </c>
      <c r="AO313" s="633" t="s">
        <v>391</v>
      </c>
      <c r="AP313" s="634" t="str">
        <f>IFERROR(VLOOKUP(J313,Listas!$A$182:$E$215,5,FALSE),"Alerta: Seleccione la celda en la comumna B con el nombre del proyecto")</f>
        <v>4. Obras de Intervención en Bienes muebles - inmuebles y sectores que conforman el patrimonio cultural del D.C.</v>
      </c>
      <c r="AQ313" s="634" t="str">
        <f>IF(J313="Funcionamiento Gastos Generales","No aplica",IF(J313="Funcionamiento Servicios Personales","No aplica",IFERROR(VLOOKUP(J313,Listas!$A$220:$D$224,4,FALSE),"Alerta: Seleccione la celda en la comumna B con el nombre del proyecto")))</f>
        <v>FONT1114</v>
      </c>
      <c r="AR313" s="633" t="s">
        <v>198</v>
      </c>
      <c r="AS313" s="634" t="str">
        <f>IFERROR(VLOOKUP(AU313,Listas!$E$85:$L$105,7,FALSE),"Alerta: Seleccione la celda en la comumna AI con el concepto de gasto")</f>
        <v>03-RECURSO HUMANO</v>
      </c>
      <c r="AT313" s="634" t="str">
        <f>IFERROR(VLOOKUP(AU313,Listas!$E$85:$L$105,8,FALSE),"Alerta: Seleccione la celda en la comumna AI con el concepto de gasto")</f>
        <v>04-GASTOS DE PERSONAL OPERATIVO</v>
      </c>
      <c r="AU313" s="633" t="s">
        <v>228</v>
      </c>
      <c r="AV313" s="634">
        <f>IFERROR(VLOOKUP(AU313,Listas!$E$85:$F$105,2,FALSE),"Alerta: Seleccione el Concepto de Gasto primero")</f>
        <v>0</v>
      </c>
      <c r="AW313" s="644">
        <v>33200000</v>
      </c>
      <c r="AX313" s="645"/>
      <c r="AY313" s="645"/>
      <c r="AZ313" s="645"/>
      <c r="BA313" s="646">
        <f t="shared" si="104"/>
        <v>33200000</v>
      </c>
      <c r="BB313" s="647"/>
      <c r="BC313" s="648"/>
      <c r="BD313" s="649"/>
      <c r="BE313" s="647"/>
      <c r="BF313" s="644"/>
      <c r="BG313" s="646">
        <f t="shared" si="105"/>
        <v>33200000</v>
      </c>
      <c r="BH313" s="650"/>
      <c r="BI313" s="647"/>
      <c r="BJ313" s="644"/>
      <c r="BK313" s="646">
        <f t="shared" si="106"/>
        <v>0</v>
      </c>
      <c r="BL313" s="651"/>
      <c r="BM313" s="652">
        <f t="shared" si="107"/>
        <v>1</v>
      </c>
      <c r="BN313" s="628"/>
      <c r="BO313" s="670"/>
      <c r="BP313" s="644"/>
      <c r="BQ313" s="644"/>
      <c r="BR313" s="644"/>
      <c r="BS313" s="644"/>
      <c r="BT313" s="644"/>
      <c r="BU313" s="644"/>
      <c r="BV313" s="644"/>
      <c r="BW313" s="644"/>
      <c r="BX313" s="644"/>
      <c r="BY313" s="644"/>
      <c r="BZ313" s="644"/>
      <c r="CA313" s="644"/>
      <c r="CB313" s="646">
        <f t="shared" si="108"/>
        <v>0</v>
      </c>
      <c r="CC313" s="646">
        <f t="shared" si="109"/>
        <v>0</v>
      </c>
      <c r="CD313" s="614"/>
    </row>
    <row r="314" spans="1:82" s="561" customFormat="1" ht="61.5" customHeight="1">
      <c r="A314" s="625" t="str">
        <f t="shared" si="91"/>
        <v>1114-140-FONT1114-03-04-0316-Asesoría técnica para la protección y promoción del patrimonio cultural material del distrito capital</v>
      </c>
      <c r="B314" s="626" t="str">
        <f t="shared" si="92"/>
        <v>1114-140-FONT1114-03-04-0316</v>
      </c>
      <c r="C314" s="626" t="str">
        <f t="shared" si="93"/>
        <v>1114-140-FONT1114-Asesoría técnica para la protección y promoción del patrimonio cultural material del distrito capital</v>
      </c>
      <c r="D314" s="626" t="str">
        <f t="shared" si="94"/>
        <v>1114-140-12-Otros Distrito-03-04-0316</v>
      </c>
      <c r="E314" s="626" t="str">
        <f t="shared" si="95"/>
        <v>Asesoría técnica para la protección y promoción del patrimonio cultural material del distrito capital-12-Otros Distrito-0316-Personal de apoyo para las actividades de valoración, protección y conservación del Patrimonio Cultural</v>
      </c>
      <c r="F314" s="627">
        <v>274</v>
      </c>
      <c r="G314" s="628">
        <f t="shared" si="96"/>
        <v>274</v>
      </c>
      <c r="H314" s="629" t="b">
        <f t="shared" si="97"/>
        <v>0</v>
      </c>
      <c r="I314" s="630" t="s">
        <v>594</v>
      </c>
      <c r="J314" s="627" t="s">
        <v>180</v>
      </c>
      <c r="K314" s="631" t="str">
        <f>+IFERROR(VLOOKUP(J314,Listas!$A$108:$B$114,2,FALSE),"Alerta: Seleccione la celda en la comumna B con el nombre del proyecto")</f>
        <v>3-3-1-15-02-17-1114-140</v>
      </c>
      <c r="L314" s="632" t="s">
        <v>857</v>
      </c>
      <c r="M314" s="633" t="s">
        <v>858</v>
      </c>
      <c r="N314" s="634" t="str">
        <f t="shared" si="98"/>
        <v>(Cód. 274) Prestar servicios profesionales al Instituto Distrital de Patrimonio Cultural para orientar y brindar acompañamiento en el Sistema de Información Geográfico relacionado con la evaluación de solicitudes de intervención de Bienes de Interés Cultural ubicados en el espacio público y de espacio público en Sectores de Interés Cultural.</v>
      </c>
      <c r="O314" s="635">
        <v>43485</v>
      </c>
      <c r="P314" s="636">
        <f>IFERROR(VLOOKUP(W314,'Estimación CRP'!$D$21:$E$30,2,FALSE),0)</f>
        <v>10</v>
      </c>
      <c r="Q314" s="637">
        <f>IF(O314="No aplica","No aplica",WORKDAY.INTL(O314,P314,1,'Estimación CRP'!A500:A516))</f>
        <v>43497</v>
      </c>
      <c r="R314" s="636">
        <f t="shared" si="99"/>
        <v>2</v>
      </c>
      <c r="S314" s="636">
        <f t="shared" si="100"/>
        <v>1</v>
      </c>
      <c r="T314" s="636">
        <f t="shared" si="101"/>
        <v>1</v>
      </c>
      <c r="U314" s="712">
        <v>10</v>
      </c>
      <c r="V314" s="638">
        <v>1</v>
      </c>
      <c r="W314" s="639" t="s">
        <v>274</v>
      </c>
      <c r="X314" s="640" t="str">
        <f>IFERROR(VLOOKUP(W314,Listas!$A$60:$B$73,2,FALSE),"Alerta: Seleccione primero Modalidad de selección")</f>
        <v>CCE-16</v>
      </c>
      <c r="Y314" s="641">
        <v>0</v>
      </c>
      <c r="Z314" s="641" t="s">
        <v>346</v>
      </c>
      <c r="AA314" s="641" t="s">
        <v>1326</v>
      </c>
      <c r="AB314" s="642">
        <f t="shared" si="102"/>
        <v>66000000</v>
      </c>
      <c r="AC314" s="642">
        <f t="shared" si="103"/>
        <v>66000000</v>
      </c>
      <c r="AD314" s="641">
        <v>0</v>
      </c>
      <c r="AE314" s="643">
        <v>0</v>
      </c>
      <c r="AF314" s="639" t="s">
        <v>276</v>
      </c>
      <c r="AG314" s="639" t="s">
        <v>277</v>
      </c>
      <c r="AH314" s="639" t="s">
        <v>573</v>
      </c>
      <c r="AI314" s="626" t="str">
        <f>IFERROR(VLOOKUP(AH314,Listas!$A$77:$C$83,2,FALSE),"Alerta: Seleccione primero el responsable")</f>
        <v>3550800</v>
      </c>
      <c r="AJ314" s="640" t="str">
        <f>IFERROR(VLOOKUP(AH314,Listas!$A$77:$C$83,3,FALSE),"Alerta: Seleccione primero el responsable")</f>
        <v>carolina.fernandez@idpc.gov.co</v>
      </c>
      <c r="AK314" s="640" t="str">
        <f>IF(J314="Funcionamiento Gastos Generales","No aplica",IF(J314="Funcionamiento Servicios Personales indirectos","No aplica",IFERROR(VLOOKUP(J314,Listas!$A$127:$E$139,3,FALSE),"Alerta: Seleccione la celda en la comumna B con el nombre del proyecto")))</f>
        <v>ME20181114</v>
      </c>
      <c r="AL314" s="640" t="str">
        <f>IF(J314="Funcionamiento Gastos Generales","No aplica",IF(J314="Funcionamiento Servicios Personales","No aplica",IFERROR(VLOOKUP(J314,Listas!$A$220:$D$224,2,FALSE),"Alerta: Seleccione la celda en la comumna B con el nombre del proyecto")))</f>
        <v>COMP1114</v>
      </c>
      <c r="AM314" s="640" t="str">
        <f>IF(J314="Funcionamiento Gastos Generales","No aplica",IF(J314="Funcionamiento Servicios Personales","No aplica",IFERROR(VLOOKUP(J314,Listas!$A$220:$D$224,3,FALSE),"Alerta: Seleccione la celda en la comumna B con el nombre del proyecto")))</f>
        <v>CONC1114</v>
      </c>
      <c r="AN314" s="633" t="s">
        <v>1053</v>
      </c>
      <c r="AO314" s="633" t="s">
        <v>391</v>
      </c>
      <c r="AP314" s="634" t="str">
        <f>IFERROR(VLOOKUP(J314,Listas!$A$182:$E$215,5,FALSE),"Alerta: Seleccione la celda en la comumna B con el nombre del proyecto")</f>
        <v>4. Obras de Intervención en Bienes muebles - inmuebles y sectores que conforman el patrimonio cultural del D.C.</v>
      </c>
      <c r="AQ314" s="634" t="str">
        <f>IF(J314="Funcionamiento Gastos Generales","No aplica",IF(J314="Funcionamiento Servicios Personales","No aplica",IFERROR(VLOOKUP(J314,Listas!$A$220:$D$224,4,FALSE),"Alerta: Seleccione la celda en la comumna B con el nombre del proyecto")))</f>
        <v>FONT1114</v>
      </c>
      <c r="AR314" s="633" t="s">
        <v>198</v>
      </c>
      <c r="AS314" s="634" t="str">
        <f>IFERROR(VLOOKUP(AU314,Listas!$E$85:$L$105,7,FALSE),"Alerta: Seleccione la celda en la comumna AI con el concepto de gasto")</f>
        <v>03-RECURSO HUMANO</v>
      </c>
      <c r="AT314" s="634" t="str">
        <f>IFERROR(VLOOKUP(AU314,Listas!$E$85:$L$105,8,FALSE),"Alerta: Seleccione la celda en la comumna AI con el concepto de gasto")</f>
        <v>04-GASTOS DE PERSONAL OPERATIVO</v>
      </c>
      <c r="AU314" s="633" t="s">
        <v>228</v>
      </c>
      <c r="AV314" s="634">
        <f>IFERROR(VLOOKUP(AU314,Listas!$E$85:$F$105,2,FALSE),"Alerta: Seleccione el Concepto de Gasto primero")</f>
        <v>0</v>
      </c>
      <c r="AW314" s="644">
        <v>66000000</v>
      </c>
      <c r="AX314" s="645"/>
      <c r="AY314" s="645"/>
      <c r="AZ314" s="645"/>
      <c r="BA314" s="646">
        <f t="shared" si="104"/>
        <v>66000000</v>
      </c>
      <c r="BB314" s="647"/>
      <c r="BC314" s="648"/>
      <c r="BD314" s="649"/>
      <c r="BE314" s="647"/>
      <c r="BF314" s="644"/>
      <c r="BG314" s="646">
        <f t="shared" si="105"/>
        <v>66000000</v>
      </c>
      <c r="BH314" s="650"/>
      <c r="BI314" s="647"/>
      <c r="BJ314" s="644"/>
      <c r="BK314" s="646">
        <f t="shared" si="106"/>
        <v>0</v>
      </c>
      <c r="BL314" s="651"/>
      <c r="BM314" s="652">
        <f t="shared" si="107"/>
        <v>1</v>
      </c>
      <c r="BN314" s="628"/>
      <c r="BO314" s="670"/>
      <c r="BP314" s="644"/>
      <c r="BQ314" s="644"/>
      <c r="BR314" s="644"/>
      <c r="BS314" s="644"/>
      <c r="BT314" s="644"/>
      <c r="BU314" s="644"/>
      <c r="BV314" s="644"/>
      <c r="BW314" s="644"/>
      <c r="BX314" s="644"/>
      <c r="BY314" s="644"/>
      <c r="BZ314" s="644"/>
      <c r="CA314" s="644"/>
      <c r="CB314" s="646">
        <f t="shared" si="108"/>
        <v>0</v>
      </c>
      <c r="CC314" s="646">
        <f t="shared" si="109"/>
        <v>0</v>
      </c>
      <c r="CD314" s="614"/>
    </row>
    <row r="315" spans="1:82" s="561" customFormat="1" ht="61.5" customHeight="1">
      <c r="A315" s="625" t="str">
        <f t="shared" si="91"/>
        <v>1114-140-FONT1114-03-04-0316-Asesoría técnica para la protección y promoción del patrimonio cultural material del distrito capital</v>
      </c>
      <c r="B315" s="626" t="str">
        <f t="shared" si="92"/>
        <v>1114-140-FONT1114-03-04-0316</v>
      </c>
      <c r="C315" s="626" t="str">
        <f t="shared" si="93"/>
        <v>1114-140-FONT1114-Asesoría técnica para la protección y promoción del patrimonio cultural material del distrito capital</v>
      </c>
      <c r="D315" s="626" t="str">
        <f t="shared" si="94"/>
        <v>1114-140-12-Otros Distrito-03-04-0316</v>
      </c>
      <c r="E315" s="626" t="str">
        <f t="shared" si="95"/>
        <v>Asesoría técnica para la protección y promoción del patrimonio cultural material del distrito capital-12-Otros Distrito-0316-Personal de apoyo para las actividades de valoración, protección y conservación del Patrimonio Cultural</v>
      </c>
      <c r="F315" s="627">
        <v>275</v>
      </c>
      <c r="G315" s="628">
        <f t="shared" si="96"/>
        <v>275</v>
      </c>
      <c r="H315" s="629" t="b">
        <f t="shared" si="97"/>
        <v>0</v>
      </c>
      <c r="I315" s="630" t="s">
        <v>594</v>
      </c>
      <c r="J315" s="627" t="s">
        <v>180</v>
      </c>
      <c r="K315" s="631" t="str">
        <f>+IFERROR(VLOOKUP(J315,Listas!$A$108:$B$114,2,FALSE),"Alerta: Seleccione la celda en la comumna B con el nombre del proyecto")</f>
        <v>3-3-1-15-02-17-1114-140</v>
      </c>
      <c r="L315" s="632" t="s">
        <v>857</v>
      </c>
      <c r="M315" s="633" t="s">
        <v>859</v>
      </c>
      <c r="N315" s="634" t="str">
        <f t="shared" si="98"/>
        <v>(Cód. 275) Prestar servicios profesionales al Instituto Distrital de Patrimonio Cultural apoyando el soporte técnico del Sistema de Información Geográfico relacionado con la evaluación de solicitudes de intervención de Bienes de Interés Cultural ubicados en el espacio público y de espacio público en Sectores de Interés Cultural.</v>
      </c>
      <c r="O315" s="635">
        <v>43485</v>
      </c>
      <c r="P315" s="636">
        <f>IFERROR(VLOOKUP(W315,'Estimación CRP'!$D$21:$E$30,2,FALSE),0)</f>
        <v>10</v>
      </c>
      <c r="Q315" s="637">
        <f>IF(O315="No aplica","No aplica",WORKDAY.INTL(O315,P315,1,'Estimación CRP'!A501:A517))</f>
        <v>43497</v>
      </c>
      <c r="R315" s="636">
        <f t="shared" si="99"/>
        <v>2</v>
      </c>
      <c r="S315" s="636">
        <f t="shared" si="100"/>
        <v>1</v>
      </c>
      <c r="T315" s="636">
        <f t="shared" si="101"/>
        <v>1</v>
      </c>
      <c r="U315" s="712">
        <v>8</v>
      </c>
      <c r="V315" s="638">
        <v>1</v>
      </c>
      <c r="W315" s="639" t="s">
        <v>274</v>
      </c>
      <c r="X315" s="640" t="str">
        <f>IFERROR(VLOOKUP(W315,Listas!$A$60:$B$73,2,FALSE),"Alerta: Seleccione primero Modalidad de selección")</f>
        <v>CCE-16</v>
      </c>
      <c r="Y315" s="641">
        <v>0</v>
      </c>
      <c r="Z315" s="641" t="s">
        <v>346</v>
      </c>
      <c r="AA315" s="641" t="s">
        <v>1326</v>
      </c>
      <c r="AB315" s="642">
        <f t="shared" si="102"/>
        <v>43040000</v>
      </c>
      <c r="AC315" s="642">
        <f t="shared" si="103"/>
        <v>43040000</v>
      </c>
      <c r="AD315" s="641">
        <v>0</v>
      </c>
      <c r="AE315" s="643">
        <v>0</v>
      </c>
      <c r="AF315" s="639" t="s">
        <v>276</v>
      </c>
      <c r="AG315" s="639" t="s">
        <v>277</v>
      </c>
      <c r="AH315" s="639" t="s">
        <v>573</v>
      </c>
      <c r="AI315" s="626" t="str">
        <f>IFERROR(VLOOKUP(AH315,Listas!$A$77:$C$83,2,FALSE),"Alerta: Seleccione primero el responsable")</f>
        <v>3550800</v>
      </c>
      <c r="AJ315" s="640" t="str">
        <f>IFERROR(VLOOKUP(AH315,Listas!$A$77:$C$83,3,FALSE),"Alerta: Seleccione primero el responsable")</f>
        <v>carolina.fernandez@idpc.gov.co</v>
      </c>
      <c r="AK315" s="640" t="str">
        <f>IF(J315="Funcionamiento Gastos Generales","No aplica",IF(J315="Funcionamiento Servicios Personales indirectos","No aplica",IFERROR(VLOOKUP(J315,Listas!$A$127:$E$139,3,FALSE),"Alerta: Seleccione la celda en la comumna B con el nombre del proyecto")))</f>
        <v>ME20181114</v>
      </c>
      <c r="AL315" s="640" t="str">
        <f>IF(J315="Funcionamiento Gastos Generales","No aplica",IF(J315="Funcionamiento Servicios Personales","No aplica",IFERROR(VLOOKUP(J315,Listas!$A$220:$D$224,2,FALSE),"Alerta: Seleccione la celda en la comumna B con el nombre del proyecto")))</f>
        <v>COMP1114</v>
      </c>
      <c r="AM315" s="640" t="str">
        <f>IF(J315="Funcionamiento Gastos Generales","No aplica",IF(J315="Funcionamiento Servicios Personales","No aplica",IFERROR(VLOOKUP(J315,Listas!$A$220:$D$224,3,FALSE),"Alerta: Seleccione la celda en la comumna B con el nombre del proyecto")))</f>
        <v>CONC1114</v>
      </c>
      <c r="AN315" s="633" t="s">
        <v>1053</v>
      </c>
      <c r="AO315" s="633" t="s">
        <v>391</v>
      </c>
      <c r="AP315" s="634" t="str">
        <f>IFERROR(VLOOKUP(J315,Listas!$A$182:$E$215,5,FALSE),"Alerta: Seleccione la celda en la comumna B con el nombre del proyecto")</f>
        <v>4. Obras de Intervención en Bienes muebles - inmuebles y sectores que conforman el patrimonio cultural del D.C.</v>
      </c>
      <c r="AQ315" s="634" t="str">
        <f>IF(J315="Funcionamiento Gastos Generales","No aplica",IF(J315="Funcionamiento Servicios Personales","No aplica",IFERROR(VLOOKUP(J315,Listas!$A$220:$D$224,4,FALSE),"Alerta: Seleccione la celda en la comumna B con el nombre del proyecto")))</f>
        <v>FONT1114</v>
      </c>
      <c r="AR315" s="633" t="s">
        <v>198</v>
      </c>
      <c r="AS315" s="634" t="str">
        <f>IFERROR(VLOOKUP(AU315,Listas!$E$85:$L$105,7,FALSE),"Alerta: Seleccione la celda en la comumna AI con el concepto de gasto")</f>
        <v>03-RECURSO HUMANO</v>
      </c>
      <c r="AT315" s="634" t="str">
        <f>IFERROR(VLOOKUP(AU315,Listas!$E$85:$L$105,8,FALSE),"Alerta: Seleccione la celda en la comumna AI con el concepto de gasto")</f>
        <v>04-GASTOS DE PERSONAL OPERATIVO</v>
      </c>
      <c r="AU315" s="633" t="s">
        <v>228</v>
      </c>
      <c r="AV315" s="634">
        <f>IFERROR(VLOOKUP(AU315,Listas!$E$85:$F$105,2,FALSE),"Alerta: Seleccione el Concepto de Gasto primero")</f>
        <v>0</v>
      </c>
      <c r="AW315" s="644">
        <v>43040000</v>
      </c>
      <c r="AX315" s="645"/>
      <c r="AY315" s="645"/>
      <c r="AZ315" s="645"/>
      <c r="BA315" s="646">
        <f t="shared" si="104"/>
        <v>43040000</v>
      </c>
      <c r="BB315" s="647"/>
      <c r="BC315" s="648"/>
      <c r="BD315" s="649"/>
      <c r="BE315" s="647"/>
      <c r="BF315" s="644"/>
      <c r="BG315" s="646">
        <f t="shared" si="105"/>
        <v>43040000</v>
      </c>
      <c r="BH315" s="650"/>
      <c r="BI315" s="647"/>
      <c r="BJ315" s="644"/>
      <c r="BK315" s="646">
        <f t="shared" si="106"/>
        <v>0</v>
      </c>
      <c r="BL315" s="651"/>
      <c r="BM315" s="652">
        <f t="shared" si="107"/>
        <v>1</v>
      </c>
      <c r="BN315" s="628"/>
      <c r="BO315" s="670"/>
      <c r="BP315" s="644"/>
      <c r="BQ315" s="644"/>
      <c r="BR315" s="644"/>
      <c r="BS315" s="644"/>
      <c r="BT315" s="644"/>
      <c r="BU315" s="644"/>
      <c r="BV315" s="644"/>
      <c r="BW315" s="644"/>
      <c r="BX315" s="644"/>
      <c r="BY315" s="644"/>
      <c r="BZ315" s="644"/>
      <c r="CA315" s="644"/>
      <c r="CB315" s="646">
        <f t="shared" si="108"/>
        <v>0</v>
      </c>
      <c r="CC315" s="646">
        <f t="shared" si="109"/>
        <v>0</v>
      </c>
      <c r="CD315" s="614"/>
    </row>
    <row r="316" spans="1:82" s="653" customFormat="1" ht="61.5" customHeight="1">
      <c r="A316" s="625" t="str">
        <f t="shared" si="91"/>
        <v>1114-140-FONT1114-03-04-0316-Asesoría técnica para la protección y promoción del patrimonio cultural material del distrito capital</v>
      </c>
      <c r="B316" s="626" t="str">
        <f t="shared" si="92"/>
        <v>1114-140-FONT1114-03-04-0316</v>
      </c>
      <c r="C316" s="626" t="str">
        <f t="shared" si="93"/>
        <v>1114-140-FONT1114-Asesoría técnica para la protección y promoción del patrimonio cultural material del distrito capital</v>
      </c>
      <c r="D316" s="626" t="str">
        <f t="shared" si="94"/>
        <v>1114-140-12-Otros Distrito-03-04-0316</v>
      </c>
      <c r="E316" s="626" t="str">
        <f t="shared" si="95"/>
        <v>Asesoría técnica para la protección y promoción del patrimonio cultural material del distrito capital-12-Otros Distrito-0316-Personal de apoyo para las actividades de valoración, protección y conservación del Patrimonio Cultural</v>
      </c>
      <c r="F316" s="627">
        <v>276</v>
      </c>
      <c r="G316" s="628">
        <f t="shared" si="96"/>
        <v>276</v>
      </c>
      <c r="H316" s="629" t="b">
        <f t="shared" si="97"/>
        <v>0</v>
      </c>
      <c r="I316" s="630" t="s">
        <v>594</v>
      </c>
      <c r="J316" s="627" t="s">
        <v>180</v>
      </c>
      <c r="K316" s="631" t="str">
        <f>+IFERROR(VLOOKUP(J316,Listas!$A$108:$B$114,2,FALSE),"Alerta: Seleccione la celda en la comumna B con el nombre del proyecto")</f>
        <v>3-3-1-15-02-17-1114-140</v>
      </c>
      <c r="L316" s="632" t="s">
        <v>860</v>
      </c>
      <c r="M316" s="633" t="s">
        <v>861</v>
      </c>
      <c r="N316" s="634" t="str">
        <f t="shared" si="98"/>
        <v>(Cód. 276) Prestar servicios profesionales al Instituto Distrital de Patrimonio Cultural para apoyar las actividades de gestión del Sistema de Información Geográfico para el inventario de bienes inmuebles del  Distrito Capital a cargo de la Subdirección de Intervención.</v>
      </c>
      <c r="O316" s="635">
        <v>43485</v>
      </c>
      <c r="P316" s="636">
        <f>IFERROR(VLOOKUP(W316,'Estimación CRP'!$D$21:$E$30,2,FALSE),0)</f>
        <v>10</v>
      </c>
      <c r="Q316" s="637">
        <f>IF(O316="No aplica","No aplica",WORKDAY.INTL(O316,P316,1,'Estimación CRP'!A502:A518))</f>
        <v>43497</v>
      </c>
      <c r="R316" s="636">
        <f t="shared" si="99"/>
        <v>2</v>
      </c>
      <c r="S316" s="636">
        <f t="shared" si="100"/>
        <v>1</v>
      </c>
      <c r="T316" s="636">
        <f t="shared" si="101"/>
        <v>1</v>
      </c>
      <c r="U316" s="712">
        <v>8</v>
      </c>
      <c r="V316" s="638">
        <v>1</v>
      </c>
      <c r="W316" s="639" t="s">
        <v>274</v>
      </c>
      <c r="X316" s="640" t="str">
        <f>IFERROR(VLOOKUP(W316,Listas!$A$60:$B$73,2,FALSE),"Alerta: Seleccione primero Modalidad de selección")</f>
        <v>CCE-16</v>
      </c>
      <c r="Y316" s="641">
        <v>0</v>
      </c>
      <c r="Z316" s="641" t="s">
        <v>346</v>
      </c>
      <c r="AA316" s="641" t="s">
        <v>1326</v>
      </c>
      <c r="AB316" s="642">
        <f t="shared" si="102"/>
        <v>38400000</v>
      </c>
      <c r="AC316" s="642">
        <f t="shared" si="103"/>
        <v>38400000</v>
      </c>
      <c r="AD316" s="641">
        <v>0</v>
      </c>
      <c r="AE316" s="643">
        <v>0</v>
      </c>
      <c r="AF316" s="639" t="s">
        <v>276</v>
      </c>
      <c r="AG316" s="639" t="s">
        <v>277</v>
      </c>
      <c r="AH316" s="639" t="s">
        <v>573</v>
      </c>
      <c r="AI316" s="626" t="str">
        <f>IFERROR(VLOOKUP(AH316,Listas!$A$77:$C$83,2,FALSE),"Alerta: Seleccione primero el responsable")</f>
        <v>3550800</v>
      </c>
      <c r="AJ316" s="640" t="str">
        <f>IFERROR(VLOOKUP(AH316,Listas!$A$77:$C$83,3,FALSE),"Alerta: Seleccione primero el responsable")</f>
        <v>carolina.fernandez@idpc.gov.co</v>
      </c>
      <c r="AK316" s="640" t="str">
        <f>IF(J316="Funcionamiento Gastos Generales","No aplica",IF(J316="Funcionamiento Servicios Personales indirectos","No aplica",IFERROR(VLOOKUP(J316,Listas!$A$127:$E$139,3,FALSE),"Alerta: Seleccione la celda en la comumna B con el nombre del proyecto")))</f>
        <v>ME20181114</v>
      </c>
      <c r="AL316" s="640" t="str">
        <f>IF(J316="Funcionamiento Gastos Generales","No aplica",IF(J316="Funcionamiento Servicios Personales","No aplica",IFERROR(VLOOKUP(J316,Listas!$A$220:$D$224,2,FALSE),"Alerta: Seleccione la celda en la comumna B con el nombre del proyecto")))</f>
        <v>COMP1114</v>
      </c>
      <c r="AM316" s="640" t="str">
        <f>IF(J316="Funcionamiento Gastos Generales","No aplica",IF(J316="Funcionamiento Servicios Personales","No aplica",IFERROR(VLOOKUP(J316,Listas!$A$220:$D$224,3,FALSE),"Alerta: Seleccione la celda en la comumna B con el nombre del proyecto")))</f>
        <v>CONC1114</v>
      </c>
      <c r="AN316" s="633" t="s">
        <v>1053</v>
      </c>
      <c r="AO316" s="633" t="s">
        <v>391</v>
      </c>
      <c r="AP316" s="634" t="str">
        <f>IFERROR(VLOOKUP(J316,Listas!$A$182:$E$215,5,FALSE),"Alerta: Seleccione la celda en la comumna B con el nombre del proyecto")</f>
        <v>4. Obras de Intervención en Bienes muebles - inmuebles y sectores que conforman el patrimonio cultural del D.C.</v>
      </c>
      <c r="AQ316" s="634" t="str">
        <f>IF(J316="Funcionamiento Gastos Generales","No aplica",IF(J316="Funcionamiento Servicios Personales","No aplica",IFERROR(VLOOKUP(J316,Listas!$A$220:$D$224,4,FALSE),"Alerta: Seleccione la celda en la comumna B con el nombre del proyecto")))</f>
        <v>FONT1114</v>
      </c>
      <c r="AR316" s="633" t="s">
        <v>198</v>
      </c>
      <c r="AS316" s="634" t="str">
        <f>IFERROR(VLOOKUP(AU316,Listas!$E$85:$L$105,7,FALSE),"Alerta: Seleccione la celda en la comumna AI con el concepto de gasto")</f>
        <v>03-RECURSO HUMANO</v>
      </c>
      <c r="AT316" s="634" t="str">
        <f>IFERROR(VLOOKUP(AU316,Listas!$E$85:$L$105,8,FALSE),"Alerta: Seleccione la celda en la comumna AI con el concepto de gasto")</f>
        <v>04-GASTOS DE PERSONAL OPERATIVO</v>
      </c>
      <c r="AU316" s="633" t="s">
        <v>228</v>
      </c>
      <c r="AV316" s="634">
        <f>IFERROR(VLOOKUP(AU316,Listas!$E$85:$F$105,2,FALSE),"Alerta: Seleccione el Concepto de Gasto primero")</f>
        <v>0</v>
      </c>
      <c r="AW316" s="644">
        <v>38400000</v>
      </c>
      <c r="AX316" s="645"/>
      <c r="AY316" s="645"/>
      <c r="AZ316" s="645"/>
      <c r="BA316" s="646">
        <f t="shared" si="104"/>
        <v>38400000</v>
      </c>
      <c r="BB316" s="647"/>
      <c r="BC316" s="648"/>
      <c r="BD316" s="649"/>
      <c r="BE316" s="647"/>
      <c r="BF316" s="644"/>
      <c r="BG316" s="646">
        <f t="shared" si="105"/>
        <v>38400000</v>
      </c>
      <c r="BH316" s="650"/>
      <c r="BI316" s="647"/>
      <c r="BJ316" s="644"/>
      <c r="BK316" s="646">
        <f t="shared" si="106"/>
        <v>0</v>
      </c>
      <c r="BL316" s="651"/>
      <c r="BM316" s="652">
        <f t="shared" si="107"/>
        <v>1</v>
      </c>
      <c r="BN316" s="628"/>
      <c r="BO316" s="670"/>
      <c r="BP316" s="644"/>
      <c r="BQ316" s="644"/>
      <c r="BR316" s="644"/>
      <c r="BS316" s="644"/>
      <c r="BT316" s="644"/>
      <c r="BU316" s="644"/>
      <c r="BV316" s="644"/>
      <c r="BW316" s="644"/>
      <c r="BX316" s="644"/>
      <c r="BY316" s="644"/>
      <c r="BZ316" s="644"/>
      <c r="CA316" s="644"/>
      <c r="CB316" s="646">
        <f t="shared" si="108"/>
        <v>0</v>
      </c>
      <c r="CC316" s="646">
        <f t="shared" si="109"/>
        <v>0</v>
      </c>
      <c r="CD316" s="614"/>
    </row>
    <row r="317" spans="1:82" s="561" customFormat="1" ht="61.5" customHeight="1">
      <c r="A317" s="625" t="str">
        <f t="shared" si="91"/>
        <v>1114-140-FONT1114-03-04-0316-Asesoría técnica para la protección y promoción del patrimonio cultural material del distrito capital</v>
      </c>
      <c r="B317" s="626" t="str">
        <f t="shared" si="92"/>
        <v>1114-140-FONT1114-03-04-0316</v>
      </c>
      <c r="C317" s="626" t="str">
        <f t="shared" si="93"/>
        <v>1114-140-FONT1114-Asesoría técnica para la protección y promoción del patrimonio cultural material del distrito capital</v>
      </c>
      <c r="D317" s="626" t="str">
        <f t="shared" si="94"/>
        <v>1114-140-12-Otros Distrito-03-04-0316</v>
      </c>
      <c r="E317" s="626" t="str">
        <f t="shared" si="95"/>
        <v>Asesoría técnica para la protección y promoción del patrimonio cultural material del distrito capital-12-Otros Distrito-0316-Personal de apoyo para las actividades de valoración, protección y conservación del Patrimonio Cultural</v>
      </c>
      <c r="F317" s="627">
        <v>277</v>
      </c>
      <c r="G317" s="628">
        <f t="shared" si="96"/>
        <v>277</v>
      </c>
      <c r="H317" s="629" t="b">
        <f t="shared" si="97"/>
        <v>0</v>
      </c>
      <c r="I317" s="630" t="s">
        <v>594</v>
      </c>
      <c r="J317" s="627" t="s">
        <v>180</v>
      </c>
      <c r="K317" s="631" t="str">
        <f>+IFERROR(VLOOKUP(J317,Listas!$A$108:$B$114,2,FALSE),"Alerta: Seleccione la celda en la comumna B con el nombre del proyecto")</f>
        <v>3-3-1-15-02-17-1114-140</v>
      </c>
      <c r="L317" s="632" t="s">
        <v>857</v>
      </c>
      <c r="M317" s="633" t="s">
        <v>862</v>
      </c>
      <c r="N317" s="634" t="str">
        <f t="shared" si="98"/>
        <v>(Cód. 277) Prestar servicios profesionales especializados al Instituto Distrital de Patrimonio Cultural para orientar y apoyar la verificación técnica de la documentación expedida en relación a la evaluación y asesoría técnica de las solicitudes de intervención en Bienes de Interés Cultural del Distrito Capital.</v>
      </c>
      <c r="O317" s="635">
        <v>43485</v>
      </c>
      <c r="P317" s="636">
        <f>IFERROR(VLOOKUP(W317,'Estimación CRP'!$D$21:$E$30,2,FALSE),0)</f>
        <v>10</v>
      </c>
      <c r="Q317" s="637">
        <f>IF(O317="No aplica","No aplica",WORKDAY.INTL(O317,P317,1,'Estimación CRP'!A503:A519))</f>
        <v>43497</v>
      </c>
      <c r="R317" s="636">
        <f t="shared" si="99"/>
        <v>2</v>
      </c>
      <c r="S317" s="636">
        <f t="shared" si="100"/>
        <v>1</v>
      </c>
      <c r="T317" s="636">
        <f t="shared" si="101"/>
        <v>1</v>
      </c>
      <c r="U317" s="712">
        <v>10</v>
      </c>
      <c r="V317" s="638">
        <v>1</v>
      </c>
      <c r="W317" s="639" t="s">
        <v>274</v>
      </c>
      <c r="X317" s="640" t="str">
        <f>IFERROR(VLOOKUP(W317,Listas!$A$60:$B$73,2,FALSE),"Alerta: Seleccione primero Modalidad de selección")</f>
        <v>CCE-16</v>
      </c>
      <c r="Y317" s="641">
        <v>0</v>
      </c>
      <c r="Z317" s="641" t="s">
        <v>346</v>
      </c>
      <c r="AA317" s="641" t="s">
        <v>1326</v>
      </c>
      <c r="AB317" s="642">
        <f t="shared" si="102"/>
        <v>87500000</v>
      </c>
      <c r="AC317" s="642">
        <f t="shared" si="103"/>
        <v>87500000</v>
      </c>
      <c r="AD317" s="641">
        <v>0</v>
      </c>
      <c r="AE317" s="643">
        <v>0</v>
      </c>
      <c r="AF317" s="639" t="s">
        <v>276</v>
      </c>
      <c r="AG317" s="639" t="s">
        <v>277</v>
      </c>
      <c r="AH317" s="639" t="s">
        <v>573</v>
      </c>
      <c r="AI317" s="626" t="str">
        <f>IFERROR(VLOOKUP(AH317,Listas!$A$77:$C$83,2,FALSE),"Alerta: Seleccione primero el responsable")</f>
        <v>3550800</v>
      </c>
      <c r="AJ317" s="640" t="str">
        <f>IFERROR(VLOOKUP(AH317,Listas!$A$77:$C$83,3,FALSE),"Alerta: Seleccione primero el responsable")</f>
        <v>carolina.fernandez@idpc.gov.co</v>
      </c>
      <c r="AK317" s="640" t="str">
        <f>IF(J317="Funcionamiento Gastos Generales","No aplica",IF(J317="Funcionamiento Servicios Personales indirectos","No aplica",IFERROR(VLOOKUP(J317,Listas!$A$127:$E$139,3,FALSE),"Alerta: Seleccione la celda en la comumna B con el nombre del proyecto")))</f>
        <v>ME20181114</v>
      </c>
      <c r="AL317" s="640" t="str">
        <f>IF(J317="Funcionamiento Gastos Generales","No aplica",IF(J317="Funcionamiento Servicios Personales","No aplica",IFERROR(VLOOKUP(J317,Listas!$A$220:$D$224,2,FALSE),"Alerta: Seleccione la celda en la comumna B con el nombre del proyecto")))</f>
        <v>COMP1114</v>
      </c>
      <c r="AM317" s="640" t="str">
        <f>IF(J317="Funcionamiento Gastos Generales","No aplica",IF(J317="Funcionamiento Servicios Personales","No aplica",IFERROR(VLOOKUP(J317,Listas!$A$220:$D$224,3,FALSE),"Alerta: Seleccione la celda en la comumna B con el nombre del proyecto")))</f>
        <v>CONC1114</v>
      </c>
      <c r="AN317" s="633" t="s">
        <v>1053</v>
      </c>
      <c r="AO317" s="633" t="s">
        <v>391</v>
      </c>
      <c r="AP317" s="634" t="str">
        <f>IFERROR(VLOOKUP(J317,Listas!$A$182:$E$215,5,FALSE),"Alerta: Seleccione la celda en la comumna B con el nombre del proyecto")</f>
        <v>4. Obras de Intervención en Bienes muebles - inmuebles y sectores que conforman el patrimonio cultural del D.C.</v>
      </c>
      <c r="AQ317" s="634" t="str">
        <f>IF(J317="Funcionamiento Gastos Generales","No aplica",IF(J317="Funcionamiento Servicios Personales","No aplica",IFERROR(VLOOKUP(J317,Listas!$A$220:$D$224,4,FALSE),"Alerta: Seleccione la celda en la comumna B con el nombre del proyecto")))</f>
        <v>FONT1114</v>
      </c>
      <c r="AR317" s="633" t="s">
        <v>198</v>
      </c>
      <c r="AS317" s="634" t="str">
        <f>IFERROR(VLOOKUP(AU317,Listas!$E$85:$L$105,7,FALSE),"Alerta: Seleccione la celda en la comumna AI con el concepto de gasto")</f>
        <v>03-RECURSO HUMANO</v>
      </c>
      <c r="AT317" s="634" t="str">
        <f>IFERROR(VLOOKUP(AU317,Listas!$E$85:$L$105,8,FALSE),"Alerta: Seleccione la celda en la comumna AI con el concepto de gasto")</f>
        <v>04-GASTOS DE PERSONAL OPERATIVO</v>
      </c>
      <c r="AU317" s="633" t="s">
        <v>228</v>
      </c>
      <c r="AV317" s="634">
        <f>IFERROR(VLOOKUP(AU317,Listas!$E$85:$F$105,2,FALSE),"Alerta: Seleccione el Concepto de Gasto primero")</f>
        <v>0</v>
      </c>
      <c r="AW317" s="644">
        <v>87500000</v>
      </c>
      <c r="AX317" s="645"/>
      <c r="AY317" s="645"/>
      <c r="AZ317" s="645"/>
      <c r="BA317" s="646">
        <f t="shared" si="104"/>
        <v>87500000</v>
      </c>
      <c r="BB317" s="647"/>
      <c r="BC317" s="648"/>
      <c r="BD317" s="649"/>
      <c r="BE317" s="647"/>
      <c r="BF317" s="644"/>
      <c r="BG317" s="646">
        <f t="shared" si="105"/>
        <v>87500000</v>
      </c>
      <c r="BH317" s="650"/>
      <c r="BI317" s="647"/>
      <c r="BJ317" s="644"/>
      <c r="BK317" s="646">
        <f t="shared" si="106"/>
        <v>0</v>
      </c>
      <c r="BL317" s="651"/>
      <c r="BM317" s="652">
        <f t="shared" si="107"/>
        <v>1</v>
      </c>
      <c r="BN317" s="628"/>
      <c r="BO317" s="670"/>
      <c r="BP317" s="644"/>
      <c r="BQ317" s="644"/>
      <c r="BR317" s="644"/>
      <c r="BS317" s="644"/>
      <c r="BT317" s="644"/>
      <c r="BU317" s="644"/>
      <c r="BV317" s="644"/>
      <c r="BW317" s="644"/>
      <c r="BX317" s="644"/>
      <c r="BY317" s="644"/>
      <c r="BZ317" s="644"/>
      <c r="CA317" s="644"/>
      <c r="CB317" s="646">
        <f t="shared" si="108"/>
        <v>0</v>
      </c>
      <c r="CC317" s="646">
        <f t="shared" si="109"/>
        <v>0</v>
      </c>
      <c r="CD317" s="614"/>
    </row>
    <row r="318" spans="1:82" s="653" customFormat="1" ht="61.5" customHeight="1">
      <c r="A318" s="625" t="str">
        <f t="shared" si="91"/>
        <v>1114-140-FONT1114-03-04-0316-Asesoría técnica para la protección y promoción del patrimonio cultural material del distrito capital</v>
      </c>
      <c r="B318" s="626" t="str">
        <f t="shared" si="92"/>
        <v>1114-140-FONT1114-03-04-0316</v>
      </c>
      <c r="C318" s="626" t="str">
        <f t="shared" si="93"/>
        <v>1114-140-FONT1114-Asesoría técnica para la protección y promoción del patrimonio cultural material del distrito capital</v>
      </c>
      <c r="D318" s="626" t="str">
        <f t="shared" si="94"/>
        <v>1114-140-12-Otros Distrito-03-04-0316</v>
      </c>
      <c r="E318" s="626" t="str">
        <f t="shared" si="95"/>
        <v>Asesoría técnica para la protección y promoción del patrimonio cultural material del distrito capital-12-Otros Distrito-0316-Personal de apoyo para las actividades de valoración, protección y conservación del Patrimonio Cultural</v>
      </c>
      <c r="F318" s="627">
        <v>278</v>
      </c>
      <c r="G318" s="628">
        <f t="shared" si="96"/>
        <v>278</v>
      </c>
      <c r="H318" s="629" t="b">
        <f t="shared" si="97"/>
        <v>0</v>
      </c>
      <c r="I318" s="630" t="s">
        <v>594</v>
      </c>
      <c r="J318" s="627" t="s">
        <v>180</v>
      </c>
      <c r="K318" s="631" t="str">
        <f>+IFERROR(VLOOKUP(J318,Listas!$A$108:$B$114,2,FALSE),"Alerta: Seleccione la celda en la comumna B con el nombre del proyecto")</f>
        <v>3-3-1-15-02-17-1114-140</v>
      </c>
      <c r="L318" s="632" t="s">
        <v>857</v>
      </c>
      <c r="M318" s="633" t="s">
        <v>863</v>
      </c>
      <c r="N318" s="634" t="str">
        <f t="shared" si="98"/>
        <v>(Cód. 278) Prestar servicios profesionales al Instituto Distrital de Patrimonio Cultura en el apoyo de las actividades administrativas relacionadas con la evaluación y la asesoría técnica de solicitudes de intervención para la protección del patrimonio cultural.</v>
      </c>
      <c r="O318" s="635">
        <v>43485</v>
      </c>
      <c r="P318" s="636">
        <f>IFERROR(VLOOKUP(W318,'Estimación CRP'!$D$21:$E$30,2,FALSE),0)</f>
        <v>10</v>
      </c>
      <c r="Q318" s="637">
        <f>IF(O318="No aplica","No aplica",WORKDAY.INTL(O318,P318,1,'Estimación CRP'!A504:A520))</f>
        <v>43497</v>
      </c>
      <c r="R318" s="636">
        <f t="shared" si="99"/>
        <v>2</v>
      </c>
      <c r="S318" s="636">
        <f t="shared" si="100"/>
        <v>1</v>
      </c>
      <c r="T318" s="636">
        <f t="shared" si="101"/>
        <v>1</v>
      </c>
      <c r="U318" s="712">
        <v>8</v>
      </c>
      <c r="V318" s="638">
        <v>1</v>
      </c>
      <c r="W318" s="639" t="s">
        <v>274</v>
      </c>
      <c r="X318" s="640" t="str">
        <f>IFERROR(VLOOKUP(W318,Listas!$A$60:$B$73,2,FALSE),"Alerta: Seleccione primero Modalidad de selección")</f>
        <v>CCE-16</v>
      </c>
      <c r="Y318" s="641">
        <v>0</v>
      </c>
      <c r="Z318" s="641" t="s">
        <v>346</v>
      </c>
      <c r="AA318" s="641" t="s">
        <v>1326</v>
      </c>
      <c r="AB318" s="642">
        <f t="shared" si="102"/>
        <v>32400000</v>
      </c>
      <c r="AC318" s="642">
        <f t="shared" si="103"/>
        <v>32400000</v>
      </c>
      <c r="AD318" s="641">
        <v>0</v>
      </c>
      <c r="AE318" s="643">
        <v>0</v>
      </c>
      <c r="AF318" s="639" t="s">
        <v>276</v>
      </c>
      <c r="AG318" s="639" t="s">
        <v>277</v>
      </c>
      <c r="AH318" s="639" t="s">
        <v>573</v>
      </c>
      <c r="AI318" s="626" t="str">
        <f>IFERROR(VLOOKUP(AH318,Listas!$A$77:$C$83,2,FALSE),"Alerta: Seleccione primero el responsable")</f>
        <v>3550800</v>
      </c>
      <c r="AJ318" s="640" t="str">
        <f>IFERROR(VLOOKUP(AH318,Listas!$A$77:$C$83,3,FALSE),"Alerta: Seleccione primero el responsable")</f>
        <v>carolina.fernandez@idpc.gov.co</v>
      </c>
      <c r="AK318" s="640" t="str">
        <f>IF(J318="Funcionamiento Gastos Generales","No aplica",IF(J318="Funcionamiento Servicios Personales indirectos","No aplica",IFERROR(VLOOKUP(J318,Listas!$A$127:$E$139,3,FALSE),"Alerta: Seleccione la celda en la comumna B con el nombre del proyecto")))</f>
        <v>ME20181114</v>
      </c>
      <c r="AL318" s="640" t="str">
        <f>IF(J318="Funcionamiento Gastos Generales","No aplica",IF(J318="Funcionamiento Servicios Personales","No aplica",IFERROR(VLOOKUP(J318,Listas!$A$220:$D$224,2,FALSE),"Alerta: Seleccione la celda en la comumna B con el nombre del proyecto")))</f>
        <v>COMP1114</v>
      </c>
      <c r="AM318" s="640" t="str">
        <f>IF(J318="Funcionamiento Gastos Generales","No aplica",IF(J318="Funcionamiento Servicios Personales","No aplica",IFERROR(VLOOKUP(J318,Listas!$A$220:$D$224,3,FALSE),"Alerta: Seleccione la celda en la comumna B con el nombre del proyecto")))</f>
        <v>CONC1114</v>
      </c>
      <c r="AN318" s="633" t="s">
        <v>1053</v>
      </c>
      <c r="AO318" s="633" t="s">
        <v>391</v>
      </c>
      <c r="AP318" s="634" t="str">
        <f>IFERROR(VLOOKUP(J318,Listas!$A$182:$E$215,5,FALSE),"Alerta: Seleccione la celda en la comumna B con el nombre del proyecto")</f>
        <v>4. Obras de Intervención en Bienes muebles - inmuebles y sectores que conforman el patrimonio cultural del D.C.</v>
      </c>
      <c r="AQ318" s="634" t="str">
        <f>IF(J318="Funcionamiento Gastos Generales","No aplica",IF(J318="Funcionamiento Servicios Personales","No aplica",IFERROR(VLOOKUP(J318,Listas!$A$220:$D$224,4,FALSE),"Alerta: Seleccione la celda en la comumna B con el nombre del proyecto")))</f>
        <v>FONT1114</v>
      </c>
      <c r="AR318" s="633" t="s">
        <v>198</v>
      </c>
      <c r="AS318" s="634" t="str">
        <f>IFERROR(VLOOKUP(AU318,Listas!$E$85:$L$105,7,FALSE),"Alerta: Seleccione la celda en la comumna AI con el concepto de gasto")</f>
        <v>03-RECURSO HUMANO</v>
      </c>
      <c r="AT318" s="634" t="str">
        <f>IFERROR(VLOOKUP(AU318,Listas!$E$85:$L$105,8,FALSE),"Alerta: Seleccione la celda en la comumna AI con el concepto de gasto")</f>
        <v>04-GASTOS DE PERSONAL OPERATIVO</v>
      </c>
      <c r="AU318" s="633" t="s">
        <v>228</v>
      </c>
      <c r="AV318" s="634">
        <f>IFERROR(VLOOKUP(AU318,Listas!$E$85:$F$105,2,FALSE),"Alerta: Seleccione el Concepto de Gasto primero")</f>
        <v>0</v>
      </c>
      <c r="AW318" s="644">
        <v>32400000</v>
      </c>
      <c r="AX318" s="645"/>
      <c r="AY318" s="645"/>
      <c r="AZ318" s="645"/>
      <c r="BA318" s="646">
        <f t="shared" si="104"/>
        <v>32400000</v>
      </c>
      <c r="BB318" s="647"/>
      <c r="BC318" s="648"/>
      <c r="BD318" s="649"/>
      <c r="BE318" s="647"/>
      <c r="BF318" s="644"/>
      <c r="BG318" s="646">
        <f t="shared" si="105"/>
        <v>32400000</v>
      </c>
      <c r="BH318" s="650"/>
      <c r="BI318" s="647"/>
      <c r="BJ318" s="644"/>
      <c r="BK318" s="646">
        <f t="shared" si="106"/>
        <v>0</v>
      </c>
      <c r="BL318" s="651"/>
      <c r="BM318" s="652">
        <f t="shared" si="107"/>
        <v>1</v>
      </c>
      <c r="BN318" s="628"/>
      <c r="BO318" s="670"/>
      <c r="BP318" s="644"/>
      <c r="BQ318" s="644"/>
      <c r="BR318" s="644"/>
      <c r="BS318" s="644"/>
      <c r="BT318" s="644"/>
      <c r="BU318" s="644"/>
      <c r="BV318" s="644"/>
      <c r="BW318" s="644"/>
      <c r="BX318" s="644"/>
      <c r="BY318" s="644"/>
      <c r="BZ318" s="644"/>
      <c r="CA318" s="644"/>
      <c r="CB318" s="646">
        <f t="shared" si="108"/>
        <v>0</v>
      </c>
      <c r="CC318" s="646">
        <f t="shared" si="109"/>
        <v>0</v>
      </c>
      <c r="CD318" s="614"/>
    </row>
    <row r="319" spans="1:82" s="561" customFormat="1" ht="61.5" customHeight="1">
      <c r="A319" s="625" t="str">
        <f t="shared" si="91"/>
        <v>1114-140-FONT1114-03-04-0316-Asesoría técnica para la protección y promoción del patrimonio cultural material del distrito capital</v>
      </c>
      <c r="B319" s="626" t="str">
        <f t="shared" si="92"/>
        <v>1114-140-FONT1114-03-04-0316</v>
      </c>
      <c r="C319" s="626" t="str">
        <f t="shared" si="93"/>
        <v>1114-140-FONT1114-Asesoría técnica para la protección y promoción del patrimonio cultural material del distrito capital</v>
      </c>
      <c r="D319" s="626" t="str">
        <f t="shared" si="94"/>
        <v>1114-140-12-Otros Distrito-03-04-0316</v>
      </c>
      <c r="E319" s="626" t="str">
        <f t="shared" si="95"/>
        <v>Asesoría técnica para la protección y promoción del patrimonio cultural material del distrito capital-12-Otros Distrito-0316-Personal de apoyo para las actividades de valoración, protección y conservación del Patrimonio Cultural</v>
      </c>
      <c r="F319" s="627">
        <v>279</v>
      </c>
      <c r="G319" s="628">
        <f t="shared" si="96"/>
        <v>279</v>
      </c>
      <c r="H319" s="629" t="b">
        <f t="shared" si="97"/>
        <v>0</v>
      </c>
      <c r="I319" s="630" t="s">
        <v>594</v>
      </c>
      <c r="J319" s="627" t="s">
        <v>180</v>
      </c>
      <c r="K319" s="631" t="str">
        <f>+IFERROR(VLOOKUP(J319,Listas!$A$108:$B$114,2,FALSE),"Alerta: Seleccione la celda en la comumna B con el nombre del proyecto")</f>
        <v>3-3-1-15-02-17-1114-140</v>
      </c>
      <c r="L319" s="632" t="s">
        <v>857</v>
      </c>
      <c r="M319" s="633" t="s">
        <v>864</v>
      </c>
      <c r="N319" s="634" t="str">
        <f t="shared" si="98"/>
        <v>(Cód. 279) Prestar servicios profesionales al Instituto Distrital de Patrimonio Cultural para el acompañamiento y apoyo en las actividades de asesoría técnica a terceros, revisión, evaluación, verificación y análisis de las solicitudes de intervención de los Bienes de Interés Cultural (BIC) del Distrito Capital.</v>
      </c>
      <c r="O319" s="635">
        <v>43485</v>
      </c>
      <c r="P319" s="636">
        <f>IFERROR(VLOOKUP(W319,'Estimación CRP'!$D$21:$E$30,2,FALSE),0)</f>
        <v>10</v>
      </c>
      <c r="Q319" s="637">
        <f>IF(O319="No aplica","No aplica",WORKDAY.INTL(O319,P319,1,'Estimación CRP'!A505:A521))</f>
        <v>43497</v>
      </c>
      <c r="R319" s="636">
        <f t="shared" si="99"/>
        <v>2</v>
      </c>
      <c r="S319" s="636">
        <f t="shared" si="100"/>
        <v>1</v>
      </c>
      <c r="T319" s="636">
        <f t="shared" si="101"/>
        <v>1</v>
      </c>
      <c r="U319" s="712">
        <v>8</v>
      </c>
      <c r="V319" s="638">
        <v>1</v>
      </c>
      <c r="W319" s="639" t="s">
        <v>274</v>
      </c>
      <c r="X319" s="640" t="str">
        <f>IFERROR(VLOOKUP(W319,Listas!$A$60:$B$73,2,FALSE),"Alerta: Seleccione primero Modalidad de selección")</f>
        <v>CCE-16</v>
      </c>
      <c r="Y319" s="641">
        <v>0</v>
      </c>
      <c r="Z319" s="641" t="s">
        <v>346</v>
      </c>
      <c r="AA319" s="641" t="s">
        <v>1326</v>
      </c>
      <c r="AB319" s="642">
        <f t="shared" si="102"/>
        <v>43040000</v>
      </c>
      <c r="AC319" s="642">
        <f t="shared" si="103"/>
        <v>43040000</v>
      </c>
      <c r="AD319" s="641">
        <v>0</v>
      </c>
      <c r="AE319" s="643">
        <v>0</v>
      </c>
      <c r="AF319" s="639" t="s">
        <v>276</v>
      </c>
      <c r="AG319" s="639" t="s">
        <v>277</v>
      </c>
      <c r="AH319" s="639" t="s">
        <v>573</v>
      </c>
      <c r="AI319" s="626" t="str">
        <f>IFERROR(VLOOKUP(AH319,Listas!$A$77:$C$83,2,FALSE),"Alerta: Seleccione primero el responsable")</f>
        <v>3550800</v>
      </c>
      <c r="AJ319" s="640" t="str">
        <f>IFERROR(VLOOKUP(AH319,Listas!$A$77:$C$83,3,FALSE),"Alerta: Seleccione primero el responsable")</f>
        <v>carolina.fernandez@idpc.gov.co</v>
      </c>
      <c r="AK319" s="640" t="str">
        <f>IF(J319="Funcionamiento Gastos Generales","No aplica",IF(J319="Funcionamiento Servicios Personales indirectos","No aplica",IFERROR(VLOOKUP(J319,Listas!$A$127:$E$139,3,FALSE),"Alerta: Seleccione la celda en la comumna B con el nombre del proyecto")))</f>
        <v>ME20181114</v>
      </c>
      <c r="AL319" s="640" t="str">
        <f>IF(J319="Funcionamiento Gastos Generales","No aplica",IF(J319="Funcionamiento Servicios Personales","No aplica",IFERROR(VLOOKUP(J319,Listas!$A$220:$D$224,2,FALSE),"Alerta: Seleccione la celda en la comumna B con el nombre del proyecto")))</f>
        <v>COMP1114</v>
      </c>
      <c r="AM319" s="640" t="str">
        <f>IF(J319="Funcionamiento Gastos Generales","No aplica",IF(J319="Funcionamiento Servicios Personales","No aplica",IFERROR(VLOOKUP(J319,Listas!$A$220:$D$224,3,FALSE),"Alerta: Seleccione la celda en la comumna B con el nombre del proyecto")))</f>
        <v>CONC1114</v>
      </c>
      <c r="AN319" s="633" t="s">
        <v>1053</v>
      </c>
      <c r="AO319" s="633" t="s">
        <v>391</v>
      </c>
      <c r="AP319" s="634" t="str">
        <f>IFERROR(VLOOKUP(J319,Listas!$A$182:$E$215,5,FALSE),"Alerta: Seleccione la celda en la comumna B con el nombre del proyecto")</f>
        <v>4. Obras de Intervención en Bienes muebles - inmuebles y sectores que conforman el patrimonio cultural del D.C.</v>
      </c>
      <c r="AQ319" s="634" t="str">
        <f>IF(J319="Funcionamiento Gastos Generales","No aplica",IF(J319="Funcionamiento Servicios Personales","No aplica",IFERROR(VLOOKUP(J319,Listas!$A$220:$D$224,4,FALSE),"Alerta: Seleccione la celda en la comumna B con el nombre del proyecto")))</f>
        <v>FONT1114</v>
      </c>
      <c r="AR319" s="633" t="s">
        <v>198</v>
      </c>
      <c r="AS319" s="634" t="str">
        <f>IFERROR(VLOOKUP(AU319,Listas!$E$85:$L$105,7,FALSE),"Alerta: Seleccione la celda en la comumna AI con el concepto de gasto")</f>
        <v>03-RECURSO HUMANO</v>
      </c>
      <c r="AT319" s="634" t="str">
        <f>IFERROR(VLOOKUP(AU319,Listas!$E$85:$L$105,8,FALSE),"Alerta: Seleccione la celda en la comumna AI con el concepto de gasto")</f>
        <v>04-GASTOS DE PERSONAL OPERATIVO</v>
      </c>
      <c r="AU319" s="633" t="s">
        <v>228</v>
      </c>
      <c r="AV319" s="634">
        <f>IFERROR(VLOOKUP(AU319,Listas!$E$85:$F$105,2,FALSE),"Alerta: Seleccione el Concepto de Gasto primero")</f>
        <v>0</v>
      </c>
      <c r="AW319" s="644">
        <v>43040000</v>
      </c>
      <c r="AX319" s="645"/>
      <c r="AY319" s="645"/>
      <c r="AZ319" s="645"/>
      <c r="BA319" s="646">
        <f t="shared" si="104"/>
        <v>43040000</v>
      </c>
      <c r="BB319" s="647"/>
      <c r="BC319" s="648"/>
      <c r="BD319" s="649"/>
      <c r="BE319" s="647"/>
      <c r="BF319" s="644"/>
      <c r="BG319" s="646">
        <f t="shared" si="105"/>
        <v>43040000</v>
      </c>
      <c r="BH319" s="650"/>
      <c r="BI319" s="647"/>
      <c r="BJ319" s="644"/>
      <c r="BK319" s="646">
        <f t="shared" si="106"/>
        <v>0</v>
      </c>
      <c r="BL319" s="651"/>
      <c r="BM319" s="652">
        <f t="shared" si="107"/>
        <v>1</v>
      </c>
      <c r="BN319" s="628"/>
      <c r="BO319" s="670"/>
      <c r="BP319" s="644"/>
      <c r="BQ319" s="644"/>
      <c r="BR319" s="644"/>
      <c r="BS319" s="644"/>
      <c r="BT319" s="644"/>
      <c r="BU319" s="644"/>
      <c r="BV319" s="644"/>
      <c r="BW319" s="644"/>
      <c r="BX319" s="644"/>
      <c r="BY319" s="644"/>
      <c r="BZ319" s="644"/>
      <c r="CA319" s="644"/>
      <c r="CB319" s="646">
        <f t="shared" si="108"/>
        <v>0</v>
      </c>
      <c r="CC319" s="646">
        <f t="shared" si="109"/>
        <v>0</v>
      </c>
      <c r="CD319" s="614"/>
    </row>
    <row r="320" spans="1:82" s="561" customFormat="1" ht="61.5" customHeight="1">
      <c r="A320" s="625" t="str">
        <f t="shared" si="91"/>
        <v>1114-140-FONT1114-03-04-0316-Asesoría técnica para la protección y promoción del patrimonio cultural material del distrito capital</v>
      </c>
      <c r="B320" s="626" t="str">
        <f t="shared" si="92"/>
        <v>1114-140-FONT1114-03-04-0316</v>
      </c>
      <c r="C320" s="626" t="str">
        <f t="shared" si="93"/>
        <v>1114-140-FONT1114-Asesoría técnica para la protección y promoción del patrimonio cultural material del distrito capital</v>
      </c>
      <c r="D320" s="626" t="str">
        <f t="shared" si="94"/>
        <v>1114-140-12-Otros Distrito-03-04-0316</v>
      </c>
      <c r="E320" s="626" t="str">
        <f t="shared" si="95"/>
        <v>Asesoría técnica para la protección y promoción del patrimonio cultural material del distrito capital-12-Otros Distrito-0316-Personal de apoyo para las actividades de valoración, protección y conservación del Patrimonio Cultural</v>
      </c>
      <c r="F320" s="627">
        <v>280</v>
      </c>
      <c r="G320" s="628">
        <f t="shared" si="96"/>
        <v>280</v>
      </c>
      <c r="H320" s="629" t="b">
        <f t="shared" si="97"/>
        <v>0</v>
      </c>
      <c r="I320" s="630" t="s">
        <v>594</v>
      </c>
      <c r="J320" s="627" t="s">
        <v>180</v>
      </c>
      <c r="K320" s="631" t="str">
        <f>+IFERROR(VLOOKUP(J320,Listas!$A$108:$B$114,2,FALSE),"Alerta: Seleccione la celda en la comumna B con el nombre del proyecto")</f>
        <v>3-3-1-15-02-17-1114-140</v>
      </c>
      <c r="L320" s="632" t="s">
        <v>857</v>
      </c>
      <c r="M320" s="633" t="s">
        <v>864</v>
      </c>
      <c r="N320" s="634" t="str">
        <f t="shared" si="98"/>
        <v>(Cód. 280) Prestar servicios profesionales al Instituto Distrital de Patrimonio Cultural para el acompañamiento y apoyo en las actividades de asesoría técnica a terceros, revisión, evaluación, verificación y análisis de las solicitudes de intervención de los Bienes de Interés Cultural (BIC) del Distrito Capital.</v>
      </c>
      <c r="O320" s="635">
        <v>43485</v>
      </c>
      <c r="P320" s="636">
        <f>IFERROR(VLOOKUP(W320,'Estimación CRP'!$D$21:$E$30,2,FALSE),0)</f>
        <v>10</v>
      </c>
      <c r="Q320" s="637">
        <f>IF(O320="No aplica","No aplica",WORKDAY.INTL(O320,P320,1,'Estimación CRP'!A506:A522))</f>
        <v>43497</v>
      </c>
      <c r="R320" s="636">
        <f t="shared" si="99"/>
        <v>2</v>
      </c>
      <c r="S320" s="636">
        <f t="shared" si="100"/>
        <v>1</v>
      </c>
      <c r="T320" s="636">
        <f t="shared" si="101"/>
        <v>1</v>
      </c>
      <c r="U320" s="712">
        <v>8</v>
      </c>
      <c r="V320" s="638">
        <v>1</v>
      </c>
      <c r="W320" s="639" t="s">
        <v>274</v>
      </c>
      <c r="X320" s="640" t="str">
        <f>IFERROR(VLOOKUP(W320,Listas!$A$60:$B$73,2,FALSE),"Alerta: Seleccione primero Modalidad de selección")</f>
        <v>CCE-16</v>
      </c>
      <c r="Y320" s="641">
        <v>0</v>
      </c>
      <c r="Z320" s="641" t="s">
        <v>346</v>
      </c>
      <c r="AA320" s="641" t="s">
        <v>1326</v>
      </c>
      <c r="AB320" s="642">
        <f t="shared" si="102"/>
        <v>43040000</v>
      </c>
      <c r="AC320" s="642">
        <f t="shared" si="103"/>
        <v>43040000</v>
      </c>
      <c r="AD320" s="641">
        <v>0</v>
      </c>
      <c r="AE320" s="643">
        <v>0</v>
      </c>
      <c r="AF320" s="639" t="s">
        <v>276</v>
      </c>
      <c r="AG320" s="639" t="s">
        <v>277</v>
      </c>
      <c r="AH320" s="639" t="s">
        <v>573</v>
      </c>
      <c r="AI320" s="626" t="str">
        <f>IFERROR(VLOOKUP(AH320,Listas!$A$77:$C$83,2,FALSE),"Alerta: Seleccione primero el responsable")</f>
        <v>3550800</v>
      </c>
      <c r="AJ320" s="640" t="str">
        <f>IFERROR(VLOOKUP(AH320,Listas!$A$77:$C$83,3,FALSE),"Alerta: Seleccione primero el responsable")</f>
        <v>carolina.fernandez@idpc.gov.co</v>
      </c>
      <c r="AK320" s="640" t="str">
        <f>IF(J320="Funcionamiento Gastos Generales","No aplica",IF(J320="Funcionamiento Servicios Personales indirectos","No aplica",IFERROR(VLOOKUP(J320,Listas!$A$127:$E$139,3,FALSE),"Alerta: Seleccione la celda en la comumna B con el nombre del proyecto")))</f>
        <v>ME20181114</v>
      </c>
      <c r="AL320" s="640" t="str">
        <f>IF(J320="Funcionamiento Gastos Generales","No aplica",IF(J320="Funcionamiento Servicios Personales","No aplica",IFERROR(VLOOKUP(J320,Listas!$A$220:$D$224,2,FALSE),"Alerta: Seleccione la celda en la comumna B con el nombre del proyecto")))</f>
        <v>COMP1114</v>
      </c>
      <c r="AM320" s="640" t="str">
        <f>IF(J320="Funcionamiento Gastos Generales","No aplica",IF(J320="Funcionamiento Servicios Personales","No aplica",IFERROR(VLOOKUP(J320,Listas!$A$220:$D$224,3,FALSE),"Alerta: Seleccione la celda en la comumna B con el nombre del proyecto")))</f>
        <v>CONC1114</v>
      </c>
      <c r="AN320" s="633" t="s">
        <v>1053</v>
      </c>
      <c r="AO320" s="633" t="s">
        <v>391</v>
      </c>
      <c r="AP320" s="634" t="str">
        <f>IFERROR(VLOOKUP(J320,Listas!$A$182:$E$215,5,FALSE),"Alerta: Seleccione la celda en la comumna B con el nombre del proyecto")</f>
        <v>4. Obras de Intervención en Bienes muebles - inmuebles y sectores que conforman el patrimonio cultural del D.C.</v>
      </c>
      <c r="AQ320" s="634" t="str">
        <f>IF(J320="Funcionamiento Gastos Generales","No aplica",IF(J320="Funcionamiento Servicios Personales","No aplica",IFERROR(VLOOKUP(J320,Listas!$A$220:$D$224,4,FALSE),"Alerta: Seleccione la celda en la comumna B con el nombre del proyecto")))</f>
        <v>FONT1114</v>
      </c>
      <c r="AR320" s="633" t="s">
        <v>198</v>
      </c>
      <c r="AS320" s="634" t="str">
        <f>IFERROR(VLOOKUP(AU320,Listas!$E$85:$L$105,7,FALSE),"Alerta: Seleccione la celda en la comumna AI con el concepto de gasto")</f>
        <v>03-RECURSO HUMANO</v>
      </c>
      <c r="AT320" s="634" t="str">
        <f>IFERROR(VLOOKUP(AU320,Listas!$E$85:$L$105,8,FALSE),"Alerta: Seleccione la celda en la comumna AI con el concepto de gasto")</f>
        <v>04-GASTOS DE PERSONAL OPERATIVO</v>
      </c>
      <c r="AU320" s="633" t="s">
        <v>228</v>
      </c>
      <c r="AV320" s="634">
        <f>IFERROR(VLOOKUP(AU320,Listas!$E$85:$F$105,2,FALSE),"Alerta: Seleccione el Concepto de Gasto primero")</f>
        <v>0</v>
      </c>
      <c r="AW320" s="644">
        <v>43040000</v>
      </c>
      <c r="AX320" s="645"/>
      <c r="AY320" s="645"/>
      <c r="AZ320" s="645"/>
      <c r="BA320" s="646">
        <f t="shared" si="104"/>
        <v>43040000</v>
      </c>
      <c r="BB320" s="647"/>
      <c r="BC320" s="648"/>
      <c r="BD320" s="649"/>
      <c r="BE320" s="647"/>
      <c r="BF320" s="644"/>
      <c r="BG320" s="646">
        <f t="shared" si="105"/>
        <v>43040000</v>
      </c>
      <c r="BH320" s="650"/>
      <c r="BI320" s="647"/>
      <c r="BJ320" s="644"/>
      <c r="BK320" s="646">
        <f t="shared" si="106"/>
        <v>0</v>
      </c>
      <c r="BL320" s="651"/>
      <c r="BM320" s="652">
        <f t="shared" si="107"/>
        <v>1</v>
      </c>
      <c r="BN320" s="628"/>
      <c r="BO320" s="670"/>
      <c r="BP320" s="644"/>
      <c r="BQ320" s="644"/>
      <c r="BR320" s="644"/>
      <c r="BS320" s="644"/>
      <c r="BT320" s="644"/>
      <c r="BU320" s="644"/>
      <c r="BV320" s="644"/>
      <c r="BW320" s="644"/>
      <c r="BX320" s="644"/>
      <c r="BY320" s="644"/>
      <c r="BZ320" s="644"/>
      <c r="CA320" s="644"/>
      <c r="CB320" s="646">
        <f t="shared" si="108"/>
        <v>0</v>
      </c>
      <c r="CC320" s="646">
        <f t="shared" si="109"/>
        <v>0</v>
      </c>
      <c r="CD320" s="614"/>
    </row>
    <row r="321" spans="1:85" s="561" customFormat="1" ht="61.5" customHeight="1">
      <c r="A321" s="625" t="str">
        <f t="shared" si="91"/>
        <v>1114-140-FONT1114-03-04-0316-Asesoría técnica para la protección y promoción del patrimonio cultural material del distrito capital</v>
      </c>
      <c r="B321" s="626" t="str">
        <f t="shared" si="92"/>
        <v>1114-140-FONT1114-03-04-0316</v>
      </c>
      <c r="C321" s="626" t="str">
        <f t="shared" si="93"/>
        <v>1114-140-FONT1114-Asesoría técnica para la protección y promoción del patrimonio cultural material del distrito capital</v>
      </c>
      <c r="D321" s="626" t="str">
        <f t="shared" si="94"/>
        <v>1114-140-12-Otros Distrito-03-04-0316</v>
      </c>
      <c r="E321" s="626" t="str">
        <f t="shared" si="95"/>
        <v>Asesoría técnica para la protección y promoción del patrimonio cultural material del distrito capital-12-Otros Distrito-0316-Personal de apoyo para las actividades de valoración, protección y conservación del Patrimonio Cultural</v>
      </c>
      <c r="F321" s="627">
        <v>281</v>
      </c>
      <c r="G321" s="628">
        <f t="shared" si="96"/>
        <v>281</v>
      </c>
      <c r="H321" s="629" t="b">
        <f t="shared" si="97"/>
        <v>0</v>
      </c>
      <c r="I321" s="630" t="s">
        <v>594</v>
      </c>
      <c r="J321" s="627" t="s">
        <v>180</v>
      </c>
      <c r="K321" s="631" t="str">
        <f>+IFERROR(VLOOKUP(J321,Listas!$A$108:$B$114,2,FALSE),"Alerta: Seleccione la celda en la comumna B con el nombre del proyecto")</f>
        <v>3-3-1-15-02-17-1114-140</v>
      </c>
      <c r="L321" s="632" t="s">
        <v>857</v>
      </c>
      <c r="M321" s="633" t="s">
        <v>864</v>
      </c>
      <c r="N321" s="634" t="str">
        <f t="shared" si="98"/>
        <v>(Cód. 281) Prestar servicios profesionales al Instituto Distrital de Patrimonio Cultural para el acompañamiento y apoyo en las actividades de asesoría técnica a terceros, revisión, evaluación, verificación y análisis de las solicitudes de intervención de los Bienes de Interés Cultural (BIC) del Distrito Capital.</v>
      </c>
      <c r="O321" s="635">
        <v>43485</v>
      </c>
      <c r="P321" s="636">
        <f>IFERROR(VLOOKUP(W321,'Estimación CRP'!$D$21:$E$30,2,FALSE),0)</f>
        <v>10</v>
      </c>
      <c r="Q321" s="637">
        <f>IF(O321="No aplica","No aplica",WORKDAY.INTL(O321,P321,1,'Estimación CRP'!A507:A523))</f>
        <v>43497</v>
      </c>
      <c r="R321" s="636">
        <f t="shared" si="99"/>
        <v>2</v>
      </c>
      <c r="S321" s="636">
        <f t="shared" si="100"/>
        <v>1</v>
      </c>
      <c r="T321" s="636">
        <f t="shared" si="101"/>
        <v>1</v>
      </c>
      <c r="U321" s="712">
        <v>8</v>
      </c>
      <c r="V321" s="638">
        <v>1</v>
      </c>
      <c r="W321" s="639" t="s">
        <v>274</v>
      </c>
      <c r="X321" s="640" t="str">
        <f>IFERROR(VLOOKUP(W321,Listas!$A$60:$B$73,2,FALSE),"Alerta: Seleccione primero Modalidad de selección")</f>
        <v>CCE-16</v>
      </c>
      <c r="Y321" s="641">
        <v>0</v>
      </c>
      <c r="Z321" s="641" t="s">
        <v>346</v>
      </c>
      <c r="AA321" s="641" t="s">
        <v>1326</v>
      </c>
      <c r="AB321" s="642">
        <f t="shared" si="102"/>
        <v>43040000</v>
      </c>
      <c r="AC321" s="642">
        <f t="shared" si="103"/>
        <v>43040000</v>
      </c>
      <c r="AD321" s="641">
        <v>0</v>
      </c>
      <c r="AE321" s="643">
        <v>0</v>
      </c>
      <c r="AF321" s="639" t="s">
        <v>276</v>
      </c>
      <c r="AG321" s="639" t="s">
        <v>277</v>
      </c>
      <c r="AH321" s="639" t="s">
        <v>573</v>
      </c>
      <c r="AI321" s="626" t="str">
        <f>IFERROR(VLOOKUP(AH321,Listas!$A$77:$C$83,2,FALSE),"Alerta: Seleccione primero el responsable")</f>
        <v>3550800</v>
      </c>
      <c r="AJ321" s="640" t="str">
        <f>IFERROR(VLOOKUP(AH321,Listas!$A$77:$C$83,3,FALSE),"Alerta: Seleccione primero el responsable")</f>
        <v>carolina.fernandez@idpc.gov.co</v>
      </c>
      <c r="AK321" s="640" t="str">
        <f>IF(J321="Funcionamiento Gastos Generales","No aplica",IF(J321="Funcionamiento Servicios Personales indirectos","No aplica",IFERROR(VLOOKUP(J321,Listas!$A$127:$E$139,3,FALSE),"Alerta: Seleccione la celda en la comumna B con el nombre del proyecto")))</f>
        <v>ME20181114</v>
      </c>
      <c r="AL321" s="640" t="str">
        <f>IF(J321="Funcionamiento Gastos Generales","No aplica",IF(J321="Funcionamiento Servicios Personales","No aplica",IFERROR(VLOOKUP(J321,Listas!$A$220:$D$224,2,FALSE),"Alerta: Seleccione la celda en la comumna B con el nombre del proyecto")))</f>
        <v>COMP1114</v>
      </c>
      <c r="AM321" s="640" t="str">
        <f>IF(J321="Funcionamiento Gastos Generales","No aplica",IF(J321="Funcionamiento Servicios Personales","No aplica",IFERROR(VLOOKUP(J321,Listas!$A$220:$D$224,3,FALSE),"Alerta: Seleccione la celda en la comumna B con el nombre del proyecto")))</f>
        <v>CONC1114</v>
      </c>
      <c r="AN321" s="633" t="s">
        <v>1053</v>
      </c>
      <c r="AO321" s="633" t="s">
        <v>391</v>
      </c>
      <c r="AP321" s="634" t="str">
        <f>IFERROR(VLOOKUP(J321,Listas!$A$182:$E$215,5,FALSE),"Alerta: Seleccione la celda en la comumna B con el nombre del proyecto")</f>
        <v>4. Obras de Intervención en Bienes muebles - inmuebles y sectores que conforman el patrimonio cultural del D.C.</v>
      </c>
      <c r="AQ321" s="634" t="str">
        <f>IF(J321="Funcionamiento Gastos Generales","No aplica",IF(J321="Funcionamiento Servicios Personales","No aplica",IFERROR(VLOOKUP(J321,Listas!$A$220:$D$224,4,FALSE),"Alerta: Seleccione la celda en la comumna B con el nombre del proyecto")))</f>
        <v>FONT1114</v>
      </c>
      <c r="AR321" s="633" t="s">
        <v>198</v>
      </c>
      <c r="AS321" s="634" t="str">
        <f>IFERROR(VLOOKUP(AU321,Listas!$E$85:$L$105,7,FALSE),"Alerta: Seleccione la celda en la comumna AI con el concepto de gasto")</f>
        <v>03-RECURSO HUMANO</v>
      </c>
      <c r="AT321" s="634" t="str">
        <f>IFERROR(VLOOKUP(AU321,Listas!$E$85:$L$105,8,FALSE),"Alerta: Seleccione la celda en la comumna AI con el concepto de gasto")</f>
        <v>04-GASTOS DE PERSONAL OPERATIVO</v>
      </c>
      <c r="AU321" s="633" t="s">
        <v>228</v>
      </c>
      <c r="AV321" s="634">
        <f>IFERROR(VLOOKUP(AU321,Listas!$E$85:$F$105,2,FALSE),"Alerta: Seleccione el Concepto de Gasto primero")</f>
        <v>0</v>
      </c>
      <c r="AW321" s="644">
        <v>43040000</v>
      </c>
      <c r="AX321" s="645"/>
      <c r="AY321" s="645"/>
      <c r="AZ321" s="645"/>
      <c r="BA321" s="646">
        <f t="shared" si="104"/>
        <v>43040000</v>
      </c>
      <c r="BB321" s="647"/>
      <c r="BC321" s="648"/>
      <c r="BD321" s="649"/>
      <c r="BE321" s="647"/>
      <c r="BF321" s="644"/>
      <c r="BG321" s="646">
        <f t="shared" si="105"/>
        <v>43040000</v>
      </c>
      <c r="BH321" s="650"/>
      <c r="BI321" s="647"/>
      <c r="BJ321" s="644"/>
      <c r="BK321" s="646">
        <f t="shared" si="106"/>
        <v>0</v>
      </c>
      <c r="BL321" s="651"/>
      <c r="BM321" s="652">
        <f t="shared" si="107"/>
        <v>1</v>
      </c>
      <c r="BN321" s="628"/>
      <c r="BO321" s="670"/>
      <c r="BP321" s="644"/>
      <c r="BQ321" s="644"/>
      <c r="BR321" s="644"/>
      <c r="BS321" s="644"/>
      <c r="BT321" s="644"/>
      <c r="BU321" s="644"/>
      <c r="BV321" s="644"/>
      <c r="BW321" s="644"/>
      <c r="BX321" s="644"/>
      <c r="BY321" s="644"/>
      <c r="BZ321" s="644"/>
      <c r="CA321" s="644"/>
      <c r="CB321" s="646">
        <f t="shared" si="108"/>
        <v>0</v>
      </c>
      <c r="CC321" s="646">
        <f t="shared" si="109"/>
        <v>0</v>
      </c>
      <c r="CD321" s="614"/>
    </row>
    <row r="322" spans="1:85" s="561" customFormat="1" ht="61.5" customHeight="1">
      <c r="A322" s="625" t="str">
        <f t="shared" si="91"/>
        <v>1114-140-FONT1114-03-04-0316-Asesoría técnica para la protección y promoción del patrimonio cultural material del distrito capital</v>
      </c>
      <c r="B322" s="626" t="str">
        <f t="shared" si="92"/>
        <v>1114-140-FONT1114-03-04-0316</v>
      </c>
      <c r="C322" s="626" t="str">
        <f t="shared" si="93"/>
        <v>1114-140-FONT1114-Asesoría técnica para la protección y promoción del patrimonio cultural material del distrito capital</v>
      </c>
      <c r="D322" s="626" t="str">
        <f t="shared" si="94"/>
        <v>1114-140-12-Otros Distrito-03-04-0316</v>
      </c>
      <c r="E322" s="626" t="str">
        <f t="shared" si="95"/>
        <v>Asesoría técnica para la protección y promoción del patrimonio cultural material del distrito capital-12-Otros Distrito-0316-Personal de apoyo para las actividades de valoración, protección y conservación del Patrimonio Cultural</v>
      </c>
      <c r="F322" s="627">
        <v>282</v>
      </c>
      <c r="G322" s="628">
        <f t="shared" si="96"/>
        <v>282</v>
      </c>
      <c r="H322" s="629" t="b">
        <f t="shared" si="97"/>
        <v>0</v>
      </c>
      <c r="I322" s="630" t="s">
        <v>594</v>
      </c>
      <c r="J322" s="627" t="s">
        <v>180</v>
      </c>
      <c r="K322" s="631" t="str">
        <f>+IFERROR(VLOOKUP(J322,Listas!$A$108:$B$114,2,FALSE),"Alerta: Seleccione la celda en la comumna B con el nombre del proyecto")</f>
        <v>3-3-1-15-02-17-1114-140</v>
      </c>
      <c r="L322" s="632" t="s">
        <v>857</v>
      </c>
      <c r="M322" s="633" t="s">
        <v>864</v>
      </c>
      <c r="N322" s="634" t="str">
        <f t="shared" si="98"/>
        <v>(Cód. 282) Prestar servicios profesionales al Instituto Distrital de Patrimonio Cultural para el acompañamiento y apoyo en las actividades de asesoría técnica a terceros, revisión, evaluación, verificación y análisis de las solicitudes de intervención de los Bienes de Interés Cultural (BIC) del Distrito Capital.</v>
      </c>
      <c r="O322" s="635">
        <v>43485</v>
      </c>
      <c r="P322" s="636">
        <f>IFERROR(VLOOKUP(W322,'Estimación CRP'!$D$21:$E$30,2,FALSE),0)</f>
        <v>10</v>
      </c>
      <c r="Q322" s="637">
        <f>IF(O322="No aplica","No aplica",WORKDAY.INTL(O322,P322,1,'Estimación CRP'!A508:A524))</f>
        <v>43497</v>
      </c>
      <c r="R322" s="636">
        <f t="shared" si="99"/>
        <v>2</v>
      </c>
      <c r="S322" s="636">
        <f t="shared" si="100"/>
        <v>1</v>
      </c>
      <c r="T322" s="636">
        <f t="shared" si="101"/>
        <v>1</v>
      </c>
      <c r="U322" s="712">
        <v>8</v>
      </c>
      <c r="V322" s="638">
        <v>1</v>
      </c>
      <c r="W322" s="639" t="s">
        <v>274</v>
      </c>
      <c r="X322" s="640" t="str">
        <f>IFERROR(VLOOKUP(W322,Listas!$A$60:$B$73,2,FALSE),"Alerta: Seleccione primero Modalidad de selección")</f>
        <v>CCE-16</v>
      </c>
      <c r="Y322" s="641">
        <v>0</v>
      </c>
      <c r="Z322" s="641" t="s">
        <v>346</v>
      </c>
      <c r="AA322" s="641" t="s">
        <v>1326</v>
      </c>
      <c r="AB322" s="642">
        <f t="shared" si="102"/>
        <v>43040000</v>
      </c>
      <c r="AC322" s="642">
        <f t="shared" si="103"/>
        <v>43040000</v>
      </c>
      <c r="AD322" s="641">
        <v>0</v>
      </c>
      <c r="AE322" s="643">
        <v>0</v>
      </c>
      <c r="AF322" s="639" t="s">
        <v>276</v>
      </c>
      <c r="AG322" s="639" t="s">
        <v>277</v>
      </c>
      <c r="AH322" s="639" t="s">
        <v>573</v>
      </c>
      <c r="AI322" s="626" t="str">
        <f>IFERROR(VLOOKUP(AH322,Listas!$A$77:$C$83,2,FALSE),"Alerta: Seleccione primero el responsable")</f>
        <v>3550800</v>
      </c>
      <c r="AJ322" s="640" t="str">
        <f>IFERROR(VLOOKUP(AH322,Listas!$A$77:$C$83,3,FALSE),"Alerta: Seleccione primero el responsable")</f>
        <v>carolina.fernandez@idpc.gov.co</v>
      </c>
      <c r="AK322" s="640" t="str">
        <f>IF(J322="Funcionamiento Gastos Generales","No aplica",IF(J322="Funcionamiento Servicios Personales indirectos","No aplica",IFERROR(VLOOKUP(J322,Listas!$A$127:$E$139,3,FALSE),"Alerta: Seleccione la celda en la comumna B con el nombre del proyecto")))</f>
        <v>ME20181114</v>
      </c>
      <c r="AL322" s="640" t="str">
        <f>IF(J322="Funcionamiento Gastos Generales","No aplica",IF(J322="Funcionamiento Servicios Personales","No aplica",IFERROR(VLOOKUP(J322,Listas!$A$220:$D$224,2,FALSE),"Alerta: Seleccione la celda en la comumna B con el nombre del proyecto")))</f>
        <v>COMP1114</v>
      </c>
      <c r="AM322" s="640" t="str">
        <f>IF(J322="Funcionamiento Gastos Generales","No aplica",IF(J322="Funcionamiento Servicios Personales","No aplica",IFERROR(VLOOKUP(J322,Listas!$A$220:$D$224,3,FALSE),"Alerta: Seleccione la celda en la comumna B con el nombre del proyecto")))</f>
        <v>CONC1114</v>
      </c>
      <c r="AN322" s="633" t="s">
        <v>1053</v>
      </c>
      <c r="AO322" s="633" t="s">
        <v>391</v>
      </c>
      <c r="AP322" s="634" t="str">
        <f>IFERROR(VLOOKUP(J322,Listas!$A$182:$E$215,5,FALSE),"Alerta: Seleccione la celda en la comumna B con el nombre del proyecto")</f>
        <v>4. Obras de Intervención en Bienes muebles - inmuebles y sectores que conforman el patrimonio cultural del D.C.</v>
      </c>
      <c r="AQ322" s="634" t="str">
        <f>IF(J322="Funcionamiento Gastos Generales","No aplica",IF(J322="Funcionamiento Servicios Personales","No aplica",IFERROR(VLOOKUP(J322,Listas!$A$220:$D$224,4,FALSE),"Alerta: Seleccione la celda en la comumna B con el nombre del proyecto")))</f>
        <v>FONT1114</v>
      </c>
      <c r="AR322" s="633" t="s">
        <v>198</v>
      </c>
      <c r="AS322" s="634" t="str">
        <f>IFERROR(VLOOKUP(AU322,Listas!$E$85:$L$105,7,FALSE),"Alerta: Seleccione la celda en la comumna AI con el concepto de gasto")</f>
        <v>03-RECURSO HUMANO</v>
      </c>
      <c r="AT322" s="634" t="str">
        <f>IFERROR(VLOOKUP(AU322,Listas!$E$85:$L$105,8,FALSE),"Alerta: Seleccione la celda en la comumna AI con el concepto de gasto")</f>
        <v>04-GASTOS DE PERSONAL OPERATIVO</v>
      </c>
      <c r="AU322" s="633" t="s">
        <v>228</v>
      </c>
      <c r="AV322" s="634">
        <f>IFERROR(VLOOKUP(AU322,Listas!$E$85:$F$105,2,FALSE),"Alerta: Seleccione el Concepto de Gasto primero")</f>
        <v>0</v>
      </c>
      <c r="AW322" s="644">
        <v>43040000</v>
      </c>
      <c r="AX322" s="645"/>
      <c r="AY322" s="645"/>
      <c r="AZ322" s="645"/>
      <c r="BA322" s="646">
        <f t="shared" si="104"/>
        <v>43040000</v>
      </c>
      <c r="BB322" s="647"/>
      <c r="BC322" s="648"/>
      <c r="BD322" s="649"/>
      <c r="BE322" s="647"/>
      <c r="BF322" s="644"/>
      <c r="BG322" s="646">
        <f t="shared" si="105"/>
        <v>43040000</v>
      </c>
      <c r="BH322" s="650"/>
      <c r="BI322" s="647"/>
      <c r="BJ322" s="644"/>
      <c r="BK322" s="646">
        <f t="shared" si="106"/>
        <v>0</v>
      </c>
      <c r="BL322" s="651"/>
      <c r="BM322" s="652">
        <f t="shared" si="107"/>
        <v>1</v>
      </c>
      <c r="BN322" s="628"/>
      <c r="BO322" s="670"/>
      <c r="BP322" s="644"/>
      <c r="BQ322" s="644"/>
      <c r="BR322" s="644"/>
      <c r="BS322" s="644"/>
      <c r="BT322" s="644"/>
      <c r="BU322" s="644"/>
      <c r="BV322" s="644"/>
      <c r="BW322" s="644"/>
      <c r="BX322" s="644"/>
      <c r="BY322" s="644"/>
      <c r="BZ322" s="644"/>
      <c r="CA322" s="644"/>
      <c r="CB322" s="646">
        <f t="shared" si="108"/>
        <v>0</v>
      </c>
      <c r="CC322" s="646">
        <f t="shared" si="109"/>
        <v>0</v>
      </c>
      <c r="CD322" s="614"/>
    </row>
    <row r="323" spans="1:85" s="561" customFormat="1" ht="61.5" customHeight="1">
      <c r="A323" s="625" t="str">
        <f t="shared" si="91"/>
        <v>1114-140-FONT1114-03-04-0316-Asesoría técnica para la protección y promoción del patrimonio cultural material del distrito capital</v>
      </c>
      <c r="B323" s="626" t="str">
        <f t="shared" si="92"/>
        <v>1114-140-FONT1114-03-04-0316</v>
      </c>
      <c r="C323" s="626" t="str">
        <f t="shared" si="93"/>
        <v>1114-140-FONT1114-Asesoría técnica para la protección y promoción del patrimonio cultural material del distrito capital</v>
      </c>
      <c r="D323" s="626" t="str">
        <f t="shared" si="94"/>
        <v>1114-140-12-Otros Distrito-03-04-0316</v>
      </c>
      <c r="E323" s="626" t="str">
        <f t="shared" si="95"/>
        <v>Asesoría técnica para la protección y promoción del patrimonio cultural material del distrito capital-12-Otros Distrito-0316-Personal de apoyo para las actividades de valoración, protección y conservación del Patrimonio Cultural</v>
      </c>
      <c r="F323" s="627">
        <v>283</v>
      </c>
      <c r="G323" s="628">
        <f t="shared" si="96"/>
        <v>283</v>
      </c>
      <c r="H323" s="629" t="b">
        <f t="shared" si="97"/>
        <v>0</v>
      </c>
      <c r="I323" s="630" t="s">
        <v>594</v>
      </c>
      <c r="J323" s="627" t="s">
        <v>180</v>
      </c>
      <c r="K323" s="631" t="str">
        <f>+IFERROR(VLOOKUP(J323,Listas!$A$108:$B$114,2,FALSE),"Alerta: Seleccione la celda en la comumna B con el nombre del proyecto")</f>
        <v>3-3-1-15-02-17-1114-140</v>
      </c>
      <c r="L323" s="632" t="s">
        <v>857</v>
      </c>
      <c r="M323" s="633" t="s">
        <v>864</v>
      </c>
      <c r="N323" s="634" t="str">
        <f t="shared" si="98"/>
        <v>(Cód. 283) Prestar servicios profesionales al Instituto Distrital de Patrimonio Cultural para el acompañamiento y apoyo en las actividades de asesoría técnica a terceros, revisión, evaluación, verificación y análisis de las solicitudes de intervención de los Bienes de Interés Cultural (BIC) del Distrito Capital.</v>
      </c>
      <c r="O323" s="635">
        <v>43485</v>
      </c>
      <c r="P323" s="636">
        <f>IFERROR(VLOOKUP(W323,'Estimación CRP'!$D$21:$E$30,2,FALSE),0)</f>
        <v>10</v>
      </c>
      <c r="Q323" s="637">
        <f>IF(O323="No aplica","No aplica",WORKDAY.INTL(O323,P323,1,'Estimación CRP'!A509:A525))</f>
        <v>43497</v>
      </c>
      <c r="R323" s="636">
        <f t="shared" si="99"/>
        <v>2</v>
      </c>
      <c r="S323" s="636">
        <f t="shared" si="100"/>
        <v>1</v>
      </c>
      <c r="T323" s="636">
        <f t="shared" si="101"/>
        <v>1</v>
      </c>
      <c r="U323" s="712">
        <v>8</v>
      </c>
      <c r="V323" s="638">
        <v>1</v>
      </c>
      <c r="W323" s="639" t="s">
        <v>274</v>
      </c>
      <c r="X323" s="640" t="str">
        <f>IFERROR(VLOOKUP(W323,Listas!$A$60:$B$73,2,FALSE),"Alerta: Seleccione primero Modalidad de selección")</f>
        <v>CCE-16</v>
      </c>
      <c r="Y323" s="641">
        <v>0</v>
      </c>
      <c r="Z323" s="641" t="s">
        <v>346</v>
      </c>
      <c r="AA323" s="641" t="s">
        <v>1326</v>
      </c>
      <c r="AB323" s="642">
        <f t="shared" si="102"/>
        <v>43040000</v>
      </c>
      <c r="AC323" s="642">
        <f t="shared" si="103"/>
        <v>43040000</v>
      </c>
      <c r="AD323" s="641">
        <v>0</v>
      </c>
      <c r="AE323" s="643">
        <v>0</v>
      </c>
      <c r="AF323" s="639" t="s">
        <v>276</v>
      </c>
      <c r="AG323" s="639" t="s">
        <v>277</v>
      </c>
      <c r="AH323" s="639" t="s">
        <v>573</v>
      </c>
      <c r="AI323" s="626" t="str">
        <f>IFERROR(VLOOKUP(AH323,Listas!$A$77:$C$83,2,FALSE),"Alerta: Seleccione primero el responsable")</f>
        <v>3550800</v>
      </c>
      <c r="AJ323" s="640" t="str">
        <f>IFERROR(VLOOKUP(AH323,Listas!$A$77:$C$83,3,FALSE),"Alerta: Seleccione primero el responsable")</f>
        <v>carolina.fernandez@idpc.gov.co</v>
      </c>
      <c r="AK323" s="640" t="str">
        <f>IF(J323="Funcionamiento Gastos Generales","No aplica",IF(J323="Funcionamiento Servicios Personales indirectos","No aplica",IFERROR(VLOOKUP(J323,Listas!$A$127:$E$139,3,FALSE),"Alerta: Seleccione la celda en la comumna B con el nombre del proyecto")))</f>
        <v>ME20181114</v>
      </c>
      <c r="AL323" s="640" t="str">
        <f>IF(J323="Funcionamiento Gastos Generales","No aplica",IF(J323="Funcionamiento Servicios Personales","No aplica",IFERROR(VLOOKUP(J323,Listas!$A$220:$D$224,2,FALSE),"Alerta: Seleccione la celda en la comumna B con el nombre del proyecto")))</f>
        <v>COMP1114</v>
      </c>
      <c r="AM323" s="640" t="str">
        <f>IF(J323="Funcionamiento Gastos Generales","No aplica",IF(J323="Funcionamiento Servicios Personales","No aplica",IFERROR(VLOOKUP(J323,Listas!$A$220:$D$224,3,FALSE),"Alerta: Seleccione la celda en la comumna B con el nombre del proyecto")))</f>
        <v>CONC1114</v>
      </c>
      <c r="AN323" s="633" t="s">
        <v>1053</v>
      </c>
      <c r="AO323" s="633" t="s">
        <v>391</v>
      </c>
      <c r="AP323" s="634" t="str">
        <f>IFERROR(VLOOKUP(J323,Listas!$A$182:$E$215,5,FALSE),"Alerta: Seleccione la celda en la comumna B con el nombre del proyecto")</f>
        <v>4. Obras de Intervención en Bienes muebles - inmuebles y sectores que conforman el patrimonio cultural del D.C.</v>
      </c>
      <c r="AQ323" s="634" t="str">
        <f>IF(J323="Funcionamiento Gastos Generales","No aplica",IF(J323="Funcionamiento Servicios Personales","No aplica",IFERROR(VLOOKUP(J323,Listas!$A$220:$D$224,4,FALSE),"Alerta: Seleccione la celda en la comumna B con el nombre del proyecto")))</f>
        <v>FONT1114</v>
      </c>
      <c r="AR323" s="633" t="s">
        <v>198</v>
      </c>
      <c r="AS323" s="634" t="str">
        <f>IFERROR(VLOOKUP(AU323,Listas!$E$85:$L$105,7,FALSE),"Alerta: Seleccione la celda en la comumna AI con el concepto de gasto")</f>
        <v>03-RECURSO HUMANO</v>
      </c>
      <c r="AT323" s="634" t="str">
        <f>IFERROR(VLOOKUP(AU323,Listas!$E$85:$L$105,8,FALSE),"Alerta: Seleccione la celda en la comumna AI con el concepto de gasto")</f>
        <v>04-GASTOS DE PERSONAL OPERATIVO</v>
      </c>
      <c r="AU323" s="633" t="s">
        <v>228</v>
      </c>
      <c r="AV323" s="634">
        <f>IFERROR(VLOOKUP(AU323,Listas!$E$85:$F$105,2,FALSE),"Alerta: Seleccione el Concepto de Gasto primero")</f>
        <v>0</v>
      </c>
      <c r="AW323" s="644">
        <v>43040000</v>
      </c>
      <c r="AX323" s="645"/>
      <c r="AY323" s="645"/>
      <c r="AZ323" s="645"/>
      <c r="BA323" s="646">
        <f t="shared" si="104"/>
        <v>43040000</v>
      </c>
      <c r="BB323" s="647"/>
      <c r="BC323" s="648"/>
      <c r="BD323" s="649"/>
      <c r="BE323" s="647"/>
      <c r="BF323" s="644"/>
      <c r="BG323" s="646">
        <f t="shared" si="105"/>
        <v>43040000</v>
      </c>
      <c r="BH323" s="650"/>
      <c r="BI323" s="647"/>
      <c r="BJ323" s="644"/>
      <c r="BK323" s="646">
        <f t="shared" si="106"/>
        <v>0</v>
      </c>
      <c r="BL323" s="651"/>
      <c r="BM323" s="652">
        <f t="shared" si="107"/>
        <v>1</v>
      </c>
      <c r="BN323" s="628"/>
      <c r="BO323" s="670"/>
      <c r="BP323" s="644"/>
      <c r="BQ323" s="644"/>
      <c r="BR323" s="644"/>
      <c r="BS323" s="644"/>
      <c r="BT323" s="644"/>
      <c r="BU323" s="644"/>
      <c r="BV323" s="644"/>
      <c r="BW323" s="644"/>
      <c r="BX323" s="644"/>
      <c r="BY323" s="644"/>
      <c r="BZ323" s="644"/>
      <c r="CA323" s="644"/>
      <c r="CB323" s="646">
        <f t="shared" si="108"/>
        <v>0</v>
      </c>
      <c r="CC323" s="646">
        <f t="shared" si="109"/>
        <v>0</v>
      </c>
      <c r="CD323" s="614"/>
      <c r="CG323" s="561" t="s">
        <v>589</v>
      </c>
    </row>
    <row r="324" spans="1:85" s="561" customFormat="1" ht="61.5" customHeight="1">
      <c r="A324" s="625" t="str">
        <f t="shared" si="91"/>
        <v>1114-140-FONT1114-03-04-0316-Asesoría técnica para la protección y promoción del patrimonio cultural material del distrito capital</v>
      </c>
      <c r="B324" s="626" t="str">
        <f t="shared" si="92"/>
        <v>1114-140-FONT1114-03-04-0316</v>
      </c>
      <c r="C324" s="626" t="str">
        <f t="shared" si="93"/>
        <v>1114-140-FONT1114-Asesoría técnica para la protección y promoción del patrimonio cultural material del distrito capital</v>
      </c>
      <c r="D324" s="626" t="str">
        <f t="shared" si="94"/>
        <v>1114-140-12-Otros Distrito-03-04-0316</v>
      </c>
      <c r="E324" s="626" t="str">
        <f t="shared" si="95"/>
        <v>Asesoría técnica para la protección y promoción del patrimonio cultural material del distrito capital-12-Otros Distrito-0316-Personal de apoyo para las actividades de valoración, protección y conservación del Patrimonio Cultural</v>
      </c>
      <c r="F324" s="627">
        <v>284</v>
      </c>
      <c r="G324" s="628">
        <f t="shared" si="96"/>
        <v>284</v>
      </c>
      <c r="H324" s="629" t="b">
        <f t="shared" si="97"/>
        <v>0</v>
      </c>
      <c r="I324" s="630" t="s">
        <v>594</v>
      </c>
      <c r="J324" s="627" t="s">
        <v>180</v>
      </c>
      <c r="K324" s="631" t="str">
        <f>+IFERROR(VLOOKUP(J324,Listas!$A$108:$B$114,2,FALSE),"Alerta: Seleccione la celda en la comumna B con el nombre del proyecto")</f>
        <v>3-3-1-15-02-17-1114-140</v>
      </c>
      <c r="L324" s="632" t="s">
        <v>857</v>
      </c>
      <c r="M324" s="633" t="s">
        <v>864</v>
      </c>
      <c r="N324" s="634" t="str">
        <f t="shared" si="98"/>
        <v>(Cód. 284) Prestar servicios profesionales al Instituto Distrital de Patrimonio Cultural para el acompañamiento y apoyo en las actividades de asesoría técnica a terceros, revisión, evaluación, verificación y análisis de las solicitudes de intervención de los Bienes de Interés Cultural (BIC) del Distrito Capital.</v>
      </c>
      <c r="O324" s="635">
        <v>43485</v>
      </c>
      <c r="P324" s="636">
        <f>IFERROR(VLOOKUP(W324,'Estimación CRP'!$D$21:$E$30,2,FALSE),0)</f>
        <v>10</v>
      </c>
      <c r="Q324" s="637">
        <f>IF(O324="No aplica","No aplica",WORKDAY.INTL(O324,P324,1,'Estimación CRP'!A510:A526))</f>
        <v>43497</v>
      </c>
      <c r="R324" s="636">
        <f t="shared" si="99"/>
        <v>2</v>
      </c>
      <c r="S324" s="636">
        <f t="shared" si="100"/>
        <v>1</v>
      </c>
      <c r="T324" s="636">
        <f t="shared" si="101"/>
        <v>1</v>
      </c>
      <c r="U324" s="712">
        <v>8</v>
      </c>
      <c r="V324" s="638">
        <v>1</v>
      </c>
      <c r="W324" s="639" t="s">
        <v>274</v>
      </c>
      <c r="X324" s="640" t="str">
        <f>IFERROR(VLOOKUP(W324,Listas!$A$60:$B$73,2,FALSE),"Alerta: Seleccione primero Modalidad de selección")</f>
        <v>CCE-16</v>
      </c>
      <c r="Y324" s="641">
        <v>0</v>
      </c>
      <c r="Z324" s="641" t="s">
        <v>346</v>
      </c>
      <c r="AA324" s="641" t="s">
        <v>1326</v>
      </c>
      <c r="AB324" s="642">
        <f t="shared" si="102"/>
        <v>43040000</v>
      </c>
      <c r="AC324" s="642">
        <f t="shared" si="103"/>
        <v>43040000</v>
      </c>
      <c r="AD324" s="641">
        <v>0</v>
      </c>
      <c r="AE324" s="643">
        <v>0</v>
      </c>
      <c r="AF324" s="639" t="s">
        <v>276</v>
      </c>
      <c r="AG324" s="639" t="s">
        <v>277</v>
      </c>
      <c r="AH324" s="639" t="s">
        <v>573</v>
      </c>
      <c r="AI324" s="626" t="str">
        <f>IFERROR(VLOOKUP(AH324,Listas!$A$77:$C$83,2,FALSE),"Alerta: Seleccione primero el responsable")</f>
        <v>3550800</v>
      </c>
      <c r="AJ324" s="640" t="str">
        <f>IFERROR(VLOOKUP(AH324,Listas!$A$77:$C$83,3,FALSE),"Alerta: Seleccione primero el responsable")</f>
        <v>carolina.fernandez@idpc.gov.co</v>
      </c>
      <c r="AK324" s="640" t="str">
        <f>IF(J324="Funcionamiento Gastos Generales","No aplica",IF(J324="Funcionamiento Servicios Personales indirectos","No aplica",IFERROR(VLOOKUP(J324,Listas!$A$127:$E$139,3,FALSE),"Alerta: Seleccione la celda en la comumna B con el nombre del proyecto")))</f>
        <v>ME20181114</v>
      </c>
      <c r="AL324" s="640" t="str">
        <f>IF(J324="Funcionamiento Gastos Generales","No aplica",IF(J324="Funcionamiento Servicios Personales","No aplica",IFERROR(VLOOKUP(J324,Listas!$A$220:$D$224,2,FALSE),"Alerta: Seleccione la celda en la comumna B con el nombre del proyecto")))</f>
        <v>COMP1114</v>
      </c>
      <c r="AM324" s="640" t="str">
        <f>IF(J324="Funcionamiento Gastos Generales","No aplica",IF(J324="Funcionamiento Servicios Personales","No aplica",IFERROR(VLOOKUP(J324,Listas!$A$220:$D$224,3,FALSE),"Alerta: Seleccione la celda en la comumna B con el nombre del proyecto")))</f>
        <v>CONC1114</v>
      </c>
      <c r="AN324" s="633" t="s">
        <v>1053</v>
      </c>
      <c r="AO324" s="633" t="s">
        <v>391</v>
      </c>
      <c r="AP324" s="634" t="str">
        <f>IFERROR(VLOOKUP(J324,Listas!$A$182:$E$215,5,FALSE),"Alerta: Seleccione la celda en la comumna B con el nombre del proyecto")</f>
        <v>4. Obras de Intervención en Bienes muebles - inmuebles y sectores que conforman el patrimonio cultural del D.C.</v>
      </c>
      <c r="AQ324" s="634" t="str">
        <f>IF(J324="Funcionamiento Gastos Generales","No aplica",IF(J324="Funcionamiento Servicios Personales","No aplica",IFERROR(VLOOKUP(J324,Listas!$A$220:$D$224,4,FALSE),"Alerta: Seleccione la celda en la comumna B con el nombre del proyecto")))</f>
        <v>FONT1114</v>
      </c>
      <c r="AR324" s="633" t="s">
        <v>198</v>
      </c>
      <c r="AS324" s="634" t="str">
        <f>IFERROR(VLOOKUP(AU324,Listas!$E$85:$L$105,7,FALSE),"Alerta: Seleccione la celda en la comumna AI con el concepto de gasto")</f>
        <v>03-RECURSO HUMANO</v>
      </c>
      <c r="AT324" s="634" t="str">
        <f>IFERROR(VLOOKUP(AU324,Listas!$E$85:$L$105,8,FALSE),"Alerta: Seleccione la celda en la comumna AI con el concepto de gasto")</f>
        <v>04-GASTOS DE PERSONAL OPERATIVO</v>
      </c>
      <c r="AU324" s="633" t="s">
        <v>228</v>
      </c>
      <c r="AV324" s="634">
        <f>IFERROR(VLOOKUP(AU324,Listas!$E$85:$F$105,2,FALSE),"Alerta: Seleccione el Concepto de Gasto primero")</f>
        <v>0</v>
      </c>
      <c r="AW324" s="644">
        <v>43040000</v>
      </c>
      <c r="AX324" s="645"/>
      <c r="AY324" s="645"/>
      <c r="AZ324" s="645"/>
      <c r="BA324" s="646">
        <f t="shared" si="104"/>
        <v>43040000</v>
      </c>
      <c r="BB324" s="647"/>
      <c r="BC324" s="648"/>
      <c r="BD324" s="649"/>
      <c r="BE324" s="647"/>
      <c r="BF324" s="644"/>
      <c r="BG324" s="646">
        <f t="shared" si="105"/>
        <v>43040000</v>
      </c>
      <c r="BH324" s="650"/>
      <c r="BI324" s="647"/>
      <c r="BJ324" s="644"/>
      <c r="BK324" s="646">
        <f t="shared" si="106"/>
        <v>0</v>
      </c>
      <c r="BL324" s="651"/>
      <c r="BM324" s="652">
        <f t="shared" si="107"/>
        <v>1</v>
      </c>
      <c r="BN324" s="628"/>
      <c r="BO324" s="670"/>
      <c r="BP324" s="644"/>
      <c r="BQ324" s="644"/>
      <c r="BR324" s="644"/>
      <c r="BS324" s="644"/>
      <c r="BT324" s="644"/>
      <c r="BU324" s="644"/>
      <c r="BV324" s="644"/>
      <c r="BW324" s="644"/>
      <c r="BX324" s="644"/>
      <c r="BY324" s="644"/>
      <c r="BZ324" s="644"/>
      <c r="CA324" s="644"/>
      <c r="CB324" s="646">
        <f t="shared" si="108"/>
        <v>0</v>
      </c>
      <c r="CC324" s="646">
        <f t="shared" si="109"/>
        <v>0</v>
      </c>
      <c r="CD324" s="614"/>
    </row>
    <row r="325" spans="1:85" s="561" customFormat="1" ht="61.5" customHeight="1">
      <c r="A325" s="625" t="str">
        <f t="shared" si="91"/>
        <v>1114-140-FONT1114-03-04-0316-Asesoría técnica para la protección y promoción del patrimonio cultural material del distrito capital</v>
      </c>
      <c r="B325" s="626" t="str">
        <f t="shared" si="92"/>
        <v>1114-140-FONT1114-03-04-0316</v>
      </c>
      <c r="C325" s="626" t="str">
        <f t="shared" si="93"/>
        <v>1114-140-FONT1114-Asesoría técnica para la protección y promoción del patrimonio cultural material del distrito capital</v>
      </c>
      <c r="D325" s="626" t="str">
        <f t="shared" si="94"/>
        <v>1114-140-12-Otros Distrito-03-04-0316</v>
      </c>
      <c r="E325" s="626" t="str">
        <f t="shared" si="95"/>
        <v>Asesoría técnica para la protección y promoción del patrimonio cultural material del distrito capital-12-Otros Distrito-0316-Personal de apoyo para las actividades de valoración, protección y conservación del Patrimonio Cultural</v>
      </c>
      <c r="F325" s="627">
        <v>285</v>
      </c>
      <c r="G325" s="628">
        <f t="shared" si="96"/>
        <v>285</v>
      </c>
      <c r="H325" s="629" t="b">
        <f t="shared" si="97"/>
        <v>0</v>
      </c>
      <c r="I325" s="630" t="s">
        <v>594</v>
      </c>
      <c r="J325" s="627" t="s">
        <v>180</v>
      </c>
      <c r="K325" s="631" t="str">
        <f>+IFERROR(VLOOKUP(J325,Listas!$A$108:$B$114,2,FALSE),"Alerta: Seleccione la celda en la comumna B con el nombre del proyecto")</f>
        <v>3-3-1-15-02-17-1114-140</v>
      </c>
      <c r="L325" s="632" t="s">
        <v>857</v>
      </c>
      <c r="M325" s="633" t="s">
        <v>864</v>
      </c>
      <c r="N325" s="634" t="str">
        <f t="shared" si="98"/>
        <v>(Cód. 285) Prestar servicios profesionales al Instituto Distrital de Patrimonio Cultural para el acompañamiento y apoyo en las actividades de asesoría técnica a terceros, revisión, evaluación, verificación y análisis de las solicitudes de intervención de los Bienes de Interés Cultural (BIC) del Distrito Capital.</v>
      </c>
      <c r="O325" s="635">
        <v>43485</v>
      </c>
      <c r="P325" s="636">
        <f>IFERROR(VLOOKUP(W325,'Estimación CRP'!$D$21:$E$30,2,FALSE),0)</f>
        <v>10</v>
      </c>
      <c r="Q325" s="637">
        <f>IF(O325="No aplica","No aplica",WORKDAY.INTL(O325,P325,1,'Estimación CRP'!A511:A527))</f>
        <v>43497</v>
      </c>
      <c r="R325" s="636">
        <f t="shared" si="99"/>
        <v>2</v>
      </c>
      <c r="S325" s="636">
        <f t="shared" si="100"/>
        <v>1</v>
      </c>
      <c r="T325" s="636">
        <f t="shared" si="101"/>
        <v>1</v>
      </c>
      <c r="U325" s="712">
        <v>8</v>
      </c>
      <c r="V325" s="638">
        <v>1</v>
      </c>
      <c r="W325" s="639" t="s">
        <v>274</v>
      </c>
      <c r="X325" s="640" t="str">
        <f>IFERROR(VLOOKUP(W325,Listas!$A$60:$B$73,2,FALSE),"Alerta: Seleccione primero Modalidad de selección")</f>
        <v>CCE-16</v>
      </c>
      <c r="Y325" s="641">
        <v>0</v>
      </c>
      <c r="Z325" s="641" t="s">
        <v>346</v>
      </c>
      <c r="AA325" s="641" t="s">
        <v>1326</v>
      </c>
      <c r="AB325" s="642">
        <f t="shared" si="102"/>
        <v>43040000</v>
      </c>
      <c r="AC325" s="642">
        <f t="shared" si="103"/>
        <v>43040000</v>
      </c>
      <c r="AD325" s="641">
        <v>0</v>
      </c>
      <c r="AE325" s="643">
        <v>0</v>
      </c>
      <c r="AF325" s="639" t="s">
        <v>276</v>
      </c>
      <c r="AG325" s="639" t="s">
        <v>277</v>
      </c>
      <c r="AH325" s="639" t="s">
        <v>573</v>
      </c>
      <c r="AI325" s="626" t="str">
        <f>IFERROR(VLOOKUP(AH325,Listas!$A$77:$C$83,2,FALSE),"Alerta: Seleccione primero el responsable")</f>
        <v>3550800</v>
      </c>
      <c r="AJ325" s="640" t="str">
        <f>IFERROR(VLOOKUP(AH325,Listas!$A$77:$C$83,3,FALSE),"Alerta: Seleccione primero el responsable")</f>
        <v>carolina.fernandez@idpc.gov.co</v>
      </c>
      <c r="AK325" s="640" t="str">
        <f>IF(J325="Funcionamiento Gastos Generales","No aplica",IF(J325="Funcionamiento Servicios Personales indirectos","No aplica",IFERROR(VLOOKUP(J325,Listas!$A$127:$E$139,3,FALSE),"Alerta: Seleccione la celda en la comumna B con el nombre del proyecto")))</f>
        <v>ME20181114</v>
      </c>
      <c r="AL325" s="640" t="str">
        <f>IF(J325="Funcionamiento Gastos Generales","No aplica",IF(J325="Funcionamiento Servicios Personales","No aplica",IFERROR(VLOOKUP(J325,Listas!$A$220:$D$224,2,FALSE),"Alerta: Seleccione la celda en la comumna B con el nombre del proyecto")))</f>
        <v>COMP1114</v>
      </c>
      <c r="AM325" s="640" t="str">
        <f>IF(J325="Funcionamiento Gastos Generales","No aplica",IF(J325="Funcionamiento Servicios Personales","No aplica",IFERROR(VLOOKUP(J325,Listas!$A$220:$D$224,3,FALSE),"Alerta: Seleccione la celda en la comumna B con el nombre del proyecto")))</f>
        <v>CONC1114</v>
      </c>
      <c r="AN325" s="633" t="s">
        <v>1053</v>
      </c>
      <c r="AO325" s="633" t="s">
        <v>391</v>
      </c>
      <c r="AP325" s="634" t="str">
        <f>IFERROR(VLOOKUP(J325,Listas!$A$182:$E$215,5,FALSE),"Alerta: Seleccione la celda en la comumna B con el nombre del proyecto")</f>
        <v>4. Obras de Intervención en Bienes muebles - inmuebles y sectores que conforman el patrimonio cultural del D.C.</v>
      </c>
      <c r="AQ325" s="634" t="str">
        <f>IF(J325="Funcionamiento Gastos Generales","No aplica",IF(J325="Funcionamiento Servicios Personales","No aplica",IFERROR(VLOOKUP(J325,Listas!$A$220:$D$224,4,FALSE),"Alerta: Seleccione la celda en la comumna B con el nombre del proyecto")))</f>
        <v>FONT1114</v>
      </c>
      <c r="AR325" s="633" t="s">
        <v>198</v>
      </c>
      <c r="AS325" s="634" t="str">
        <f>IFERROR(VLOOKUP(AU325,Listas!$E$85:$L$105,7,FALSE),"Alerta: Seleccione la celda en la comumna AI con el concepto de gasto")</f>
        <v>03-RECURSO HUMANO</v>
      </c>
      <c r="AT325" s="634" t="str">
        <f>IFERROR(VLOOKUP(AU325,Listas!$E$85:$L$105,8,FALSE),"Alerta: Seleccione la celda en la comumna AI con el concepto de gasto")</f>
        <v>04-GASTOS DE PERSONAL OPERATIVO</v>
      </c>
      <c r="AU325" s="633" t="s">
        <v>228</v>
      </c>
      <c r="AV325" s="634">
        <f>IFERROR(VLOOKUP(AU325,Listas!$E$85:$F$105,2,FALSE),"Alerta: Seleccione el Concepto de Gasto primero")</f>
        <v>0</v>
      </c>
      <c r="AW325" s="644">
        <v>43040000</v>
      </c>
      <c r="AX325" s="645"/>
      <c r="AY325" s="645"/>
      <c r="AZ325" s="645"/>
      <c r="BA325" s="646">
        <f t="shared" si="104"/>
        <v>43040000</v>
      </c>
      <c r="BB325" s="647"/>
      <c r="BC325" s="648"/>
      <c r="BD325" s="649"/>
      <c r="BE325" s="647"/>
      <c r="BF325" s="644"/>
      <c r="BG325" s="646">
        <f t="shared" si="105"/>
        <v>43040000</v>
      </c>
      <c r="BH325" s="650"/>
      <c r="BI325" s="647"/>
      <c r="BJ325" s="644"/>
      <c r="BK325" s="646">
        <f t="shared" si="106"/>
        <v>0</v>
      </c>
      <c r="BL325" s="651"/>
      <c r="BM325" s="652">
        <f t="shared" si="107"/>
        <v>1</v>
      </c>
      <c r="BN325" s="628"/>
      <c r="BO325" s="670"/>
      <c r="BP325" s="644"/>
      <c r="BQ325" s="644"/>
      <c r="BR325" s="644"/>
      <c r="BS325" s="644"/>
      <c r="BT325" s="644"/>
      <c r="BU325" s="644"/>
      <c r="BV325" s="644"/>
      <c r="BW325" s="644"/>
      <c r="BX325" s="644"/>
      <c r="BY325" s="644"/>
      <c r="BZ325" s="644"/>
      <c r="CA325" s="644"/>
      <c r="CB325" s="646">
        <f t="shared" si="108"/>
        <v>0</v>
      </c>
      <c r="CC325" s="646">
        <f t="shared" si="109"/>
        <v>0</v>
      </c>
      <c r="CD325" s="614"/>
    </row>
    <row r="326" spans="1:85" s="561" customFormat="1" ht="61.5" customHeight="1">
      <c r="A326" s="625" t="str">
        <f t="shared" si="91"/>
        <v>1114-140-FONT1114-03-04-0316-Asesoría técnica para la protección y promoción del patrimonio cultural material del distrito capital</v>
      </c>
      <c r="B326" s="626" t="str">
        <f t="shared" si="92"/>
        <v>1114-140-FONT1114-03-04-0316</v>
      </c>
      <c r="C326" s="626" t="str">
        <f t="shared" si="93"/>
        <v>1114-140-FONT1114-Asesoría técnica para la protección y promoción del patrimonio cultural material del distrito capital</v>
      </c>
      <c r="D326" s="626" t="str">
        <f t="shared" si="94"/>
        <v>1114-140-12-Otros Distrito-03-04-0316</v>
      </c>
      <c r="E326" s="626" t="str">
        <f t="shared" si="95"/>
        <v>Asesoría técnica para la protección y promoción del patrimonio cultural material del distrito capital-12-Otros Distrito-0316-Personal de apoyo para las actividades de valoración, protección y conservación del Patrimonio Cultural</v>
      </c>
      <c r="F326" s="627">
        <v>286</v>
      </c>
      <c r="G326" s="628">
        <f t="shared" si="96"/>
        <v>286</v>
      </c>
      <c r="H326" s="629" t="b">
        <f t="shared" si="97"/>
        <v>0</v>
      </c>
      <c r="I326" s="630" t="s">
        <v>594</v>
      </c>
      <c r="J326" s="627" t="s">
        <v>180</v>
      </c>
      <c r="K326" s="631" t="str">
        <f>+IFERROR(VLOOKUP(J326,Listas!$A$108:$B$114,2,FALSE),"Alerta: Seleccione la celda en la comumna B con el nombre del proyecto")</f>
        <v>3-3-1-15-02-17-1114-140</v>
      </c>
      <c r="L326" s="632" t="s">
        <v>857</v>
      </c>
      <c r="M326" s="633" t="s">
        <v>865</v>
      </c>
      <c r="N326" s="634" t="str">
        <f t="shared" si="98"/>
        <v>(Cód. 286) Prestar servicios profesionales al Instituto Distrital de Patrimonio Cultural para apoyar la revisión y acompañamiento del componente estructural y de ingeniería de las acciones y solicitudes de intervención en Bienes de Interés Cultural (BIC).</v>
      </c>
      <c r="O326" s="635">
        <v>43485</v>
      </c>
      <c r="P326" s="636">
        <f>IFERROR(VLOOKUP(W326,'Estimación CRP'!$D$21:$E$30,2,FALSE),0)</f>
        <v>10</v>
      </c>
      <c r="Q326" s="637">
        <f>IF(O326="No aplica","No aplica",WORKDAY.INTL(O326,P326,1,'Estimación CRP'!A512:A528))</f>
        <v>43497</v>
      </c>
      <c r="R326" s="636">
        <f t="shared" si="99"/>
        <v>2</v>
      </c>
      <c r="S326" s="636">
        <f t="shared" si="100"/>
        <v>1</v>
      </c>
      <c r="T326" s="636">
        <f t="shared" si="101"/>
        <v>1</v>
      </c>
      <c r="U326" s="712">
        <v>8</v>
      </c>
      <c r="V326" s="638">
        <v>1</v>
      </c>
      <c r="W326" s="639" t="s">
        <v>274</v>
      </c>
      <c r="X326" s="640" t="str">
        <f>IFERROR(VLOOKUP(W326,Listas!$A$60:$B$73,2,FALSE),"Alerta: Seleccione primero Modalidad de selección")</f>
        <v>CCE-16</v>
      </c>
      <c r="Y326" s="641">
        <v>0</v>
      </c>
      <c r="Z326" s="641" t="s">
        <v>346</v>
      </c>
      <c r="AA326" s="641" t="s">
        <v>1326</v>
      </c>
      <c r="AB326" s="642">
        <f t="shared" si="102"/>
        <v>47120000</v>
      </c>
      <c r="AC326" s="642">
        <f t="shared" si="103"/>
        <v>47120000</v>
      </c>
      <c r="AD326" s="641">
        <v>0</v>
      </c>
      <c r="AE326" s="643">
        <v>0</v>
      </c>
      <c r="AF326" s="639" t="s">
        <v>276</v>
      </c>
      <c r="AG326" s="639" t="s">
        <v>277</v>
      </c>
      <c r="AH326" s="639" t="s">
        <v>573</v>
      </c>
      <c r="AI326" s="626" t="str">
        <f>IFERROR(VLOOKUP(AH326,Listas!$A$77:$C$83,2,FALSE),"Alerta: Seleccione primero el responsable")</f>
        <v>3550800</v>
      </c>
      <c r="AJ326" s="640" t="str">
        <f>IFERROR(VLOOKUP(AH326,Listas!$A$77:$C$83,3,FALSE),"Alerta: Seleccione primero el responsable")</f>
        <v>carolina.fernandez@idpc.gov.co</v>
      </c>
      <c r="AK326" s="640" t="str">
        <f>IF(J326="Funcionamiento Gastos Generales","No aplica",IF(J326="Funcionamiento Servicios Personales indirectos","No aplica",IFERROR(VLOOKUP(J326,Listas!$A$127:$E$139,3,FALSE),"Alerta: Seleccione la celda en la comumna B con el nombre del proyecto")))</f>
        <v>ME20181114</v>
      </c>
      <c r="AL326" s="640" t="str">
        <f>IF(J326="Funcionamiento Gastos Generales","No aplica",IF(J326="Funcionamiento Servicios Personales","No aplica",IFERROR(VLOOKUP(J326,Listas!$A$220:$D$224,2,FALSE),"Alerta: Seleccione la celda en la comumna B con el nombre del proyecto")))</f>
        <v>COMP1114</v>
      </c>
      <c r="AM326" s="640" t="str">
        <f>IF(J326="Funcionamiento Gastos Generales","No aplica",IF(J326="Funcionamiento Servicios Personales","No aplica",IFERROR(VLOOKUP(J326,Listas!$A$220:$D$224,3,FALSE),"Alerta: Seleccione la celda en la comumna B con el nombre del proyecto")))</f>
        <v>CONC1114</v>
      </c>
      <c r="AN326" s="633" t="s">
        <v>1053</v>
      </c>
      <c r="AO326" s="633" t="s">
        <v>391</v>
      </c>
      <c r="AP326" s="634" t="str">
        <f>IFERROR(VLOOKUP(J326,Listas!$A$182:$E$215,5,FALSE),"Alerta: Seleccione la celda en la comumna B con el nombre del proyecto")</f>
        <v>4. Obras de Intervención en Bienes muebles - inmuebles y sectores que conforman el patrimonio cultural del D.C.</v>
      </c>
      <c r="AQ326" s="634" t="str">
        <f>IF(J326="Funcionamiento Gastos Generales","No aplica",IF(J326="Funcionamiento Servicios Personales","No aplica",IFERROR(VLOOKUP(J326,Listas!$A$220:$D$224,4,FALSE),"Alerta: Seleccione la celda en la comumna B con el nombre del proyecto")))</f>
        <v>FONT1114</v>
      </c>
      <c r="AR326" s="633" t="s">
        <v>198</v>
      </c>
      <c r="AS326" s="634" t="str">
        <f>IFERROR(VLOOKUP(AU326,Listas!$E$85:$L$105,7,FALSE),"Alerta: Seleccione la celda en la comumna AI con el concepto de gasto")</f>
        <v>03-RECURSO HUMANO</v>
      </c>
      <c r="AT326" s="634" t="str">
        <f>IFERROR(VLOOKUP(AU326,Listas!$E$85:$L$105,8,FALSE),"Alerta: Seleccione la celda en la comumna AI con el concepto de gasto")</f>
        <v>04-GASTOS DE PERSONAL OPERATIVO</v>
      </c>
      <c r="AU326" s="633" t="s">
        <v>228</v>
      </c>
      <c r="AV326" s="634">
        <f>IFERROR(VLOOKUP(AU326,Listas!$E$85:$F$105,2,FALSE),"Alerta: Seleccione el Concepto de Gasto primero")</f>
        <v>0</v>
      </c>
      <c r="AW326" s="644">
        <v>47120000</v>
      </c>
      <c r="AX326" s="645"/>
      <c r="AY326" s="645"/>
      <c r="AZ326" s="645"/>
      <c r="BA326" s="646">
        <f t="shared" si="104"/>
        <v>47120000</v>
      </c>
      <c r="BB326" s="647"/>
      <c r="BC326" s="648"/>
      <c r="BD326" s="649"/>
      <c r="BE326" s="647"/>
      <c r="BF326" s="644"/>
      <c r="BG326" s="646">
        <f t="shared" si="105"/>
        <v>47120000</v>
      </c>
      <c r="BH326" s="650"/>
      <c r="BI326" s="647"/>
      <c r="BJ326" s="644"/>
      <c r="BK326" s="646">
        <f t="shared" si="106"/>
        <v>0</v>
      </c>
      <c r="BL326" s="651"/>
      <c r="BM326" s="652">
        <f t="shared" si="107"/>
        <v>1</v>
      </c>
      <c r="BN326" s="628"/>
      <c r="BO326" s="670"/>
      <c r="BP326" s="644"/>
      <c r="BQ326" s="644"/>
      <c r="BR326" s="644"/>
      <c r="BS326" s="644"/>
      <c r="BT326" s="644"/>
      <c r="BU326" s="644"/>
      <c r="BV326" s="644"/>
      <c r="BW326" s="644"/>
      <c r="BX326" s="644"/>
      <c r="BY326" s="644"/>
      <c r="BZ326" s="644"/>
      <c r="CA326" s="644"/>
      <c r="CB326" s="646">
        <f t="shared" si="108"/>
        <v>0</v>
      </c>
      <c r="CC326" s="646">
        <f t="shared" si="109"/>
        <v>0</v>
      </c>
      <c r="CD326" s="614"/>
    </row>
    <row r="327" spans="1:85" s="561" customFormat="1" ht="61.5" customHeight="1">
      <c r="A327" s="625" t="str">
        <f t="shared" si="91"/>
        <v>1114-140-FONT1114-03-04-0316-Asesoría técnica para la protección y promoción del patrimonio cultural material del distrito capital</v>
      </c>
      <c r="B327" s="626" t="str">
        <f t="shared" si="92"/>
        <v>1114-140-FONT1114-03-04-0316</v>
      </c>
      <c r="C327" s="626" t="str">
        <f t="shared" si="93"/>
        <v>1114-140-FONT1114-Asesoría técnica para la protección y promoción del patrimonio cultural material del distrito capital</v>
      </c>
      <c r="D327" s="626" t="str">
        <f t="shared" si="94"/>
        <v>1114-140-12-Otros Distrito-03-04-0316</v>
      </c>
      <c r="E327" s="626" t="str">
        <f t="shared" si="95"/>
        <v>Asesoría técnica para la protección y promoción del patrimonio cultural material del distrito capital-12-Otros Distrito-0316-Personal de apoyo para las actividades de valoración, protección y conservación del Patrimonio Cultural</v>
      </c>
      <c r="F327" s="627">
        <v>287</v>
      </c>
      <c r="G327" s="628">
        <f t="shared" si="96"/>
        <v>287</v>
      </c>
      <c r="H327" s="629" t="b">
        <f t="shared" si="97"/>
        <v>0</v>
      </c>
      <c r="I327" s="630" t="s">
        <v>594</v>
      </c>
      <c r="J327" s="627" t="s">
        <v>180</v>
      </c>
      <c r="K327" s="631" t="str">
        <f>+IFERROR(VLOOKUP(J327,Listas!$A$108:$B$114,2,FALSE),"Alerta: Seleccione la celda en la comumna B con el nombre del proyecto")</f>
        <v>3-3-1-15-02-17-1114-140</v>
      </c>
      <c r="L327" s="632" t="s">
        <v>857</v>
      </c>
      <c r="M327" s="633" t="s">
        <v>865</v>
      </c>
      <c r="N327" s="634" t="str">
        <f t="shared" si="98"/>
        <v>(Cód. 287) Prestar servicios profesionales al Instituto Distrital de Patrimonio Cultural para apoyar la revisión y acompañamiento del componente estructural y de ingeniería de las acciones y solicitudes de intervención en Bienes de Interés Cultural (BIC).</v>
      </c>
      <c r="O327" s="635">
        <v>43485</v>
      </c>
      <c r="P327" s="636">
        <f>IFERROR(VLOOKUP(W327,'Estimación CRP'!$D$21:$E$30,2,FALSE),0)</f>
        <v>10</v>
      </c>
      <c r="Q327" s="637">
        <f>IF(O327="No aplica","No aplica",WORKDAY.INTL(O327,P327,1,'Estimación CRP'!A513:A529))</f>
        <v>43497</v>
      </c>
      <c r="R327" s="636">
        <f t="shared" si="99"/>
        <v>2</v>
      </c>
      <c r="S327" s="636">
        <f t="shared" si="100"/>
        <v>1</v>
      </c>
      <c r="T327" s="636">
        <f t="shared" si="101"/>
        <v>1</v>
      </c>
      <c r="U327" s="712">
        <v>8</v>
      </c>
      <c r="V327" s="638">
        <v>1</v>
      </c>
      <c r="W327" s="639" t="s">
        <v>274</v>
      </c>
      <c r="X327" s="640" t="str">
        <f>IFERROR(VLOOKUP(W327,Listas!$A$60:$B$73,2,FALSE),"Alerta: Seleccione primero Modalidad de selección")</f>
        <v>CCE-16</v>
      </c>
      <c r="Y327" s="641">
        <v>0</v>
      </c>
      <c r="Z327" s="641" t="s">
        <v>346</v>
      </c>
      <c r="AA327" s="641" t="s">
        <v>1326</v>
      </c>
      <c r="AB327" s="642">
        <f t="shared" si="102"/>
        <v>47120000</v>
      </c>
      <c r="AC327" s="642">
        <f t="shared" si="103"/>
        <v>47120000</v>
      </c>
      <c r="AD327" s="641">
        <v>0</v>
      </c>
      <c r="AE327" s="643">
        <v>0</v>
      </c>
      <c r="AF327" s="639" t="s">
        <v>276</v>
      </c>
      <c r="AG327" s="639" t="s">
        <v>277</v>
      </c>
      <c r="AH327" s="639" t="s">
        <v>573</v>
      </c>
      <c r="AI327" s="626" t="str">
        <f>IFERROR(VLOOKUP(AH327,Listas!$A$77:$C$83,2,FALSE),"Alerta: Seleccione primero el responsable")</f>
        <v>3550800</v>
      </c>
      <c r="AJ327" s="640" t="str">
        <f>IFERROR(VLOOKUP(AH327,Listas!$A$77:$C$83,3,FALSE),"Alerta: Seleccione primero el responsable")</f>
        <v>carolina.fernandez@idpc.gov.co</v>
      </c>
      <c r="AK327" s="640" t="str">
        <f>IF(J327="Funcionamiento Gastos Generales","No aplica",IF(J327="Funcionamiento Servicios Personales indirectos","No aplica",IFERROR(VLOOKUP(J327,Listas!$A$127:$E$139,3,FALSE),"Alerta: Seleccione la celda en la comumna B con el nombre del proyecto")))</f>
        <v>ME20181114</v>
      </c>
      <c r="AL327" s="640" t="str">
        <f>IF(J327="Funcionamiento Gastos Generales","No aplica",IF(J327="Funcionamiento Servicios Personales","No aplica",IFERROR(VLOOKUP(J327,Listas!$A$220:$D$224,2,FALSE),"Alerta: Seleccione la celda en la comumna B con el nombre del proyecto")))</f>
        <v>COMP1114</v>
      </c>
      <c r="AM327" s="640" t="str">
        <f>IF(J327="Funcionamiento Gastos Generales","No aplica",IF(J327="Funcionamiento Servicios Personales","No aplica",IFERROR(VLOOKUP(J327,Listas!$A$220:$D$224,3,FALSE),"Alerta: Seleccione la celda en la comumna B con el nombre del proyecto")))</f>
        <v>CONC1114</v>
      </c>
      <c r="AN327" s="633" t="s">
        <v>1053</v>
      </c>
      <c r="AO327" s="633" t="s">
        <v>391</v>
      </c>
      <c r="AP327" s="634" t="str">
        <f>IFERROR(VLOOKUP(J327,Listas!$A$182:$E$215,5,FALSE),"Alerta: Seleccione la celda en la comumna B con el nombre del proyecto")</f>
        <v>4. Obras de Intervención en Bienes muebles - inmuebles y sectores que conforman el patrimonio cultural del D.C.</v>
      </c>
      <c r="AQ327" s="634" t="str">
        <f>IF(J327="Funcionamiento Gastos Generales","No aplica",IF(J327="Funcionamiento Servicios Personales","No aplica",IFERROR(VLOOKUP(J327,Listas!$A$220:$D$224,4,FALSE),"Alerta: Seleccione la celda en la comumna B con el nombre del proyecto")))</f>
        <v>FONT1114</v>
      </c>
      <c r="AR327" s="633" t="s">
        <v>198</v>
      </c>
      <c r="AS327" s="634" t="str">
        <f>IFERROR(VLOOKUP(AU327,Listas!$E$85:$L$105,7,FALSE),"Alerta: Seleccione la celda en la comumna AI con el concepto de gasto")</f>
        <v>03-RECURSO HUMANO</v>
      </c>
      <c r="AT327" s="634" t="str">
        <f>IFERROR(VLOOKUP(AU327,Listas!$E$85:$L$105,8,FALSE),"Alerta: Seleccione la celda en la comumna AI con el concepto de gasto")</f>
        <v>04-GASTOS DE PERSONAL OPERATIVO</v>
      </c>
      <c r="AU327" s="633" t="s">
        <v>228</v>
      </c>
      <c r="AV327" s="634">
        <f>IFERROR(VLOOKUP(AU327,Listas!$E$85:$F$105,2,FALSE),"Alerta: Seleccione el Concepto de Gasto primero")</f>
        <v>0</v>
      </c>
      <c r="AW327" s="644">
        <v>47120000</v>
      </c>
      <c r="AX327" s="645"/>
      <c r="AY327" s="645"/>
      <c r="AZ327" s="645"/>
      <c r="BA327" s="646">
        <f t="shared" si="104"/>
        <v>47120000</v>
      </c>
      <c r="BB327" s="647"/>
      <c r="BC327" s="648"/>
      <c r="BD327" s="649"/>
      <c r="BE327" s="647"/>
      <c r="BF327" s="644"/>
      <c r="BG327" s="646">
        <f t="shared" si="105"/>
        <v>47120000</v>
      </c>
      <c r="BH327" s="650"/>
      <c r="BI327" s="647"/>
      <c r="BJ327" s="644"/>
      <c r="BK327" s="646">
        <f t="shared" si="106"/>
        <v>0</v>
      </c>
      <c r="BL327" s="651"/>
      <c r="BM327" s="652">
        <f t="shared" si="107"/>
        <v>1</v>
      </c>
      <c r="BN327" s="628"/>
      <c r="BO327" s="670"/>
      <c r="BP327" s="644"/>
      <c r="BQ327" s="644"/>
      <c r="BR327" s="644"/>
      <c r="BS327" s="644"/>
      <c r="BT327" s="644"/>
      <c r="BU327" s="644"/>
      <c r="BV327" s="644"/>
      <c r="BW327" s="644"/>
      <c r="BX327" s="644"/>
      <c r="BY327" s="644"/>
      <c r="BZ327" s="644"/>
      <c r="CA327" s="644"/>
      <c r="CB327" s="646">
        <f t="shared" si="108"/>
        <v>0</v>
      </c>
      <c r="CC327" s="646">
        <f t="shared" si="109"/>
        <v>0</v>
      </c>
      <c r="CD327" s="614"/>
    </row>
    <row r="328" spans="1:85" s="561" customFormat="1" ht="61.5" customHeight="1">
      <c r="A328" s="625" t="str">
        <f t="shared" si="91"/>
        <v>1114-140-FONT1114-03-04-0316-Asesoría técnica para la protección y promoción del patrimonio cultural material del distrito capital</v>
      </c>
      <c r="B328" s="626" t="str">
        <f t="shared" si="92"/>
        <v>1114-140-FONT1114-03-04-0316</v>
      </c>
      <c r="C328" s="626" t="str">
        <f t="shared" si="93"/>
        <v>1114-140-FONT1114-Asesoría técnica para la protección y promoción del patrimonio cultural material del distrito capital</v>
      </c>
      <c r="D328" s="626" t="str">
        <f t="shared" si="94"/>
        <v>1114-140-12-Otros Distrito-03-04-0316</v>
      </c>
      <c r="E328" s="626" t="str">
        <f t="shared" si="95"/>
        <v>Asesoría técnica para la protección y promoción del patrimonio cultural material del distrito capital-12-Otros Distrito-0316-Personal de apoyo para las actividades de valoración, protección y conservación del Patrimonio Cultural</v>
      </c>
      <c r="F328" s="627">
        <v>288</v>
      </c>
      <c r="G328" s="628">
        <f t="shared" si="96"/>
        <v>288</v>
      </c>
      <c r="H328" s="629" t="b">
        <f t="shared" si="97"/>
        <v>0</v>
      </c>
      <c r="I328" s="630" t="s">
        <v>594</v>
      </c>
      <c r="J328" s="627" t="s">
        <v>180</v>
      </c>
      <c r="K328" s="631" t="str">
        <f>+IFERROR(VLOOKUP(J328,Listas!$A$108:$B$114,2,FALSE),"Alerta: Seleccione la celda en la comumna B con el nombre del proyecto")</f>
        <v>3-3-1-15-02-17-1114-140</v>
      </c>
      <c r="L328" s="632" t="s">
        <v>857</v>
      </c>
      <c r="M328" s="633" t="s">
        <v>866</v>
      </c>
      <c r="N328" s="634" t="str">
        <f t="shared" si="98"/>
        <v>(Cód. 288) Prestar servicios profesionales al Instituto Distrital de Patrimonio Cultural para orientar y apoyar la verificación técnica de la documentación expedida con ocasión de las solicitudes de intervención de anteproyectos y conceptos de norma en Bienes de Interés Cultural (BIC) de Bogotá que se radican ante la entidad.</v>
      </c>
      <c r="O328" s="635">
        <v>43485</v>
      </c>
      <c r="P328" s="636">
        <f>IFERROR(VLOOKUP(W328,'Estimación CRP'!$D$21:$E$30,2,FALSE),0)</f>
        <v>10</v>
      </c>
      <c r="Q328" s="637">
        <f>IF(O328="No aplica","No aplica",WORKDAY.INTL(O328,P328,1,'Estimación CRP'!A514:A530))</f>
        <v>43497</v>
      </c>
      <c r="R328" s="636">
        <f t="shared" si="99"/>
        <v>2</v>
      </c>
      <c r="S328" s="636">
        <f t="shared" si="100"/>
        <v>1</v>
      </c>
      <c r="T328" s="636">
        <f t="shared" si="101"/>
        <v>1</v>
      </c>
      <c r="U328" s="712">
        <v>10</v>
      </c>
      <c r="V328" s="638">
        <v>1</v>
      </c>
      <c r="W328" s="639" t="s">
        <v>274</v>
      </c>
      <c r="X328" s="640" t="str">
        <f>IFERROR(VLOOKUP(W328,Listas!$A$60:$B$73,2,FALSE),"Alerta: Seleccione primero Modalidad de selección")</f>
        <v>CCE-16</v>
      </c>
      <c r="Y328" s="641">
        <v>0</v>
      </c>
      <c r="Z328" s="641" t="s">
        <v>346</v>
      </c>
      <c r="AA328" s="641" t="s">
        <v>1326</v>
      </c>
      <c r="AB328" s="642">
        <f t="shared" si="102"/>
        <v>87500000</v>
      </c>
      <c r="AC328" s="642">
        <f t="shared" si="103"/>
        <v>87500000</v>
      </c>
      <c r="AD328" s="641">
        <v>0</v>
      </c>
      <c r="AE328" s="643">
        <v>0</v>
      </c>
      <c r="AF328" s="639" t="s">
        <v>276</v>
      </c>
      <c r="AG328" s="639" t="s">
        <v>277</v>
      </c>
      <c r="AH328" s="639" t="s">
        <v>573</v>
      </c>
      <c r="AI328" s="626" t="str">
        <f>IFERROR(VLOOKUP(AH328,Listas!$A$77:$C$83,2,FALSE),"Alerta: Seleccione primero el responsable")</f>
        <v>3550800</v>
      </c>
      <c r="AJ328" s="640" t="str">
        <f>IFERROR(VLOOKUP(AH328,Listas!$A$77:$C$83,3,FALSE),"Alerta: Seleccione primero el responsable")</f>
        <v>carolina.fernandez@idpc.gov.co</v>
      </c>
      <c r="AK328" s="640" t="str">
        <f>IF(J328="Funcionamiento Gastos Generales","No aplica",IF(J328="Funcionamiento Servicios Personales indirectos","No aplica",IFERROR(VLOOKUP(J328,Listas!$A$127:$E$139,3,FALSE),"Alerta: Seleccione la celda en la comumna B con el nombre del proyecto")))</f>
        <v>ME20181114</v>
      </c>
      <c r="AL328" s="640" t="str">
        <f>IF(J328="Funcionamiento Gastos Generales","No aplica",IF(J328="Funcionamiento Servicios Personales","No aplica",IFERROR(VLOOKUP(J328,Listas!$A$220:$D$224,2,FALSE),"Alerta: Seleccione la celda en la comumna B con el nombre del proyecto")))</f>
        <v>COMP1114</v>
      </c>
      <c r="AM328" s="640" t="str">
        <f>IF(J328="Funcionamiento Gastos Generales","No aplica",IF(J328="Funcionamiento Servicios Personales","No aplica",IFERROR(VLOOKUP(J328,Listas!$A$220:$D$224,3,FALSE),"Alerta: Seleccione la celda en la comumna B con el nombre del proyecto")))</f>
        <v>CONC1114</v>
      </c>
      <c r="AN328" s="633" t="s">
        <v>1053</v>
      </c>
      <c r="AO328" s="633" t="s">
        <v>391</v>
      </c>
      <c r="AP328" s="634" t="str">
        <f>IFERROR(VLOOKUP(J328,Listas!$A$182:$E$215,5,FALSE),"Alerta: Seleccione la celda en la comumna B con el nombre del proyecto")</f>
        <v>4. Obras de Intervención en Bienes muebles - inmuebles y sectores que conforman el patrimonio cultural del D.C.</v>
      </c>
      <c r="AQ328" s="634" t="str">
        <f>IF(J328="Funcionamiento Gastos Generales","No aplica",IF(J328="Funcionamiento Servicios Personales","No aplica",IFERROR(VLOOKUP(J328,Listas!$A$220:$D$224,4,FALSE),"Alerta: Seleccione la celda en la comumna B con el nombre del proyecto")))</f>
        <v>FONT1114</v>
      </c>
      <c r="AR328" s="633" t="s">
        <v>198</v>
      </c>
      <c r="AS328" s="634" t="str">
        <f>IFERROR(VLOOKUP(AU328,Listas!$E$85:$L$105,7,FALSE),"Alerta: Seleccione la celda en la comumna AI con el concepto de gasto")</f>
        <v>03-RECURSO HUMANO</v>
      </c>
      <c r="AT328" s="634" t="str">
        <f>IFERROR(VLOOKUP(AU328,Listas!$E$85:$L$105,8,FALSE),"Alerta: Seleccione la celda en la comumna AI con el concepto de gasto")</f>
        <v>04-GASTOS DE PERSONAL OPERATIVO</v>
      </c>
      <c r="AU328" s="633" t="s">
        <v>228</v>
      </c>
      <c r="AV328" s="634">
        <f>IFERROR(VLOOKUP(AU328,Listas!$E$85:$F$105,2,FALSE),"Alerta: Seleccione el Concepto de Gasto primero")</f>
        <v>0</v>
      </c>
      <c r="AW328" s="644">
        <v>87500000</v>
      </c>
      <c r="AX328" s="645"/>
      <c r="AY328" s="645"/>
      <c r="AZ328" s="645"/>
      <c r="BA328" s="646">
        <f t="shared" si="104"/>
        <v>87500000</v>
      </c>
      <c r="BB328" s="647"/>
      <c r="BC328" s="648"/>
      <c r="BD328" s="649"/>
      <c r="BE328" s="647"/>
      <c r="BF328" s="644"/>
      <c r="BG328" s="646">
        <f t="shared" si="105"/>
        <v>87500000</v>
      </c>
      <c r="BH328" s="650"/>
      <c r="BI328" s="647"/>
      <c r="BJ328" s="644"/>
      <c r="BK328" s="646">
        <f t="shared" si="106"/>
        <v>0</v>
      </c>
      <c r="BL328" s="651"/>
      <c r="BM328" s="652">
        <f t="shared" si="107"/>
        <v>1</v>
      </c>
      <c r="BN328" s="628"/>
      <c r="BO328" s="670"/>
      <c r="BP328" s="644"/>
      <c r="BQ328" s="644"/>
      <c r="BR328" s="644"/>
      <c r="BS328" s="644"/>
      <c r="BT328" s="644"/>
      <c r="BU328" s="644"/>
      <c r="BV328" s="644"/>
      <c r="BW328" s="644"/>
      <c r="BX328" s="644"/>
      <c r="BY328" s="644"/>
      <c r="BZ328" s="644"/>
      <c r="CA328" s="644"/>
      <c r="CB328" s="646">
        <f t="shared" si="108"/>
        <v>0</v>
      </c>
      <c r="CC328" s="646">
        <f t="shared" si="109"/>
        <v>0</v>
      </c>
      <c r="CD328" s="614"/>
    </row>
    <row r="329" spans="1:85" s="561" customFormat="1" ht="61.5" customHeight="1">
      <c r="A329" s="625" t="str">
        <f t="shared" si="91"/>
        <v>1114-140-FONT1114-03-04-0316-Asesoría técnica para la protección y promoción del patrimonio cultural material del distrito capital</v>
      </c>
      <c r="B329" s="626" t="str">
        <f t="shared" si="92"/>
        <v>1114-140-FONT1114-03-04-0316</v>
      </c>
      <c r="C329" s="626" t="str">
        <f t="shared" si="93"/>
        <v>1114-140-FONT1114-Asesoría técnica para la protección y promoción del patrimonio cultural material del distrito capital</v>
      </c>
      <c r="D329" s="626" t="str">
        <f t="shared" si="94"/>
        <v>1114-140-12-Otros Distrito-03-04-0316</v>
      </c>
      <c r="E329" s="626" t="str">
        <f t="shared" si="95"/>
        <v>Asesoría técnica para la protección y promoción del patrimonio cultural material del distrito capital-12-Otros Distrito-0316-Personal de apoyo para las actividades de valoración, protección y conservación del Patrimonio Cultural</v>
      </c>
      <c r="F329" s="627">
        <v>289</v>
      </c>
      <c r="G329" s="628">
        <f t="shared" si="96"/>
        <v>289</v>
      </c>
      <c r="H329" s="629" t="b">
        <f t="shared" si="97"/>
        <v>0</v>
      </c>
      <c r="I329" s="630" t="s">
        <v>594</v>
      </c>
      <c r="J329" s="627" t="s">
        <v>180</v>
      </c>
      <c r="K329" s="631" t="str">
        <f>+IFERROR(VLOOKUP(J329,Listas!$A$108:$B$114,2,FALSE),"Alerta: Seleccione la celda en la comumna B con el nombre del proyecto")</f>
        <v>3-3-1-15-02-17-1114-140</v>
      </c>
      <c r="L329" s="632" t="s">
        <v>857</v>
      </c>
      <c r="M329" s="633" t="s">
        <v>867</v>
      </c>
      <c r="N329" s="634" t="str">
        <f t="shared" si="98"/>
        <v>(Cód. 289) Prestar servicios profesionales al Instituto Distrital de Patrimonio Cultural apoyando las actividades de elaboración y redacción de conceptos técnicos respecto a las normas aplicables para intervenciones sobre los inmuebles de interés cultural del Distrito Capital.</v>
      </c>
      <c r="O329" s="635">
        <v>43485</v>
      </c>
      <c r="P329" s="636">
        <f>IFERROR(VLOOKUP(W329,'Estimación CRP'!$D$21:$E$30,2,FALSE),0)</f>
        <v>10</v>
      </c>
      <c r="Q329" s="637">
        <f>IF(O329="No aplica","No aplica",WORKDAY.INTL(O329,P329,1,'Estimación CRP'!A515:A531))</f>
        <v>43497</v>
      </c>
      <c r="R329" s="636">
        <f t="shared" si="99"/>
        <v>2</v>
      </c>
      <c r="S329" s="636">
        <f t="shared" si="100"/>
        <v>1</v>
      </c>
      <c r="T329" s="636">
        <f t="shared" si="101"/>
        <v>1</v>
      </c>
      <c r="U329" s="712">
        <v>8</v>
      </c>
      <c r="V329" s="638">
        <v>1</v>
      </c>
      <c r="W329" s="639" t="s">
        <v>274</v>
      </c>
      <c r="X329" s="640" t="str">
        <f>IFERROR(VLOOKUP(W329,Listas!$A$60:$B$73,2,FALSE),"Alerta: Seleccione primero Modalidad de selección")</f>
        <v>CCE-16</v>
      </c>
      <c r="Y329" s="641">
        <v>0</v>
      </c>
      <c r="Z329" s="641" t="s">
        <v>346</v>
      </c>
      <c r="AA329" s="641" t="s">
        <v>1326</v>
      </c>
      <c r="AB329" s="642">
        <f t="shared" si="102"/>
        <v>39200000</v>
      </c>
      <c r="AC329" s="642">
        <f t="shared" si="103"/>
        <v>39200000</v>
      </c>
      <c r="AD329" s="641">
        <v>0</v>
      </c>
      <c r="AE329" s="643">
        <v>0</v>
      </c>
      <c r="AF329" s="639" t="s">
        <v>276</v>
      </c>
      <c r="AG329" s="639" t="s">
        <v>277</v>
      </c>
      <c r="AH329" s="639" t="s">
        <v>573</v>
      </c>
      <c r="AI329" s="626" t="str">
        <f>IFERROR(VLOOKUP(AH329,Listas!$A$77:$C$83,2,FALSE),"Alerta: Seleccione primero el responsable")</f>
        <v>3550800</v>
      </c>
      <c r="AJ329" s="640" t="str">
        <f>IFERROR(VLOOKUP(AH329,Listas!$A$77:$C$83,3,FALSE),"Alerta: Seleccione primero el responsable")</f>
        <v>carolina.fernandez@idpc.gov.co</v>
      </c>
      <c r="AK329" s="640" t="str">
        <f>IF(J329="Funcionamiento Gastos Generales","No aplica",IF(J329="Funcionamiento Servicios Personales indirectos","No aplica",IFERROR(VLOOKUP(J329,Listas!$A$127:$E$139,3,FALSE),"Alerta: Seleccione la celda en la comumna B con el nombre del proyecto")))</f>
        <v>ME20181114</v>
      </c>
      <c r="AL329" s="640" t="str">
        <f>IF(J329="Funcionamiento Gastos Generales","No aplica",IF(J329="Funcionamiento Servicios Personales","No aplica",IFERROR(VLOOKUP(J329,Listas!$A$220:$D$224,2,FALSE),"Alerta: Seleccione la celda en la comumna B con el nombre del proyecto")))</f>
        <v>COMP1114</v>
      </c>
      <c r="AM329" s="640" t="str">
        <f>IF(J329="Funcionamiento Gastos Generales","No aplica",IF(J329="Funcionamiento Servicios Personales","No aplica",IFERROR(VLOOKUP(J329,Listas!$A$220:$D$224,3,FALSE),"Alerta: Seleccione la celda en la comumna B con el nombre del proyecto")))</f>
        <v>CONC1114</v>
      </c>
      <c r="AN329" s="633" t="s">
        <v>1053</v>
      </c>
      <c r="AO329" s="633" t="s">
        <v>391</v>
      </c>
      <c r="AP329" s="634" t="str">
        <f>IFERROR(VLOOKUP(J329,Listas!$A$182:$E$215,5,FALSE),"Alerta: Seleccione la celda en la comumna B con el nombre del proyecto")</f>
        <v>4. Obras de Intervención en Bienes muebles - inmuebles y sectores que conforman el patrimonio cultural del D.C.</v>
      </c>
      <c r="AQ329" s="634" t="str">
        <f>IF(J329="Funcionamiento Gastos Generales","No aplica",IF(J329="Funcionamiento Servicios Personales","No aplica",IFERROR(VLOOKUP(J329,Listas!$A$220:$D$224,4,FALSE),"Alerta: Seleccione la celda en la comumna B con el nombre del proyecto")))</f>
        <v>FONT1114</v>
      </c>
      <c r="AR329" s="633" t="s">
        <v>198</v>
      </c>
      <c r="AS329" s="634" t="str">
        <f>IFERROR(VLOOKUP(AU329,Listas!$E$85:$L$105,7,FALSE),"Alerta: Seleccione la celda en la comumna AI con el concepto de gasto")</f>
        <v>03-RECURSO HUMANO</v>
      </c>
      <c r="AT329" s="634" t="str">
        <f>IFERROR(VLOOKUP(AU329,Listas!$E$85:$L$105,8,FALSE),"Alerta: Seleccione la celda en la comumna AI con el concepto de gasto")</f>
        <v>04-GASTOS DE PERSONAL OPERATIVO</v>
      </c>
      <c r="AU329" s="633" t="s">
        <v>228</v>
      </c>
      <c r="AV329" s="634">
        <f>IFERROR(VLOOKUP(AU329,Listas!$E$85:$F$105,2,FALSE),"Alerta: Seleccione el Concepto de Gasto primero")</f>
        <v>0</v>
      </c>
      <c r="AW329" s="644">
        <v>39200000</v>
      </c>
      <c r="AX329" s="645"/>
      <c r="AY329" s="645"/>
      <c r="AZ329" s="645"/>
      <c r="BA329" s="646">
        <f t="shared" si="104"/>
        <v>39200000</v>
      </c>
      <c r="BB329" s="647"/>
      <c r="BC329" s="648"/>
      <c r="BD329" s="649"/>
      <c r="BE329" s="647"/>
      <c r="BF329" s="644"/>
      <c r="BG329" s="646">
        <f t="shared" si="105"/>
        <v>39200000</v>
      </c>
      <c r="BH329" s="650"/>
      <c r="BI329" s="647"/>
      <c r="BJ329" s="644"/>
      <c r="BK329" s="646">
        <f t="shared" si="106"/>
        <v>0</v>
      </c>
      <c r="BL329" s="651"/>
      <c r="BM329" s="652">
        <f t="shared" si="107"/>
        <v>1</v>
      </c>
      <c r="BN329" s="628"/>
      <c r="BO329" s="670"/>
      <c r="BP329" s="644"/>
      <c r="BQ329" s="644"/>
      <c r="BR329" s="644"/>
      <c r="BS329" s="644"/>
      <c r="BT329" s="644"/>
      <c r="BU329" s="644"/>
      <c r="BV329" s="644"/>
      <c r="BW329" s="644"/>
      <c r="BX329" s="644"/>
      <c r="BY329" s="644"/>
      <c r="BZ329" s="644"/>
      <c r="CA329" s="644"/>
      <c r="CB329" s="646">
        <f t="shared" si="108"/>
        <v>0</v>
      </c>
      <c r="CC329" s="646">
        <f t="shared" si="109"/>
        <v>0</v>
      </c>
      <c r="CD329" s="614"/>
    </row>
    <row r="330" spans="1:85" s="561" customFormat="1" ht="61.5" customHeight="1">
      <c r="A330" s="625" t="str">
        <f t="shared" si="91"/>
        <v>1114-140-FONT1114-03-04-0316-Asesoría técnica para la protección y promoción del patrimonio cultural material del distrito capital</v>
      </c>
      <c r="B330" s="626" t="str">
        <f t="shared" si="92"/>
        <v>1114-140-FONT1114-03-04-0316</v>
      </c>
      <c r="C330" s="626" t="str">
        <f t="shared" si="93"/>
        <v>1114-140-FONT1114-Asesoría técnica para la protección y promoción del patrimonio cultural material del distrito capital</v>
      </c>
      <c r="D330" s="626" t="str">
        <f t="shared" si="94"/>
        <v>1114-140-12-Otros Distrito-03-04-0316</v>
      </c>
      <c r="E330" s="626" t="str">
        <f t="shared" si="95"/>
        <v>Asesoría técnica para la protección y promoción del patrimonio cultural material del distrito capital-12-Otros Distrito-0316-Personal de apoyo para las actividades de valoración, protección y conservación del Patrimonio Cultural</v>
      </c>
      <c r="F330" s="627">
        <v>290</v>
      </c>
      <c r="G330" s="628">
        <f t="shared" si="96"/>
        <v>290</v>
      </c>
      <c r="H330" s="629" t="b">
        <f t="shared" si="97"/>
        <v>0</v>
      </c>
      <c r="I330" s="630" t="s">
        <v>594</v>
      </c>
      <c r="J330" s="627" t="s">
        <v>180</v>
      </c>
      <c r="K330" s="631" t="str">
        <f>+IFERROR(VLOOKUP(J330,Listas!$A$108:$B$114,2,FALSE),"Alerta: Seleccione la celda en la comumna B con el nombre del proyecto")</f>
        <v>3-3-1-15-02-17-1114-140</v>
      </c>
      <c r="L330" s="632" t="s">
        <v>857</v>
      </c>
      <c r="M330" s="633" t="s">
        <v>867</v>
      </c>
      <c r="N330" s="634" t="str">
        <f t="shared" si="98"/>
        <v>(Cód. 290) Prestar servicios profesionales al Instituto Distrital de Patrimonio Cultural apoyando las actividades de elaboración y redacción de conceptos técnicos respecto a las normas aplicables para intervenciones sobre los inmuebles de interés cultural del Distrito Capital.</v>
      </c>
      <c r="O330" s="635">
        <v>43497</v>
      </c>
      <c r="P330" s="636">
        <f>IFERROR(VLOOKUP(W330,'Estimación CRP'!$D$21:$E$30,2,FALSE),0)</f>
        <v>10</v>
      </c>
      <c r="Q330" s="637">
        <f>IF(O330="No aplica","No aplica",WORKDAY.INTL(O330,P330,1,'Estimación CRP'!A516:A532))</f>
        <v>43511</v>
      </c>
      <c r="R330" s="636">
        <f t="shared" si="99"/>
        <v>2</v>
      </c>
      <c r="S330" s="636">
        <f t="shared" si="100"/>
        <v>2</v>
      </c>
      <c r="T330" s="636">
        <f t="shared" si="101"/>
        <v>2</v>
      </c>
      <c r="U330" s="712">
        <v>8</v>
      </c>
      <c r="V330" s="638">
        <v>1</v>
      </c>
      <c r="W330" s="639" t="s">
        <v>274</v>
      </c>
      <c r="X330" s="640" t="str">
        <f>IFERROR(VLOOKUP(W330,Listas!$A$60:$B$73,2,FALSE),"Alerta: Seleccione primero Modalidad de selección")</f>
        <v>CCE-16</v>
      </c>
      <c r="Y330" s="641">
        <v>0</v>
      </c>
      <c r="Z330" s="641" t="s">
        <v>346</v>
      </c>
      <c r="AA330" s="641" t="s">
        <v>1326</v>
      </c>
      <c r="AB330" s="642">
        <f t="shared" si="102"/>
        <v>39360000</v>
      </c>
      <c r="AC330" s="642">
        <f t="shared" si="103"/>
        <v>39360000</v>
      </c>
      <c r="AD330" s="641">
        <v>0</v>
      </c>
      <c r="AE330" s="643">
        <v>0</v>
      </c>
      <c r="AF330" s="639" t="s">
        <v>276</v>
      </c>
      <c r="AG330" s="639" t="s">
        <v>277</v>
      </c>
      <c r="AH330" s="639" t="s">
        <v>573</v>
      </c>
      <c r="AI330" s="626" t="str">
        <f>IFERROR(VLOOKUP(AH330,Listas!$A$77:$C$83,2,FALSE),"Alerta: Seleccione primero el responsable")</f>
        <v>3550800</v>
      </c>
      <c r="AJ330" s="640" t="str">
        <f>IFERROR(VLOOKUP(AH330,Listas!$A$77:$C$83,3,FALSE),"Alerta: Seleccione primero el responsable")</f>
        <v>carolina.fernandez@idpc.gov.co</v>
      </c>
      <c r="AK330" s="640" t="str">
        <f>IF(J330="Funcionamiento Gastos Generales","No aplica",IF(J330="Funcionamiento Servicios Personales indirectos","No aplica",IFERROR(VLOOKUP(J330,Listas!$A$127:$E$139,3,FALSE),"Alerta: Seleccione la celda en la comumna B con el nombre del proyecto")))</f>
        <v>ME20181114</v>
      </c>
      <c r="AL330" s="640" t="str">
        <f>IF(J330="Funcionamiento Gastos Generales","No aplica",IF(J330="Funcionamiento Servicios Personales","No aplica",IFERROR(VLOOKUP(J330,Listas!$A$220:$D$224,2,FALSE),"Alerta: Seleccione la celda en la comumna B con el nombre del proyecto")))</f>
        <v>COMP1114</v>
      </c>
      <c r="AM330" s="640" t="str">
        <f>IF(J330="Funcionamiento Gastos Generales","No aplica",IF(J330="Funcionamiento Servicios Personales","No aplica",IFERROR(VLOOKUP(J330,Listas!$A$220:$D$224,3,FALSE),"Alerta: Seleccione la celda en la comumna B con el nombre del proyecto")))</f>
        <v>CONC1114</v>
      </c>
      <c r="AN330" s="633" t="s">
        <v>1053</v>
      </c>
      <c r="AO330" s="633" t="s">
        <v>391</v>
      </c>
      <c r="AP330" s="634" t="str">
        <f>IFERROR(VLOOKUP(J330,Listas!$A$182:$E$215,5,FALSE),"Alerta: Seleccione la celda en la comumna B con el nombre del proyecto")</f>
        <v>4. Obras de Intervención en Bienes muebles - inmuebles y sectores que conforman el patrimonio cultural del D.C.</v>
      </c>
      <c r="AQ330" s="634" t="str">
        <f>IF(J330="Funcionamiento Gastos Generales","No aplica",IF(J330="Funcionamiento Servicios Personales","No aplica",IFERROR(VLOOKUP(J330,Listas!$A$220:$D$224,4,FALSE),"Alerta: Seleccione la celda en la comumna B con el nombre del proyecto")))</f>
        <v>FONT1114</v>
      </c>
      <c r="AR330" s="633" t="s">
        <v>198</v>
      </c>
      <c r="AS330" s="634" t="str">
        <f>IFERROR(VLOOKUP(AU330,Listas!$E$85:$L$105,7,FALSE),"Alerta: Seleccione la celda en la comumna AI con el concepto de gasto")</f>
        <v>03-RECURSO HUMANO</v>
      </c>
      <c r="AT330" s="634" t="str">
        <f>IFERROR(VLOOKUP(AU330,Listas!$E$85:$L$105,8,FALSE),"Alerta: Seleccione la celda en la comumna AI con el concepto de gasto")</f>
        <v>04-GASTOS DE PERSONAL OPERATIVO</v>
      </c>
      <c r="AU330" s="633" t="s">
        <v>228</v>
      </c>
      <c r="AV330" s="634">
        <f>IFERROR(VLOOKUP(AU330,Listas!$E$85:$F$105,2,FALSE),"Alerta: Seleccione el Concepto de Gasto primero")</f>
        <v>0</v>
      </c>
      <c r="AW330" s="644">
        <v>39360000</v>
      </c>
      <c r="AX330" s="645"/>
      <c r="AY330" s="645"/>
      <c r="AZ330" s="645"/>
      <c r="BA330" s="646">
        <f t="shared" si="104"/>
        <v>39360000</v>
      </c>
      <c r="BB330" s="647"/>
      <c r="BC330" s="648"/>
      <c r="BD330" s="649"/>
      <c r="BE330" s="647"/>
      <c r="BF330" s="644"/>
      <c r="BG330" s="646">
        <f t="shared" si="105"/>
        <v>39360000</v>
      </c>
      <c r="BH330" s="650"/>
      <c r="BI330" s="647"/>
      <c r="BJ330" s="644"/>
      <c r="BK330" s="646">
        <f t="shared" si="106"/>
        <v>0</v>
      </c>
      <c r="BL330" s="651"/>
      <c r="BM330" s="652">
        <f t="shared" si="107"/>
        <v>1</v>
      </c>
      <c r="BN330" s="628"/>
      <c r="BO330" s="670"/>
      <c r="BP330" s="644"/>
      <c r="BQ330" s="644"/>
      <c r="BR330" s="644"/>
      <c r="BS330" s="644"/>
      <c r="BT330" s="644"/>
      <c r="BU330" s="644"/>
      <c r="BV330" s="644"/>
      <c r="BW330" s="644"/>
      <c r="BX330" s="644"/>
      <c r="BY330" s="644"/>
      <c r="BZ330" s="644"/>
      <c r="CA330" s="644"/>
      <c r="CB330" s="646">
        <f t="shared" si="108"/>
        <v>0</v>
      </c>
      <c r="CC330" s="646">
        <f t="shared" si="109"/>
        <v>0</v>
      </c>
      <c r="CD330" s="614"/>
    </row>
    <row r="331" spans="1:85" s="561" customFormat="1" ht="61.5" customHeight="1">
      <c r="A331" s="625" t="str">
        <f t="shared" si="91"/>
        <v>1114-140-FONT1114-03-04-0316-Asesoría técnica para la protección y promoción del patrimonio cultural material del distrito capital</v>
      </c>
      <c r="B331" s="626" t="str">
        <f t="shared" si="92"/>
        <v>1114-140-FONT1114-03-04-0316</v>
      </c>
      <c r="C331" s="626" t="str">
        <f t="shared" si="93"/>
        <v>1114-140-FONT1114-Asesoría técnica para la protección y promoción del patrimonio cultural material del distrito capital</v>
      </c>
      <c r="D331" s="626" t="str">
        <f t="shared" si="94"/>
        <v>1114-140-12-Otros Distrito-03-04-0316</v>
      </c>
      <c r="E331" s="626" t="str">
        <f t="shared" si="95"/>
        <v>Asesoría técnica para la protección y promoción del patrimonio cultural material del distrito capital-12-Otros Distrito-0316-Personal de apoyo para las actividades de valoración, protección y conservación del Patrimonio Cultural</v>
      </c>
      <c r="F331" s="627">
        <v>291</v>
      </c>
      <c r="G331" s="628">
        <f t="shared" si="96"/>
        <v>291</v>
      </c>
      <c r="H331" s="629" t="b">
        <f t="shared" si="97"/>
        <v>0</v>
      </c>
      <c r="I331" s="630" t="s">
        <v>594</v>
      </c>
      <c r="J331" s="627" t="s">
        <v>180</v>
      </c>
      <c r="K331" s="631" t="str">
        <f>+IFERROR(VLOOKUP(J331,Listas!$A$108:$B$114,2,FALSE),"Alerta: Seleccione la celda en la comumna B con el nombre del proyecto")</f>
        <v>3-3-1-15-02-17-1114-140</v>
      </c>
      <c r="L331" s="632" t="s">
        <v>857</v>
      </c>
      <c r="M331" s="633" t="s">
        <v>868</v>
      </c>
      <c r="N331" s="634" t="str">
        <f t="shared" si="98"/>
        <v>(Cód. 291) Prestar servicios profesionales al Instituto Distrital de Patrimonio Cultural apoyando las actividades de soporte técnico, revisión, evaluación, verificación y análisis de las solicitudes de reparaciones locativas que se presentan sobre los bienes de interés cultural del Distrito Capital.</v>
      </c>
      <c r="O331" s="635">
        <v>43497</v>
      </c>
      <c r="P331" s="636">
        <f>IFERROR(VLOOKUP(W331,'Estimación CRP'!$D$21:$E$30,2,FALSE),0)</f>
        <v>10</v>
      </c>
      <c r="Q331" s="637">
        <f>IF(O331="No aplica","No aplica",WORKDAY.INTL(O331,P331,1,'Estimación CRP'!A517:A533))</f>
        <v>43511</v>
      </c>
      <c r="R331" s="636">
        <f t="shared" si="99"/>
        <v>2</v>
      </c>
      <c r="S331" s="636">
        <f t="shared" si="100"/>
        <v>2</v>
      </c>
      <c r="T331" s="636">
        <f t="shared" si="101"/>
        <v>2</v>
      </c>
      <c r="U331" s="712">
        <v>8</v>
      </c>
      <c r="V331" s="638">
        <v>1</v>
      </c>
      <c r="W331" s="639" t="s">
        <v>274</v>
      </c>
      <c r="X331" s="640" t="str">
        <f>IFERROR(VLOOKUP(W331,Listas!$A$60:$B$73,2,FALSE),"Alerta: Seleccione primero Modalidad de selección")</f>
        <v>CCE-16</v>
      </c>
      <c r="Y331" s="641">
        <v>0</v>
      </c>
      <c r="Z331" s="641" t="s">
        <v>346</v>
      </c>
      <c r="AA331" s="641" t="s">
        <v>1326</v>
      </c>
      <c r="AB331" s="642">
        <f t="shared" si="102"/>
        <v>43040000</v>
      </c>
      <c r="AC331" s="642">
        <f t="shared" si="103"/>
        <v>43040000</v>
      </c>
      <c r="AD331" s="641">
        <v>0</v>
      </c>
      <c r="AE331" s="643">
        <v>0</v>
      </c>
      <c r="AF331" s="639" t="s">
        <v>276</v>
      </c>
      <c r="AG331" s="639" t="s">
        <v>277</v>
      </c>
      <c r="AH331" s="639" t="s">
        <v>573</v>
      </c>
      <c r="AI331" s="626" t="str">
        <f>IFERROR(VLOOKUP(AH331,Listas!$A$77:$C$83,2,FALSE),"Alerta: Seleccione primero el responsable")</f>
        <v>3550800</v>
      </c>
      <c r="AJ331" s="640" t="str">
        <f>IFERROR(VLOOKUP(AH331,Listas!$A$77:$C$83,3,FALSE),"Alerta: Seleccione primero el responsable")</f>
        <v>carolina.fernandez@idpc.gov.co</v>
      </c>
      <c r="AK331" s="640" t="str">
        <f>IF(J331="Funcionamiento Gastos Generales","No aplica",IF(J331="Funcionamiento Servicios Personales indirectos","No aplica",IFERROR(VLOOKUP(J331,Listas!$A$127:$E$139,3,FALSE),"Alerta: Seleccione la celda en la comumna B con el nombre del proyecto")))</f>
        <v>ME20181114</v>
      </c>
      <c r="AL331" s="640" t="str">
        <f>IF(J331="Funcionamiento Gastos Generales","No aplica",IF(J331="Funcionamiento Servicios Personales","No aplica",IFERROR(VLOOKUP(J331,Listas!$A$220:$D$224,2,FALSE),"Alerta: Seleccione la celda en la comumna B con el nombre del proyecto")))</f>
        <v>COMP1114</v>
      </c>
      <c r="AM331" s="640" t="str">
        <f>IF(J331="Funcionamiento Gastos Generales","No aplica",IF(J331="Funcionamiento Servicios Personales","No aplica",IFERROR(VLOOKUP(J331,Listas!$A$220:$D$224,3,FALSE),"Alerta: Seleccione la celda en la comumna B con el nombre del proyecto")))</f>
        <v>CONC1114</v>
      </c>
      <c r="AN331" s="633" t="s">
        <v>1053</v>
      </c>
      <c r="AO331" s="633" t="s">
        <v>391</v>
      </c>
      <c r="AP331" s="634" t="str">
        <f>IFERROR(VLOOKUP(J331,Listas!$A$182:$E$215,5,FALSE),"Alerta: Seleccione la celda en la comumna B con el nombre del proyecto")</f>
        <v>4. Obras de Intervención en Bienes muebles - inmuebles y sectores que conforman el patrimonio cultural del D.C.</v>
      </c>
      <c r="AQ331" s="634" t="str">
        <f>IF(J331="Funcionamiento Gastos Generales","No aplica",IF(J331="Funcionamiento Servicios Personales","No aplica",IFERROR(VLOOKUP(J331,Listas!$A$220:$D$224,4,FALSE),"Alerta: Seleccione la celda en la comumna B con el nombre del proyecto")))</f>
        <v>FONT1114</v>
      </c>
      <c r="AR331" s="633" t="s">
        <v>198</v>
      </c>
      <c r="AS331" s="634" t="str">
        <f>IFERROR(VLOOKUP(AU331,Listas!$E$85:$L$105,7,FALSE),"Alerta: Seleccione la celda en la comumna AI con el concepto de gasto")</f>
        <v>03-RECURSO HUMANO</v>
      </c>
      <c r="AT331" s="634" t="str">
        <f>IFERROR(VLOOKUP(AU331,Listas!$E$85:$L$105,8,FALSE),"Alerta: Seleccione la celda en la comumna AI con el concepto de gasto")</f>
        <v>04-GASTOS DE PERSONAL OPERATIVO</v>
      </c>
      <c r="AU331" s="633" t="s">
        <v>228</v>
      </c>
      <c r="AV331" s="634">
        <f>IFERROR(VLOOKUP(AU331,Listas!$E$85:$F$105,2,FALSE),"Alerta: Seleccione el Concepto de Gasto primero")</f>
        <v>0</v>
      </c>
      <c r="AW331" s="644">
        <v>43040000</v>
      </c>
      <c r="AX331" s="645"/>
      <c r="AY331" s="645"/>
      <c r="AZ331" s="645"/>
      <c r="BA331" s="646">
        <f t="shared" si="104"/>
        <v>43040000</v>
      </c>
      <c r="BB331" s="647"/>
      <c r="BC331" s="648"/>
      <c r="BD331" s="649"/>
      <c r="BE331" s="647"/>
      <c r="BF331" s="644"/>
      <c r="BG331" s="646">
        <f t="shared" si="105"/>
        <v>43040000</v>
      </c>
      <c r="BH331" s="650"/>
      <c r="BI331" s="647"/>
      <c r="BJ331" s="644"/>
      <c r="BK331" s="646">
        <f t="shared" si="106"/>
        <v>0</v>
      </c>
      <c r="BL331" s="651"/>
      <c r="BM331" s="652">
        <f t="shared" si="107"/>
        <v>1</v>
      </c>
      <c r="BN331" s="628"/>
      <c r="BO331" s="670"/>
      <c r="BP331" s="644"/>
      <c r="BQ331" s="644"/>
      <c r="BR331" s="644"/>
      <c r="BS331" s="644"/>
      <c r="BT331" s="644"/>
      <c r="BU331" s="644"/>
      <c r="BV331" s="644"/>
      <c r="BW331" s="644"/>
      <c r="BX331" s="644"/>
      <c r="BY331" s="644"/>
      <c r="BZ331" s="644"/>
      <c r="CA331" s="644"/>
      <c r="CB331" s="646">
        <f t="shared" si="108"/>
        <v>0</v>
      </c>
      <c r="CC331" s="646">
        <f t="shared" si="109"/>
        <v>0</v>
      </c>
      <c r="CD331" s="614"/>
    </row>
    <row r="332" spans="1:85" s="561" customFormat="1" ht="61.5" customHeight="1">
      <c r="A332" s="625" t="str">
        <f t="shared" si="91"/>
        <v>1114-140-FONT1114-03-04-0316-Asesoría técnica para la protección y promoción del patrimonio cultural material del distrito capital</v>
      </c>
      <c r="B332" s="626" t="str">
        <f t="shared" si="92"/>
        <v>1114-140-FONT1114-03-04-0316</v>
      </c>
      <c r="C332" s="626" t="str">
        <f t="shared" si="93"/>
        <v>1114-140-FONT1114-Asesoría técnica para la protección y promoción del patrimonio cultural material del distrito capital</v>
      </c>
      <c r="D332" s="626" t="str">
        <f t="shared" si="94"/>
        <v>1114-140-12-Otros Distrito-03-04-0316</v>
      </c>
      <c r="E332" s="626" t="str">
        <f t="shared" si="95"/>
        <v>Asesoría técnica para la protección y promoción del patrimonio cultural material del distrito capital-12-Otros Distrito-0316-Personal de apoyo para las actividades de valoración, protección y conservación del Patrimonio Cultural</v>
      </c>
      <c r="F332" s="627">
        <v>292</v>
      </c>
      <c r="G332" s="628">
        <f t="shared" si="96"/>
        <v>292</v>
      </c>
      <c r="H332" s="629" t="b">
        <f t="shared" si="97"/>
        <v>0</v>
      </c>
      <c r="I332" s="630" t="s">
        <v>594</v>
      </c>
      <c r="J332" s="627" t="s">
        <v>180</v>
      </c>
      <c r="K332" s="631" t="str">
        <f>+IFERROR(VLOOKUP(J332,Listas!$A$108:$B$114,2,FALSE),"Alerta: Seleccione la celda en la comumna B con el nombre del proyecto")</f>
        <v>3-3-1-15-02-17-1114-140</v>
      </c>
      <c r="L332" s="632" t="s">
        <v>857</v>
      </c>
      <c r="M332" s="633" t="s">
        <v>869</v>
      </c>
      <c r="N332" s="634" t="str">
        <f t="shared" si="98"/>
        <v>(Cód. 292) Prestar servicios profesionales al Instituto Distrital de Patrimonio Cultural para apoyar las actividades de soporte técnico y evaluación de las solicitudes y acciones de control urbano que se presenten sobre BIC y SIC del Distrito Capital.</v>
      </c>
      <c r="O332" s="635">
        <v>43497</v>
      </c>
      <c r="P332" s="636">
        <f>IFERROR(VLOOKUP(W332,'Estimación CRP'!$D$21:$E$30,2,FALSE),0)</f>
        <v>10</v>
      </c>
      <c r="Q332" s="637">
        <f>IF(O332="No aplica","No aplica",WORKDAY.INTL(O332,P332,1,'Estimación CRP'!A518:A534))</f>
        <v>43511</v>
      </c>
      <c r="R332" s="636">
        <f t="shared" si="99"/>
        <v>2</v>
      </c>
      <c r="S332" s="636">
        <f t="shared" si="100"/>
        <v>2</v>
      </c>
      <c r="T332" s="636">
        <f t="shared" si="101"/>
        <v>2</v>
      </c>
      <c r="U332" s="712">
        <v>10</v>
      </c>
      <c r="V332" s="638">
        <v>1</v>
      </c>
      <c r="W332" s="639" t="s">
        <v>274</v>
      </c>
      <c r="X332" s="640" t="str">
        <f>IFERROR(VLOOKUP(W332,Listas!$A$60:$B$73,2,FALSE),"Alerta: Seleccione primero Modalidad de selección")</f>
        <v>CCE-16</v>
      </c>
      <c r="Y332" s="641">
        <v>0</v>
      </c>
      <c r="Z332" s="641" t="s">
        <v>346</v>
      </c>
      <c r="AA332" s="641" t="s">
        <v>1326</v>
      </c>
      <c r="AB332" s="642">
        <f t="shared" si="102"/>
        <v>66060000</v>
      </c>
      <c r="AC332" s="642">
        <f t="shared" si="103"/>
        <v>66060000</v>
      </c>
      <c r="AD332" s="641">
        <v>0</v>
      </c>
      <c r="AE332" s="643">
        <v>0</v>
      </c>
      <c r="AF332" s="639" t="s">
        <v>276</v>
      </c>
      <c r="AG332" s="639" t="s">
        <v>277</v>
      </c>
      <c r="AH332" s="639" t="s">
        <v>573</v>
      </c>
      <c r="AI332" s="626" t="str">
        <f>IFERROR(VLOOKUP(AH332,Listas!$A$77:$C$83,2,FALSE),"Alerta: Seleccione primero el responsable")</f>
        <v>3550800</v>
      </c>
      <c r="AJ332" s="640" t="str">
        <f>IFERROR(VLOOKUP(AH332,Listas!$A$77:$C$83,3,FALSE),"Alerta: Seleccione primero el responsable")</f>
        <v>carolina.fernandez@idpc.gov.co</v>
      </c>
      <c r="AK332" s="640" t="str">
        <f>IF(J332="Funcionamiento Gastos Generales","No aplica",IF(J332="Funcionamiento Servicios Personales indirectos","No aplica",IFERROR(VLOOKUP(J332,Listas!$A$127:$E$139,3,FALSE),"Alerta: Seleccione la celda en la comumna B con el nombre del proyecto")))</f>
        <v>ME20181114</v>
      </c>
      <c r="AL332" s="640" t="str">
        <f>IF(J332="Funcionamiento Gastos Generales","No aplica",IF(J332="Funcionamiento Servicios Personales","No aplica",IFERROR(VLOOKUP(J332,Listas!$A$220:$D$224,2,FALSE),"Alerta: Seleccione la celda en la comumna B con el nombre del proyecto")))</f>
        <v>COMP1114</v>
      </c>
      <c r="AM332" s="640" t="str">
        <f>IF(J332="Funcionamiento Gastos Generales","No aplica",IF(J332="Funcionamiento Servicios Personales","No aplica",IFERROR(VLOOKUP(J332,Listas!$A$220:$D$224,3,FALSE),"Alerta: Seleccione la celda en la comumna B con el nombre del proyecto")))</f>
        <v>CONC1114</v>
      </c>
      <c r="AN332" s="633" t="s">
        <v>1053</v>
      </c>
      <c r="AO332" s="633" t="s">
        <v>391</v>
      </c>
      <c r="AP332" s="634" t="str">
        <f>IFERROR(VLOOKUP(J332,Listas!$A$182:$E$215,5,FALSE),"Alerta: Seleccione la celda en la comumna B con el nombre del proyecto")</f>
        <v>4. Obras de Intervención en Bienes muebles - inmuebles y sectores que conforman el patrimonio cultural del D.C.</v>
      </c>
      <c r="AQ332" s="634" t="str">
        <f>IF(J332="Funcionamiento Gastos Generales","No aplica",IF(J332="Funcionamiento Servicios Personales","No aplica",IFERROR(VLOOKUP(J332,Listas!$A$220:$D$224,4,FALSE),"Alerta: Seleccione la celda en la comumna B con el nombre del proyecto")))</f>
        <v>FONT1114</v>
      </c>
      <c r="AR332" s="633" t="s">
        <v>198</v>
      </c>
      <c r="AS332" s="634" t="str">
        <f>IFERROR(VLOOKUP(AU332,Listas!$E$85:$L$105,7,FALSE),"Alerta: Seleccione la celda en la comumna AI con el concepto de gasto")</f>
        <v>03-RECURSO HUMANO</v>
      </c>
      <c r="AT332" s="634" t="str">
        <f>IFERROR(VLOOKUP(AU332,Listas!$E$85:$L$105,8,FALSE),"Alerta: Seleccione la celda en la comumna AI con el concepto de gasto")</f>
        <v>04-GASTOS DE PERSONAL OPERATIVO</v>
      </c>
      <c r="AU332" s="633" t="s">
        <v>228</v>
      </c>
      <c r="AV332" s="634">
        <f>IFERROR(VLOOKUP(AU332,Listas!$E$85:$F$105,2,FALSE),"Alerta: Seleccione el Concepto de Gasto primero")</f>
        <v>0</v>
      </c>
      <c r="AW332" s="644">
        <v>66060000</v>
      </c>
      <c r="AX332" s="645"/>
      <c r="AY332" s="645"/>
      <c r="AZ332" s="645"/>
      <c r="BA332" s="646">
        <f t="shared" si="104"/>
        <v>66060000</v>
      </c>
      <c r="BB332" s="647"/>
      <c r="BC332" s="648"/>
      <c r="BD332" s="649"/>
      <c r="BE332" s="647"/>
      <c r="BF332" s="644"/>
      <c r="BG332" s="646">
        <f t="shared" si="105"/>
        <v>66060000</v>
      </c>
      <c r="BH332" s="650"/>
      <c r="BI332" s="647"/>
      <c r="BJ332" s="644"/>
      <c r="BK332" s="646">
        <f t="shared" si="106"/>
        <v>0</v>
      </c>
      <c r="BL332" s="651"/>
      <c r="BM332" s="652">
        <f t="shared" si="107"/>
        <v>1</v>
      </c>
      <c r="BN332" s="628"/>
      <c r="BO332" s="670"/>
      <c r="BP332" s="644"/>
      <c r="BQ332" s="644"/>
      <c r="BR332" s="644"/>
      <c r="BS332" s="644"/>
      <c r="BT332" s="644"/>
      <c r="BU332" s="644"/>
      <c r="BV332" s="644"/>
      <c r="BW332" s="644"/>
      <c r="BX332" s="644"/>
      <c r="BY332" s="644"/>
      <c r="BZ332" s="644"/>
      <c r="CA332" s="644"/>
      <c r="CB332" s="646">
        <f t="shared" si="108"/>
        <v>0</v>
      </c>
      <c r="CC332" s="646">
        <f t="shared" si="109"/>
        <v>0</v>
      </c>
      <c r="CD332" s="614"/>
    </row>
    <row r="333" spans="1:85" s="561" customFormat="1" ht="61.5" customHeight="1">
      <c r="A333" s="625" t="str">
        <f t="shared" si="91"/>
        <v>1114-140-FONT1114-03-04-0316-Asesoría técnica para la protección y promoción del patrimonio cultural material del distrito capital</v>
      </c>
      <c r="B333" s="626" t="str">
        <f t="shared" si="92"/>
        <v>1114-140-FONT1114-03-04-0316</v>
      </c>
      <c r="C333" s="626" t="str">
        <f t="shared" si="93"/>
        <v>1114-140-FONT1114-Asesoría técnica para la protección y promoción del patrimonio cultural material del distrito capital</v>
      </c>
      <c r="D333" s="626" t="str">
        <f t="shared" si="94"/>
        <v>1114-140-12-Otros Distrito-03-04-0316</v>
      </c>
      <c r="E333" s="626" t="str">
        <f t="shared" si="95"/>
        <v>Asesoría técnica para la protección y promoción del patrimonio cultural material del distrito capital-12-Otros Distrito-0316-Personal de apoyo para las actividades de valoración, protección y conservación del Patrimonio Cultural</v>
      </c>
      <c r="F333" s="627">
        <v>293</v>
      </c>
      <c r="G333" s="628">
        <f t="shared" si="96"/>
        <v>293</v>
      </c>
      <c r="H333" s="629" t="b">
        <f t="shared" si="97"/>
        <v>0</v>
      </c>
      <c r="I333" s="630" t="s">
        <v>594</v>
      </c>
      <c r="J333" s="627" t="s">
        <v>180</v>
      </c>
      <c r="K333" s="631" t="str">
        <f>+IFERROR(VLOOKUP(J333,Listas!$A$108:$B$114,2,FALSE),"Alerta: Seleccione la celda en la comumna B con el nombre del proyecto")</f>
        <v>3-3-1-15-02-17-1114-140</v>
      </c>
      <c r="L333" s="632" t="s">
        <v>857</v>
      </c>
      <c r="M333" s="633" t="s">
        <v>870</v>
      </c>
      <c r="N333" s="634" t="str">
        <f t="shared" si="98"/>
        <v>(Cód. 293) Prestar servicios profesionales al Instituto Distrital de Patrimonio Cultural para apoyar las actividades de soporte técnico y evaluación de las solicitudes de equiparación a estrato 1 y de control urbano de intervenciones en BIC.</v>
      </c>
      <c r="O333" s="635">
        <v>43497</v>
      </c>
      <c r="P333" s="636">
        <f>IFERROR(VLOOKUP(W333,'Estimación CRP'!$D$21:$E$30,2,FALSE),0)</f>
        <v>10</v>
      </c>
      <c r="Q333" s="637">
        <f>IF(O333="No aplica","No aplica",WORKDAY.INTL(O333,P333,1,'Estimación CRP'!A519:A535))</f>
        <v>43511</v>
      </c>
      <c r="R333" s="636">
        <f t="shared" si="99"/>
        <v>2</v>
      </c>
      <c r="S333" s="636">
        <f t="shared" si="100"/>
        <v>2</v>
      </c>
      <c r="T333" s="636">
        <f t="shared" si="101"/>
        <v>2</v>
      </c>
      <c r="U333" s="712">
        <v>8</v>
      </c>
      <c r="V333" s="638">
        <v>1</v>
      </c>
      <c r="W333" s="639" t="s">
        <v>274</v>
      </c>
      <c r="X333" s="640" t="str">
        <f>IFERROR(VLOOKUP(W333,Listas!$A$60:$B$73,2,FALSE),"Alerta: Seleccione primero Modalidad de selección")</f>
        <v>CCE-16</v>
      </c>
      <c r="Y333" s="641">
        <v>0</v>
      </c>
      <c r="Z333" s="641" t="s">
        <v>346</v>
      </c>
      <c r="AA333" s="641" t="s">
        <v>1326</v>
      </c>
      <c r="AB333" s="642">
        <f t="shared" si="102"/>
        <v>38400000</v>
      </c>
      <c r="AC333" s="642">
        <f t="shared" si="103"/>
        <v>38400000</v>
      </c>
      <c r="AD333" s="641">
        <v>0</v>
      </c>
      <c r="AE333" s="643">
        <v>0</v>
      </c>
      <c r="AF333" s="639" t="s">
        <v>276</v>
      </c>
      <c r="AG333" s="639" t="s">
        <v>277</v>
      </c>
      <c r="AH333" s="639" t="s">
        <v>573</v>
      </c>
      <c r="AI333" s="626" t="str">
        <f>IFERROR(VLOOKUP(AH333,Listas!$A$77:$C$83,2,FALSE),"Alerta: Seleccione primero el responsable")</f>
        <v>3550800</v>
      </c>
      <c r="AJ333" s="640" t="str">
        <f>IFERROR(VLOOKUP(AH333,Listas!$A$77:$C$83,3,FALSE),"Alerta: Seleccione primero el responsable")</f>
        <v>carolina.fernandez@idpc.gov.co</v>
      </c>
      <c r="AK333" s="640" t="str">
        <f>IF(J333="Funcionamiento Gastos Generales","No aplica",IF(J333="Funcionamiento Servicios Personales indirectos","No aplica",IFERROR(VLOOKUP(J333,Listas!$A$127:$E$139,3,FALSE),"Alerta: Seleccione la celda en la comumna B con el nombre del proyecto")))</f>
        <v>ME20181114</v>
      </c>
      <c r="AL333" s="640" t="str">
        <f>IF(J333="Funcionamiento Gastos Generales","No aplica",IF(J333="Funcionamiento Servicios Personales","No aplica",IFERROR(VLOOKUP(J333,Listas!$A$220:$D$224,2,FALSE),"Alerta: Seleccione la celda en la comumna B con el nombre del proyecto")))</f>
        <v>COMP1114</v>
      </c>
      <c r="AM333" s="640" t="str">
        <f>IF(J333="Funcionamiento Gastos Generales","No aplica",IF(J333="Funcionamiento Servicios Personales","No aplica",IFERROR(VLOOKUP(J333,Listas!$A$220:$D$224,3,FALSE),"Alerta: Seleccione la celda en la comumna B con el nombre del proyecto")))</f>
        <v>CONC1114</v>
      </c>
      <c r="AN333" s="633" t="s">
        <v>1053</v>
      </c>
      <c r="AO333" s="633" t="s">
        <v>391</v>
      </c>
      <c r="AP333" s="634" t="str">
        <f>IFERROR(VLOOKUP(J333,Listas!$A$182:$E$215,5,FALSE),"Alerta: Seleccione la celda en la comumna B con el nombre del proyecto")</f>
        <v>4. Obras de Intervención en Bienes muebles - inmuebles y sectores que conforman el patrimonio cultural del D.C.</v>
      </c>
      <c r="AQ333" s="634" t="str">
        <f>IF(J333="Funcionamiento Gastos Generales","No aplica",IF(J333="Funcionamiento Servicios Personales","No aplica",IFERROR(VLOOKUP(J333,Listas!$A$220:$D$224,4,FALSE),"Alerta: Seleccione la celda en la comumna B con el nombre del proyecto")))</f>
        <v>FONT1114</v>
      </c>
      <c r="AR333" s="633" t="s">
        <v>198</v>
      </c>
      <c r="AS333" s="634" t="str">
        <f>IFERROR(VLOOKUP(AU333,Listas!$E$85:$L$105,7,FALSE),"Alerta: Seleccione la celda en la comumna AI con el concepto de gasto")</f>
        <v>03-RECURSO HUMANO</v>
      </c>
      <c r="AT333" s="634" t="str">
        <f>IFERROR(VLOOKUP(AU333,Listas!$E$85:$L$105,8,FALSE),"Alerta: Seleccione la celda en la comumna AI con el concepto de gasto")</f>
        <v>04-GASTOS DE PERSONAL OPERATIVO</v>
      </c>
      <c r="AU333" s="633" t="s">
        <v>228</v>
      </c>
      <c r="AV333" s="634">
        <f>IFERROR(VLOOKUP(AU333,Listas!$E$85:$F$105,2,FALSE),"Alerta: Seleccione el Concepto de Gasto primero")</f>
        <v>0</v>
      </c>
      <c r="AW333" s="644">
        <v>38400000</v>
      </c>
      <c r="AX333" s="645"/>
      <c r="AY333" s="645"/>
      <c r="AZ333" s="645"/>
      <c r="BA333" s="646">
        <f t="shared" si="104"/>
        <v>38400000</v>
      </c>
      <c r="BB333" s="647"/>
      <c r="BC333" s="648"/>
      <c r="BD333" s="649"/>
      <c r="BE333" s="647"/>
      <c r="BF333" s="644"/>
      <c r="BG333" s="646">
        <f t="shared" si="105"/>
        <v>38400000</v>
      </c>
      <c r="BH333" s="650"/>
      <c r="BI333" s="647"/>
      <c r="BJ333" s="644"/>
      <c r="BK333" s="646">
        <f t="shared" si="106"/>
        <v>0</v>
      </c>
      <c r="BL333" s="651"/>
      <c r="BM333" s="652">
        <f t="shared" si="107"/>
        <v>1</v>
      </c>
      <c r="BN333" s="628"/>
      <c r="BO333" s="670"/>
      <c r="BP333" s="644"/>
      <c r="BQ333" s="644"/>
      <c r="BR333" s="644"/>
      <c r="BS333" s="644"/>
      <c r="BT333" s="644"/>
      <c r="BU333" s="644"/>
      <c r="BV333" s="644"/>
      <c r="BW333" s="644"/>
      <c r="BX333" s="644"/>
      <c r="BY333" s="644"/>
      <c r="BZ333" s="644"/>
      <c r="CA333" s="644"/>
      <c r="CB333" s="646">
        <f t="shared" si="108"/>
        <v>0</v>
      </c>
      <c r="CC333" s="646">
        <f t="shared" si="109"/>
        <v>0</v>
      </c>
      <c r="CD333" s="614"/>
    </row>
    <row r="334" spans="1:85" s="561" customFormat="1" ht="61.5" customHeight="1">
      <c r="A334" s="625" t="str">
        <f t="shared" si="91"/>
        <v>1114-140-FONT1114-03-04-0316-Asesoría técnica para la protección y promoción del patrimonio cultural material del distrito capital</v>
      </c>
      <c r="B334" s="626" t="str">
        <f t="shared" si="92"/>
        <v>1114-140-FONT1114-03-04-0316</v>
      </c>
      <c r="C334" s="626" t="str">
        <f t="shared" si="93"/>
        <v>1114-140-FONT1114-Asesoría técnica para la protección y promoción del patrimonio cultural material del distrito capital</v>
      </c>
      <c r="D334" s="626" t="str">
        <f t="shared" si="94"/>
        <v>1114-140-12-Otros Distrito-03-04-0316</v>
      </c>
      <c r="E334" s="626" t="str">
        <f t="shared" si="95"/>
        <v>Asesoría técnica para la protección y promoción del patrimonio cultural material del distrito capital-12-Otros Distrito-0316-Personal de apoyo para las actividades de valoración, protección y conservación del Patrimonio Cultural</v>
      </c>
      <c r="F334" s="627">
        <v>294</v>
      </c>
      <c r="G334" s="628">
        <f t="shared" si="96"/>
        <v>294</v>
      </c>
      <c r="H334" s="629" t="b">
        <f t="shared" si="97"/>
        <v>0</v>
      </c>
      <c r="I334" s="630" t="s">
        <v>594</v>
      </c>
      <c r="J334" s="627" t="s">
        <v>180</v>
      </c>
      <c r="K334" s="631" t="str">
        <f>+IFERROR(VLOOKUP(J334,Listas!$A$108:$B$114,2,FALSE),"Alerta: Seleccione la celda en la comumna B con el nombre del proyecto")</f>
        <v>3-3-1-15-02-17-1114-140</v>
      </c>
      <c r="L334" s="632" t="s">
        <v>857</v>
      </c>
      <c r="M334" s="633" t="s">
        <v>870</v>
      </c>
      <c r="N334" s="634" t="str">
        <f t="shared" si="98"/>
        <v>(Cód. 294) Prestar servicios profesionales al Instituto Distrital de Patrimonio Cultural para apoyar las actividades de soporte técnico y evaluación de las solicitudes de equiparación a estrato 1 y de control urbano de intervenciones en BIC.</v>
      </c>
      <c r="O334" s="635">
        <v>43497</v>
      </c>
      <c r="P334" s="636">
        <f>IFERROR(VLOOKUP(W334,'Estimación CRP'!$D$21:$E$30,2,FALSE),0)</f>
        <v>10</v>
      </c>
      <c r="Q334" s="637">
        <f>IF(O334="No aplica","No aplica",WORKDAY.INTL(O334,P334,1,'Estimación CRP'!A520:A536))</f>
        <v>43511</v>
      </c>
      <c r="R334" s="636">
        <f t="shared" si="99"/>
        <v>2</v>
      </c>
      <c r="S334" s="636">
        <f t="shared" si="100"/>
        <v>2</v>
      </c>
      <c r="T334" s="636">
        <f t="shared" si="101"/>
        <v>2</v>
      </c>
      <c r="U334" s="712">
        <v>8</v>
      </c>
      <c r="V334" s="638">
        <v>1</v>
      </c>
      <c r="W334" s="639" t="s">
        <v>274</v>
      </c>
      <c r="X334" s="640" t="str">
        <f>IFERROR(VLOOKUP(W334,Listas!$A$60:$B$73,2,FALSE),"Alerta: Seleccione primero Modalidad de selección")</f>
        <v>CCE-16</v>
      </c>
      <c r="Y334" s="641">
        <v>0</v>
      </c>
      <c r="Z334" s="641" t="s">
        <v>346</v>
      </c>
      <c r="AA334" s="641" t="s">
        <v>1326</v>
      </c>
      <c r="AB334" s="642">
        <f t="shared" si="102"/>
        <v>38400000</v>
      </c>
      <c r="AC334" s="642">
        <f t="shared" si="103"/>
        <v>38400000</v>
      </c>
      <c r="AD334" s="641">
        <v>0</v>
      </c>
      <c r="AE334" s="643">
        <v>0</v>
      </c>
      <c r="AF334" s="639" t="s">
        <v>276</v>
      </c>
      <c r="AG334" s="639" t="s">
        <v>277</v>
      </c>
      <c r="AH334" s="639" t="s">
        <v>573</v>
      </c>
      <c r="AI334" s="626" t="str">
        <f>IFERROR(VLOOKUP(AH334,Listas!$A$77:$C$83,2,FALSE),"Alerta: Seleccione primero el responsable")</f>
        <v>3550800</v>
      </c>
      <c r="AJ334" s="640" t="str">
        <f>IFERROR(VLOOKUP(AH334,Listas!$A$77:$C$83,3,FALSE),"Alerta: Seleccione primero el responsable")</f>
        <v>carolina.fernandez@idpc.gov.co</v>
      </c>
      <c r="AK334" s="640" t="str">
        <f>IF(J334="Funcionamiento Gastos Generales","No aplica",IF(J334="Funcionamiento Servicios Personales indirectos","No aplica",IFERROR(VLOOKUP(J334,Listas!$A$127:$E$139,3,FALSE),"Alerta: Seleccione la celda en la comumna B con el nombre del proyecto")))</f>
        <v>ME20181114</v>
      </c>
      <c r="AL334" s="640" t="str">
        <f>IF(J334="Funcionamiento Gastos Generales","No aplica",IF(J334="Funcionamiento Servicios Personales","No aplica",IFERROR(VLOOKUP(J334,Listas!$A$220:$D$224,2,FALSE),"Alerta: Seleccione la celda en la comumna B con el nombre del proyecto")))</f>
        <v>COMP1114</v>
      </c>
      <c r="AM334" s="640" t="str">
        <f>IF(J334="Funcionamiento Gastos Generales","No aplica",IF(J334="Funcionamiento Servicios Personales","No aplica",IFERROR(VLOOKUP(J334,Listas!$A$220:$D$224,3,FALSE),"Alerta: Seleccione la celda en la comumna B con el nombre del proyecto")))</f>
        <v>CONC1114</v>
      </c>
      <c r="AN334" s="633" t="s">
        <v>1053</v>
      </c>
      <c r="AO334" s="633" t="s">
        <v>391</v>
      </c>
      <c r="AP334" s="634" t="str">
        <f>IFERROR(VLOOKUP(J334,Listas!$A$182:$E$215,5,FALSE),"Alerta: Seleccione la celda en la comumna B con el nombre del proyecto")</f>
        <v>4. Obras de Intervención en Bienes muebles - inmuebles y sectores que conforman el patrimonio cultural del D.C.</v>
      </c>
      <c r="AQ334" s="634" t="str">
        <f>IF(J334="Funcionamiento Gastos Generales","No aplica",IF(J334="Funcionamiento Servicios Personales","No aplica",IFERROR(VLOOKUP(J334,Listas!$A$220:$D$224,4,FALSE),"Alerta: Seleccione la celda en la comumna B con el nombre del proyecto")))</f>
        <v>FONT1114</v>
      </c>
      <c r="AR334" s="633" t="s">
        <v>198</v>
      </c>
      <c r="AS334" s="634" t="str">
        <f>IFERROR(VLOOKUP(AU334,Listas!$E$85:$L$105,7,FALSE),"Alerta: Seleccione la celda en la comumna AI con el concepto de gasto")</f>
        <v>03-RECURSO HUMANO</v>
      </c>
      <c r="AT334" s="634" t="str">
        <f>IFERROR(VLOOKUP(AU334,Listas!$E$85:$L$105,8,FALSE),"Alerta: Seleccione la celda en la comumna AI con el concepto de gasto")</f>
        <v>04-GASTOS DE PERSONAL OPERATIVO</v>
      </c>
      <c r="AU334" s="633" t="s">
        <v>228</v>
      </c>
      <c r="AV334" s="634">
        <f>IFERROR(VLOOKUP(AU334,Listas!$E$85:$F$105,2,FALSE),"Alerta: Seleccione el Concepto de Gasto primero")</f>
        <v>0</v>
      </c>
      <c r="AW334" s="644">
        <v>38400000</v>
      </c>
      <c r="AX334" s="645"/>
      <c r="AY334" s="645"/>
      <c r="AZ334" s="645"/>
      <c r="BA334" s="646">
        <f t="shared" si="104"/>
        <v>38400000</v>
      </c>
      <c r="BB334" s="647"/>
      <c r="BC334" s="648"/>
      <c r="BD334" s="649"/>
      <c r="BE334" s="647"/>
      <c r="BF334" s="644"/>
      <c r="BG334" s="646">
        <f t="shared" si="105"/>
        <v>38400000</v>
      </c>
      <c r="BH334" s="650"/>
      <c r="BI334" s="647"/>
      <c r="BJ334" s="644"/>
      <c r="BK334" s="646">
        <f t="shared" si="106"/>
        <v>0</v>
      </c>
      <c r="BL334" s="651"/>
      <c r="BM334" s="652">
        <f t="shared" si="107"/>
        <v>1</v>
      </c>
      <c r="BN334" s="628"/>
      <c r="BO334" s="670"/>
      <c r="BP334" s="644"/>
      <c r="BQ334" s="644"/>
      <c r="BR334" s="644"/>
      <c r="BS334" s="644"/>
      <c r="BT334" s="644"/>
      <c r="BU334" s="644"/>
      <c r="BV334" s="644"/>
      <c r="BW334" s="644"/>
      <c r="BX334" s="644"/>
      <c r="BY334" s="644"/>
      <c r="BZ334" s="644"/>
      <c r="CA334" s="644"/>
      <c r="CB334" s="646">
        <f t="shared" si="108"/>
        <v>0</v>
      </c>
      <c r="CC334" s="646">
        <f t="shared" si="109"/>
        <v>0</v>
      </c>
      <c r="CD334" s="614"/>
    </row>
    <row r="335" spans="1:85" s="561" customFormat="1" ht="61.5" customHeight="1">
      <c r="A335" s="625" t="str">
        <f t="shared" si="91"/>
        <v>1114-140-FONT1114-03-04-0316-Asesoría técnica para la protección y promoción del patrimonio cultural material del distrito capital</v>
      </c>
      <c r="B335" s="626" t="str">
        <f t="shared" si="92"/>
        <v>1114-140-FONT1114-03-04-0316</v>
      </c>
      <c r="C335" s="626" t="str">
        <f t="shared" si="93"/>
        <v>1114-140-FONT1114-Asesoría técnica para la protección y promoción del patrimonio cultural material del distrito capital</v>
      </c>
      <c r="D335" s="626" t="str">
        <f t="shared" si="94"/>
        <v>1114-140-12-Otros Distrito-03-04-0316</v>
      </c>
      <c r="E335" s="626" t="str">
        <f t="shared" si="95"/>
        <v>Asesoría técnica para la protección y promoción del patrimonio cultural material del distrito capital-12-Otros Distrito-0316-Personal de apoyo para las actividades de valoración, protección y conservación del Patrimonio Cultural</v>
      </c>
      <c r="F335" s="627">
        <v>295</v>
      </c>
      <c r="G335" s="628">
        <f t="shared" si="96"/>
        <v>295</v>
      </c>
      <c r="H335" s="629" t="b">
        <f t="shared" si="97"/>
        <v>0</v>
      </c>
      <c r="I335" s="630" t="s">
        <v>594</v>
      </c>
      <c r="J335" s="627" t="s">
        <v>180</v>
      </c>
      <c r="K335" s="631" t="str">
        <f>+IFERROR(VLOOKUP(J335,Listas!$A$108:$B$114,2,FALSE),"Alerta: Seleccione la celda en la comumna B con el nombre del proyecto")</f>
        <v>3-3-1-15-02-17-1114-140</v>
      </c>
      <c r="L335" s="632" t="s">
        <v>857</v>
      </c>
      <c r="M335" s="633" t="s">
        <v>870</v>
      </c>
      <c r="N335" s="634" t="str">
        <f t="shared" si="98"/>
        <v>(Cód. 295) Prestar servicios profesionales al Instituto Distrital de Patrimonio Cultural para apoyar las actividades de soporte técnico y evaluación de las solicitudes de equiparación a estrato 1 y de control urbano de intervenciones en BIC.</v>
      </c>
      <c r="O335" s="635">
        <v>43497</v>
      </c>
      <c r="P335" s="636">
        <f>IFERROR(VLOOKUP(W335,'Estimación CRP'!$D$21:$E$30,2,FALSE),0)</f>
        <v>10</v>
      </c>
      <c r="Q335" s="637">
        <f>IF(O335="No aplica","No aplica",WORKDAY.INTL(O335,P335,1,'Estimación CRP'!A521:A537))</f>
        <v>43511</v>
      </c>
      <c r="R335" s="636">
        <f t="shared" si="99"/>
        <v>2</v>
      </c>
      <c r="S335" s="636">
        <f t="shared" si="100"/>
        <v>2</v>
      </c>
      <c r="T335" s="636">
        <f t="shared" si="101"/>
        <v>2</v>
      </c>
      <c r="U335" s="712">
        <v>8</v>
      </c>
      <c r="V335" s="638">
        <v>1</v>
      </c>
      <c r="W335" s="639" t="s">
        <v>274</v>
      </c>
      <c r="X335" s="640" t="str">
        <f>IFERROR(VLOOKUP(W335,Listas!$A$60:$B$73,2,FALSE),"Alerta: Seleccione primero Modalidad de selección")</f>
        <v>CCE-16</v>
      </c>
      <c r="Y335" s="641">
        <v>0</v>
      </c>
      <c r="Z335" s="641" t="s">
        <v>346</v>
      </c>
      <c r="AA335" s="641" t="s">
        <v>1326</v>
      </c>
      <c r="AB335" s="642">
        <f t="shared" si="102"/>
        <v>38400000</v>
      </c>
      <c r="AC335" s="642">
        <f t="shared" si="103"/>
        <v>38400000</v>
      </c>
      <c r="AD335" s="641">
        <v>0</v>
      </c>
      <c r="AE335" s="643">
        <v>0</v>
      </c>
      <c r="AF335" s="639" t="s">
        <v>276</v>
      </c>
      <c r="AG335" s="639" t="s">
        <v>277</v>
      </c>
      <c r="AH335" s="639" t="s">
        <v>573</v>
      </c>
      <c r="AI335" s="626" t="str">
        <f>IFERROR(VLOOKUP(AH335,Listas!$A$77:$C$83,2,FALSE),"Alerta: Seleccione primero el responsable")</f>
        <v>3550800</v>
      </c>
      <c r="AJ335" s="640" t="str">
        <f>IFERROR(VLOOKUP(AH335,Listas!$A$77:$C$83,3,FALSE),"Alerta: Seleccione primero el responsable")</f>
        <v>carolina.fernandez@idpc.gov.co</v>
      </c>
      <c r="AK335" s="640" t="str">
        <f>IF(J335="Funcionamiento Gastos Generales","No aplica",IF(J335="Funcionamiento Servicios Personales indirectos","No aplica",IFERROR(VLOOKUP(J335,Listas!$A$127:$E$139,3,FALSE),"Alerta: Seleccione la celda en la comumna B con el nombre del proyecto")))</f>
        <v>ME20181114</v>
      </c>
      <c r="AL335" s="640" t="str">
        <f>IF(J335="Funcionamiento Gastos Generales","No aplica",IF(J335="Funcionamiento Servicios Personales","No aplica",IFERROR(VLOOKUP(J335,Listas!$A$220:$D$224,2,FALSE),"Alerta: Seleccione la celda en la comumna B con el nombre del proyecto")))</f>
        <v>COMP1114</v>
      </c>
      <c r="AM335" s="640" t="str">
        <f>IF(J335="Funcionamiento Gastos Generales","No aplica",IF(J335="Funcionamiento Servicios Personales","No aplica",IFERROR(VLOOKUP(J335,Listas!$A$220:$D$224,3,FALSE),"Alerta: Seleccione la celda en la comumna B con el nombre del proyecto")))</f>
        <v>CONC1114</v>
      </c>
      <c r="AN335" s="633" t="s">
        <v>1053</v>
      </c>
      <c r="AO335" s="633" t="s">
        <v>391</v>
      </c>
      <c r="AP335" s="634" t="str">
        <f>IFERROR(VLOOKUP(J335,Listas!$A$182:$E$215,5,FALSE),"Alerta: Seleccione la celda en la comumna B con el nombre del proyecto")</f>
        <v>4. Obras de Intervención en Bienes muebles - inmuebles y sectores que conforman el patrimonio cultural del D.C.</v>
      </c>
      <c r="AQ335" s="634" t="str">
        <f>IF(J335="Funcionamiento Gastos Generales","No aplica",IF(J335="Funcionamiento Servicios Personales","No aplica",IFERROR(VLOOKUP(J335,Listas!$A$220:$D$224,4,FALSE),"Alerta: Seleccione la celda en la comumna B con el nombre del proyecto")))</f>
        <v>FONT1114</v>
      </c>
      <c r="AR335" s="633" t="s">
        <v>198</v>
      </c>
      <c r="AS335" s="634" t="str">
        <f>IFERROR(VLOOKUP(AU335,Listas!$E$85:$L$105,7,FALSE),"Alerta: Seleccione la celda en la comumna AI con el concepto de gasto")</f>
        <v>03-RECURSO HUMANO</v>
      </c>
      <c r="AT335" s="634" t="str">
        <f>IFERROR(VLOOKUP(AU335,Listas!$E$85:$L$105,8,FALSE),"Alerta: Seleccione la celda en la comumna AI con el concepto de gasto")</f>
        <v>04-GASTOS DE PERSONAL OPERATIVO</v>
      </c>
      <c r="AU335" s="633" t="s">
        <v>228</v>
      </c>
      <c r="AV335" s="634">
        <f>IFERROR(VLOOKUP(AU335,Listas!$E$85:$F$105,2,FALSE),"Alerta: Seleccione el Concepto de Gasto primero")</f>
        <v>0</v>
      </c>
      <c r="AW335" s="644">
        <v>38400000</v>
      </c>
      <c r="AX335" s="645"/>
      <c r="AY335" s="645"/>
      <c r="AZ335" s="645"/>
      <c r="BA335" s="646">
        <f t="shared" si="104"/>
        <v>38400000</v>
      </c>
      <c r="BB335" s="647"/>
      <c r="BC335" s="648"/>
      <c r="BD335" s="649"/>
      <c r="BE335" s="647"/>
      <c r="BF335" s="644"/>
      <c r="BG335" s="646">
        <f t="shared" si="105"/>
        <v>38400000</v>
      </c>
      <c r="BH335" s="650"/>
      <c r="BI335" s="647"/>
      <c r="BJ335" s="644"/>
      <c r="BK335" s="646">
        <f t="shared" si="106"/>
        <v>0</v>
      </c>
      <c r="BL335" s="651"/>
      <c r="BM335" s="652">
        <f t="shared" si="107"/>
        <v>1</v>
      </c>
      <c r="BN335" s="628"/>
      <c r="BO335" s="670"/>
      <c r="BP335" s="644"/>
      <c r="BQ335" s="644"/>
      <c r="BR335" s="644"/>
      <c r="BS335" s="644"/>
      <c r="BT335" s="644"/>
      <c r="BU335" s="644"/>
      <c r="BV335" s="644"/>
      <c r="BW335" s="644"/>
      <c r="BX335" s="644"/>
      <c r="BY335" s="644"/>
      <c r="BZ335" s="644"/>
      <c r="CA335" s="644"/>
      <c r="CB335" s="646">
        <f t="shared" si="108"/>
        <v>0</v>
      </c>
      <c r="CC335" s="646">
        <f t="shared" si="109"/>
        <v>0</v>
      </c>
      <c r="CD335" s="614"/>
    </row>
    <row r="336" spans="1:85" s="561" customFormat="1" ht="61.5" customHeight="1">
      <c r="A336" s="625" t="str">
        <f t="shared" si="91"/>
        <v>1114-140-FONT1114-03-04-0316-Asesoría técnica para la protección y promoción del patrimonio cultural material del distrito capital</v>
      </c>
      <c r="B336" s="626" t="str">
        <f t="shared" si="92"/>
        <v>1114-140-FONT1114-03-04-0316</v>
      </c>
      <c r="C336" s="626" t="str">
        <f t="shared" si="93"/>
        <v>1114-140-FONT1114-Asesoría técnica para la protección y promoción del patrimonio cultural material del distrito capital</v>
      </c>
      <c r="D336" s="626" t="str">
        <f t="shared" si="94"/>
        <v>1114-140-12-Otros Distrito-03-04-0316</v>
      </c>
      <c r="E336" s="626" t="str">
        <f t="shared" si="95"/>
        <v>Asesoría técnica para la protección y promoción del patrimonio cultural material del distrito capital-12-Otros Distrito-0316-Personal de apoyo para las actividades de valoración, protección y conservación del Patrimonio Cultural</v>
      </c>
      <c r="F336" s="627">
        <v>296</v>
      </c>
      <c r="G336" s="628">
        <f t="shared" si="96"/>
        <v>296</v>
      </c>
      <c r="H336" s="629" t="b">
        <f t="shared" si="97"/>
        <v>0</v>
      </c>
      <c r="I336" s="630" t="s">
        <v>594</v>
      </c>
      <c r="J336" s="627" t="s">
        <v>180</v>
      </c>
      <c r="K336" s="631" t="str">
        <f>+IFERROR(VLOOKUP(J336,Listas!$A$108:$B$114,2,FALSE),"Alerta: Seleccione la celda en la comumna B con el nombre del proyecto")</f>
        <v>3-3-1-15-02-17-1114-140</v>
      </c>
      <c r="L336" s="632" t="s">
        <v>857</v>
      </c>
      <c r="M336" s="633" t="s">
        <v>870</v>
      </c>
      <c r="N336" s="634" t="str">
        <f t="shared" si="98"/>
        <v>(Cód. 296) Prestar servicios profesionales al Instituto Distrital de Patrimonio Cultural para apoyar las actividades de soporte técnico y evaluación de las solicitudes de equiparación a estrato 1 y de control urbano de intervenciones en BIC.</v>
      </c>
      <c r="O336" s="635">
        <v>43497</v>
      </c>
      <c r="P336" s="636">
        <f>IFERROR(VLOOKUP(W336,'Estimación CRP'!$D$21:$E$30,2,FALSE),0)</f>
        <v>10</v>
      </c>
      <c r="Q336" s="637">
        <f>IF(O336="No aplica","No aplica",WORKDAY.INTL(O336,P336,1,'Estimación CRP'!A522:A538))</f>
        <v>43511</v>
      </c>
      <c r="R336" s="636">
        <f t="shared" si="99"/>
        <v>2</v>
      </c>
      <c r="S336" s="636">
        <f t="shared" si="100"/>
        <v>2</v>
      </c>
      <c r="T336" s="636">
        <f t="shared" si="101"/>
        <v>2</v>
      </c>
      <c r="U336" s="712">
        <v>8</v>
      </c>
      <c r="V336" s="638">
        <v>1</v>
      </c>
      <c r="W336" s="639" t="s">
        <v>274</v>
      </c>
      <c r="X336" s="640" t="str">
        <f>IFERROR(VLOOKUP(W336,Listas!$A$60:$B$73,2,FALSE),"Alerta: Seleccione primero Modalidad de selección")</f>
        <v>CCE-16</v>
      </c>
      <c r="Y336" s="641">
        <v>0</v>
      </c>
      <c r="Z336" s="641" t="s">
        <v>346</v>
      </c>
      <c r="AA336" s="641" t="s">
        <v>1326</v>
      </c>
      <c r="AB336" s="642">
        <f t="shared" si="102"/>
        <v>38400000</v>
      </c>
      <c r="AC336" s="642">
        <f t="shared" si="103"/>
        <v>38400000</v>
      </c>
      <c r="AD336" s="641">
        <v>0</v>
      </c>
      <c r="AE336" s="643">
        <v>0</v>
      </c>
      <c r="AF336" s="639" t="s">
        <v>276</v>
      </c>
      <c r="AG336" s="639" t="s">
        <v>277</v>
      </c>
      <c r="AH336" s="639" t="s">
        <v>573</v>
      </c>
      <c r="AI336" s="626" t="str">
        <f>IFERROR(VLOOKUP(AH336,Listas!$A$77:$C$83,2,FALSE),"Alerta: Seleccione primero el responsable")</f>
        <v>3550800</v>
      </c>
      <c r="AJ336" s="640" t="str">
        <f>IFERROR(VLOOKUP(AH336,Listas!$A$77:$C$83,3,FALSE),"Alerta: Seleccione primero el responsable")</f>
        <v>carolina.fernandez@idpc.gov.co</v>
      </c>
      <c r="AK336" s="640" t="str">
        <f>IF(J336="Funcionamiento Gastos Generales","No aplica",IF(J336="Funcionamiento Servicios Personales indirectos","No aplica",IFERROR(VLOOKUP(J336,Listas!$A$127:$E$139,3,FALSE),"Alerta: Seleccione la celda en la comumna B con el nombre del proyecto")))</f>
        <v>ME20181114</v>
      </c>
      <c r="AL336" s="640" t="str">
        <f>IF(J336="Funcionamiento Gastos Generales","No aplica",IF(J336="Funcionamiento Servicios Personales","No aplica",IFERROR(VLOOKUP(J336,Listas!$A$220:$D$224,2,FALSE),"Alerta: Seleccione la celda en la comumna B con el nombre del proyecto")))</f>
        <v>COMP1114</v>
      </c>
      <c r="AM336" s="640" t="str">
        <f>IF(J336="Funcionamiento Gastos Generales","No aplica",IF(J336="Funcionamiento Servicios Personales","No aplica",IFERROR(VLOOKUP(J336,Listas!$A$220:$D$224,3,FALSE),"Alerta: Seleccione la celda en la comumna B con el nombre del proyecto")))</f>
        <v>CONC1114</v>
      </c>
      <c r="AN336" s="633" t="s">
        <v>1053</v>
      </c>
      <c r="AO336" s="633" t="s">
        <v>391</v>
      </c>
      <c r="AP336" s="634" t="str">
        <f>IFERROR(VLOOKUP(J336,Listas!$A$182:$E$215,5,FALSE),"Alerta: Seleccione la celda en la comumna B con el nombre del proyecto")</f>
        <v>4. Obras de Intervención en Bienes muebles - inmuebles y sectores que conforman el patrimonio cultural del D.C.</v>
      </c>
      <c r="AQ336" s="634" t="str">
        <f>IF(J336="Funcionamiento Gastos Generales","No aplica",IF(J336="Funcionamiento Servicios Personales","No aplica",IFERROR(VLOOKUP(J336,Listas!$A$220:$D$224,4,FALSE),"Alerta: Seleccione la celda en la comumna B con el nombre del proyecto")))</f>
        <v>FONT1114</v>
      </c>
      <c r="AR336" s="633" t="s">
        <v>198</v>
      </c>
      <c r="AS336" s="634" t="str">
        <f>IFERROR(VLOOKUP(AU336,Listas!$E$85:$L$105,7,FALSE),"Alerta: Seleccione la celda en la comumna AI con el concepto de gasto")</f>
        <v>03-RECURSO HUMANO</v>
      </c>
      <c r="AT336" s="634" t="str">
        <f>IFERROR(VLOOKUP(AU336,Listas!$E$85:$L$105,8,FALSE),"Alerta: Seleccione la celda en la comumna AI con el concepto de gasto")</f>
        <v>04-GASTOS DE PERSONAL OPERATIVO</v>
      </c>
      <c r="AU336" s="633" t="s">
        <v>228</v>
      </c>
      <c r="AV336" s="634">
        <f>IFERROR(VLOOKUP(AU336,Listas!$E$85:$F$105,2,FALSE),"Alerta: Seleccione el Concepto de Gasto primero")</f>
        <v>0</v>
      </c>
      <c r="AW336" s="644">
        <v>38400000</v>
      </c>
      <c r="AX336" s="645"/>
      <c r="AY336" s="645"/>
      <c r="AZ336" s="645"/>
      <c r="BA336" s="646">
        <f t="shared" si="104"/>
        <v>38400000</v>
      </c>
      <c r="BB336" s="647"/>
      <c r="BC336" s="648"/>
      <c r="BD336" s="649"/>
      <c r="BE336" s="647"/>
      <c r="BF336" s="644"/>
      <c r="BG336" s="646">
        <f t="shared" si="105"/>
        <v>38400000</v>
      </c>
      <c r="BH336" s="650"/>
      <c r="BI336" s="647"/>
      <c r="BJ336" s="644"/>
      <c r="BK336" s="646">
        <f t="shared" si="106"/>
        <v>0</v>
      </c>
      <c r="BL336" s="651"/>
      <c r="BM336" s="652">
        <f t="shared" si="107"/>
        <v>1</v>
      </c>
      <c r="BN336" s="628"/>
      <c r="BO336" s="670"/>
      <c r="BP336" s="644"/>
      <c r="BQ336" s="644"/>
      <c r="BR336" s="644"/>
      <c r="BS336" s="644"/>
      <c r="BT336" s="644"/>
      <c r="BU336" s="644"/>
      <c r="BV336" s="644"/>
      <c r="BW336" s="644"/>
      <c r="BX336" s="644"/>
      <c r="BY336" s="644"/>
      <c r="BZ336" s="644"/>
      <c r="CA336" s="644"/>
      <c r="CB336" s="646">
        <f t="shared" si="108"/>
        <v>0</v>
      </c>
      <c r="CC336" s="646">
        <f t="shared" si="109"/>
        <v>0</v>
      </c>
      <c r="CD336" s="614"/>
    </row>
    <row r="337" spans="1:85" s="561" customFormat="1" ht="61.5" customHeight="1">
      <c r="A337" s="625" t="str">
        <f t="shared" si="91"/>
        <v>1114-140-FONT1114-03-04-0316-Asesoría técnica para la protección y promoción del patrimonio cultural material del distrito capital</v>
      </c>
      <c r="B337" s="626" t="str">
        <f t="shared" si="92"/>
        <v>1114-140-FONT1114-03-04-0316</v>
      </c>
      <c r="C337" s="626" t="str">
        <f t="shared" si="93"/>
        <v>1114-140-FONT1114-Asesoría técnica para la protección y promoción del patrimonio cultural material del distrito capital</v>
      </c>
      <c r="D337" s="626" t="str">
        <f t="shared" si="94"/>
        <v>1114-140-12-Otros Distrito-03-04-0316</v>
      </c>
      <c r="E337" s="626" t="str">
        <f t="shared" si="95"/>
        <v>Asesoría técnica para la protección y promoción del patrimonio cultural material del distrito capital-12-Otros Distrito-0316-Personal de apoyo para las actividades de valoración, protección y conservación del Patrimonio Cultural</v>
      </c>
      <c r="F337" s="627">
        <v>297</v>
      </c>
      <c r="G337" s="628">
        <f t="shared" si="96"/>
        <v>297</v>
      </c>
      <c r="H337" s="629" t="b">
        <f t="shared" si="97"/>
        <v>0</v>
      </c>
      <c r="I337" s="630" t="s">
        <v>594</v>
      </c>
      <c r="J337" s="627" t="s">
        <v>180</v>
      </c>
      <c r="K337" s="631" t="str">
        <f>+IFERROR(VLOOKUP(J337,Listas!$A$108:$B$114,2,FALSE),"Alerta: Seleccione la celda en la comumna B con el nombre del proyecto")</f>
        <v>3-3-1-15-02-17-1114-140</v>
      </c>
      <c r="L337" s="632" t="s">
        <v>857</v>
      </c>
      <c r="M337" s="633" t="s">
        <v>870</v>
      </c>
      <c r="N337" s="634" t="str">
        <f t="shared" si="98"/>
        <v>(Cód. 297) Prestar servicios profesionales al Instituto Distrital de Patrimonio Cultural para apoyar las actividades de soporte técnico y evaluación de las solicitudes de equiparación a estrato 1 y de control urbano de intervenciones en BIC.</v>
      </c>
      <c r="O337" s="635">
        <v>43497</v>
      </c>
      <c r="P337" s="636">
        <f>IFERROR(VLOOKUP(W337,'Estimación CRP'!$D$21:$E$30,2,FALSE),0)</f>
        <v>10</v>
      </c>
      <c r="Q337" s="637">
        <f>IF(O337="No aplica","No aplica",WORKDAY.INTL(O337,P337,1,'Estimación CRP'!A523:A539))</f>
        <v>43511</v>
      </c>
      <c r="R337" s="636">
        <f t="shared" si="99"/>
        <v>2</v>
      </c>
      <c r="S337" s="636">
        <f t="shared" si="100"/>
        <v>2</v>
      </c>
      <c r="T337" s="636">
        <f t="shared" si="101"/>
        <v>2</v>
      </c>
      <c r="U337" s="712">
        <v>8</v>
      </c>
      <c r="V337" s="638">
        <v>1</v>
      </c>
      <c r="W337" s="639" t="s">
        <v>274</v>
      </c>
      <c r="X337" s="640" t="str">
        <f>IFERROR(VLOOKUP(W337,Listas!$A$60:$B$73,2,FALSE),"Alerta: Seleccione primero Modalidad de selección")</f>
        <v>CCE-16</v>
      </c>
      <c r="Y337" s="641">
        <v>0</v>
      </c>
      <c r="Z337" s="641" t="s">
        <v>346</v>
      </c>
      <c r="AA337" s="641" t="s">
        <v>1326</v>
      </c>
      <c r="AB337" s="642">
        <f t="shared" si="102"/>
        <v>38400000</v>
      </c>
      <c r="AC337" s="642">
        <f t="shared" si="103"/>
        <v>38400000</v>
      </c>
      <c r="AD337" s="641">
        <v>0</v>
      </c>
      <c r="AE337" s="643">
        <v>0</v>
      </c>
      <c r="AF337" s="639" t="s">
        <v>276</v>
      </c>
      <c r="AG337" s="639" t="s">
        <v>277</v>
      </c>
      <c r="AH337" s="639" t="s">
        <v>573</v>
      </c>
      <c r="AI337" s="626" t="str">
        <f>IFERROR(VLOOKUP(AH337,Listas!$A$77:$C$83,2,FALSE),"Alerta: Seleccione primero el responsable")</f>
        <v>3550800</v>
      </c>
      <c r="AJ337" s="640" t="str">
        <f>IFERROR(VLOOKUP(AH337,Listas!$A$77:$C$83,3,FALSE),"Alerta: Seleccione primero el responsable")</f>
        <v>carolina.fernandez@idpc.gov.co</v>
      </c>
      <c r="AK337" s="640" t="str">
        <f>IF(J337="Funcionamiento Gastos Generales","No aplica",IF(J337="Funcionamiento Servicios Personales indirectos","No aplica",IFERROR(VLOOKUP(J337,Listas!$A$127:$E$139,3,FALSE),"Alerta: Seleccione la celda en la comumna B con el nombre del proyecto")))</f>
        <v>ME20181114</v>
      </c>
      <c r="AL337" s="640" t="str">
        <f>IF(J337="Funcionamiento Gastos Generales","No aplica",IF(J337="Funcionamiento Servicios Personales","No aplica",IFERROR(VLOOKUP(J337,Listas!$A$220:$D$224,2,FALSE),"Alerta: Seleccione la celda en la comumna B con el nombre del proyecto")))</f>
        <v>COMP1114</v>
      </c>
      <c r="AM337" s="640" t="str">
        <f>IF(J337="Funcionamiento Gastos Generales","No aplica",IF(J337="Funcionamiento Servicios Personales","No aplica",IFERROR(VLOOKUP(J337,Listas!$A$220:$D$224,3,FALSE),"Alerta: Seleccione la celda en la comumna B con el nombre del proyecto")))</f>
        <v>CONC1114</v>
      </c>
      <c r="AN337" s="633" t="s">
        <v>1053</v>
      </c>
      <c r="AO337" s="633" t="s">
        <v>391</v>
      </c>
      <c r="AP337" s="634" t="str">
        <f>IFERROR(VLOOKUP(J337,Listas!$A$182:$E$215,5,FALSE),"Alerta: Seleccione la celda en la comumna B con el nombre del proyecto")</f>
        <v>4. Obras de Intervención en Bienes muebles - inmuebles y sectores que conforman el patrimonio cultural del D.C.</v>
      </c>
      <c r="AQ337" s="634" t="str">
        <f>IF(J337="Funcionamiento Gastos Generales","No aplica",IF(J337="Funcionamiento Servicios Personales","No aplica",IFERROR(VLOOKUP(J337,Listas!$A$220:$D$224,4,FALSE),"Alerta: Seleccione la celda en la comumna B con el nombre del proyecto")))</f>
        <v>FONT1114</v>
      </c>
      <c r="AR337" s="633" t="s">
        <v>198</v>
      </c>
      <c r="AS337" s="634" t="str">
        <f>IFERROR(VLOOKUP(AU337,Listas!$E$85:$L$105,7,FALSE),"Alerta: Seleccione la celda en la comumna AI con el concepto de gasto")</f>
        <v>03-RECURSO HUMANO</v>
      </c>
      <c r="AT337" s="634" t="str">
        <f>IFERROR(VLOOKUP(AU337,Listas!$E$85:$L$105,8,FALSE),"Alerta: Seleccione la celda en la comumna AI con el concepto de gasto")</f>
        <v>04-GASTOS DE PERSONAL OPERATIVO</v>
      </c>
      <c r="AU337" s="633" t="s">
        <v>228</v>
      </c>
      <c r="AV337" s="634">
        <f>IFERROR(VLOOKUP(AU337,Listas!$E$85:$F$105,2,FALSE),"Alerta: Seleccione el Concepto de Gasto primero")</f>
        <v>0</v>
      </c>
      <c r="AW337" s="644">
        <v>38400000</v>
      </c>
      <c r="AX337" s="645"/>
      <c r="AY337" s="645"/>
      <c r="AZ337" s="645"/>
      <c r="BA337" s="646">
        <f t="shared" si="104"/>
        <v>38400000</v>
      </c>
      <c r="BB337" s="647"/>
      <c r="BC337" s="648"/>
      <c r="BD337" s="649"/>
      <c r="BE337" s="647"/>
      <c r="BF337" s="644"/>
      <c r="BG337" s="646">
        <f t="shared" si="105"/>
        <v>38400000</v>
      </c>
      <c r="BH337" s="650"/>
      <c r="BI337" s="647"/>
      <c r="BJ337" s="644"/>
      <c r="BK337" s="646">
        <f t="shared" si="106"/>
        <v>0</v>
      </c>
      <c r="BL337" s="651"/>
      <c r="BM337" s="652">
        <f t="shared" si="107"/>
        <v>1</v>
      </c>
      <c r="BN337" s="628"/>
      <c r="BO337" s="670"/>
      <c r="BP337" s="644"/>
      <c r="BQ337" s="644"/>
      <c r="BR337" s="644"/>
      <c r="BS337" s="644"/>
      <c r="BT337" s="644"/>
      <c r="BU337" s="644"/>
      <c r="BV337" s="644"/>
      <c r="BW337" s="644"/>
      <c r="BX337" s="644"/>
      <c r="BY337" s="644"/>
      <c r="BZ337" s="644"/>
      <c r="CA337" s="644"/>
      <c r="CB337" s="646">
        <f t="shared" si="108"/>
        <v>0</v>
      </c>
      <c r="CC337" s="646">
        <f t="shared" si="109"/>
        <v>0</v>
      </c>
      <c r="CD337" s="614"/>
    </row>
    <row r="338" spans="1:85" s="561" customFormat="1" ht="61.5" customHeight="1">
      <c r="A338" s="625" t="str">
        <f t="shared" si="91"/>
        <v>1114-140-FONT1114-03-04-0316-Asesoría técnica para la protección y promoción del patrimonio cultural material del distrito capital</v>
      </c>
      <c r="B338" s="626" t="str">
        <f t="shared" si="92"/>
        <v>1114-140-FONT1114-03-04-0316</v>
      </c>
      <c r="C338" s="626" t="str">
        <f t="shared" si="93"/>
        <v>1114-140-FONT1114-Asesoría técnica para la protección y promoción del patrimonio cultural material del distrito capital</v>
      </c>
      <c r="D338" s="626" t="str">
        <f t="shared" si="94"/>
        <v>1114-140-12-Otros Distrito-03-04-0316</v>
      </c>
      <c r="E338" s="626" t="str">
        <f t="shared" si="95"/>
        <v>Asesoría técnica para la protección y promoción del patrimonio cultural material del distrito capital-12-Otros Distrito-0316-Personal de apoyo para las actividades de valoración, protección y conservación del Patrimonio Cultural</v>
      </c>
      <c r="F338" s="627">
        <v>298</v>
      </c>
      <c r="G338" s="628">
        <f t="shared" si="96"/>
        <v>298</v>
      </c>
      <c r="H338" s="629" t="b">
        <f t="shared" si="97"/>
        <v>0</v>
      </c>
      <c r="I338" s="630" t="s">
        <v>594</v>
      </c>
      <c r="J338" s="627" t="s">
        <v>180</v>
      </c>
      <c r="K338" s="631" t="str">
        <f>+IFERROR(VLOOKUP(J338,Listas!$A$108:$B$114,2,FALSE),"Alerta: Seleccione la celda en la comumna B con el nombre del proyecto")</f>
        <v>3-3-1-15-02-17-1114-140</v>
      </c>
      <c r="L338" s="632" t="s">
        <v>857</v>
      </c>
      <c r="M338" s="633" t="s">
        <v>871</v>
      </c>
      <c r="N338" s="634" t="str">
        <f t="shared" si="98"/>
        <v>(Cód. 298) Prestar servicios profesionales al Instituto Distrital de Patrimonio Cultural en el acompañamiento técnico y verificación de los proyectos de manejo y protección del patrimonio cultural, y solicitudes de inclusiones, exclusiones y cambios de categoria de BIC del Distrito Capital.</v>
      </c>
      <c r="O338" s="635">
        <v>43497</v>
      </c>
      <c r="P338" s="636">
        <f>IFERROR(VLOOKUP(W338,'Estimación CRP'!$D$21:$E$30,2,FALSE),0)</f>
        <v>10</v>
      </c>
      <c r="Q338" s="637">
        <f>IF(O338="No aplica","No aplica",WORKDAY.INTL(O338,P338,1,'Estimación CRP'!A524:A540))</f>
        <v>43511</v>
      </c>
      <c r="R338" s="636">
        <f t="shared" si="99"/>
        <v>2</v>
      </c>
      <c r="S338" s="636">
        <f t="shared" si="100"/>
        <v>2</v>
      </c>
      <c r="T338" s="636">
        <f t="shared" si="101"/>
        <v>2</v>
      </c>
      <c r="U338" s="712">
        <v>10</v>
      </c>
      <c r="V338" s="638">
        <v>1</v>
      </c>
      <c r="W338" s="639" t="s">
        <v>274</v>
      </c>
      <c r="X338" s="640" t="str">
        <f>IFERROR(VLOOKUP(W338,Listas!$A$60:$B$73,2,FALSE),"Alerta: Seleccione primero Modalidad de selección")</f>
        <v>CCE-16</v>
      </c>
      <c r="Y338" s="641">
        <v>0</v>
      </c>
      <c r="Z338" s="641" t="s">
        <v>346</v>
      </c>
      <c r="AA338" s="641" t="s">
        <v>1326</v>
      </c>
      <c r="AB338" s="642">
        <f t="shared" si="102"/>
        <v>66000000</v>
      </c>
      <c r="AC338" s="642">
        <f t="shared" si="103"/>
        <v>66000000</v>
      </c>
      <c r="AD338" s="641">
        <v>0</v>
      </c>
      <c r="AE338" s="643">
        <v>0</v>
      </c>
      <c r="AF338" s="639" t="s">
        <v>276</v>
      </c>
      <c r="AG338" s="639" t="s">
        <v>277</v>
      </c>
      <c r="AH338" s="639" t="s">
        <v>573</v>
      </c>
      <c r="AI338" s="626" t="str">
        <f>IFERROR(VLOOKUP(AH338,Listas!$A$77:$C$83,2,FALSE),"Alerta: Seleccione primero el responsable")</f>
        <v>3550800</v>
      </c>
      <c r="AJ338" s="640" t="str">
        <f>IFERROR(VLOOKUP(AH338,Listas!$A$77:$C$83,3,FALSE),"Alerta: Seleccione primero el responsable")</f>
        <v>carolina.fernandez@idpc.gov.co</v>
      </c>
      <c r="AK338" s="640" t="str">
        <f>IF(J338="Funcionamiento Gastos Generales","No aplica",IF(J338="Funcionamiento Servicios Personales indirectos","No aplica",IFERROR(VLOOKUP(J338,Listas!$A$127:$E$139,3,FALSE),"Alerta: Seleccione la celda en la comumna B con el nombre del proyecto")))</f>
        <v>ME20181114</v>
      </c>
      <c r="AL338" s="640" t="str">
        <f>IF(J338="Funcionamiento Gastos Generales","No aplica",IF(J338="Funcionamiento Servicios Personales","No aplica",IFERROR(VLOOKUP(J338,Listas!$A$220:$D$224,2,FALSE),"Alerta: Seleccione la celda en la comumna B con el nombre del proyecto")))</f>
        <v>COMP1114</v>
      </c>
      <c r="AM338" s="640" t="str">
        <f>IF(J338="Funcionamiento Gastos Generales","No aplica",IF(J338="Funcionamiento Servicios Personales","No aplica",IFERROR(VLOOKUP(J338,Listas!$A$220:$D$224,3,FALSE),"Alerta: Seleccione la celda en la comumna B con el nombre del proyecto")))</f>
        <v>CONC1114</v>
      </c>
      <c r="AN338" s="633" t="s">
        <v>1053</v>
      </c>
      <c r="AO338" s="633" t="s">
        <v>391</v>
      </c>
      <c r="AP338" s="634" t="str">
        <f>IFERROR(VLOOKUP(J338,Listas!$A$182:$E$215,5,FALSE),"Alerta: Seleccione la celda en la comumna B con el nombre del proyecto")</f>
        <v>4. Obras de Intervención en Bienes muebles - inmuebles y sectores que conforman el patrimonio cultural del D.C.</v>
      </c>
      <c r="AQ338" s="634" t="str">
        <f>IF(J338="Funcionamiento Gastos Generales","No aplica",IF(J338="Funcionamiento Servicios Personales","No aplica",IFERROR(VLOOKUP(J338,Listas!$A$220:$D$224,4,FALSE),"Alerta: Seleccione la celda en la comumna B con el nombre del proyecto")))</f>
        <v>FONT1114</v>
      </c>
      <c r="AR338" s="633" t="s">
        <v>198</v>
      </c>
      <c r="AS338" s="634" t="str">
        <f>IFERROR(VLOOKUP(AU338,Listas!$E$85:$L$105,7,FALSE),"Alerta: Seleccione la celda en la comumna AI con el concepto de gasto")</f>
        <v>03-RECURSO HUMANO</v>
      </c>
      <c r="AT338" s="634" t="str">
        <f>IFERROR(VLOOKUP(AU338,Listas!$E$85:$L$105,8,FALSE),"Alerta: Seleccione la celda en la comumna AI con el concepto de gasto")</f>
        <v>04-GASTOS DE PERSONAL OPERATIVO</v>
      </c>
      <c r="AU338" s="633" t="s">
        <v>228</v>
      </c>
      <c r="AV338" s="634">
        <f>IFERROR(VLOOKUP(AU338,Listas!$E$85:$F$105,2,FALSE),"Alerta: Seleccione el Concepto de Gasto primero")</f>
        <v>0</v>
      </c>
      <c r="AW338" s="644">
        <v>66000000</v>
      </c>
      <c r="AX338" s="645"/>
      <c r="AY338" s="645"/>
      <c r="AZ338" s="645"/>
      <c r="BA338" s="646">
        <f t="shared" si="104"/>
        <v>66000000</v>
      </c>
      <c r="BB338" s="647"/>
      <c r="BC338" s="648"/>
      <c r="BD338" s="649"/>
      <c r="BE338" s="647"/>
      <c r="BF338" s="644"/>
      <c r="BG338" s="646">
        <f t="shared" si="105"/>
        <v>66000000</v>
      </c>
      <c r="BH338" s="650"/>
      <c r="BI338" s="647"/>
      <c r="BJ338" s="644"/>
      <c r="BK338" s="646">
        <f t="shared" si="106"/>
        <v>0</v>
      </c>
      <c r="BL338" s="651"/>
      <c r="BM338" s="652">
        <f t="shared" si="107"/>
        <v>1</v>
      </c>
      <c r="BN338" s="628"/>
      <c r="BO338" s="670"/>
      <c r="BP338" s="644"/>
      <c r="BQ338" s="644"/>
      <c r="BR338" s="644"/>
      <c r="BS338" s="644"/>
      <c r="BT338" s="644"/>
      <c r="BU338" s="644"/>
      <c r="BV338" s="644"/>
      <c r="BW338" s="644"/>
      <c r="BX338" s="644"/>
      <c r="BY338" s="644"/>
      <c r="BZ338" s="644"/>
      <c r="CA338" s="644"/>
      <c r="CB338" s="646">
        <f t="shared" si="108"/>
        <v>0</v>
      </c>
      <c r="CC338" s="646">
        <f t="shared" si="109"/>
        <v>0</v>
      </c>
      <c r="CD338" s="614"/>
    </row>
    <row r="339" spans="1:85" s="561" customFormat="1" ht="61.5" customHeight="1">
      <c r="A339" s="625" t="str">
        <f t="shared" si="91"/>
        <v>1114-140-FONT1114-03-04-0316-Asesoría técnica para la protección y promoción del patrimonio cultural material del distrito capital</v>
      </c>
      <c r="B339" s="626" t="str">
        <f t="shared" si="92"/>
        <v>1114-140-FONT1114-03-04-0316</v>
      </c>
      <c r="C339" s="626" t="str">
        <f t="shared" si="93"/>
        <v>1114-140-FONT1114-Asesoría técnica para la protección y promoción del patrimonio cultural material del distrito capital</v>
      </c>
      <c r="D339" s="626" t="str">
        <f t="shared" si="94"/>
        <v>1114-140-12-Otros Distrito-03-04-0316</v>
      </c>
      <c r="E339" s="626" t="str">
        <f t="shared" si="95"/>
        <v>Asesoría técnica para la protección y promoción del patrimonio cultural material del distrito capital-12-Otros Distrito-0316-Personal de apoyo para las actividades de valoración, protección y conservación del Patrimonio Cultural</v>
      </c>
      <c r="F339" s="627">
        <v>299</v>
      </c>
      <c r="G339" s="628">
        <f t="shared" si="96"/>
        <v>299</v>
      </c>
      <c r="H339" s="629" t="b">
        <f t="shared" si="97"/>
        <v>0</v>
      </c>
      <c r="I339" s="630" t="s">
        <v>594</v>
      </c>
      <c r="J339" s="627" t="s">
        <v>180</v>
      </c>
      <c r="K339" s="631" t="str">
        <f>+IFERROR(VLOOKUP(J339,Listas!$A$108:$B$114,2,FALSE),"Alerta: Seleccione la celda en la comumna B con el nombre del proyecto")</f>
        <v>3-3-1-15-02-17-1114-140</v>
      </c>
      <c r="L339" s="632" t="s">
        <v>857</v>
      </c>
      <c r="M339" s="633" t="s">
        <v>872</v>
      </c>
      <c r="N339" s="634" t="str">
        <f t="shared" si="98"/>
        <v>(Cód. 299) Prestar servicios profesionales al Instituto Distrital de Patrimonio Cultural, apoyando los tramites de evaluación de los proyectos de manejo y protección del patrimonio cultural, y solicitudes de intervención sobre Bienes y Sectores de Interés Cultural.</v>
      </c>
      <c r="O339" s="635">
        <v>43497</v>
      </c>
      <c r="P339" s="636">
        <f>IFERROR(VLOOKUP(W339,'Estimación CRP'!$D$21:$E$30,2,FALSE),0)</f>
        <v>10</v>
      </c>
      <c r="Q339" s="637">
        <f>IF(O339="No aplica","No aplica",WORKDAY.INTL(O339,P339,1,'Estimación CRP'!A525:A541))</f>
        <v>43511</v>
      </c>
      <c r="R339" s="636">
        <f t="shared" si="99"/>
        <v>2</v>
      </c>
      <c r="S339" s="636">
        <f t="shared" si="100"/>
        <v>2</v>
      </c>
      <c r="T339" s="636">
        <f t="shared" si="101"/>
        <v>2</v>
      </c>
      <c r="U339" s="712">
        <v>8</v>
      </c>
      <c r="V339" s="638">
        <v>1</v>
      </c>
      <c r="W339" s="639" t="s">
        <v>274</v>
      </c>
      <c r="X339" s="640" t="str">
        <f>IFERROR(VLOOKUP(W339,Listas!$A$60:$B$73,2,FALSE),"Alerta: Seleccione primero Modalidad de selección")</f>
        <v>CCE-16</v>
      </c>
      <c r="Y339" s="641">
        <v>0</v>
      </c>
      <c r="Z339" s="641" t="s">
        <v>346</v>
      </c>
      <c r="AA339" s="641" t="s">
        <v>1326</v>
      </c>
      <c r="AB339" s="642">
        <f t="shared" si="102"/>
        <v>38400000</v>
      </c>
      <c r="AC339" s="642">
        <f t="shared" si="103"/>
        <v>38400000</v>
      </c>
      <c r="AD339" s="641">
        <v>0</v>
      </c>
      <c r="AE339" s="643">
        <v>0</v>
      </c>
      <c r="AF339" s="639" t="s">
        <v>276</v>
      </c>
      <c r="AG339" s="639" t="s">
        <v>277</v>
      </c>
      <c r="AH339" s="639" t="s">
        <v>573</v>
      </c>
      <c r="AI339" s="626" t="str">
        <f>IFERROR(VLOOKUP(AH339,Listas!$A$77:$C$83,2,FALSE),"Alerta: Seleccione primero el responsable")</f>
        <v>3550800</v>
      </c>
      <c r="AJ339" s="640" t="str">
        <f>IFERROR(VLOOKUP(AH339,Listas!$A$77:$C$83,3,FALSE),"Alerta: Seleccione primero el responsable")</f>
        <v>carolina.fernandez@idpc.gov.co</v>
      </c>
      <c r="AK339" s="640" t="str">
        <f>IF(J339="Funcionamiento Gastos Generales","No aplica",IF(J339="Funcionamiento Servicios Personales indirectos","No aplica",IFERROR(VLOOKUP(J339,Listas!$A$127:$E$139,3,FALSE),"Alerta: Seleccione la celda en la comumna B con el nombre del proyecto")))</f>
        <v>ME20181114</v>
      </c>
      <c r="AL339" s="640" t="str">
        <f>IF(J339="Funcionamiento Gastos Generales","No aplica",IF(J339="Funcionamiento Servicios Personales","No aplica",IFERROR(VLOOKUP(J339,Listas!$A$220:$D$224,2,FALSE),"Alerta: Seleccione la celda en la comumna B con el nombre del proyecto")))</f>
        <v>COMP1114</v>
      </c>
      <c r="AM339" s="640" t="str">
        <f>IF(J339="Funcionamiento Gastos Generales","No aplica",IF(J339="Funcionamiento Servicios Personales","No aplica",IFERROR(VLOOKUP(J339,Listas!$A$220:$D$224,3,FALSE),"Alerta: Seleccione la celda en la comumna B con el nombre del proyecto")))</f>
        <v>CONC1114</v>
      </c>
      <c r="AN339" s="633" t="s">
        <v>1053</v>
      </c>
      <c r="AO339" s="633" t="s">
        <v>391</v>
      </c>
      <c r="AP339" s="634" t="str">
        <f>IFERROR(VLOOKUP(J339,Listas!$A$182:$E$215,5,FALSE),"Alerta: Seleccione la celda en la comumna B con el nombre del proyecto")</f>
        <v>4. Obras de Intervención en Bienes muebles - inmuebles y sectores que conforman el patrimonio cultural del D.C.</v>
      </c>
      <c r="AQ339" s="634" t="str">
        <f>IF(J339="Funcionamiento Gastos Generales","No aplica",IF(J339="Funcionamiento Servicios Personales","No aplica",IFERROR(VLOOKUP(J339,Listas!$A$220:$D$224,4,FALSE),"Alerta: Seleccione la celda en la comumna B con el nombre del proyecto")))</f>
        <v>FONT1114</v>
      </c>
      <c r="AR339" s="633" t="s">
        <v>198</v>
      </c>
      <c r="AS339" s="634" t="str">
        <f>IFERROR(VLOOKUP(AU339,Listas!$E$85:$L$105,7,FALSE),"Alerta: Seleccione la celda en la comumna AI con el concepto de gasto")</f>
        <v>03-RECURSO HUMANO</v>
      </c>
      <c r="AT339" s="634" t="str">
        <f>IFERROR(VLOOKUP(AU339,Listas!$E$85:$L$105,8,FALSE),"Alerta: Seleccione la celda en la comumna AI con el concepto de gasto")</f>
        <v>04-GASTOS DE PERSONAL OPERATIVO</v>
      </c>
      <c r="AU339" s="633" t="s">
        <v>228</v>
      </c>
      <c r="AV339" s="634">
        <f>IFERROR(VLOOKUP(AU339,Listas!$E$85:$F$105,2,FALSE),"Alerta: Seleccione el Concepto de Gasto primero")</f>
        <v>0</v>
      </c>
      <c r="AW339" s="644">
        <v>38400000</v>
      </c>
      <c r="AX339" s="645"/>
      <c r="AY339" s="645"/>
      <c r="AZ339" s="645"/>
      <c r="BA339" s="646">
        <f t="shared" si="104"/>
        <v>38400000</v>
      </c>
      <c r="BB339" s="647"/>
      <c r="BC339" s="648"/>
      <c r="BD339" s="649"/>
      <c r="BE339" s="647"/>
      <c r="BF339" s="644"/>
      <c r="BG339" s="646">
        <f t="shared" si="105"/>
        <v>38400000</v>
      </c>
      <c r="BH339" s="650"/>
      <c r="BI339" s="647"/>
      <c r="BJ339" s="644"/>
      <c r="BK339" s="646">
        <f t="shared" si="106"/>
        <v>0</v>
      </c>
      <c r="BL339" s="651"/>
      <c r="BM339" s="652">
        <f t="shared" si="107"/>
        <v>1</v>
      </c>
      <c r="BN339" s="628"/>
      <c r="BO339" s="670"/>
      <c r="BP339" s="644"/>
      <c r="BQ339" s="644"/>
      <c r="BR339" s="644"/>
      <c r="BS339" s="644"/>
      <c r="BT339" s="644"/>
      <c r="BU339" s="644"/>
      <c r="BV339" s="644"/>
      <c r="BW339" s="644"/>
      <c r="BX339" s="644"/>
      <c r="BY339" s="644"/>
      <c r="BZ339" s="644"/>
      <c r="CA339" s="644"/>
      <c r="CB339" s="646">
        <f t="shared" si="108"/>
        <v>0</v>
      </c>
      <c r="CC339" s="646">
        <f t="shared" si="109"/>
        <v>0</v>
      </c>
      <c r="CD339" s="614"/>
    </row>
    <row r="340" spans="1:85" s="561" customFormat="1" ht="61.5" customHeight="1">
      <c r="A340" s="625" t="str">
        <f t="shared" si="91"/>
        <v>1114-140-FONT1114-03-04-0316-Asesoría técnica para la protección y promoción del patrimonio cultural material del distrito capital</v>
      </c>
      <c r="B340" s="626" t="str">
        <f t="shared" si="92"/>
        <v>1114-140-FONT1114-03-04-0316</v>
      </c>
      <c r="C340" s="626" t="str">
        <f t="shared" si="93"/>
        <v>1114-140-FONT1114-Asesoría técnica para la protección y promoción del patrimonio cultural material del distrito capital</v>
      </c>
      <c r="D340" s="626" t="str">
        <f t="shared" si="94"/>
        <v>1114-140-12-Otros Distrito-03-04-0316</v>
      </c>
      <c r="E340" s="626" t="str">
        <f t="shared" si="95"/>
        <v>Asesoría técnica para la protección y promoción del patrimonio cultural material del distrito capital-12-Otros Distrito-0316-Personal de apoyo para las actividades de valoración, protección y conservación del Patrimonio Cultural</v>
      </c>
      <c r="F340" s="627">
        <v>300</v>
      </c>
      <c r="G340" s="628">
        <f t="shared" si="96"/>
        <v>300</v>
      </c>
      <c r="H340" s="629" t="b">
        <f t="shared" si="97"/>
        <v>0</v>
      </c>
      <c r="I340" s="630" t="s">
        <v>594</v>
      </c>
      <c r="J340" s="627" t="s">
        <v>180</v>
      </c>
      <c r="K340" s="631" t="str">
        <f>+IFERROR(VLOOKUP(J340,Listas!$A$108:$B$114,2,FALSE),"Alerta: Seleccione la celda en la comumna B con el nombre del proyecto")</f>
        <v>3-3-1-15-02-17-1114-140</v>
      </c>
      <c r="L340" s="632" t="s">
        <v>857</v>
      </c>
      <c r="M340" s="633" t="s">
        <v>872</v>
      </c>
      <c r="N340" s="634" t="str">
        <f t="shared" si="98"/>
        <v>(Cód. 300) Prestar servicios profesionales al Instituto Distrital de Patrimonio Cultural, apoyando los tramites de evaluación de los proyectos de manejo y protección del patrimonio cultural, y solicitudes de intervención sobre Bienes y Sectores de Interés Cultural.</v>
      </c>
      <c r="O340" s="635">
        <v>43497</v>
      </c>
      <c r="P340" s="636">
        <f>IFERROR(VLOOKUP(W340,'Estimación CRP'!$D$21:$E$30,2,FALSE),0)</f>
        <v>10</v>
      </c>
      <c r="Q340" s="637">
        <f>IF(O340="No aplica","No aplica",WORKDAY.INTL(O340,P340,1,'Estimación CRP'!A526:A542))</f>
        <v>43511</v>
      </c>
      <c r="R340" s="636">
        <f t="shared" si="99"/>
        <v>2</v>
      </c>
      <c r="S340" s="636">
        <f t="shared" si="100"/>
        <v>2</v>
      </c>
      <c r="T340" s="636">
        <f t="shared" si="101"/>
        <v>2</v>
      </c>
      <c r="U340" s="712">
        <v>8</v>
      </c>
      <c r="V340" s="638">
        <v>1</v>
      </c>
      <c r="W340" s="639" t="s">
        <v>274</v>
      </c>
      <c r="X340" s="640" t="str">
        <f>IFERROR(VLOOKUP(W340,Listas!$A$60:$B$73,2,FALSE),"Alerta: Seleccione primero Modalidad de selección")</f>
        <v>CCE-16</v>
      </c>
      <c r="Y340" s="641">
        <v>0</v>
      </c>
      <c r="Z340" s="641" t="s">
        <v>346</v>
      </c>
      <c r="AA340" s="641" t="s">
        <v>1326</v>
      </c>
      <c r="AB340" s="642">
        <f t="shared" si="102"/>
        <v>38400000</v>
      </c>
      <c r="AC340" s="642">
        <f t="shared" si="103"/>
        <v>38400000</v>
      </c>
      <c r="AD340" s="641">
        <v>0</v>
      </c>
      <c r="AE340" s="643">
        <v>0</v>
      </c>
      <c r="AF340" s="639" t="s">
        <v>276</v>
      </c>
      <c r="AG340" s="639" t="s">
        <v>277</v>
      </c>
      <c r="AH340" s="639" t="s">
        <v>573</v>
      </c>
      <c r="AI340" s="626" t="str">
        <f>IFERROR(VLOOKUP(AH340,Listas!$A$77:$C$83,2,FALSE),"Alerta: Seleccione primero el responsable")</f>
        <v>3550800</v>
      </c>
      <c r="AJ340" s="640" t="str">
        <f>IFERROR(VLOOKUP(AH340,Listas!$A$77:$C$83,3,FALSE),"Alerta: Seleccione primero el responsable")</f>
        <v>carolina.fernandez@idpc.gov.co</v>
      </c>
      <c r="AK340" s="640" t="str">
        <f>IF(J340="Funcionamiento Gastos Generales","No aplica",IF(J340="Funcionamiento Servicios Personales indirectos","No aplica",IFERROR(VLOOKUP(J340,Listas!$A$127:$E$139,3,FALSE),"Alerta: Seleccione la celda en la comumna B con el nombre del proyecto")))</f>
        <v>ME20181114</v>
      </c>
      <c r="AL340" s="640" t="str">
        <f>IF(J340="Funcionamiento Gastos Generales","No aplica",IF(J340="Funcionamiento Servicios Personales","No aplica",IFERROR(VLOOKUP(J340,Listas!$A$220:$D$224,2,FALSE),"Alerta: Seleccione la celda en la comumna B con el nombre del proyecto")))</f>
        <v>COMP1114</v>
      </c>
      <c r="AM340" s="640" t="str">
        <f>IF(J340="Funcionamiento Gastos Generales","No aplica",IF(J340="Funcionamiento Servicios Personales","No aplica",IFERROR(VLOOKUP(J340,Listas!$A$220:$D$224,3,FALSE),"Alerta: Seleccione la celda en la comumna B con el nombre del proyecto")))</f>
        <v>CONC1114</v>
      </c>
      <c r="AN340" s="633" t="s">
        <v>1053</v>
      </c>
      <c r="AO340" s="633" t="s">
        <v>391</v>
      </c>
      <c r="AP340" s="634" t="str">
        <f>IFERROR(VLOOKUP(J340,Listas!$A$182:$E$215,5,FALSE),"Alerta: Seleccione la celda en la comumna B con el nombre del proyecto")</f>
        <v>4. Obras de Intervención en Bienes muebles - inmuebles y sectores que conforman el patrimonio cultural del D.C.</v>
      </c>
      <c r="AQ340" s="634" t="str">
        <f>IF(J340="Funcionamiento Gastos Generales","No aplica",IF(J340="Funcionamiento Servicios Personales","No aplica",IFERROR(VLOOKUP(J340,Listas!$A$220:$D$224,4,FALSE),"Alerta: Seleccione la celda en la comumna B con el nombre del proyecto")))</f>
        <v>FONT1114</v>
      </c>
      <c r="AR340" s="633" t="s">
        <v>198</v>
      </c>
      <c r="AS340" s="634" t="str">
        <f>IFERROR(VLOOKUP(AU340,Listas!$E$85:$L$105,7,FALSE),"Alerta: Seleccione la celda en la comumna AI con el concepto de gasto")</f>
        <v>03-RECURSO HUMANO</v>
      </c>
      <c r="AT340" s="634" t="str">
        <f>IFERROR(VLOOKUP(AU340,Listas!$E$85:$L$105,8,FALSE),"Alerta: Seleccione la celda en la comumna AI con el concepto de gasto")</f>
        <v>04-GASTOS DE PERSONAL OPERATIVO</v>
      </c>
      <c r="AU340" s="633" t="s">
        <v>228</v>
      </c>
      <c r="AV340" s="634">
        <f>IFERROR(VLOOKUP(AU340,Listas!$E$85:$F$105,2,FALSE),"Alerta: Seleccione el Concepto de Gasto primero")</f>
        <v>0</v>
      </c>
      <c r="AW340" s="644">
        <v>38400000</v>
      </c>
      <c r="AX340" s="645"/>
      <c r="AY340" s="645"/>
      <c r="AZ340" s="645"/>
      <c r="BA340" s="646">
        <f t="shared" si="104"/>
        <v>38400000</v>
      </c>
      <c r="BB340" s="647"/>
      <c r="BC340" s="648"/>
      <c r="BD340" s="649"/>
      <c r="BE340" s="647"/>
      <c r="BF340" s="644"/>
      <c r="BG340" s="646">
        <f t="shared" si="105"/>
        <v>38400000</v>
      </c>
      <c r="BH340" s="650"/>
      <c r="BI340" s="647"/>
      <c r="BJ340" s="644"/>
      <c r="BK340" s="646">
        <f t="shared" si="106"/>
        <v>0</v>
      </c>
      <c r="BL340" s="651"/>
      <c r="BM340" s="652">
        <f t="shared" si="107"/>
        <v>1</v>
      </c>
      <c r="BN340" s="628"/>
      <c r="BO340" s="670"/>
      <c r="BP340" s="644"/>
      <c r="BQ340" s="644"/>
      <c r="BR340" s="644"/>
      <c r="BS340" s="644"/>
      <c r="BT340" s="644"/>
      <c r="BU340" s="644"/>
      <c r="BV340" s="644"/>
      <c r="BW340" s="644"/>
      <c r="BX340" s="644"/>
      <c r="BY340" s="644"/>
      <c r="BZ340" s="644"/>
      <c r="CA340" s="644"/>
      <c r="CB340" s="646">
        <f t="shared" si="108"/>
        <v>0</v>
      </c>
      <c r="CC340" s="646">
        <f t="shared" si="109"/>
        <v>0</v>
      </c>
      <c r="CD340" s="614"/>
    </row>
    <row r="341" spans="1:85" s="561" customFormat="1" ht="61.5" customHeight="1">
      <c r="A341" s="625" t="str">
        <f t="shared" si="91"/>
        <v>1114-140-FONT1114-03-04-0316-Asesoría técnica para la protección y promoción del patrimonio cultural material del distrito capital</v>
      </c>
      <c r="B341" s="626" t="str">
        <f t="shared" si="92"/>
        <v>1114-140-FONT1114-03-04-0316</v>
      </c>
      <c r="C341" s="626" t="str">
        <f t="shared" si="93"/>
        <v>1114-140-FONT1114-Asesoría técnica para la protección y promoción del patrimonio cultural material del distrito capital</v>
      </c>
      <c r="D341" s="626" t="str">
        <f t="shared" si="94"/>
        <v>1114-140-12-Otros Distrito-03-04-0316</v>
      </c>
      <c r="E341" s="626" t="str">
        <f t="shared" si="95"/>
        <v>Asesoría técnica para la protección y promoción del patrimonio cultural material del distrito capital-12-Otros Distrito-0316-Personal de apoyo para las actividades de valoración, protección y conservación del Patrimonio Cultural</v>
      </c>
      <c r="F341" s="627">
        <v>301</v>
      </c>
      <c r="G341" s="628">
        <f t="shared" si="96"/>
        <v>301</v>
      </c>
      <c r="H341" s="629" t="b">
        <f t="shared" si="97"/>
        <v>0</v>
      </c>
      <c r="I341" s="630" t="s">
        <v>594</v>
      </c>
      <c r="J341" s="627" t="s">
        <v>180</v>
      </c>
      <c r="K341" s="631" t="str">
        <f>+IFERROR(VLOOKUP(J341,Listas!$A$108:$B$114,2,FALSE),"Alerta: Seleccione la celda en la comumna B con el nombre del proyecto")</f>
        <v>3-3-1-15-02-17-1114-140</v>
      </c>
      <c r="L341" s="632" t="s">
        <v>857</v>
      </c>
      <c r="M341" s="633" t="s">
        <v>872</v>
      </c>
      <c r="N341" s="634" t="str">
        <f t="shared" si="98"/>
        <v>(Cód. 301) Prestar servicios profesionales al Instituto Distrital de Patrimonio Cultural, apoyando los tramites de evaluación de los proyectos de manejo y protección del patrimonio cultural, y solicitudes de intervención sobre Bienes y Sectores de Interés Cultural.</v>
      </c>
      <c r="O341" s="635">
        <v>43497</v>
      </c>
      <c r="P341" s="636">
        <f>IFERROR(VLOOKUP(W341,'Estimación CRP'!$D$21:$E$30,2,FALSE),0)</f>
        <v>10</v>
      </c>
      <c r="Q341" s="637">
        <f>IF(O341="No aplica","No aplica",WORKDAY.INTL(O341,P341,1,'Estimación CRP'!A527:A543))</f>
        <v>43511</v>
      </c>
      <c r="R341" s="636">
        <f t="shared" si="99"/>
        <v>2</v>
      </c>
      <c r="S341" s="636">
        <f t="shared" si="100"/>
        <v>2</v>
      </c>
      <c r="T341" s="636">
        <f t="shared" si="101"/>
        <v>2</v>
      </c>
      <c r="U341" s="712">
        <v>8</v>
      </c>
      <c r="V341" s="638">
        <v>1</v>
      </c>
      <c r="W341" s="639" t="s">
        <v>274</v>
      </c>
      <c r="X341" s="640" t="str">
        <f>IFERROR(VLOOKUP(W341,Listas!$A$60:$B$73,2,FALSE),"Alerta: Seleccione primero Modalidad de selección")</f>
        <v>CCE-16</v>
      </c>
      <c r="Y341" s="641">
        <v>0</v>
      </c>
      <c r="Z341" s="641" t="s">
        <v>346</v>
      </c>
      <c r="AA341" s="641" t="s">
        <v>1326</v>
      </c>
      <c r="AB341" s="642">
        <f t="shared" si="102"/>
        <v>38400000</v>
      </c>
      <c r="AC341" s="642">
        <f t="shared" si="103"/>
        <v>38400000</v>
      </c>
      <c r="AD341" s="641">
        <v>0</v>
      </c>
      <c r="AE341" s="643">
        <v>0</v>
      </c>
      <c r="AF341" s="639" t="s">
        <v>276</v>
      </c>
      <c r="AG341" s="639" t="s">
        <v>277</v>
      </c>
      <c r="AH341" s="639" t="s">
        <v>573</v>
      </c>
      <c r="AI341" s="626" t="str">
        <f>IFERROR(VLOOKUP(AH341,Listas!$A$77:$C$83,2,FALSE),"Alerta: Seleccione primero el responsable")</f>
        <v>3550800</v>
      </c>
      <c r="AJ341" s="640" t="str">
        <f>IFERROR(VLOOKUP(AH341,Listas!$A$77:$C$83,3,FALSE),"Alerta: Seleccione primero el responsable")</f>
        <v>carolina.fernandez@idpc.gov.co</v>
      </c>
      <c r="AK341" s="640" t="str">
        <f>IF(J341="Funcionamiento Gastos Generales","No aplica",IF(J341="Funcionamiento Servicios Personales indirectos","No aplica",IFERROR(VLOOKUP(J341,Listas!$A$127:$E$139,3,FALSE),"Alerta: Seleccione la celda en la comumna B con el nombre del proyecto")))</f>
        <v>ME20181114</v>
      </c>
      <c r="AL341" s="640" t="str">
        <f>IF(J341="Funcionamiento Gastos Generales","No aplica",IF(J341="Funcionamiento Servicios Personales","No aplica",IFERROR(VLOOKUP(J341,Listas!$A$220:$D$224,2,FALSE),"Alerta: Seleccione la celda en la comumna B con el nombre del proyecto")))</f>
        <v>COMP1114</v>
      </c>
      <c r="AM341" s="640" t="str">
        <f>IF(J341="Funcionamiento Gastos Generales","No aplica",IF(J341="Funcionamiento Servicios Personales","No aplica",IFERROR(VLOOKUP(J341,Listas!$A$220:$D$224,3,FALSE),"Alerta: Seleccione la celda en la comumna B con el nombre del proyecto")))</f>
        <v>CONC1114</v>
      </c>
      <c r="AN341" s="633" t="s">
        <v>1053</v>
      </c>
      <c r="AO341" s="633" t="s">
        <v>391</v>
      </c>
      <c r="AP341" s="634" t="str">
        <f>IFERROR(VLOOKUP(J341,Listas!$A$182:$E$215,5,FALSE),"Alerta: Seleccione la celda en la comumna B con el nombre del proyecto")</f>
        <v>4. Obras de Intervención en Bienes muebles - inmuebles y sectores que conforman el patrimonio cultural del D.C.</v>
      </c>
      <c r="AQ341" s="634" t="str">
        <f>IF(J341="Funcionamiento Gastos Generales","No aplica",IF(J341="Funcionamiento Servicios Personales","No aplica",IFERROR(VLOOKUP(J341,Listas!$A$220:$D$224,4,FALSE),"Alerta: Seleccione la celda en la comumna B con el nombre del proyecto")))</f>
        <v>FONT1114</v>
      </c>
      <c r="AR341" s="633" t="s">
        <v>198</v>
      </c>
      <c r="AS341" s="634" t="str">
        <f>IFERROR(VLOOKUP(AU341,Listas!$E$85:$L$105,7,FALSE),"Alerta: Seleccione la celda en la comumna AI con el concepto de gasto")</f>
        <v>03-RECURSO HUMANO</v>
      </c>
      <c r="AT341" s="634" t="str">
        <f>IFERROR(VLOOKUP(AU341,Listas!$E$85:$L$105,8,FALSE),"Alerta: Seleccione la celda en la comumna AI con el concepto de gasto")</f>
        <v>04-GASTOS DE PERSONAL OPERATIVO</v>
      </c>
      <c r="AU341" s="633" t="s">
        <v>228</v>
      </c>
      <c r="AV341" s="634">
        <f>IFERROR(VLOOKUP(AU341,Listas!$E$85:$F$105,2,FALSE),"Alerta: Seleccione el Concepto de Gasto primero")</f>
        <v>0</v>
      </c>
      <c r="AW341" s="644">
        <v>38400000</v>
      </c>
      <c r="AX341" s="645"/>
      <c r="AY341" s="645"/>
      <c r="AZ341" s="645"/>
      <c r="BA341" s="646">
        <f t="shared" si="104"/>
        <v>38400000</v>
      </c>
      <c r="BB341" s="647"/>
      <c r="BC341" s="648"/>
      <c r="BD341" s="649"/>
      <c r="BE341" s="647"/>
      <c r="BF341" s="644"/>
      <c r="BG341" s="646">
        <f t="shared" si="105"/>
        <v>38400000</v>
      </c>
      <c r="BH341" s="650"/>
      <c r="BI341" s="647"/>
      <c r="BJ341" s="644"/>
      <c r="BK341" s="646">
        <f t="shared" si="106"/>
        <v>0</v>
      </c>
      <c r="BL341" s="651"/>
      <c r="BM341" s="652">
        <f t="shared" si="107"/>
        <v>1</v>
      </c>
      <c r="BN341" s="628"/>
      <c r="BO341" s="670"/>
      <c r="BP341" s="644"/>
      <c r="BQ341" s="644"/>
      <c r="BR341" s="644"/>
      <c r="BS341" s="644"/>
      <c r="BT341" s="644"/>
      <c r="BU341" s="644"/>
      <c r="BV341" s="644"/>
      <c r="BW341" s="644"/>
      <c r="BX341" s="644"/>
      <c r="BY341" s="644"/>
      <c r="BZ341" s="644"/>
      <c r="CA341" s="644"/>
      <c r="CB341" s="646">
        <f t="shared" si="108"/>
        <v>0</v>
      </c>
      <c r="CC341" s="646">
        <f t="shared" si="109"/>
        <v>0</v>
      </c>
      <c r="CD341" s="614"/>
    </row>
    <row r="342" spans="1:85" s="561" customFormat="1" ht="61.5" customHeight="1">
      <c r="A342" s="625" t="str">
        <f t="shared" si="91"/>
        <v>1114-140-FONT1114-03-04-0316-Asesoría técnica para la protección y promoción del patrimonio cultural material del distrito capital</v>
      </c>
      <c r="B342" s="626" t="str">
        <f t="shared" si="92"/>
        <v>1114-140-FONT1114-03-04-0316</v>
      </c>
      <c r="C342" s="626" t="str">
        <f t="shared" si="93"/>
        <v>1114-140-FONT1114-Asesoría técnica para la protección y promoción del patrimonio cultural material del distrito capital</v>
      </c>
      <c r="D342" s="626" t="str">
        <f t="shared" si="94"/>
        <v>1114-140-12-Otros Distrito-03-04-0316</v>
      </c>
      <c r="E342" s="626" t="str">
        <f t="shared" si="95"/>
        <v>Asesoría técnica para la protección y promoción del patrimonio cultural material del distrito capital-12-Otros Distrito-0316-Personal de apoyo para las actividades de valoración, protección y conservación del Patrimonio Cultural</v>
      </c>
      <c r="F342" s="627">
        <v>302</v>
      </c>
      <c r="G342" s="628">
        <f t="shared" si="96"/>
        <v>302</v>
      </c>
      <c r="H342" s="629" t="b">
        <f t="shared" si="97"/>
        <v>0</v>
      </c>
      <c r="I342" s="630" t="s">
        <v>594</v>
      </c>
      <c r="J342" s="627" t="s">
        <v>180</v>
      </c>
      <c r="K342" s="631" t="str">
        <f>+IFERROR(VLOOKUP(J342,Listas!$A$108:$B$114,2,FALSE),"Alerta: Seleccione la celda en la comumna B con el nombre del proyecto")</f>
        <v>3-3-1-15-02-17-1114-140</v>
      </c>
      <c r="L342" s="632" t="s">
        <v>857</v>
      </c>
      <c r="M342" s="633" t="s">
        <v>873</v>
      </c>
      <c r="N342" s="634" t="str">
        <f t="shared" si="98"/>
        <v>(Cód. 302) Prestar servicios profesionales al Instituto Distrital de Patrimonio Cultural para orientar, dar lineamientos y desarrollar acciones relacionadas con el sistema de espacio publico de Bogota DC.</v>
      </c>
      <c r="O342" s="635">
        <v>43497</v>
      </c>
      <c r="P342" s="636">
        <f>IFERROR(VLOOKUP(W342,'Estimación CRP'!$D$21:$E$30,2,FALSE),0)</f>
        <v>10</v>
      </c>
      <c r="Q342" s="637">
        <f>IF(O342="No aplica","No aplica",WORKDAY.INTL(O342,P342,1,'Estimación CRP'!A528:A544))</f>
        <v>43511</v>
      </c>
      <c r="R342" s="636">
        <f t="shared" si="99"/>
        <v>2</v>
      </c>
      <c r="S342" s="636">
        <f t="shared" si="100"/>
        <v>2</v>
      </c>
      <c r="T342" s="636">
        <f t="shared" si="101"/>
        <v>2</v>
      </c>
      <c r="U342" s="712">
        <v>10</v>
      </c>
      <c r="V342" s="638">
        <v>1</v>
      </c>
      <c r="W342" s="639" t="s">
        <v>274</v>
      </c>
      <c r="X342" s="640" t="str">
        <f>IFERROR(VLOOKUP(W342,Listas!$A$60:$B$73,2,FALSE),"Alerta: Seleccione primero Modalidad de selección")</f>
        <v>CCE-16</v>
      </c>
      <c r="Y342" s="641">
        <v>0</v>
      </c>
      <c r="Z342" s="641" t="s">
        <v>346</v>
      </c>
      <c r="AA342" s="641" t="s">
        <v>1326</v>
      </c>
      <c r="AB342" s="642">
        <f t="shared" si="102"/>
        <v>60000000</v>
      </c>
      <c r="AC342" s="642">
        <f t="shared" si="103"/>
        <v>60000000</v>
      </c>
      <c r="AD342" s="641">
        <v>0</v>
      </c>
      <c r="AE342" s="643">
        <v>0</v>
      </c>
      <c r="AF342" s="639" t="s">
        <v>276</v>
      </c>
      <c r="AG342" s="639" t="s">
        <v>277</v>
      </c>
      <c r="AH342" s="639" t="s">
        <v>573</v>
      </c>
      <c r="AI342" s="626" t="str">
        <f>IFERROR(VLOOKUP(AH342,Listas!$A$77:$C$83,2,FALSE),"Alerta: Seleccione primero el responsable")</f>
        <v>3550800</v>
      </c>
      <c r="AJ342" s="640" t="str">
        <f>IFERROR(VLOOKUP(AH342,Listas!$A$77:$C$83,3,FALSE),"Alerta: Seleccione primero el responsable")</f>
        <v>carolina.fernandez@idpc.gov.co</v>
      </c>
      <c r="AK342" s="640" t="str">
        <f>IF(J342="Funcionamiento Gastos Generales","No aplica",IF(J342="Funcionamiento Servicios Personales indirectos","No aplica",IFERROR(VLOOKUP(J342,Listas!$A$127:$E$139,3,FALSE),"Alerta: Seleccione la celda en la comumna B con el nombre del proyecto")))</f>
        <v>ME20181114</v>
      </c>
      <c r="AL342" s="640" t="str">
        <f>IF(J342="Funcionamiento Gastos Generales","No aplica",IF(J342="Funcionamiento Servicios Personales","No aplica",IFERROR(VLOOKUP(J342,Listas!$A$220:$D$224,2,FALSE),"Alerta: Seleccione la celda en la comumna B con el nombre del proyecto")))</f>
        <v>COMP1114</v>
      </c>
      <c r="AM342" s="640" t="str">
        <f>IF(J342="Funcionamiento Gastos Generales","No aplica",IF(J342="Funcionamiento Servicios Personales","No aplica",IFERROR(VLOOKUP(J342,Listas!$A$220:$D$224,3,FALSE),"Alerta: Seleccione la celda en la comumna B con el nombre del proyecto")))</f>
        <v>CONC1114</v>
      </c>
      <c r="AN342" s="633" t="s">
        <v>1053</v>
      </c>
      <c r="AO342" s="633" t="s">
        <v>391</v>
      </c>
      <c r="AP342" s="634" t="str">
        <f>IFERROR(VLOOKUP(J342,Listas!$A$182:$E$215,5,FALSE),"Alerta: Seleccione la celda en la comumna B con el nombre del proyecto")</f>
        <v>4. Obras de Intervención en Bienes muebles - inmuebles y sectores que conforman el patrimonio cultural del D.C.</v>
      </c>
      <c r="AQ342" s="634" t="str">
        <f>IF(J342="Funcionamiento Gastos Generales","No aplica",IF(J342="Funcionamiento Servicios Personales","No aplica",IFERROR(VLOOKUP(J342,Listas!$A$220:$D$224,4,FALSE),"Alerta: Seleccione la celda en la comumna B con el nombre del proyecto")))</f>
        <v>FONT1114</v>
      </c>
      <c r="AR342" s="633" t="s">
        <v>198</v>
      </c>
      <c r="AS342" s="634" t="str">
        <f>IFERROR(VLOOKUP(AU342,Listas!$E$85:$L$105,7,FALSE),"Alerta: Seleccione la celda en la comumna AI con el concepto de gasto")</f>
        <v>03-RECURSO HUMANO</v>
      </c>
      <c r="AT342" s="634" t="str">
        <f>IFERROR(VLOOKUP(AU342,Listas!$E$85:$L$105,8,FALSE),"Alerta: Seleccione la celda en la comumna AI con el concepto de gasto")</f>
        <v>04-GASTOS DE PERSONAL OPERATIVO</v>
      </c>
      <c r="AU342" s="633" t="s">
        <v>228</v>
      </c>
      <c r="AV342" s="634">
        <f>IFERROR(VLOOKUP(AU342,Listas!$E$85:$F$105,2,FALSE),"Alerta: Seleccione el Concepto de Gasto primero")</f>
        <v>0</v>
      </c>
      <c r="AW342" s="644">
        <v>60000000</v>
      </c>
      <c r="AX342" s="645"/>
      <c r="AY342" s="645"/>
      <c r="AZ342" s="645"/>
      <c r="BA342" s="646">
        <f t="shared" si="104"/>
        <v>60000000</v>
      </c>
      <c r="BB342" s="647"/>
      <c r="BC342" s="648"/>
      <c r="BD342" s="649"/>
      <c r="BE342" s="647"/>
      <c r="BF342" s="644"/>
      <c r="BG342" s="646">
        <f t="shared" si="105"/>
        <v>60000000</v>
      </c>
      <c r="BH342" s="650"/>
      <c r="BI342" s="647"/>
      <c r="BJ342" s="644"/>
      <c r="BK342" s="646">
        <f t="shared" si="106"/>
        <v>0</v>
      </c>
      <c r="BL342" s="651"/>
      <c r="BM342" s="652">
        <f t="shared" si="107"/>
        <v>1</v>
      </c>
      <c r="BN342" s="628"/>
      <c r="BO342" s="670"/>
      <c r="BP342" s="644"/>
      <c r="BQ342" s="644"/>
      <c r="BR342" s="644"/>
      <c r="BS342" s="644"/>
      <c r="BT342" s="644"/>
      <c r="BU342" s="644"/>
      <c r="BV342" s="644"/>
      <c r="BW342" s="644"/>
      <c r="BX342" s="644"/>
      <c r="BY342" s="644"/>
      <c r="BZ342" s="644"/>
      <c r="CA342" s="644"/>
      <c r="CB342" s="646">
        <f t="shared" si="108"/>
        <v>0</v>
      </c>
      <c r="CC342" s="646">
        <f t="shared" si="109"/>
        <v>0</v>
      </c>
      <c r="CD342" s="614"/>
    </row>
    <row r="343" spans="1:85" s="561" customFormat="1" ht="61.5" customHeight="1">
      <c r="A343" s="625" t="str">
        <f t="shared" si="91"/>
        <v>1114-140-FONT1114-03-04-0316-Asesoría técnica para la protección y promoción del patrimonio cultural material del distrito capital</v>
      </c>
      <c r="B343" s="626" t="str">
        <f t="shared" si="92"/>
        <v>1114-140-FONT1114-03-04-0316</v>
      </c>
      <c r="C343" s="626" t="str">
        <f t="shared" si="93"/>
        <v>1114-140-FONT1114-Asesoría técnica para la protección y promoción del patrimonio cultural material del distrito capital</v>
      </c>
      <c r="D343" s="626" t="str">
        <f t="shared" si="94"/>
        <v>1114-140-12-Otros Distrito-03-04-0316</v>
      </c>
      <c r="E343" s="626" t="str">
        <f t="shared" si="95"/>
        <v>Asesoría técnica para la protección y promoción del patrimonio cultural material del distrito capital-12-Otros Distrito-0316-Personal de apoyo para las actividades de valoración, protección y conservación del Patrimonio Cultural</v>
      </c>
      <c r="F343" s="627">
        <v>303</v>
      </c>
      <c r="G343" s="628">
        <f t="shared" si="96"/>
        <v>303</v>
      </c>
      <c r="H343" s="629" t="b">
        <f t="shared" si="97"/>
        <v>0</v>
      </c>
      <c r="I343" s="630" t="s">
        <v>594</v>
      </c>
      <c r="J343" s="627" t="s">
        <v>180</v>
      </c>
      <c r="K343" s="631" t="str">
        <f>+IFERROR(VLOOKUP(J343,Listas!$A$108:$B$114,2,FALSE),"Alerta: Seleccione la celda en la comumna B con el nombre del proyecto")</f>
        <v>3-3-1-15-02-17-1114-140</v>
      </c>
      <c r="L343" s="632" t="s">
        <v>857</v>
      </c>
      <c r="M343" s="633" t="s">
        <v>874</v>
      </c>
      <c r="N343" s="634" t="str">
        <f t="shared" si="98"/>
        <v>(Cód. 303) Prestar servicios profesionales al Instituto Distrital de Patrimonio Cultural para apoyar las actividades tecnicas relacionadas con el sistema de  espacio público de Bogota DC.</v>
      </c>
      <c r="O343" s="635">
        <v>43497</v>
      </c>
      <c r="P343" s="636">
        <f>IFERROR(VLOOKUP(W343,'Estimación CRP'!$D$21:$E$30,2,FALSE),0)</f>
        <v>10</v>
      </c>
      <c r="Q343" s="637">
        <f>IF(O343="No aplica","No aplica",WORKDAY.INTL(O343,P343,1,'Estimación CRP'!A529:A545))</f>
        <v>43511</v>
      </c>
      <c r="R343" s="636">
        <f t="shared" si="99"/>
        <v>2</v>
      </c>
      <c r="S343" s="636">
        <f t="shared" si="100"/>
        <v>2</v>
      </c>
      <c r="T343" s="636">
        <f t="shared" si="101"/>
        <v>2</v>
      </c>
      <c r="U343" s="712">
        <v>8</v>
      </c>
      <c r="V343" s="638">
        <v>1</v>
      </c>
      <c r="W343" s="639" t="s">
        <v>274</v>
      </c>
      <c r="X343" s="640" t="str">
        <f>IFERROR(VLOOKUP(W343,Listas!$A$60:$B$73,2,FALSE),"Alerta: Seleccione primero Modalidad de selección")</f>
        <v>CCE-16</v>
      </c>
      <c r="Y343" s="641">
        <v>0</v>
      </c>
      <c r="Z343" s="641" t="s">
        <v>346</v>
      </c>
      <c r="AA343" s="641" t="s">
        <v>1326</v>
      </c>
      <c r="AB343" s="642">
        <f t="shared" si="102"/>
        <v>41600000</v>
      </c>
      <c r="AC343" s="642">
        <f t="shared" si="103"/>
        <v>41600000</v>
      </c>
      <c r="AD343" s="641">
        <v>0</v>
      </c>
      <c r="AE343" s="643">
        <v>0</v>
      </c>
      <c r="AF343" s="639" t="s">
        <v>276</v>
      </c>
      <c r="AG343" s="639" t="s">
        <v>277</v>
      </c>
      <c r="AH343" s="639" t="s">
        <v>573</v>
      </c>
      <c r="AI343" s="626" t="str">
        <f>IFERROR(VLOOKUP(AH343,Listas!$A$77:$C$83,2,FALSE),"Alerta: Seleccione primero el responsable")</f>
        <v>3550800</v>
      </c>
      <c r="AJ343" s="640" t="str">
        <f>IFERROR(VLOOKUP(AH343,Listas!$A$77:$C$83,3,FALSE),"Alerta: Seleccione primero el responsable")</f>
        <v>carolina.fernandez@idpc.gov.co</v>
      </c>
      <c r="AK343" s="640" t="str">
        <f>IF(J343="Funcionamiento Gastos Generales","No aplica",IF(J343="Funcionamiento Servicios Personales indirectos","No aplica",IFERROR(VLOOKUP(J343,Listas!$A$127:$E$139,3,FALSE),"Alerta: Seleccione la celda en la comumna B con el nombre del proyecto")))</f>
        <v>ME20181114</v>
      </c>
      <c r="AL343" s="640" t="str">
        <f>IF(J343="Funcionamiento Gastos Generales","No aplica",IF(J343="Funcionamiento Servicios Personales","No aplica",IFERROR(VLOOKUP(J343,Listas!$A$220:$D$224,2,FALSE),"Alerta: Seleccione la celda en la comumna B con el nombre del proyecto")))</f>
        <v>COMP1114</v>
      </c>
      <c r="AM343" s="640" t="str">
        <f>IF(J343="Funcionamiento Gastos Generales","No aplica",IF(J343="Funcionamiento Servicios Personales","No aplica",IFERROR(VLOOKUP(J343,Listas!$A$220:$D$224,3,FALSE),"Alerta: Seleccione la celda en la comumna B con el nombre del proyecto")))</f>
        <v>CONC1114</v>
      </c>
      <c r="AN343" s="633" t="s">
        <v>1053</v>
      </c>
      <c r="AO343" s="633" t="s">
        <v>391</v>
      </c>
      <c r="AP343" s="634" t="str">
        <f>IFERROR(VLOOKUP(J343,Listas!$A$182:$E$215,5,FALSE),"Alerta: Seleccione la celda en la comumna B con el nombre del proyecto")</f>
        <v>4. Obras de Intervención en Bienes muebles - inmuebles y sectores que conforman el patrimonio cultural del D.C.</v>
      </c>
      <c r="AQ343" s="634" t="str">
        <f>IF(J343="Funcionamiento Gastos Generales","No aplica",IF(J343="Funcionamiento Servicios Personales","No aplica",IFERROR(VLOOKUP(J343,Listas!$A$220:$D$224,4,FALSE),"Alerta: Seleccione la celda en la comumna B con el nombre del proyecto")))</f>
        <v>FONT1114</v>
      </c>
      <c r="AR343" s="633" t="s">
        <v>198</v>
      </c>
      <c r="AS343" s="634" t="str">
        <f>IFERROR(VLOOKUP(AU343,Listas!$E$85:$L$105,7,FALSE),"Alerta: Seleccione la celda en la comumna AI con el concepto de gasto")</f>
        <v>03-RECURSO HUMANO</v>
      </c>
      <c r="AT343" s="634" t="str">
        <f>IFERROR(VLOOKUP(AU343,Listas!$E$85:$L$105,8,FALSE),"Alerta: Seleccione la celda en la comumna AI con el concepto de gasto")</f>
        <v>04-GASTOS DE PERSONAL OPERATIVO</v>
      </c>
      <c r="AU343" s="633" t="s">
        <v>228</v>
      </c>
      <c r="AV343" s="634">
        <f>IFERROR(VLOOKUP(AU343,Listas!$E$85:$F$105,2,FALSE),"Alerta: Seleccione el Concepto de Gasto primero")</f>
        <v>0</v>
      </c>
      <c r="AW343" s="644">
        <v>41600000</v>
      </c>
      <c r="AX343" s="645"/>
      <c r="AY343" s="645"/>
      <c r="AZ343" s="645"/>
      <c r="BA343" s="646">
        <f t="shared" si="104"/>
        <v>41600000</v>
      </c>
      <c r="BB343" s="647"/>
      <c r="BC343" s="648"/>
      <c r="BD343" s="649"/>
      <c r="BE343" s="647"/>
      <c r="BF343" s="644"/>
      <c r="BG343" s="646">
        <f t="shared" si="105"/>
        <v>41600000</v>
      </c>
      <c r="BH343" s="650"/>
      <c r="BI343" s="647"/>
      <c r="BJ343" s="644"/>
      <c r="BK343" s="646">
        <f t="shared" si="106"/>
        <v>0</v>
      </c>
      <c r="BL343" s="651"/>
      <c r="BM343" s="652">
        <f t="shared" si="107"/>
        <v>1</v>
      </c>
      <c r="BN343" s="628"/>
      <c r="BO343" s="670"/>
      <c r="BP343" s="644"/>
      <c r="BQ343" s="644"/>
      <c r="BR343" s="644"/>
      <c r="BS343" s="644"/>
      <c r="BT343" s="644"/>
      <c r="BU343" s="644"/>
      <c r="BV343" s="644"/>
      <c r="BW343" s="644"/>
      <c r="BX343" s="644"/>
      <c r="BY343" s="644"/>
      <c r="BZ343" s="644"/>
      <c r="CA343" s="644"/>
      <c r="CB343" s="646">
        <f t="shared" si="108"/>
        <v>0</v>
      </c>
      <c r="CC343" s="646">
        <f t="shared" si="109"/>
        <v>0</v>
      </c>
      <c r="CD343" s="614"/>
    </row>
    <row r="344" spans="1:85" s="561" customFormat="1" ht="61.5" customHeight="1">
      <c r="A344" s="625" t="str">
        <f t="shared" si="91"/>
        <v>1114-140-FONT1114-03-04-0316-Asesoría técnica para la protección y promoción del patrimonio cultural material del distrito capital</v>
      </c>
      <c r="B344" s="626" t="str">
        <f t="shared" si="92"/>
        <v>1114-140-FONT1114-03-04-0316</v>
      </c>
      <c r="C344" s="626" t="str">
        <f t="shared" si="93"/>
        <v>1114-140-FONT1114-Asesoría técnica para la protección y promoción del patrimonio cultural material del distrito capital</v>
      </c>
      <c r="D344" s="626" t="str">
        <f t="shared" si="94"/>
        <v>1114-140-12-Otros Distrito-03-04-0316</v>
      </c>
      <c r="E344" s="626" t="str">
        <f t="shared" si="95"/>
        <v>Asesoría técnica para la protección y promoción del patrimonio cultural material del distrito capital-12-Otros Distrito-0316-Personal de apoyo para las actividades de valoración, protección y conservación del Patrimonio Cultural</v>
      </c>
      <c r="F344" s="627">
        <v>304</v>
      </c>
      <c r="G344" s="628">
        <f t="shared" si="96"/>
        <v>304</v>
      </c>
      <c r="H344" s="629" t="b">
        <f t="shared" si="97"/>
        <v>0</v>
      </c>
      <c r="I344" s="630" t="s">
        <v>594</v>
      </c>
      <c r="J344" s="627" t="s">
        <v>180</v>
      </c>
      <c r="K344" s="631" t="str">
        <f>+IFERROR(VLOOKUP(J344,Listas!$A$108:$B$114,2,FALSE),"Alerta: Seleccione la celda en la comumna B con el nombre del proyecto")</f>
        <v>3-3-1-15-02-17-1114-140</v>
      </c>
      <c r="L344" s="632" t="s">
        <v>857</v>
      </c>
      <c r="M344" s="633" t="s">
        <v>875</v>
      </c>
      <c r="N344" s="634" t="str">
        <f t="shared" si="98"/>
        <v>(Cód. 304) Prestar servicios profesionales al Instituto Distrital de Patrimonio Cultural para apoyar las actividades tecnicas relacionadas con el sistema de  espacio público de Sectores de Interés Cultural.</v>
      </c>
      <c r="O344" s="635">
        <v>43497</v>
      </c>
      <c r="P344" s="636">
        <f>IFERROR(VLOOKUP(W344,'Estimación CRP'!$D$21:$E$30,2,FALSE),0)</f>
        <v>10</v>
      </c>
      <c r="Q344" s="637">
        <f>IF(O344="No aplica","No aplica",WORKDAY.INTL(O344,P344,1,'Estimación CRP'!A530:A546))</f>
        <v>43511</v>
      </c>
      <c r="R344" s="636">
        <f t="shared" si="99"/>
        <v>2</v>
      </c>
      <c r="S344" s="636">
        <f t="shared" si="100"/>
        <v>2</v>
      </c>
      <c r="T344" s="636">
        <f t="shared" si="101"/>
        <v>2</v>
      </c>
      <c r="U344" s="712">
        <v>8</v>
      </c>
      <c r="V344" s="638">
        <v>1</v>
      </c>
      <c r="W344" s="639" t="s">
        <v>274</v>
      </c>
      <c r="X344" s="640" t="str">
        <f>IFERROR(VLOOKUP(W344,Listas!$A$60:$B$73,2,FALSE),"Alerta: Seleccione primero Modalidad de selección")</f>
        <v>CCE-16</v>
      </c>
      <c r="Y344" s="641">
        <v>0</v>
      </c>
      <c r="Z344" s="641" t="s">
        <v>346</v>
      </c>
      <c r="AA344" s="641" t="s">
        <v>1326</v>
      </c>
      <c r="AB344" s="642">
        <f t="shared" si="102"/>
        <v>41600000</v>
      </c>
      <c r="AC344" s="642">
        <f t="shared" si="103"/>
        <v>41600000</v>
      </c>
      <c r="AD344" s="641">
        <v>0</v>
      </c>
      <c r="AE344" s="643">
        <v>0</v>
      </c>
      <c r="AF344" s="639" t="s">
        <v>276</v>
      </c>
      <c r="AG344" s="639" t="s">
        <v>277</v>
      </c>
      <c r="AH344" s="639" t="s">
        <v>573</v>
      </c>
      <c r="AI344" s="626" t="str">
        <f>IFERROR(VLOOKUP(AH344,Listas!$A$77:$C$83,2,FALSE),"Alerta: Seleccione primero el responsable")</f>
        <v>3550800</v>
      </c>
      <c r="AJ344" s="640" t="str">
        <f>IFERROR(VLOOKUP(AH344,Listas!$A$77:$C$83,3,FALSE),"Alerta: Seleccione primero el responsable")</f>
        <v>carolina.fernandez@idpc.gov.co</v>
      </c>
      <c r="AK344" s="640" t="str">
        <f>IF(J344="Funcionamiento Gastos Generales","No aplica",IF(J344="Funcionamiento Servicios Personales indirectos","No aplica",IFERROR(VLOOKUP(J344,Listas!$A$127:$E$139,3,FALSE),"Alerta: Seleccione la celda en la comumna B con el nombre del proyecto")))</f>
        <v>ME20181114</v>
      </c>
      <c r="AL344" s="640" t="str">
        <f>IF(J344="Funcionamiento Gastos Generales","No aplica",IF(J344="Funcionamiento Servicios Personales","No aplica",IFERROR(VLOOKUP(J344,Listas!$A$220:$D$224,2,FALSE),"Alerta: Seleccione la celda en la comumna B con el nombre del proyecto")))</f>
        <v>COMP1114</v>
      </c>
      <c r="AM344" s="640" t="str">
        <f>IF(J344="Funcionamiento Gastos Generales","No aplica",IF(J344="Funcionamiento Servicios Personales","No aplica",IFERROR(VLOOKUP(J344,Listas!$A$220:$D$224,3,FALSE),"Alerta: Seleccione la celda en la comumna B con el nombre del proyecto")))</f>
        <v>CONC1114</v>
      </c>
      <c r="AN344" s="633" t="s">
        <v>1053</v>
      </c>
      <c r="AO344" s="633" t="s">
        <v>391</v>
      </c>
      <c r="AP344" s="634" t="str">
        <f>IFERROR(VLOOKUP(J344,Listas!$A$182:$E$215,5,FALSE),"Alerta: Seleccione la celda en la comumna B con el nombre del proyecto")</f>
        <v>4. Obras de Intervención en Bienes muebles - inmuebles y sectores que conforman el patrimonio cultural del D.C.</v>
      </c>
      <c r="AQ344" s="634" t="str">
        <f>IF(J344="Funcionamiento Gastos Generales","No aplica",IF(J344="Funcionamiento Servicios Personales","No aplica",IFERROR(VLOOKUP(J344,Listas!$A$220:$D$224,4,FALSE),"Alerta: Seleccione la celda en la comumna B con el nombre del proyecto")))</f>
        <v>FONT1114</v>
      </c>
      <c r="AR344" s="633" t="s">
        <v>198</v>
      </c>
      <c r="AS344" s="634" t="str">
        <f>IFERROR(VLOOKUP(AU344,Listas!$E$85:$L$105,7,FALSE),"Alerta: Seleccione la celda en la comumna AI con el concepto de gasto")</f>
        <v>03-RECURSO HUMANO</v>
      </c>
      <c r="AT344" s="634" t="str">
        <f>IFERROR(VLOOKUP(AU344,Listas!$E$85:$L$105,8,FALSE),"Alerta: Seleccione la celda en la comumna AI con el concepto de gasto")</f>
        <v>04-GASTOS DE PERSONAL OPERATIVO</v>
      </c>
      <c r="AU344" s="633" t="s">
        <v>228</v>
      </c>
      <c r="AV344" s="634">
        <f>IFERROR(VLOOKUP(AU344,Listas!$E$85:$F$105,2,FALSE),"Alerta: Seleccione el Concepto de Gasto primero")</f>
        <v>0</v>
      </c>
      <c r="AW344" s="644">
        <v>41600000</v>
      </c>
      <c r="AX344" s="645"/>
      <c r="AY344" s="645"/>
      <c r="AZ344" s="645"/>
      <c r="BA344" s="646">
        <f t="shared" si="104"/>
        <v>41600000</v>
      </c>
      <c r="BB344" s="647"/>
      <c r="BC344" s="648"/>
      <c r="BD344" s="649"/>
      <c r="BE344" s="647"/>
      <c r="BF344" s="644"/>
      <c r="BG344" s="646">
        <f t="shared" si="105"/>
        <v>41600000</v>
      </c>
      <c r="BH344" s="650"/>
      <c r="BI344" s="647"/>
      <c r="BJ344" s="644"/>
      <c r="BK344" s="646">
        <f t="shared" si="106"/>
        <v>0</v>
      </c>
      <c r="BL344" s="651"/>
      <c r="BM344" s="652">
        <f t="shared" si="107"/>
        <v>1</v>
      </c>
      <c r="BN344" s="628"/>
      <c r="BO344" s="670"/>
      <c r="BP344" s="644"/>
      <c r="BQ344" s="644"/>
      <c r="BR344" s="644"/>
      <c r="BS344" s="644"/>
      <c r="BT344" s="644"/>
      <c r="BU344" s="644"/>
      <c r="BV344" s="644"/>
      <c r="BW344" s="644"/>
      <c r="BX344" s="644"/>
      <c r="BY344" s="644"/>
      <c r="BZ344" s="644"/>
      <c r="CA344" s="644"/>
      <c r="CB344" s="646">
        <f t="shared" si="108"/>
        <v>0</v>
      </c>
      <c r="CC344" s="646">
        <f t="shared" si="109"/>
        <v>0</v>
      </c>
      <c r="CD344" s="614"/>
    </row>
    <row r="345" spans="1:85" s="561" customFormat="1" ht="61.5" customHeight="1">
      <c r="A345" s="625" t="str">
        <f t="shared" si="91"/>
        <v>1114-140-FONT1114-03-04-0316-Asesoría técnica para la protección y promoción del patrimonio cultural material del distrito capital</v>
      </c>
      <c r="B345" s="626" t="str">
        <f t="shared" si="92"/>
        <v>1114-140-FONT1114-03-04-0316</v>
      </c>
      <c r="C345" s="626" t="str">
        <f t="shared" si="93"/>
        <v>1114-140-FONT1114-Asesoría técnica para la protección y promoción del patrimonio cultural material del distrito capital</v>
      </c>
      <c r="D345" s="626" t="str">
        <f t="shared" si="94"/>
        <v>1114-140-12-Otros Distrito-03-04-0316</v>
      </c>
      <c r="E345" s="626" t="str">
        <f t="shared" si="95"/>
        <v>Asesoría técnica para la protección y promoción del patrimonio cultural material del distrito capital-12-Otros Distrito-0316-Personal de apoyo para las actividades de valoración, protección y conservación del Patrimonio Cultural</v>
      </c>
      <c r="F345" s="627">
        <v>305</v>
      </c>
      <c r="G345" s="628">
        <f t="shared" si="96"/>
        <v>305</v>
      </c>
      <c r="H345" s="629" t="b">
        <f t="shared" si="97"/>
        <v>0</v>
      </c>
      <c r="I345" s="630" t="s">
        <v>594</v>
      </c>
      <c r="J345" s="627" t="s">
        <v>180</v>
      </c>
      <c r="K345" s="631" t="str">
        <f>+IFERROR(VLOOKUP(J345,Listas!$A$108:$B$114,2,FALSE),"Alerta: Seleccione la celda en la comumna B con el nombre del proyecto")</f>
        <v>3-3-1-15-02-17-1114-140</v>
      </c>
      <c r="L345" s="632" t="s">
        <v>857</v>
      </c>
      <c r="M345" s="633" t="s">
        <v>875</v>
      </c>
      <c r="N345" s="634" t="str">
        <f t="shared" si="98"/>
        <v>(Cód. 305) Prestar servicios profesionales al Instituto Distrital de Patrimonio Cultural para apoyar las actividades tecnicas relacionadas con el sistema de  espacio público de Sectores de Interés Cultural.</v>
      </c>
      <c r="O345" s="635">
        <v>43497</v>
      </c>
      <c r="P345" s="636">
        <f>IFERROR(VLOOKUP(W345,'Estimación CRP'!$D$21:$E$30,2,FALSE),0)</f>
        <v>10</v>
      </c>
      <c r="Q345" s="637">
        <f>IF(O345="No aplica","No aplica",WORKDAY.INTL(O345,P345,1,'Estimación CRP'!A531:A547))</f>
        <v>43511</v>
      </c>
      <c r="R345" s="636">
        <f t="shared" si="99"/>
        <v>2</v>
      </c>
      <c r="S345" s="636">
        <f t="shared" si="100"/>
        <v>2</v>
      </c>
      <c r="T345" s="636">
        <f t="shared" si="101"/>
        <v>2</v>
      </c>
      <c r="U345" s="712">
        <v>8</v>
      </c>
      <c r="V345" s="638">
        <v>1</v>
      </c>
      <c r="W345" s="639" t="s">
        <v>274</v>
      </c>
      <c r="X345" s="640" t="str">
        <f>IFERROR(VLOOKUP(W345,Listas!$A$60:$B$73,2,FALSE),"Alerta: Seleccione primero Modalidad de selección")</f>
        <v>CCE-16</v>
      </c>
      <c r="Y345" s="641">
        <v>0</v>
      </c>
      <c r="Z345" s="641" t="s">
        <v>346</v>
      </c>
      <c r="AA345" s="641" t="s">
        <v>1326</v>
      </c>
      <c r="AB345" s="642">
        <f t="shared" si="102"/>
        <v>41600000</v>
      </c>
      <c r="AC345" s="642">
        <f t="shared" si="103"/>
        <v>41600000</v>
      </c>
      <c r="AD345" s="641">
        <v>0</v>
      </c>
      <c r="AE345" s="643">
        <v>0</v>
      </c>
      <c r="AF345" s="639" t="s">
        <v>276</v>
      </c>
      <c r="AG345" s="639" t="s">
        <v>277</v>
      </c>
      <c r="AH345" s="639" t="s">
        <v>573</v>
      </c>
      <c r="AI345" s="626" t="str">
        <f>IFERROR(VLOOKUP(AH345,Listas!$A$77:$C$83,2,FALSE),"Alerta: Seleccione primero el responsable")</f>
        <v>3550800</v>
      </c>
      <c r="AJ345" s="640" t="str">
        <f>IFERROR(VLOOKUP(AH345,Listas!$A$77:$C$83,3,FALSE),"Alerta: Seleccione primero el responsable")</f>
        <v>carolina.fernandez@idpc.gov.co</v>
      </c>
      <c r="AK345" s="640" t="str">
        <f>IF(J345="Funcionamiento Gastos Generales","No aplica",IF(J345="Funcionamiento Servicios Personales indirectos","No aplica",IFERROR(VLOOKUP(J345,Listas!$A$127:$E$139,3,FALSE),"Alerta: Seleccione la celda en la comumna B con el nombre del proyecto")))</f>
        <v>ME20181114</v>
      </c>
      <c r="AL345" s="640" t="str">
        <f>IF(J345="Funcionamiento Gastos Generales","No aplica",IF(J345="Funcionamiento Servicios Personales","No aplica",IFERROR(VLOOKUP(J345,Listas!$A$220:$D$224,2,FALSE),"Alerta: Seleccione la celda en la comumna B con el nombre del proyecto")))</f>
        <v>COMP1114</v>
      </c>
      <c r="AM345" s="640" t="str">
        <f>IF(J345="Funcionamiento Gastos Generales","No aplica",IF(J345="Funcionamiento Servicios Personales","No aplica",IFERROR(VLOOKUP(J345,Listas!$A$220:$D$224,3,FALSE),"Alerta: Seleccione la celda en la comumna B con el nombre del proyecto")))</f>
        <v>CONC1114</v>
      </c>
      <c r="AN345" s="633" t="s">
        <v>1053</v>
      </c>
      <c r="AO345" s="633" t="s">
        <v>391</v>
      </c>
      <c r="AP345" s="634" t="str">
        <f>IFERROR(VLOOKUP(J345,Listas!$A$182:$E$215,5,FALSE),"Alerta: Seleccione la celda en la comumna B con el nombre del proyecto")</f>
        <v>4. Obras de Intervención en Bienes muebles - inmuebles y sectores que conforman el patrimonio cultural del D.C.</v>
      </c>
      <c r="AQ345" s="634" t="str">
        <f>IF(J345="Funcionamiento Gastos Generales","No aplica",IF(J345="Funcionamiento Servicios Personales","No aplica",IFERROR(VLOOKUP(J345,Listas!$A$220:$D$224,4,FALSE),"Alerta: Seleccione la celda en la comumna B con el nombre del proyecto")))</f>
        <v>FONT1114</v>
      </c>
      <c r="AR345" s="633" t="s">
        <v>198</v>
      </c>
      <c r="AS345" s="634" t="str">
        <f>IFERROR(VLOOKUP(AU345,Listas!$E$85:$L$105,7,FALSE),"Alerta: Seleccione la celda en la comumna AI con el concepto de gasto")</f>
        <v>03-RECURSO HUMANO</v>
      </c>
      <c r="AT345" s="634" t="str">
        <f>IFERROR(VLOOKUP(AU345,Listas!$E$85:$L$105,8,FALSE),"Alerta: Seleccione la celda en la comumna AI con el concepto de gasto")</f>
        <v>04-GASTOS DE PERSONAL OPERATIVO</v>
      </c>
      <c r="AU345" s="633" t="s">
        <v>228</v>
      </c>
      <c r="AV345" s="634">
        <f>IFERROR(VLOOKUP(AU345,Listas!$E$85:$F$105,2,FALSE),"Alerta: Seleccione el Concepto de Gasto primero")</f>
        <v>0</v>
      </c>
      <c r="AW345" s="644">
        <v>41600000</v>
      </c>
      <c r="AX345" s="645"/>
      <c r="AY345" s="645"/>
      <c r="AZ345" s="645"/>
      <c r="BA345" s="646">
        <f t="shared" si="104"/>
        <v>41600000</v>
      </c>
      <c r="BB345" s="647"/>
      <c r="BC345" s="648"/>
      <c r="BD345" s="649"/>
      <c r="BE345" s="647"/>
      <c r="BF345" s="644"/>
      <c r="BG345" s="646">
        <f t="shared" si="105"/>
        <v>41600000</v>
      </c>
      <c r="BH345" s="650"/>
      <c r="BI345" s="647"/>
      <c r="BJ345" s="644"/>
      <c r="BK345" s="646">
        <f t="shared" si="106"/>
        <v>0</v>
      </c>
      <c r="BL345" s="651"/>
      <c r="BM345" s="652">
        <f t="shared" si="107"/>
        <v>1</v>
      </c>
      <c r="BN345" s="628"/>
      <c r="BO345" s="670"/>
      <c r="BP345" s="644"/>
      <c r="BQ345" s="644"/>
      <c r="BR345" s="644"/>
      <c r="BS345" s="644"/>
      <c r="BT345" s="644"/>
      <c r="BU345" s="644"/>
      <c r="BV345" s="644"/>
      <c r="BW345" s="644"/>
      <c r="BX345" s="644"/>
      <c r="BY345" s="644"/>
      <c r="BZ345" s="644"/>
      <c r="CA345" s="644"/>
      <c r="CB345" s="646">
        <f t="shared" si="108"/>
        <v>0</v>
      </c>
      <c r="CC345" s="646">
        <f t="shared" si="109"/>
        <v>0</v>
      </c>
      <c r="CD345" s="614"/>
      <c r="CG345" s="561" t="s">
        <v>589</v>
      </c>
    </row>
    <row r="346" spans="1:85" s="561" customFormat="1" ht="61.5" customHeight="1">
      <c r="A346" s="625" t="str">
        <f t="shared" si="91"/>
        <v>1114-140-FONT1114-03-04-0316-Asesoría técnica para la protección y promoción del patrimonio cultural material del distrito capital</v>
      </c>
      <c r="B346" s="626" t="str">
        <f t="shared" si="92"/>
        <v>1114-140-FONT1114-03-04-0316</v>
      </c>
      <c r="C346" s="626" t="str">
        <f t="shared" si="93"/>
        <v>1114-140-FONT1114-Asesoría técnica para la protección y promoción del patrimonio cultural material del distrito capital</v>
      </c>
      <c r="D346" s="626" t="str">
        <f t="shared" si="94"/>
        <v>1114-140-12-Otros Distrito-03-04-0316</v>
      </c>
      <c r="E346" s="626" t="str">
        <f t="shared" si="95"/>
        <v>Asesoría técnica para la protección y promoción del patrimonio cultural material del distrito capital-12-Otros Distrito-0316-Personal de apoyo para las actividades de valoración, protección y conservación del Patrimonio Cultural</v>
      </c>
      <c r="F346" s="627">
        <v>306</v>
      </c>
      <c r="G346" s="628">
        <f t="shared" si="96"/>
        <v>306</v>
      </c>
      <c r="H346" s="629" t="b">
        <f t="shared" si="97"/>
        <v>0</v>
      </c>
      <c r="I346" s="630" t="s">
        <v>594</v>
      </c>
      <c r="J346" s="627" t="s">
        <v>180</v>
      </c>
      <c r="K346" s="631" t="str">
        <f>+IFERROR(VLOOKUP(J346,Listas!$A$108:$B$114,2,FALSE),"Alerta: Seleccione la celda en la comumna B con el nombre del proyecto")</f>
        <v>3-3-1-15-02-17-1114-140</v>
      </c>
      <c r="L346" s="632" t="s">
        <v>857</v>
      </c>
      <c r="M346" s="633" t="s">
        <v>876</v>
      </c>
      <c r="N346" s="634" t="str">
        <f t="shared" si="98"/>
        <v xml:space="preserve">(Cód. 306) Prestar servicios profesionales al Instituto Distrital de Patrimonio Cultural para desarrollar actividades de formulacion, gestion, segumiento y evaluacion  relacionadas con los instrumentos de planeación y normativos de la ciudad de Bogotá. </v>
      </c>
      <c r="O346" s="635">
        <v>43497</v>
      </c>
      <c r="P346" s="636">
        <f>IFERROR(VLOOKUP(W346,'Estimación CRP'!$D$21:$E$30,2,FALSE),0)</f>
        <v>10</v>
      </c>
      <c r="Q346" s="637">
        <f>IF(O346="No aplica","No aplica",WORKDAY.INTL(O346,P346,1,'Estimación CRP'!A532:A548))</f>
        <v>43511</v>
      </c>
      <c r="R346" s="636">
        <f t="shared" si="99"/>
        <v>2</v>
      </c>
      <c r="S346" s="636">
        <f t="shared" si="100"/>
        <v>2</v>
      </c>
      <c r="T346" s="636">
        <f t="shared" si="101"/>
        <v>2</v>
      </c>
      <c r="U346" s="712">
        <v>10</v>
      </c>
      <c r="V346" s="638">
        <v>1</v>
      </c>
      <c r="W346" s="639" t="s">
        <v>274</v>
      </c>
      <c r="X346" s="640" t="str">
        <f>IFERROR(VLOOKUP(W346,Listas!$A$60:$B$73,2,FALSE),"Alerta: Seleccione primero Modalidad de selección")</f>
        <v>CCE-16</v>
      </c>
      <c r="Y346" s="641">
        <v>0</v>
      </c>
      <c r="Z346" s="641" t="s">
        <v>346</v>
      </c>
      <c r="AA346" s="641" t="s">
        <v>1326</v>
      </c>
      <c r="AB346" s="642">
        <f t="shared" si="102"/>
        <v>57000000</v>
      </c>
      <c r="AC346" s="642">
        <f t="shared" si="103"/>
        <v>57000000</v>
      </c>
      <c r="AD346" s="641">
        <v>0</v>
      </c>
      <c r="AE346" s="643">
        <v>0</v>
      </c>
      <c r="AF346" s="639" t="s">
        <v>276</v>
      </c>
      <c r="AG346" s="639" t="s">
        <v>277</v>
      </c>
      <c r="AH346" s="639" t="s">
        <v>573</v>
      </c>
      <c r="AI346" s="626" t="str">
        <f>IFERROR(VLOOKUP(AH346,Listas!$A$77:$C$83,2,FALSE),"Alerta: Seleccione primero el responsable")</f>
        <v>3550800</v>
      </c>
      <c r="AJ346" s="640" t="str">
        <f>IFERROR(VLOOKUP(AH346,Listas!$A$77:$C$83,3,FALSE),"Alerta: Seleccione primero el responsable")</f>
        <v>carolina.fernandez@idpc.gov.co</v>
      </c>
      <c r="AK346" s="640" t="str">
        <f>IF(J346="Funcionamiento Gastos Generales","No aplica",IF(J346="Funcionamiento Servicios Personales indirectos","No aplica",IFERROR(VLOOKUP(J346,Listas!$A$127:$E$139,3,FALSE),"Alerta: Seleccione la celda en la comumna B con el nombre del proyecto")))</f>
        <v>ME20181114</v>
      </c>
      <c r="AL346" s="640" t="str">
        <f>IF(J346="Funcionamiento Gastos Generales","No aplica",IF(J346="Funcionamiento Servicios Personales","No aplica",IFERROR(VLOOKUP(J346,Listas!$A$220:$D$224,2,FALSE),"Alerta: Seleccione la celda en la comumna B con el nombre del proyecto")))</f>
        <v>COMP1114</v>
      </c>
      <c r="AM346" s="640" t="str">
        <f>IF(J346="Funcionamiento Gastos Generales","No aplica",IF(J346="Funcionamiento Servicios Personales","No aplica",IFERROR(VLOOKUP(J346,Listas!$A$220:$D$224,3,FALSE),"Alerta: Seleccione la celda en la comumna B con el nombre del proyecto")))</f>
        <v>CONC1114</v>
      </c>
      <c r="AN346" s="633" t="s">
        <v>1053</v>
      </c>
      <c r="AO346" s="633" t="s">
        <v>391</v>
      </c>
      <c r="AP346" s="634" t="str">
        <f>IFERROR(VLOOKUP(J346,Listas!$A$182:$E$215,5,FALSE),"Alerta: Seleccione la celda en la comumna B con el nombre del proyecto")</f>
        <v>4. Obras de Intervención en Bienes muebles - inmuebles y sectores que conforman el patrimonio cultural del D.C.</v>
      </c>
      <c r="AQ346" s="634" t="str">
        <f>IF(J346="Funcionamiento Gastos Generales","No aplica",IF(J346="Funcionamiento Servicios Personales","No aplica",IFERROR(VLOOKUP(J346,Listas!$A$220:$D$224,4,FALSE),"Alerta: Seleccione la celda en la comumna B con el nombre del proyecto")))</f>
        <v>FONT1114</v>
      </c>
      <c r="AR346" s="633" t="s">
        <v>198</v>
      </c>
      <c r="AS346" s="634" t="str">
        <f>IFERROR(VLOOKUP(AU346,Listas!$E$85:$L$105,7,FALSE),"Alerta: Seleccione la celda en la comumna AI con el concepto de gasto")</f>
        <v>03-RECURSO HUMANO</v>
      </c>
      <c r="AT346" s="634" t="str">
        <f>IFERROR(VLOOKUP(AU346,Listas!$E$85:$L$105,8,FALSE),"Alerta: Seleccione la celda en la comumna AI con el concepto de gasto")</f>
        <v>04-GASTOS DE PERSONAL OPERATIVO</v>
      </c>
      <c r="AU346" s="633" t="s">
        <v>228</v>
      </c>
      <c r="AV346" s="634">
        <f>IFERROR(VLOOKUP(AU346,Listas!$E$85:$F$105,2,FALSE),"Alerta: Seleccione el Concepto de Gasto primero")</f>
        <v>0</v>
      </c>
      <c r="AW346" s="644">
        <v>57000000</v>
      </c>
      <c r="AX346" s="645"/>
      <c r="AY346" s="645"/>
      <c r="AZ346" s="645"/>
      <c r="BA346" s="646">
        <f t="shared" si="104"/>
        <v>57000000</v>
      </c>
      <c r="BB346" s="647"/>
      <c r="BC346" s="648"/>
      <c r="BD346" s="649"/>
      <c r="BE346" s="647"/>
      <c r="BF346" s="644"/>
      <c r="BG346" s="646">
        <f t="shared" si="105"/>
        <v>57000000</v>
      </c>
      <c r="BH346" s="650"/>
      <c r="BI346" s="647"/>
      <c r="BJ346" s="644"/>
      <c r="BK346" s="646">
        <f t="shared" si="106"/>
        <v>0</v>
      </c>
      <c r="BL346" s="651"/>
      <c r="BM346" s="652">
        <f t="shared" si="107"/>
        <v>1</v>
      </c>
      <c r="BN346" s="628"/>
      <c r="BO346" s="670"/>
      <c r="BP346" s="644"/>
      <c r="BQ346" s="644"/>
      <c r="BR346" s="644"/>
      <c r="BS346" s="644"/>
      <c r="BT346" s="644"/>
      <c r="BU346" s="644"/>
      <c r="BV346" s="644"/>
      <c r="BW346" s="644"/>
      <c r="BX346" s="644"/>
      <c r="BY346" s="644"/>
      <c r="BZ346" s="644"/>
      <c r="CA346" s="644"/>
      <c r="CB346" s="646">
        <f t="shared" si="108"/>
        <v>0</v>
      </c>
      <c r="CC346" s="646">
        <f t="shared" si="109"/>
        <v>0</v>
      </c>
      <c r="CD346" s="614"/>
    </row>
    <row r="347" spans="1:85" s="561" customFormat="1" ht="61.5" customHeight="1">
      <c r="A347" s="625" t="str">
        <f t="shared" si="91"/>
        <v>1114-140-FONT1114-03-04-0316-Asesoría técnica para la protección y promoción del patrimonio cultural material del distrito capital</v>
      </c>
      <c r="B347" s="626" t="str">
        <f t="shared" si="92"/>
        <v>1114-140-FONT1114-03-04-0316</v>
      </c>
      <c r="C347" s="626" t="str">
        <f t="shared" si="93"/>
        <v>1114-140-FONT1114-Asesoría técnica para la protección y promoción del patrimonio cultural material del distrito capital</v>
      </c>
      <c r="D347" s="626" t="str">
        <f t="shared" si="94"/>
        <v>1114-140-12-Otros Distrito-03-04-0316</v>
      </c>
      <c r="E347" s="626" t="str">
        <f t="shared" si="95"/>
        <v>Asesoría técnica para la protección y promoción del patrimonio cultural material del distrito capital-12-Otros Distrito-0316-Personal de apoyo para las actividades de valoración, protección y conservación del Patrimonio Cultural</v>
      </c>
      <c r="F347" s="627">
        <v>307</v>
      </c>
      <c r="G347" s="628">
        <f t="shared" si="96"/>
        <v>307</v>
      </c>
      <c r="H347" s="629" t="b">
        <f t="shared" si="97"/>
        <v>0</v>
      </c>
      <c r="I347" s="630" t="s">
        <v>594</v>
      </c>
      <c r="J347" s="627" t="s">
        <v>180</v>
      </c>
      <c r="K347" s="631" t="str">
        <f>+IFERROR(VLOOKUP(J347,Listas!$A$108:$B$114,2,FALSE),"Alerta: Seleccione la celda en la comumna B con el nombre del proyecto")</f>
        <v>3-3-1-15-02-17-1114-140</v>
      </c>
      <c r="L347" s="632" t="s">
        <v>857</v>
      </c>
      <c r="M347" s="633" t="s">
        <v>877</v>
      </c>
      <c r="N347" s="634" t="str">
        <f t="shared" si="98"/>
        <v>(Cód. 307) Prestar servicios profesionales especializados al Instituto Distrital de Patrimonio Cultural, como apoyo jurídico a la evaluación de las solicitudes de intervención sobre Bienes y Sectores de Interés Cultural.</v>
      </c>
      <c r="O347" s="635">
        <v>43497</v>
      </c>
      <c r="P347" s="636">
        <f>IFERROR(VLOOKUP(W347,'Estimación CRP'!$D$21:$E$30,2,FALSE),0)</f>
        <v>10</v>
      </c>
      <c r="Q347" s="637">
        <f>IF(O347="No aplica","No aplica",WORKDAY.INTL(O347,P347,1,'Estimación CRP'!A533:A549))</f>
        <v>43511</v>
      </c>
      <c r="R347" s="636">
        <f t="shared" si="99"/>
        <v>2</v>
      </c>
      <c r="S347" s="636">
        <f t="shared" si="100"/>
        <v>2</v>
      </c>
      <c r="T347" s="636">
        <f t="shared" si="101"/>
        <v>2</v>
      </c>
      <c r="U347" s="712">
        <v>10</v>
      </c>
      <c r="V347" s="638">
        <v>1</v>
      </c>
      <c r="W347" s="639" t="s">
        <v>274</v>
      </c>
      <c r="X347" s="640" t="str">
        <f>IFERROR(VLOOKUP(W347,Listas!$A$60:$B$73,2,FALSE),"Alerta: Seleccione primero Modalidad de selección")</f>
        <v>CCE-16</v>
      </c>
      <c r="Y347" s="641">
        <v>0</v>
      </c>
      <c r="Z347" s="641" t="s">
        <v>346</v>
      </c>
      <c r="AA347" s="641" t="s">
        <v>1326</v>
      </c>
      <c r="AB347" s="642">
        <f t="shared" si="102"/>
        <v>66000000</v>
      </c>
      <c r="AC347" s="642">
        <f t="shared" si="103"/>
        <v>66000000</v>
      </c>
      <c r="AD347" s="641">
        <v>0</v>
      </c>
      <c r="AE347" s="643">
        <v>0</v>
      </c>
      <c r="AF347" s="639" t="s">
        <v>276</v>
      </c>
      <c r="AG347" s="639" t="s">
        <v>277</v>
      </c>
      <c r="AH347" s="639" t="s">
        <v>573</v>
      </c>
      <c r="AI347" s="626" t="str">
        <f>IFERROR(VLOOKUP(AH347,Listas!$A$77:$C$83,2,FALSE),"Alerta: Seleccione primero el responsable")</f>
        <v>3550800</v>
      </c>
      <c r="AJ347" s="640" t="str">
        <f>IFERROR(VLOOKUP(AH347,Listas!$A$77:$C$83,3,FALSE),"Alerta: Seleccione primero el responsable")</f>
        <v>carolina.fernandez@idpc.gov.co</v>
      </c>
      <c r="AK347" s="640" t="str">
        <f>IF(J347="Funcionamiento Gastos Generales","No aplica",IF(J347="Funcionamiento Servicios Personales indirectos","No aplica",IFERROR(VLOOKUP(J347,Listas!$A$127:$E$139,3,FALSE),"Alerta: Seleccione la celda en la comumna B con el nombre del proyecto")))</f>
        <v>ME20181114</v>
      </c>
      <c r="AL347" s="640" t="str">
        <f>IF(J347="Funcionamiento Gastos Generales","No aplica",IF(J347="Funcionamiento Servicios Personales","No aplica",IFERROR(VLOOKUP(J347,Listas!$A$220:$D$224,2,FALSE),"Alerta: Seleccione la celda en la comumna B con el nombre del proyecto")))</f>
        <v>COMP1114</v>
      </c>
      <c r="AM347" s="640" t="str">
        <f>IF(J347="Funcionamiento Gastos Generales","No aplica",IF(J347="Funcionamiento Servicios Personales","No aplica",IFERROR(VLOOKUP(J347,Listas!$A$220:$D$224,3,FALSE),"Alerta: Seleccione la celda en la comumna B con el nombre del proyecto")))</f>
        <v>CONC1114</v>
      </c>
      <c r="AN347" s="633" t="s">
        <v>1053</v>
      </c>
      <c r="AO347" s="633" t="s">
        <v>391</v>
      </c>
      <c r="AP347" s="634" t="str">
        <f>IFERROR(VLOOKUP(J347,Listas!$A$182:$E$215,5,FALSE),"Alerta: Seleccione la celda en la comumna B con el nombre del proyecto")</f>
        <v>4. Obras de Intervención en Bienes muebles - inmuebles y sectores que conforman el patrimonio cultural del D.C.</v>
      </c>
      <c r="AQ347" s="634" t="str">
        <f>IF(J347="Funcionamiento Gastos Generales","No aplica",IF(J347="Funcionamiento Servicios Personales","No aplica",IFERROR(VLOOKUP(J347,Listas!$A$220:$D$224,4,FALSE),"Alerta: Seleccione la celda en la comumna B con el nombre del proyecto")))</f>
        <v>FONT1114</v>
      </c>
      <c r="AR347" s="633" t="s">
        <v>198</v>
      </c>
      <c r="AS347" s="634" t="str">
        <f>IFERROR(VLOOKUP(AU347,Listas!$E$85:$L$105,7,FALSE),"Alerta: Seleccione la celda en la comumna AI con el concepto de gasto")</f>
        <v>03-RECURSO HUMANO</v>
      </c>
      <c r="AT347" s="634" t="str">
        <f>IFERROR(VLOOKUP(AU347,Listas!$E$85:$L$105,8,FALSE),"Alerta: Seleccione la celda en la comumna AI con el concepto de gasto")</f>
        <v>04-GASTOS DE PERSONAL OPERATIVO</v>
      </c>
      <c r="AU347" s="633" t="s">
        <v>228</v>
      </c>
      <c r="AV347" s="634">
        <f>IFERROR(VLOOKUP(AU347,Listas!$E$85:$F$105,2,FALSE),"Alerta: Seleccione el Concepto de Gasto primero")</f>
        <v>0</v>
      </c>
      <c r="AW347" s="644">
        <v>66000000</v>
      </c>
      <c r="AX347" s="645"/>
      <c r="AY347" s="645"/>
      <c r="AZ347" s="645"/>
      <c r="BA347" s="646">
        <f t="shared" si="104"/>
        <v>66000000</v>
      </c>
      <c r="BB347" s="647"/>
      <c r="BC347" s="648"/>
      <c r="BD347" s="649"/>
      <c r="BE347" s="647"/>
      <c r="BF347" s="644"/>
      <c r="BG347" s="646">
        <f t="shared" si="105"/>
        <v>66000000</v>
      </c>
      <c r="BH347" s="650"/>
      <c r="BI347" s="647"/>
      <c r="BJ347" s="644"/>
      <c r="BK347" s="646">
        <f t="shared" si="106"/>
        <v>0</v>
      </c>
      <c r="BL347" s="651"/>
      <c r="BM347" s="652">
        <f t="shared" si="107"/>
        <v>1</v>
      </c>
      <c r="BN347" s="628"/>
      <c r="BO347" s="670"/>
      <c r="BP347" s="644"/>
      <c r="BQ347" s="644"/>
      <c r="BR347" s="644"/>
      <c r="BS347" s="644"/>
      <c r="BT347" s="644"/>
      <c r="BU347" s="644"/>
      <c r="BV347" s="644"/>
      <c r="BW347" s="644"/>
      <c r="BX347" s="644"/>
      <c r="BY347" s="644"/>
      <c r="BZ347" s="644"/>
      <c r="CA347" s="644"/>
      <c r="CB347" s="646">
        <f t="shared" si="108"/>
        <v>0</v>
      </c>
      <c r="CC347" s="646">
        <f t="shared" si="109"/>
        <v>0</v>
      </c>
      <c r="CD347" s="614"/>
    </row>
    <row r="348" spans="1:85" s="561" customFormat="1" ht="61.5" customHeight="1">
      <c r="A348" s="625" t="str">
        <f t="shared" si="91"/>
        <v>1114-140-FONT1114-03-04-0316-Asesoría técnica para la protección y promoción del patrimonio cultural material del distrito capital</v>
      </c>
      <c r="B348" s="626" t="str">
        <f t="shared" si="92"/>
        <v>1114-140-FONT1114-03-04-0316</v>
      </c>
      <c r="C348" s="626" t="str">
        <f t="shared" si="93"/>
        <v>1114-140-FONT1114-Asesoría técnica para la protección y promoción del patrimonio cultural material del distrito capital</v>
      </c>
      <c r="D348" s="626" t="str">
        <f t="shared" si="94"/>
        <v>1114-140-12-Otros Distrito-03-04-0316</v>
      </c>
      <c r="E348" s="626" t="str">
        <f t="shared" si="95"/>
        <v>Asesoría técnica para la protección y promoción del patrimonio cultural material del distrito capital-12-Otros Distrito-0316-Personal de apoyo para las actividades de valoración, protección y conservación del Patrimonio Cultural</v>
      </c>
      <c r="F348" s="627">
        <v>308</v>
      </c>
      <c r="G348" s="628">
        <f t="shared" si="96"/>
        <v>308</v>
      </c>
      <c r="H348" s="629" t="b">
        <f t="shared" si="97"/>
        <v>0</v>
      </c>
      <c r="I348" s="630" t="s">
        <v>594</v>
      </c>
      <c r="J348" s="627" t="s">
        <v>180</v>
      </c>
      <c r="K348" s="631" t="str">
        <f>+IFERROR(VLOOKUP(J348,Listas!$A$108:$B$114,2,FALSE),"Alerta: Seleccione la celda en la comumna B con el nombre del proyecto")</f>
        <v>3-3-1-15-02-17-1114-140</v>
      </c>
      <c r="L348" s="632" t="s">
        <v>878</v>
      </c>
      <c r="M348" s="633" t="s">
        <v>877</v>
      </c>
      <c r="N348" s="634" t="str">
        <f t="shared" si="98"/>
        <v>(Cód. 308) Prestar servicios profesionales especializados al Instituto Distrital de Patrimonio Cultural, como apoyo jurídico a la evaluación de las solicitudes de intervención sobre Bienes y Sectores de Interés Cultural.</v>
      </c>
      <c r="O348" s="635">
        <v>43497</v>
      </c>
      <c r="P348" s="636">
        <f>IFERROR(VLOOKUP(W348,'Estimación CRP'!$D$21:$E$30,2,FALSE),0)</f>
        <v>10</v>
      </c>
      <c r="Q348" s="637">
        <f>IF(O348="No aplica","No aplica",WORKDAY.INTL(O348,P348,1,'Estimación CRP'!A534:A550))</f>
        <v>43511</v>
      </c>
      <c r="R348" s="636">
        <f t="shared" si="99"/>
        <v>2</v>
      </c>
      <c r="S348" s="636">
        <f t="shared" si="100"/>
        <v>2</v>
      </c>
      <c r="T348" s="636">
        <f t="shared" si="101"/>
        <v>2</v>
      </c>
      <c r="U348" s="712">
        <v>8</v>
      </c>
      <c r="V348" s="638">
        <v>1</v>
      </c>
      <c r="W348" s="639" t="s">
        <v>274</v>
      </c>
      <c r="X348" s="640" t="str">
        <f>IFERROR(VLOOKUP(W348,Listas!$A$60:$B$73,2,FALSE),"Alerta: Seleccione primero Modalidad de selección")</f>
        <v>CCE-16</v>
      </c>
      <c r="Y348" s="641">
        <v>0</v>
      </c>
      <c r="Z348" s="641" t="s">
        <v>346</v>
      </c>
      <c r="AA348" s="641" t="s">
        <v>1326</v>
      </c>
      <c r="AB348" s="642">
        <f t="shared" si="102"/>
        <v>52800000</v>
      </c>
      <c r="AC348" s="642">
        <f t="shared" si="103"/>
        <v>52800000</v>
      </c>
      <c r="AD348" s="641">
        <v>0</v>
      </c>
      <c r="AE348" s="643">
        <v>0</v>
      </c>
      <c r="AF348" s="639" t="s">
        <v>276</v>
      </c>
      <c r="AG348" s="639" t="s">
        <v>277</v>
      </c>
      <c r="AH348" s="639" t="s">
        <v>573</v>
      </c>
      <c r="AI348" s="626" t="str">
        <f>IFERROR(VLOOKUP(AH348,Listas!$A$77:$C$83,2,FALSE),"Alerta: Seleccione primero el responsable")</f>
        <v>3550800</v>
      </c>
      <c r="AJ348" s="640" t="str">
        <f>IFERROR(VLOOKUP(AH348,Listas!$A$77:$C$83,3,FALSE),"Alerta: Seleccione primero el responsable")</f>
        <v>carolina.fernandez@idpc.gov.co</v>
      </c>
      <c r="AK348" s="640" t="str">
        <f>IF(J348="Funcionamiento Gastos Generales","No aplica",IF(J348="Funcionamiento Servicios Personales indirectos","No aplica",IFERROR(VLOOKUP(J348,Listas!$A$127:$E$139,3,FALSE),"Alerta: Seleccione la celda en la comumna B con el nombre del proyecto")))</f>
        <v>ME20181114</v>
      </c>
      <c r="AL348" s="640" t="str">
        <f>IF(J348="Funcionamiento Gastos Generales","No aplica",IF(J348="Funcionamiento Servicios Personales","No aplica",IFERROR(VLOOKUP(J348,Listas!$A$220:$D$224,2,FALSE),"Alerta: Seleccione la celda en la comumna B con el nombre del proyecto")))</f>
        <v>COMP1114</v>
      </c>
      <c r="AM348" s="640" t="str">
        <f>IF(J348="Funcionamiento Gastos Generales","No aplica",IF(J348="Funcionamiento Servicios Personales","No aplica",IFERROR(VLOOKUP(J348,Listas!$A$220:$D$224,3,FALSE),"Alerta: Seleccione la celda en la comumna B con el nombre del proyecto")))</f>
        <v>CONC1114</v>
      </c>
      <c r="AN348" s="633" t="s">
        <v>1053</v>
      </c>
      <c r="AO348" s="633" t="s">
        <v>391</v>
      </c>
      <c r="AP348" s="634" t="str">
        <f>IFERROR(VLOOKUP(J348,Listas!$A$182:$E$215,5,FALSE),"Alerta: Seleccione la celda en la comumna B con el nombre del proyecto")</f>
        <v>4. Obras de Intervención en Bienes muebles - inmuebles y sectores que conforman el patrimonio cultural del D.C.</v>
      </c>
      <c r="AQ348" s="634" t="str">
        <f>IF(J348="Funcionamiento Gastos Generales","No aplica",IF(J348="Funcionamiento Servicios Personales","No aplica",IFERROR(VLOOKUP(J348,Listas!$A$220:$D$224,4,FALSE),"Alerta: Seleccione la celda en la comumna B con el nombre del proyecto")))</f>
        <v>FONT1114</v>
      </c>
      <c r="AR348" s="633" t="s">
        <v>198</v>
      </c>
      <c r="AS348" s="634" t="str">
        <f>IFERROR(VLOOKUP(AU348,Listas!$E$85:$L$105,7,FALSE),"Alerta: Seleccione la celda en la comumna AI con el concepto de gasto")</f>
        <v>03-RECURSO HUMANO</v>
      </c>
      <c r="AT348" s="634" t="str">
        <f>IFERROR(VLOOKUP(AU348,Listas!$E$85:$L$105,8,FALSE),"Alerta: Seleccione la celda en la comumna AI con el concepto de gasto")</f>
        <v>04-GASTOS DE PERSONAL OPERATIVO</v>
      </c>
      <c r="AU348" s="633" t="s">
        <v>228</v>
      </c>
      <c r="AV348" s="634">
        <f>IFERROR(VLOOKUP(AU348,Listas!$E$85:$F$105,2,FALSE),"Alerta: Seleccione el Concepto de Gasto primero")</f>
        <v>0</v>
      </c>
      <c r="AW348" s="644">
        <v>52800000</v>
      </c>
      <c r="AX348" s="645"/>
      <c r="AY348" s="645"/>
      <c r="AZ348" s="645"/>
      <c r="BA348" s="646">
        <f t="shared" si="104"/>
        <v>52800000</v>
      </c>
      <c r="BB348" s="647"/>
      <c r="BC348" s="648"/>
      <c r="BD348" s="649"/>
      <c r="BE348" s="647"/>
      <c r="BF348" s="644"/>
      <c r="BG348" s="646">
        <f t="shared" si="105"/>
        <v>52800000</v>
      </c>
      <c r="BH348" s="650"/>
      <c r="BI348" s="647"/>
      <c r="BJ348" s="644"/>
      <c r="BK348" s="646">
        <f t="shared" si="106"/>
        <v>0</v>
      </c>
      <c r="BL348" s="651"/>
      <c r="BM348" s="652">
        <f t="shared" si="107"/>
        <v>1</v>
      </c>
      <c r="BN348" s="628"/>
      <c r="BO348" s="670"/>
      <c r="BP348" s="644"/>
      <c r="BQ348" s="644"/>
      <c r="BR348" s="644"/>
      <c r="BS348" s="644"/>
      <c r="BT348" s="644"/>
      <c r="BU348" s="644"/>
      <c r="BV348" s="644"/>
      <c r="BW348" s="644"/>
      <c r="BX348" s="644"/>
      <c r="BY348" s="644"/>
      <c r="BZ348" s="644"/>
      <c r="CA348" s="644"/>
      <c r="CB348" s="646">
        <f t="shared" si="108"/>
        <v>0</v>
      </c>
      <c r="CC348" s="646">
        <f t="shared" si="109"/>
        <v>0</v>
      </c>
      <c r="CD348" s="614"/>
    </row>
    <row r="349" spans="1:85" s="561" customFormat="1" ht="61.5" customHeight="1">
      <c r="A349" s="625" t="str">
        <f t="shared" si="91"/>
        <v>1114-140-FONT1114-03-04-0316-Asesoría técnica para la protección y promoción del patrimonio cultural material del distrito capital</v>
      </c>
      <c r="B349" s="626" t="str">
        <f t="shared" si="92"/>
        <v>1114-140-FONT1114-03-04-0316</v>
      </c>
      <c r="C349" s="626" t="str">
        <f t="shared" si="93"/>
        <v>1114-140-FONT1114-Asesoría técnica para la protección y promoción del patrimonio cultural material del distrito capital</v>
      </c>
      <c r="D349" s="626" t="str">
        <f t="shared" si="94"/>
        <v>1114-140-12-Otros Distrito-03-04-0316</v>
      </c>
      <c r="E349" s="626" t="str">
        <f t="shared" si="95"/>
        <v>Asesoría técnica para la protección y promoción del patrimonio cultural material del distrito capital-12-Otros Distrito-0316-Personal de apoyo para las actividades de valoración, protección y conservación del Patrimonio Cultural</v>
      </c>
      <c r="F349" s="627">
        <v>309</v>
      </c>
      <c r="G349" s="628">
        <f t="shared" si="96"/>
        <v>309</v>
      </c>
      <c r="H349" s="629" t="b">
        <f t="shared" si="97"/>
        <v>0</v>
      </c>
      <c r="I349" s="630" t="s">
        <v>594</v>
      </c>
      <c r="J349" s="627" t="s">
        <v>180</v>
      </c>
      <c r="K349" s="631" t="str">
        <f>+IFERROR(VLOOKUP(J349,Listas!$A$108:$B$114,2,FALSE),"Alerta: Seleccione la celda en la comumna B con el nombre del proyecto")</f>
        <v>3-3-1-15-02-17-1114-140</v>
      </c>
      <c r="L349" s="632" t="s">
        <v>878</v>
      </c>
      <c r="M349" s="633" t="s">
        <v>879</v>
      </c>
      <c r="N349" s="634" t="str">
        <f t="shared" si="98"/>
        <v>(Cód. 309) Prestar servicios profesionales al Instituto Distrital de Patrimonio Cultural, como apoyo jurídico a la evaluación de las solicitudes de intervención sobre Bienes y Sectores de Interés Cultural.</v>
      </c>
      <c r="O349" s="635">
        <v>43497</v>
      </c>
      <c r="P349" s="636">
        <f>IFERROR(VLOOKUP(W349,'Estimación CRP'!$D$21:$E$30,2,FALSE),0)</f>
        <v>10</v>
      </c>
      <c r="Q349" s="637">
        <f>IF(O349="No aplica","No aplica",WORKDAY.INTL(O349,P349,1,'Estimación CRP'!A535:A551))</f>
        <v>43511</v>
      </c>
      <c r="R349" s="636">
        <f t="shared" si="99"/>
        <v>2</v>
      </c>
      <c r="S349" s="636">
        <f t="shared" si="100"/>
        <v>2</v>
      </c>
      <c r="T349" s="636">
        <f t="shared" si="101"/>
        <v>2</v>
      </c>
      <c r="U349" s="712">
        <v>8</v>
      </c>
      <c r="V349" s="638">
        <v>1</v>
      </c>
      <c r="W349" s="639" t="s">
        <v>274</v>
      </c>
      <c r="X349" s="640" t="str">
        <f>IFERROR(VLOOKUP(W349,Listas!$A$60:$B$73,2,FALSE),"Alerta: Seleccione primero Modalidad de selección")</f>
        <v>CCE-16</v>
      </c>
      <c r="Y349" s="641">
        <v>0</v>
      </c>
      <c r="Z349" s="641" t="s">
        <v>346</v>
      </c>
      <c r="AA349" s="641" t="s">
        <v>1326</v>
      </c>
      <c r="AB349" s="642">
        <f t="shared" si="102"/>
        <v>38720000</v>
      </c>
      <c r="AC349" s="642">
        <f t="shared" si="103"/>
        <v>38720000</v>
      </c>
      <c r="AD349" s="641">
        <v>0</v>
      </c>
      <c r="AE349" s="643">
        <v>0</v>
      </c>
      <c r="AF349" s="639" t="s">
        <v>276</v>
      </c>
      <c r="AG349" s="639" t="s">
        <v>277</v>
      </c>
      <c r="AH349" s="639" t="s">
        <v>573</v>
      </c>
      <c r="AI349" s="626" t="str">
        <f>IFERROR(VLOOKUP(AH349,Listas!$A$77:$C$83,2,FALSE),"Alerta: Seleccione primero el responsable")</f>
        <v>3550800</v>
      </c>
      <c r="AJ349" s="640" t="str">
        <f>IFERROR(VLOOKUP(AH349,Listas!$A$77:$C$83,3,FALSE),"Alerta: Seleccione primero el responsable")</f>
        <v>carolina.fernandez@idpc.gov.co</v>
      </c>
      <c r="AK349" s="640" t="str">
        <f>IF(J349="Funcionamiento Gastos Generales","No aplica",IF(J349="Funcionamiento Servicios Personales indirectos","No aplica",IFERROR(VLOOKUP(J349,Listas!$A$127:$E$139,3,FALSE),"Alerta: Seleccione la celda en la comumna B con el nombre del proyecto")))</f>
        <v>ME20181114</v>
      </c>
      <c r="AL349" s="640" t="str">
        <f>IF(J349="Funcionamiento Gastos Generales","No aplica",IF(J349="Funcionamiento Servicios Personales","No aplica",IFERROR(VLOOKUP(J349,Listas!$A$220:$D$224,2,FALSE),"Alerta: Seleccione la celda en la comumna B con el nombre del proyecto")))</f>
        <v>COMP1114</v>
      </c>
      <c r="AM349" s="640" t="str">
        <f>IF(J349="Funcionamiento Gastos Generales","No aplica",IF(J349="Funcionamiento Servicios Personales","No aplica",IFERROR(VLOOKUP(J349,Listas!$A$220:$D$224,3,FALSE),"Alerta: Seleccione la celda en la comumna B con el nombre del proyecto")))</f>
        <v>CONC1114</v>
      </c>
      <c r="AN349" s="633" t="s">
        <v>1053</v>
      </c>
      <c r="AO349" s="633" t="s">
        <v>391</v>
      </c>
      <c r="AP349" s="634" t="str">
        <f>IFERROR(VLOOKUP(J349,Listas!$A$182:$E$215,5,FALSE),"Alerta: Seleccione la celda en la comumna B con el nombre del proyecto")</f>
        <v>4. Obras de Intervención en Bienes muebles - inmuebles y sectores que conforman el patrimonio cultural del D.C.</v>
      </c>
      <c r="AQ349" s="634" t="str">
        <f>IF(J349="Funcionamiento Gastos Generales","No aplica",IF(J349="Funcionamiento Servicios Personales","No aplica",IFERROR(VLOOKUP(J349,Listas!$A$220:$D$224,4,FALSE),"Alerta: Seleccione la celda en la comumna B con el nombre del proyecto")))</f>
        <v>FONT1114</v>
      </c>
      <c r="AR349" s="633" t="s">
        <v>198</v>
      </c>
      <c r="AS349" s="634" t="str">
        <f>IFERROR(VLOOKUP(AU349,Listas!$E$85:$L$105,7,FALSE),"Alerta: Seleccione la celda en la comumna AI con el concepto de gasto")</f>
        <v>03-RECURSO HUMANO</v>
      </c>
      <c r="AT349" s="634" t="str">
        <f>IFERROR(VLOOKUP(AU349,Listas!$E$85:$L$105,8,FALSE),"Alerta: Seleccione la celda en la comumna AI con el concepto de gasto")</f>
        <v>04-GASTOS DE PERSONAL OPERATIVO</v>
      </c>
      <c r="AU349" s="633" t="s">
        <v>228</v>
      </c>
      <c r="AV349" s="634">
        <f>IFERROR(VLOOKUP(AU349,Listas!$E$85:$F$105,2,FALSE),"Alerta: Seleccione el Concepto de Gasto primero")</f>
        <v>0</v>
      </c>
      <c r="AW349" s="644">
        <v>38720000</v>
      </c>
      <c r="AX349" s="645"/>
      <c r="AY349" s="645"/>
      <c r="AZ349" s="645"/>
      <c r="BA349" s="646">
        <f t="shared" si="104"/>
        <v>38720000</v>
      </c>
      <c r="BB349" s="647"/>
      <c r="BC349" s="648"/>
      <c r="BD349" s="649"/>
      <c r="BE349" s="647"/>
      <c r="BF349" s="644"/>
      <c r="BG349" s="646">
        <f t="shared" si="105"/>
        <v>38720000</v>
      </c>
      <c r="BH349" s="650"/>
      <c r="BI349" s="647"/>
      <c r="BJ349" s="644"/>
      <c r="BK349" s="646">
        <f t="shared" si="106"/>
        <v>0</v>
      </c>
      <c r="BL349" s="651"/>
      <c r="BM349" s="652">
        <f t="shared" si="107"/>
        <v>1</v>
      </c>
      <c r="BN349" s="628"/>
      <c r="BO349" s="670"/>
      <c r="BP349" s="644"/>
      <c r="BQ349" s="644"/>
      <c r="BR349" s="644"/>
      <c r="BS349" s="644"/>
      <c r="BT349" s="644"/>
      <c r="BU349" s="644"/>
      <c r="BV349" s="644"/>
      <c r="BW349" s="644"/>
      <c r="BX349" s="644"/>
      <c r="BY349" s="644"/>
      <c r="BZ349" s="644"/>
      <c r="CA349" s="644"/>
      <c r="CB349" s="646">
        <f t="shared" si="108"/>
        <v>0</v>
      </c>
      <c r="CC349" s="646">
        <f t="shared" si="109"/>
        <v>0</v>
      </c>
      <c r="CD349" s="614"/>
    </row>
    <row r="350" spans="1:85" s="561" customFormat="1" ht="61.5" customHeight="1">
      <c r="A350" s="625" t="str">
        <f t="shared" si="91"/>
        <v>1114-140-FONT1114-03-04-0316-Asesoría técnica para la protección y promoción del patrimonio cultural material del distrito capital</v>
      </c>
      <c r="B350" s="626" t="str">
        <f t="shared" si="92"/>
        <v>1114-140-FONT1114-03-04-0316</v>
      </c>
      <c r="C350" s="626" t="str">
        <f t="shared" si="93"/>
        <v>1114-140-FONT1114-Asesoría técnica para la protección y promoción del patrimonio cultural material del distrito capital</v>
      </c>
      <c r="D350" s="626" t="str">
        <f t="shared" si="94"/>
        <v>1114-140-12-Otros Distrito-03-04-0316</v>
      </c>
      <c r="E350" s="626" t="str">
        <f t="shared" si="95"/>
        <v>Asesoría técnica para la protección y promoción del patrimonio cultural material del distrito capital-12-Otros Distrito-0316-Personal de apoyo para las actividades de valoración, protección y conservación del Patrimonio Cultural</v>
      </c>
      <c r="F350" s="627">
        <v>310</v>
      </c>
      <c r="G350" s="628">
        <f t="shared" si="96"/>
        <v>310</v>
      </c>
      <c r="H350" s="629" t="b">
        <f t="shared" si="97"/>
        <v>0</v>
      </c>
      <c r="I350" s="630" t="s">
        <v>594</v>
      </c>
      <c r="J350" s="627" t="s">
        <v>180</v>
      </c>
      <c r="K350" s="631" t="str">
        <f>+IFERROR(VLOOKUP(J350,Listas!$A$108:$B$114,2,FALSE),"Alerta: Seleccione la celda en la comumna B con el nombre del proyecto")</f>
        <v>3-3-1-15-02-17-1114-140</v>
      </c>
      <c r="L350" s="632" t="s">
        <v>857</v>
      </c>
      <c r="M350" s="633" t="s">
        <v>869</v>
      </c>
      <c r="N350" s="634" t="str">
        <f t="shared" si="98"/>
        <v>(Cód. 310) Prestar servicios profesionales al Instituto Distrital de Patrimonio Cultural para apoyar las actividades de soporte técnico y evaluación de las solicitudes y acciones de control urbano que se presenten sobre BIC y SIC del Distrito Capital.</v>
      </c>
      <c r="O350" s="635">
        <v>43480</v>
      </c>
      <c r="P350" s="636">
        <f>IFERROR(VLOOKUP(W350,'Estimación CRP'!$D$21:$E$30,2,FALSE),0)</f>
        <v>10</v>
      </c>
      <c r="Q350" s="637">
        <f>IF(O350="No aplica","No aplica",WORKDAY.INTL(O350,P350,1,'Estimación CRP'!A536:A552))</f>
        <v>43494</v>
      </c>
      <c r="R350" s="636">
        <f t="shared" si="99"/>
        <v>1</v>
      </c>
      <c r="S350" s="636">
        <f t="shared" si="100"/>
        <v>1</v>
      </c>
      <c r="T350" s="636">
        <f t="shared" si="101"/>
        <v>1</v>
      </c>
      <c r="U350" s="712">
        <v>11</v>
      </c>
      <c r="V350" s="638">
        <v>1</v>
      </c>
      <c r="W350" s="639" t="s">
        <v>274</v>
      </c>
      <c r="X350" s="640" t="str">
        <f>IFERROR(VLOOKUP(W350,Listas!$A$60:$B$73,2,FALSE),"Alerta: Seleccione primero Modalidad de selección")</f>
        <v>CCE-16</v>
      </c>
      <c r="Y350" s="641">
        <v>0</v>
      </c>
      <c r="Z350" s="641" t="s">
        <v>346</v>
      </c>
      <c r="AA350" s="641" t="s">
        <v>1326</v>
      </c>
      <c r="AB350" s="642">
        <f t="shared" si="102"/>
        <v>51810000</v>
      </c>
      <c r="AC350" s="642">
        <f t="shared" si="103"/>
        <v>51810000</v>
      </c>
      <c r="AD350" s="641">
        <v>0</v>
      </c>
      <c r="AE350" s="643">
        <v>0</v>
      </c>
      <c r="AF350" s="639" t="s">
        <v>276</v>
      </c>
      <c r="AG350" s="639" t="s">
        <v>277</v>
      </c>
      <c r="AH350" s="639" t="s">
        <v>573</v>
      </c>
      <c r="AI350" s="626" t="str">
        <f>IFERROR(VLOOKUP(AH350,Listas!$A$77:$C$83,2,FALSE),"Alerta: Seleccione primero el responsable")</f>
        <v>3550800</v>
      </c>
      <c r="AJ350" s="640" t="str">
        <f>IFERROR(VLOOKUP(AH350,Listas!$A$77:$C$83,3,FALSE),"Alerta: Seleccione primero el responsable")</f>
        <v>carolina.fernandez@idpc.gov.co</v>
      </c>
      <c r="AK350" s="640" t="str">
        <f>IF(J350="Funcionamiento Gastos Generales","No aplica",IF(J350="Funcionamiento Servicios Personales indirectos","No aplica",IFERROR(VLOOKUP(J350,Listas!$A$127:$E$139,3,FALSE),"Alerta: Seleccione la celda en la comumna B con el nombre del proyecto")))</f>
        <v>ME20181114</v>
      </c>
      <c r="AL350" s="640" t="str">
        <f>IF(J350="Funcionamiento Gastos Generales","No aplica",IF(J350="Funcionamiento Servicios Personales","No aplica",IFERROR(VLOOKUP(J350,Listas!$A$220:$D$224,2,FALSE),"Alerta: Seleccione la celda en la comumna B con el nombre del proyecto")))</f>
        <v>COMP1114</v>
      </c>
      <c r="AM350" s="640" t="str">
        <f>IF(J350="Funcionamiento Gastos Generales","No aplica",IF(J350="Funcionamiento Servicios Personales","No aplica",IFERROR(VLOOKUP(J350,Listas!$A$220:$D$224,3,FALSE),"Alerta: Seleccione la celda en la comumna B con el nombre del proyecto")))</f>
        <v>CONC1114</v>
      </c>
      <c r="AN350" s="633" t="s">
        <v>1053</v>
      </c>
      <c r="AO350" s="633" t="s">
        <v>391</v>
      </c>
      <c r="AP350" s="634" t="str">
        <f>IFERROR(VLOOKUP(J350,Listas!$A$182:$E$215,5,FALSE),"Alerta: Seleccione la celda en la comumna B con el nombre del proyecto")</f>
        <v>4. Obras de Intervención en Bienes muebles - inmuebles y sectores que conforman el patrimonio cultural del D.C.</v>
      </c>
      <c r="AQ350" s="634" t="str">
        <f>IF(J350="Funcionamiento Gastos Generales","No aplica",IF(J350="Funcionamiento Servicios Personales","No aplica",IFERROR(VLOOKUP(J350,Listas!$A$220:$D$224,4,FALSE),"Alerta: Seleccione la celda en la comumna B con el nombre del proyecto")))</f>
        <v>FONT1114</v>
      </c>
      <c r="AR350" s="633" t="s">
        <v>198</v>
      </c>
      <c r="AS350" s="634" t="str">
        <f>IFERROR(VLOOKUP(AU350,Listas!$E$85:$L$105,7,FALSE),"Alerta: Seleccione la celda en la comumna AI con el concepto de gasto")</f>
        <v>03-RECURSO HUMANO</v>
      </c>
      <c r="AT350" s="634" t="str">
        <f>IFERROR(VLOOKUP(AU350,Listas!$E$85:$L$105,8,FALSE),"Alerta: Seleccione la celda en la comumna AI con el concepto de gasto")</f>
        <v>04-GASTOS DE PERSONAL OPERATIVO</v>
      </c>
      <c r="AU350" s="633" t="s">
        <v>228</v>
      </c>
      <c r="AV350" s="634">
        <f>IFERROR(VLOOKUP(AU350,Listas!$E$85:$F$105,2,FALSE),"Alerta: Seleccione el Concepto de Gasto primero")</f>
        <v>0</v>
      </c>
      <c r="AW350" s="644">
        <v>51810000</v>
      </c>
      <c r="AX350" s="645"/>
      <c r="AY350" s="645"/>
      <c r="AZ350" s="645"/>
      <c r="BA350" s="646">
        <f t="shared" si="104"/>
        <v>51810000</v>
      </c>
      <c r="BB350" s="647"/>
      <c r="BC350" s="648"/>
      <c r="BD350" s="649"/>
      <c r="BE350" s="647"/>
      <c r="BF350" s="644"/>
      <c r="BG350" s="646">
        <f t="shared" si="105"/>
        <v>51810000</v>
      </c>
      <c r="BH350" s="650"/>
      <c r="BI350" s="647"/>
      <c r="BJ350" s="644"/>
      <c r="BK350" s="646">
        <f t="shared" si="106"/>
        <v>0</v>
      </c>
      <c r="BL350" s="651"/>
      <c r="BM350" s="652">
        <f t="shared" si="107"/>
        <v>1</v>
      </c>
      <c r="BN350" s="628"/>
      <c r="BO350" s="670"/>
      <c r="BP350" s="644"/>
      <c r="BQ350" s="644"/>
      <c r="BR350" s="644"/>
      <c r="BS350" s="644"/>
      <c r="BT350" s="644"/>
      <c r="BU350" s="644"/>
      <c r="BV350" s="644"/>
      <c r="BW350" s="644"/>
      <c r="BX350" s="644"/>
      <c r="BY350" s="644"/>
      <c r="BZ350" s="644"/>
      <c r="CA350" s="644"/>
      <c r="CB350" s="646">
        <f t="shared" si="108"/>
        <v>0</v>
      </c>
      <c r="CC350" s="646">
        <f t="shared" si="109"/>
        <v>0</v>
      </c>
      <c r="CD350" s="614"/>
      <c r="CG350" s="561" t="s">
        <v>589</v>
      </c>
    </row>
    <row r="351" spans="1:85" s="561" customFormat="1" ht="61.5" customHeight="1">
      <c r="A351" s="625" t="str">
        <f t="shared" si="91"/>
        <v xml:space="preserve">1114-140-FONT1114-01-01-0525-Bienes de Interés Cultural de tipo inmueble intervenidos </v>
      </c>
      <c r="B351" s="626" t="str">
        <f t="shared" si="92"/>
        <v>1114-140-FONT1114-01-01-0525</v>
      </c>
      <c r="C351" s="626" t="str">
        <f t="shared" si="93"/>
        <v xml:space="preserve">1114-140-FONT1114-Bienes de Interés Cultural de tipo inmueble intervenidos </v>
      </c>
      <c r="D351" s="626" t="str">
        <f t="shared" si="94"/>
        <v>1114-140-12-Otros Distrito-01-01-0525</v>
      </c>
      <c r="E351" s="626" t="str">
        <f t="shared" si="95"/>
        <v>Bienes de Interés Cultural de tipo inmueble intervenidos -12-Otros Distrito-0525-Recuperación y aprovechamiento de bienes de interés cultural</v>
      </c>
      <c r="F351" s="627">
        <v>311</v>
      </c>
      <c r="G351" s="628">
        <f t="shared" si="96"/>
        <v>311</v>
      </c>
      <c r="H351" s="629" t="b">
        <f t="shared" si="97"/>
        <v>0</v>
      </c>
      <c r="I351" s="630" t="s">
        <v>594</v>
      </c>
      <c r="J351" s="627" t="s">
        <v>180</v>
      </c>
      <c r="K351" s="631" t="str">
        <f>+IFERROR(VLOOKUP(J351,Listas!$A$108:$B$114,2,FALSE),"Alerta: Seleccione la celda en la comumna B con el nombre del proyecto")</f>
        <v>3-3-1-15-02-17-1114-140</v>
      </c>
      <c r="L351" s="632" t="s">
        <v>880</v>
      </c>
      <c r="M351" s="633" t="s">
        <v>881</v>
      </c>
      <c r="N351" s="634" t="str">
        <f t="shared" si="98"/>
        <v>(Cód. 311) Ejecutar bajo la modalidad de precios unitarios los primeros auxilios del inmueble denominado Casa Cadel.</v>
      </c>
      <c r="O351" s="635">
        <v>43600</v>
      </c>
      <c r="P351" s="636">
        <f>IFERROR(VLOOKUP(W351,'Estimación CRP'!$D$21:$E$30,2,FALSE),0)</f>
        <v>45</v>
      </c>
      <c r="Q351" s="637">
        <f>IF(O351="No aplica","No aplica",WORKDAY.INTL(O351,P351,1,'Estimación CRP'!A537:A553))</f>
        <v>43663</v>
      </c>
      <c r="R351" s="636">
        <f t="shared" si="99"/>
        <v>7</v>
      </c>
      <c r="S351" s="636">
        <f t="shared" si="100"/>
        <v>5</v>
      </c>
      <c r="T351" s="636">
        <f t="shared" si="101"/>
        <v>5</v>
      </c>
      <c r="U351" s="712">
        <v>4</v>
      </c>
      <c r="V351" s="638">
        <v>1</v>
      </c>
      <c r="W351" s="639" t="s">
        <v>348</v>
      </c>
      <c r="X351" s="640" t="str">
        <f>IFERROR(VLOOKUP(W351,Listas!$A$60:$B$73,2,FALSE),"Alerta: Seleccione primero Modalidad de selección")</f>
        <v>CCE-06</v>
      </c>
      <c r="Y351" s="641">
        <v>0</v>
      </c>
      <c r="Z351" s="641" t="s">
        <v>346</v>
      </c>
      <c r="AA351" s="641" t="s">
        <v>1327</v>
      </c>
      <c r="AB351" s="642">
        <f t="shared" si="102"/>
        <v>100000000</v>
      </c>
      <c r="AC351" s="642">
        <f t="shared" si="103"/>
        <v>100000000</v>
      </c>
      <c r="AD351" s="641">
        <v>0</v>
      </c>
      <c r="AE351" s="643">
        <v>0</v>
      </c>
      <c r="AF351" s="639" t="s">
        <v>276</v>
      </c>
      <c r="AG351" s="639" t="s">
        <v>277</v>
      </c>
      <c r="AH351" s="639" t="s">
        <v>573</v>
      </c>
      <c r="AI351" s="626" t="str">
        <f>IFERROR(VLOOKUP(AH351,Listas!$A$77:$C$83,2,FALSE),"Alerta: Seleccione primero el responsable")</f>
        <v>3550800</v>
      </c>
      <c r="AJ351" s="640" t="str">
        <f>IFERROR(VLOOKUP(AH351,Listas!$A$77:$C$83,3,FALSE),"Alerta: Seleccione primero el responsable")</f>
        <v>carolina.fernandez@idpc.gov.co</v>
      </c>
      <c r="AK351" s="640" t="str">
        <f>IF(J351="Funcionamiento Gastos Generales","No aplica",IF(J351="Funcionamiento Servicios Personales indirectos","No aplica",IFERROR(VLOOKUP(J351,Listas!$A$127:$E$139,3,FALSE),"Alerta: Seleccione la celda en la comumna B con el nombre del proyecto")))</f>
        <v>ME20181114</v>
      </c>
      <c r="AL351" s="640" t="str">
        <f>IF(J351="Funcionamiento Gastos Generales","No aplica",IF(J351="Funcionamiento Servicios Personales","No aplica",IFERROR(VLOOKUP(J351,Listas!$A$220:$D$224,2,FALSE),"Alerta: Seleccione la celda en la comumna B con el nombre del proyecto")))</f>
        <v>COMP1114</v>
      </c>
      <c r="AM351" s="640" t="str">
        <f>IF(J351="Funcionamiento Gastos Generales","No aplica",IF(J351="Funcionamiento Servicios Personales","No aplica",IFERROR(VLOOKUP(J351,Listas!$A$220:$D$224,3,FALSE),"Alerta: Seleccione la celda en la comumna B con el nombre del proyecto")))</f>
        <v>CONC1114</v>
      </c>
      <c r="AN351" s="633" t="s">
        <v>1054</v>
      </c>
      <c r="AO351" s="633" t="s">
        <v>62</v>
      </c>
      <c r="AP351" s="634" t="str">
        <f>IFERROR(VLOOKUP(J351,Listas!$A$182:$E$215,5,FALSE),"Alerta: Seleccione la celda en la comumna B con el nombre del proyecto")</f>
        <v>4. Obras de Intervención en Bienes muebles - inmuebles y sectores que conforman el patrimonio cultural del D.C.</v>
      </c>
      <c r="AQ351" s="634" t="str">
        <f>IF(J351="Funcionamiento Gastos Generales","No aplica",IF(J351="Funcionamiento Servicios Personales","No aplica",IFERROR(VLOOKUP(J351,Listas!$A$220:$D$224,4,FALSE),"Alerta: Seleccione la celda en la comumna B con el nombre del proyecto")))</f>
        <v>FONT1114</v>
      </c>
      <c r="AR351" s="633" t="s">
        <v>198</v>
      </c>
      <c r="AS351" s="634" t="str">
        <f>IFERROR(VLOOKUP(AU351,Listas!$E$85:$L$105,7,FALSE),"Alerta: Seleccione la celda en la comumna AI con el concepto de gasto")</f>
        <v>01-INFRAESTRUCTURA</v>
      </c>
      <c r="AT351" s="634" t="str">
        <f>IFERROR(VLOOKUP(AU351,Listas!$E$85:$L$105,8,FALSE),"Alerta: Seleccione la celda en la comumna AI con el concepto de gasto")</f>
        <v>01-CONSTRUCCION, ADECUACION Y AMPLIACION DE INFRAESTRUCTURA PROPIA DEL SECTOR</v>
      </c>
      <c r="AU351" s="633" t="s">
        <v>422</v>
      </c>
      <c r="AV351" s="634">
        <f>IFERROR(VLOOKUP(AU351,Listas!$E$85:$F$105,2,FALSE),"Alerta: Seleccione el Concepto de Gasto primero")</f>
        <v>0</v>
      </c>
      <c r="AW351" s="644">
        <v>100000000</v>
      </c>
      <c r="AX351" s="645"/>
      <c r="AY351" s="645"/>
      <c r="AZ351" s="645"/>
      <c r="BA351" s="646">
        <f t="shared" si="104"/>
        <v>100000000</v>
      </c>
      <c r="BB351" s="647"/>
      <c r="BC351" s="648"/>
      <c r="BD351" s="649"/>
      <c r="BE351" s="647"/>
      <c r="BF351" s="644"/>
      <c r="BG351" s="646">
        <f t="shared" si="105"/>
        <v>100000000</v>
      </c>
      <c r="BH351" s="650"/>
      <c r="BI351" s="647"/>
      <c r="BJ351" s="644"/>
      <c r="BK351" s="646">
        <f t="shared" si="106"/>
        <v>0</v>
      </c>
      <c r="BL351" s="651"/>
      <c r="BM351" s="652">
        <f t="shared" si="107"/>
        <v>1</v>
      </c>
      <c r="BN351" s="628"/>
      <c r="BO351" s="670"/>
      <c r="BP351" s="644"/>
      <c r="BQ351" s="644"/>
      <c r="BR351" s="644"/>
      <c r="BS351" s="644"/>
      <c r="BT351" s="644"/>
      <c r="BU351" s="644"/>
      <c r="BV351" s="644"/>
      <c r="BW351" s="644"/>
      <c r="BX351" s="644"/>
      <c r="BY351" s="644"/>
      <c r="BZ351" s="644"/>
      <c r="CA351" s="644"/>
      <c r="CB351" s="646">
        <f t="shared" si="108"/>
        <v>0</v>
      </c>
      <c r="CC351" s="646">
        <f t="shared" si="109"/>
        <v>0</v>
      </c>
      <c r="CD351" s="614"/>
    </row>
    <row r="352" spans="1:85" s="561" customFormat="1" ht="61.5" customHeight="1">
      <c r="A352" s="625" t="str">
        <f t="shared" ref="A352:A415" si="110">+CONCATENATE(B352,"-",AO352)</f>
        <v xml:space="preserve">1114-140-FONT1114-01-01-0525-Bienes de Interés Cultural de tipo inmueble intervenidos </v>
      </c>
      <c r="B352" s="626" t="str">
        <f t="shared" ref="B352:B415" si="111">CONCATENATE(RIGHT(K352,8),"-",AQ352,"-",LEFT(AS352,2),"-",LEFT(AT352,2),"-",LEFT(AU352,4))</f>
        <v>1114-140-FONT1114-01-01-0525</v>
      </c>
      <c r="C352" s="626" t="str">
        <f t="shared" ref="C352:C415" si="112">+CONCATENATE(RIGHT(K352,8),"-",AQ352,"-",AO352)</f>
        <v xml:space="preserve">1114-140-FONT1114-Bienes de Interés Cultural de tipo inmueble intervenidos </v>
      </c>
      <c r="D352" s="626" t="str">
        <f t="shared" ref="D352:D415" si="113">+CONCATENATE(RIGHT(K352,8),"-",AR352,"-",LEFT(AS352,2),"-",LEFT(AT352,2),"-",LEFT(AU352,4))</f>
        <v>1114-140-12-Otros Distrito-01-01-0525</v>
      </c>
      <c r="E352" s="626" t="str">
        <f t="shared" si="95"/>
        <v>Bienes de Interés Cultural de tipo inmueble intervenidos -12-Otros Distrito-0525-Recuperación y aprovechamiento de bienes de interés cultural</v>
      </c>
      <c r="F352" s="627">
        <v>312</v>
      </c>
      <c r="G352" s="628">
        <f t="shared" si="96"/>
        <v>312</v>
      </c>
      <c r="H352" s="629" t="b">
        <f t="shared" si="97"/>
        <v>0</v>
      </c>
      <c r="I352" s="630" t="s">
        <v>594</v>
      </c>
      <c r="J352" s="627" t="s">
        <v>180</v>
      </c>
      <c r="K352" s="631" t="str">
        <f>+IFERROR(VLOOKUP(J352,Listas!$A$108:$B$114,2,FALSE),"Alerta: Seleccione la celda en la comumna B con el nombre del proyecto")</f>
        <v>3-3-1-15-02-17-1114-140</v>
      </c>
      <c r="L352" s="632" t="s">
        <v>880</v>
      </c>
      <c r="M352" s="633" t="s">
        <v>882</v>
      </c>
      <c r="N352" s="634" t="str">
        <f t="shared" si="98"/>
        <v>(Cód. 312) Ejecutar bajo la modalidad de precios unitarios los primeros auxilios del inmueble ubicado en la Calle 12b N. 3 - 07, denominado "Casa Colorada".</v>
      </c>
      <c r="O352" s="635">
        <v>43586</v>
      </c>
      <c r="P352" s="636">
        <f>IFERROR(VLOOKUP(W352,'Estimación CRP'!$D$21:$E$30,2,FALSE),0)</f>
        <v>50</v>
      </c>
      <c r="Q352" s="637">
        <f>IF(O352="No aplica","No aplica",WORKDAY.INTL(O352,P352,1,'Estimación CRP'!A538:A554))</f>
        <v>43656</v>
      </c>
      <c r="R352" s="636">
        <f t="shared" si="99"/>
        <v>7</v>
      </c>
      <c r="S352" s="636">
        <f t="shared" si="100"/>
        <v>5</v>
      </c>
      <c r="T352" s="636">
        <f t="shared" si="101"/>
        <v>5</v>
      </c>
      <c r="U352" s="712">
        <v>3</v>
      </c>
      <c r="V352" s="638">
        <v>1</v>
      </c>
      <c r="W352" s="639" t="s">
        <v>258</v>
      </c>
      <c r="X352" s="640" t="str">
        <f>IFERROR(VLOOKUP(W352,Listas!$A$60:$B$73,2,FALSE),"Alerta: Seleccione primero Modalidad de selección")</f>
        <v>CCE-02</v>
      </c>
      <c r="Y352" s="641">
        <v>0</v>
      </c>
      <c r="Z352" s="641" t="s">
        <v>346</v>
      </c>
      <c r="AA352" s="641" t="s">
        <v>1328</v>
      </c>
      <c r="AB352" s="642">
        <f t="shared" si="102"/>
        <v>248000000</v>
      </c>
      <c r="AC352" s="642">
        <f t="shared" si="103"/>
        <v>248000000</v>
      </c>
      <c r="AD352" s="641">
        <v>0</v>
      </c>
      <c r="AE352" s="643">
        <v>0</v>
      </c>
      <c r="AF352" s="639" t="s">
        <v>276</v>
      </c>
      <c r="AG352" s="639" t="s">
        <v>277</v>
      </c>
      <c r="AH352" s="639" t="s">
        <v>573</v>
      </c>
      <c r="AI352" s="626" t="str">
        <f>IFERROR(VLOOKUP(AH352,Listas!$A$77:$C$83,2,FALSE),"Alerta: Seleccione primero el responsable")</f>
        <v>3550800</v>
      </c>
      <c r="AJ352" s="640" t="str">
        <f>IFERROR(VLOOKUP(AH352,Listas!$A$77:$C$83,3,FALSE),"Alerta: Seleccione primero el responsable")</f>
        <v>carolina.fernandez@idpc.gov.co</v>
      </c>
      <c r="AK352" s="640" t="str">
        <f>IF(J352="Funcionamiento Gastos Generales","No aplica",IF(J352="Funcionamiento Servicios Personales indirectos","No aplica",IFERROR(VLOOKUP(J352,Listas!$A$127:$E$139,3,FALSE),"Alerta: Seleccione la celda en la comumna B con el nombre del proyecto")))</f>
        <v>ME20181114</v>
      </c>
      <c r="AL352" s="640" t="str">
        <f>IF(J352="Funcionamiento Gastos Generales","No aplica",IF(J352="Funcionamiento Servicios Personales","No aplica",IFERROR(VLOOKUP(J352,Listas!$A$220:$D$224,2,FALSE),"Alerta: Seleccione la celda en la comumna B con el nombre del proyecto")))</f>
        <v>COMP1114</v>
      </c>
      <c r="AM352" s="640" t="str">
        <f>IF(J352="Funcionamiento Gastos Generales","No aplica",IF(J352="Funcionamiento Servicios Personales","No aplica",IFERROR(VLOOKUP(J352,Listas!$A$220:$D$224,3,FALSE),"Alerta: Seleccione la celda en la comumna B con el nombre del proyecto")))</f>
        <v>CONC1114</v>
      </c>
      <c r="AN352" s="633" t="s">
        <v>1054</v>
      </c>
      <c r="AO352" s="633" t="s">
        <v>62</v>
      </c>
      <c r="AP352" s="634" t="str">
        <f>IFERROR(VLOOKUP(J352,Listas!$A$182:$E$215,5,FALSE),"Alerta: Seleccione la celda en la comumna B con el nombre del proyecto")</f>
        <v>4. Obras de Intervención en Bienes muebles - inmuebles y sectores que conforman el patrimonio cultural del D.C.</v>
      </c>
      <c r="AQ352" s="634" t="str">
        <f>IF(J352="Funcionamiento Gastos Generales","No aplica",IF(J352="Funcionamiento Servicios Personales","No aplica",IFERROR(VLOOKUP(J352,Listas!$A$220:$D$224,4,FALSE),"Alerta: Seleccione la celda en la comumna B con el nombre del proyecto")))</f>
        <v>FONT1114</v>
      </c>
      <c r="AR352" s="633" t="s">
        <v>198</v>
      </c>
      <c r="AS352" s="634" t="str">
        <f>IFERROR(VLOOKUP(AU352,Listas!$E$85:$L$105,7,FALSE),"Alerta: Seleccione la celda en la comumna AI con el concepto de gasto")</f>
        <v>01-INFRAESTRUCTURA</v>
      </c>
      <c r="AT352" s="634" t="str">
        <f>IFERROR(VLOOKUP(AU352,Listas!$E$85:$L$105,8,FALSE),"Alerta: Seleccione la celda en la comumna AI con el concepto de gasto")</f>
        <v>01-CONSTRUCCION, ADECUACION Y AMPLIACION DE INFRAESTRUCTURA PROPIA DEL SECTOR</v>
      </c>
      <c r="AU352" s="633" t="s">
        <v>422</v>
      </c>
      <c r="AV352" s="634">
        <f>IFERROR(VLOOKUP(AU352,Listas!$E$85:$F$105,2,FALSE),"Alerta: Seleccione el Concepto de Gasto primero")</f>
        <v>0</v>
      </c>
      <c r="AW352" s="644">
        <v>248000000</v>
      </c>
      <c r="AX352" s="645"/>
      <c r="AY352" s="645"/>
      <c r="AZ352" s="645"/>
      <c r="BA352" s="646">
        <f t="shared" si="104"/>
        <v>248000000</v>
      </c>
      <c r="BB352" s="647"/>
      <c r="BC352" s="648"/>
      <c r="BD352" s="649"/>
      <c r="BE352" s="647"/>
      <c r="BF352" s="644"/>
      <c r="BG352" s="646">
        <f t="shared" si="105"/>
        <v>248000000</v>
      </c>
      <c r="BH352" s="650"/>
      <c r="BI352" s="647"/>
      <c r="BJ352" s="644"/>
      <c r="BK352" s="646">
        <f t="shared" si="106"/>
        <v>0</v>
      </c>
      <c r="BL352" s="651"/>
      <c r="BM352" s="652">
        <f t="shared" si="107"/>
        <v>1</v>
      </c>
      <c r="BN352" s="628"/>
      <c r="BO352" s="670"/>
      <c r="BP352" s="644"/>
      <c r="BQ352" s="644"/>
      <c r="BR352" s="644"/>
      <c r="BS352" s="644"/>
      <c r="BT352" s="644"/>
      <c r="BU352" s="644"/>
      <c r="BV352" s="644"/>
      <c r="BW352" s="644"/>
      <c r="BX352" s="644"/>
      <c r="BY352" s="644"/>
      <c r="BZ352" s="644"/>
      <c r="CA352" s="644"/>
      <c r="CB352" s="646">
        <f t="shared" si="108"/>
        <v>0</v>
      </c>
      <c r="CC352" s="646">
        <f t="shared" si="109"/>
        <v>0</v>
      </c>
      <c r="CD352" s="614"/>
    </row>
    <row r="353" spans="1:85" s="561" customFormat="1" ht="61.5" customHeight="1">
      <c r="A353" s="625" t="str">
        <f t="shared" si="110"/>
        <v xml:space="preserve">1114-140-FONT1114-01-01-0525-Bienes de Interés Cultural de tipo inmueble intervenidos </v>
      </c>
      <c r="B353" s="626" t="str">
        <f t="shared" si="111"/>
        <v>1114-140-FONT1114-01-01-0525</v>
      </c>
      <c r="C353" s="626" t="str">
        <f t="shared" si="112"/>
        <v xml:space="preserve">1114-140-FONT1114-Bienes de Interés Cultural de tipo inmueble intervenidos </v>
      </c>
      <c r="D353" s="626" t="str">
        <f t="shared" si="113"/>
        <v>1114-140-12-Otros Distrito-01-01-0525</v>
      </c>
      <c r="E353" s="626" t="str">
        <f t="shared" ref="E353:E416" si="114">+CONCATENATE(AO353,"-",AR353,"-",AU353)</f>
        <v>Bienes de Interés Cultural de tipo inmueble intervenidos -12-Otros Distrito-0525-Recuperación y aprovechamiento de bienes de interés cultural</v>
      </c>
      <c r="F353" s="627">
        <v>313</v>
      </c>
      <c r="G353" s="628">
        <f t="shared" ref="G353:G416" si="115">+F353</f>
        <v>313</v>
      </c>
      <c r="H353" s="629" t="b">
        <f t="shared" ref="H353:H416" si="116">+G353=G352</f>
        <v>0</v>
      </c>
      <c r="I353" s="630" t="s">
        <v>594</v>
      </c>
      <c r="J353" s="627" t="s">
        <v>180</v>
      </c>
      <c r="K353" s="631" t="str">
        <f>+IFERROR(VLOOKUP(J353,Listas!$A$108:$B$114,2,FALSE),"Alerta: Seleccione la celda en la comumna B con el nombre del proyecto")</f>
        <v>3-3-1-15-02-17-1114-140</v>
      </c>
      <c r="L353" s="632" t="s">
        <v>883</v>
      </c>
      <c r="M353" s="633" t="s">
        <v>884</v>
      </c>
      <c r="N353" s="634" t="str">
        <f t="shared" ref="N353:N416" si="117">+CONCATENATE("(Cód. ",F353,") ",M353)</f>
        <v>(Cód. 313) Prestar servicios profesionales de apoyo a la supervisión al proyecto de primeros auxilios del inmueble denominado Casa Colorada.</v>
      </c>
      <c r="O353" s="635">
        <v>43615</v>
      </c>
      <c r="P353" s="636">
        <f>IFERROR(VLOOKUP(W353,'Estimación CRP'!$D$21:$E$30,2,FALSE),0)</f>
        <v>10</v>
      </c>
      <c r="Q353" s="637">
        <f>IF(O353="No aplica","No aplica",WORKDAY.INTL(O353,P353,1,'Estimación CRP'!A539:A555))</f>
        <v>43629</v>
      </c>
      <c r="R353" s="636">
        <f t="shared" ref="R353:R416" si="118">IF(O353="No aplica","No aplica",MONTH(Q353))</f>
        <v>6</v>
      </c>
      <c r="S353" s="636">
        <f t="shared" ref="S353:S416" si="119">IF(O353="No aplica","No aplica",MONTH(O353))</f>
        <v>5</v>
      </c>
      <c r="T353" s="636">
        <f t="shared" ref="T353:T416" si="120">IF(O353="No aplica","No aplica",S353)</f>
        <v>5</v>
      </c>
      <c r="U353" s="712">
        <v>4</v>
      </c>
      <c r="V353" s="638">
        <v>1</v>
      </c>
      <c r="W353" s="639" t="s">
        <v>274</v>
      </c>
      <c r="X353" s="640" t="str">
        <f>IFERROR(VLOOKUP(W353,Listas!$A$60:$B$73,2,FALSE),"Alerta: Seleccione primero Modalidad de selección")</f>
        <v>CCE-16</v>
      </c>
      <c r="Y353" s="641">
        <v>0</v>
      </c>
      <c r="Z353" s="641" t="s">
        <v>346</v>
      </c>
      <c r="AA353" s="641" t="s">
        <v>1328</v>
      </c>
      <c r="AB353" s="642">
        <f t="shared" ref="AB353:AB416" si="121">+BA353</f>
        <v>22000000</v>
      </c>
      <c r="AC353" s="642">
        <f t="shared" ref="AC353:AC416" si="122">+AB353</f>
        <v>22000000</v>
      </c>
      <c r="AD353" s="641">
        <v>0</v>
      </c>
      <c r="AE353" s="643">
        <v>0</v>
      </c>
      <c r="AF353" s="639" t="s">
        <v>276</v>
      </c>
      <c r="AG353" s="639" t="s">
        <v>277</v>
      </c>
      <c r="AH353" s="639" t="s">
        <v>573</v>
      </c>
      <c r="AI353" s="626" t="str">
        <f>IFERROR(VLOOKUP(AH353,Listas!$A$77:$C$83,2,FALSE),"Alerta: Seleccione primero el responsable")</f>
        <v>3550800</v>
      </c>
      <c r="AJ353" s="640" t="str">
        <f>IFERROR(VLOOKUP(AH353,Listas!$A$77:$C$83,3,FALSE),"Alerta: Seleccione primero el responsable")</f>
        <v>carolina.fernandez@idpc.gov.co</v>
      </c>
      <c r="AK353" s="640" t="str">
        <f>IF(J353="Funcionamiento Gastos Generales","No aplica",IF(J353="Funcionamiento Servicios Personales indirectos","No aplica",IFERROR(VLOOKUP(J353,Listas!$A$127:$E$139,3,FALSE),"Alerta: Seleccione la celda en la comumna B con el nombre del proyecto")))</f>
        <v>ME20181114</v>
      </c>
      <c r="AL353" s="640" t="str">
        <f>IF(J353="Funcionamiento Gastos Generales","No aplica",IF(J353="Funcionamiento Servicios Personales","No aplica",IFERROR(VLOOKUP(J353,Listas!$A$220:$D$224,2,FALSE),"Alerta: Seleccione la celda en la comumna B con el nombre del proyecto")))</f>
        <v>COMP1114</v>
      </c>
      <c r="AM353" s="640" t="str">
        <f>IF(J353="Funcionamiento Gastos Generales","No aplica",IF(J353="Funcionamiento Servicios Personales","No aplica",IFERROR(VLOOKUP(J353,Listas!$A$220:$D$224,3,FALSE),"Alerta: Seleccione la celda en la comumna B con el nombre del proyecto")))</f>
        <v>CONC1114</v>
      </c>
      <c r="AN353" s="633" t="s">
        <v>1054</v>
      </c>
      <c r="AO353" s="633" t="s">
        <v>62</v>
      </c>
      <c r="AP353" s="634" t="str">
        <f>IFERROR(VLOOKUP(J353,Listas!$A$182:$E$215,5,FALSE),"Alerta: Seleccione la celda en la comumna B con el nombre del proyecto")</f>
        <v>4. Obras de Intervención en Bienes muebles - inmuebles y sectores que conforman el patrimonio cultural del D.C.</v>
      </c>
      <c r="AQ353" s="634" t="str">
        <f>IF(J353="Funcionamiento Gastos Generales","No aplica",IF(J353="Funcionamiento Servicios Personales","No aplica",IFERROR(VLOOKUP(J353,Listas!$A$220:$D$224,4,FALSE),"Alerta: Seleccione la celda en la comumna B con el nombre del proyecto")))</f>
        <v>FONT1114</v>
      </c>
      <c r="AR353" s="633" t="s">
        <v>198</v>
      </c>
      <c r="AS353" s="634" t="str">
        <f>IFERROR(VLOOKUP(AU353,Listas!$E$85:$L$105,7,FALSE),"Alerta: Seleccione la celda en la comumna AI con el concepto de gasto")</f>
        <v>01-INFRAESTRUCTURA</v>
      </c>
      <c r="AT353" s="634" t="str">
        <f>IFERROR(VLOOKUP(AU353,Listas!$E$85:$L$105,8,FALSE),"Alerta: Seleccione la celda en la comumna AI con el concepto de gasto")</f>
        <v>01-CONSTRUCCION, ADECUACION Y AMPLIACION DE INFRAESTRUCTURA PROPIA DEL SECTOR</v>
      </c>
      <c r="AU353" s="633" t="s">
        <v>422</v>
      </c>
      <c r="AV353" s="634">
        <f>IFERROR(VLOOKUP(AU353,Listas!$E$85:$F$105,2,FALSE),"Alerta: Seleccione el Concepto de Gasto primero")</f>
        <v>0</v>
      </c>
      <c r="AW353" s="644">
        <v>22000000</v>
      </c>
      <c r="AX353" s="645"/>
      <c r="AY353" s="645"/>
      <c r="AZ353" s="645"/>
      <c r="BA353" s="646">
        <f t="shared" ref="BA353:BA416" si="123">+AW353+AX353+AY353-AZ353</f>
        <v>22000000</v>
      </c>
      <c r="BB353" s="647"/>
      <c r="BC353" s="648"/>
      <c r="BD353" s="649"/>
      <c r="BE353" s="647"/>
      <c r="BF353" s="644"/>
      <c r="BG353" s="646">
        <f t="shared" ref="BG353:BG416" si="124">+BA353-BF353</f>
        <v>22000000</v>
      </c>
      <c r="BH353" s="650"/>
      <c r="BI353" s="647"/>
      <c r="BJ353" s="644"/>
      <c r="BK353" s="646">
        <f t="shared" ref="BK353:BK416" si="125">BF353-BJ353</f>
        <v>0</v>
      </c>
      <c r="BL353" s="651"/>
      <c r="BM353" s="652">
        <f t="shared" ref="BM353:BM416" si="126">MONTH(BL353)</f>
        <v>1</v>
      </c>
      <c r="BN353" s="628"/>
      <c r="BO353" s="670"/>
      <c r="BP353" s="644"/>
      <c r="BQ353" s="644"/>
      <c r="BR353" s="644"/>
      <c r="BS353" s="644"/>
      <c r="BT353" s="644"/>
      <c r="BU353" s="644"/>
      <c r="BV353" s="644"/>
      <c r="BW353" s="644"/>
      <c r="BX353" s="644"/>
      <c r="BY353" s="644"/>
      <c r="BZ353" s="644"/>
      <c r="CA353" s="644"/>
      <c r="CB353" s="646">
        <f t="shared" ref="CB353:CB416" si="127">+SUM(BP353:CA353)</f>
        <v>0</v>
      </c>
      <c r="CC353" s="646">
        <f t="shared" ref="CC353:CC416" si="128">BJ353-CB353</f>
        <v>0</v>
      </c>
      <c r="CD353" s="614"/>
    </row>
    <row r="354" spans="1:85" s="561" customFormat="1" ht="61.5" customHeight="1">
      <c r="A354" s="625" t="str">
        <f t="shared" si="110"/>
        <v xml:space="preserve">1114-140-FONT1114-01-01-0525-Bienes de Interés Cultural de tipo inmueble intervenidos </v>
      </c>
      <c r="B354" s="626" t="str">
        <f t="shared" si="111"/>
        <v>1114-140-FONT1114-01-01-0525</v>
      </c>
      <c r="C354" s="626" t="str">
        <f t="shared" si="112"/>
        <v xml:space="preserve">1114-140-FONT1114-Bienes de Interés Cultural de tipo inmueble intervenidos </v>
      </c>
      <c r="D354" s="626" t="str">
        <f t="shared" si="113"/>
        <v>1114-140-12-Otros Distrito-01-01-0525</v>
      </c>
      <c r="E354" s="626" t="str">
        <f t="shared" si="114"/>
        <v>Bienes de Interés Cultural de tipo inmueble intervenidos -12-Otros Distrito-0525-Recuperación y aprovechamiento de bienes de interés cultural</v>
      </c>
      <c r="F354" s="627">
        <v>314</v>
      </c>
      <c r="G354" s="628">
        <f t="shared" si="115"/>
        <v>314</v>
      </c>
      <c r="H354" s="629" t="b">
        <f t="shared" si="116"/>
        <v>0</v>
      </c>
      <c r="I354" s="630" t="s">
        <v>594</v>
      </c>
      <c r="J354" s="627" t="s">
        <v>180</v>
      </c>
      <c r="K354" s="631" t="str">
        <f>+IFERROR(VLOOKUP(J354,Listas!$A$108:$B$114,2,FALSE),"Alerta: Seleccione la celda en la comumna B con el nombre del proyecto")</f>
        <v>3-3-1-15-02-17-1114-140</v>
      </c>
      <c r="L354" s="632" t="s">
        <v>880</v>
      </c>
      <c r="M354" s="633" t="s">
        <v>885</v>
      </c>
      <c r="N354" s="634" t="str">
        <f t="shared" si="117"/>
        <v>(Cód. 314) Realizar los estudios y propuesta para los primeros auxilios, el apuntalamiento y sobre cubierta requerida para el inmueble ubicado en la Calle 12b N. 3 - 07, denominado "Casa Colorada".</v>
      </c>
      <c r="O354" s="635">
        <v>43586</v>
      </c>
      <c r="P354" s="636">
        <f>IFERROR(VLOOKUP(W354,'Estimación CRP'!$D$21:$E$30,2,FALSE),0)</f>
        <v>45</v>
      </c>
      <c r="Q354" s="637">
        <f>IF(O354="No aplica","No aplica",WORKDAY.INTL(O354,P354,1,'Estimación CRP'!A540:A556))</f>
        <v>43649</v>
      </c>
      <c r="R354" s="636">
        <f t="shared" si="118"/>
        <v>7</v>
      </c>
      <c r="S354" s="636">
        <f t="shared" si="119"/>
        <v>5</v>
      </c>
      <c r="T354" s="636">
        <f t="shared" si="120"/>
        <v>5</v>
      </c>
      <c r="U354" s="712">
        <v>2</v>
      </c>
      <c r="V354" s="638">
        <v>1</v>
      </c>
      <c r="W354" s="639" t="s">
        <v>350</v>
      </c>
      <c r="X354" s="640" t="str">
        <f>IFERROR(VLOOKUP(W354,Listas!$A$60:$B$73,2,FALSE),"Alerta: Seleccione primero Modalidad de selección")</f>
        <v>CCE-04</v>
      </c>
      <c r="Y354" s="641">
        <v>0</v>
      </c>
      <c r="Z354" s="641" t="s">
        <v>346</v>
      </c>
      <c r="AA354" s="641" t="s">
        <v>1328</v>
      </c>
      <c r="AB354" s="642">
        <f t="shared" si="121"/>
        <v>60000000</v>
      </c>
      <c r="AC354" s="642">
        <f t="shared" si="122"/>
        <v>60000000</v>
      </c>
      <c r="AD354" s="641">
        <v>0</v>
      </c>
      <c r="AE354" s="643">
        <v>0</v>
      </c>
      <c r="AF354" s="639" t="s">
        <v>276</v>
      </c>
      <c r="AG354" s="639" t="s">
        <v>277</v>
      </c>
      <c r="AH354" s="639" t="s">
        <v>573</v>
      </c>
      <c r="AI354" s="626" t="str">
        <f>IFERROR(VLOOKUP(AH354,Listas!$A$77:$C$83,2,FALSE),"Alerta: Seleccione primero el responsable")</f>
        <v>3550800</v>
      </c>
      <c r="AJ354" s="640" t="str">
        <f>IFERROR(VLOOKUP(AH354,Listas!$A$77:$C$83,3,FALSE),"Alerta: Seleccione primero el responsable")</f>
        <v>carolina.fernandez@idpc.gov.co</v>
      </c>
      <c r="AK354" s="640" t="str">
        <f>IF(J354="Funcionamiento Gastos Generales","No aplica",IF(J354="Funcionamiento Servicios Personales indirectos","No aplica",IFERROR(VLOOKUP(J354,Listas!$A$127:$E$139,3,FALSE),"Alerta: Seleccione la celda en la comumna B con el nombre del proyecto")))</f>
        <v>ME20181114</v>
      </c>
      <c r="AL354" s="640" t="str">
        <f>IF(J354="Funcionamiento Gastos Generales","No aplica",IF(J354="Funcionamiento Servicios Personales","No aplica",IFERROR(VLOOKUP(J354,Listas!$A$220:$D$224,2,FALSE),"Alerta: Seleccione la celda en la comumna B con el nombre del proyecto")))</f>
        <v>COMP1114</v>
      </c>
      <c r="AM354" s="640" t="str">
        <f>IF(J354="Funcionamiento Gastos Generales","No aplica",IF(J354="Funcionamiento Servicios Personales","No aplica",IFERROR(VLOOKUP(J354,Listas!$A$220:$D$224,3,FALSE),"Alerta: Seleccione la celda en la comumna B con el nombre del proyecto")))</f>
        <v>CONC1114</v>
      </c>
      <c r="AN354" s="633" t="s">
        <v>1054</v>
      </c>
      <c r="AO354" s="633" t="s">
        <v>62</v>
      </c>
      <c r="AP354" s="634" t="str">
        <f>IFERROR(VLOOKUP(J354,Listas!$A$182:$E$215,5,FALSE),"Alerta: Seleccione la celda en la comumna B con el nombre del proyecto")</f>
        <v>4. Obras de Intervención en Bienes muebles - inmuebles y sectores que conforman el patrimonio cultural del D.C.</v>
      </c>
      <c r="AQ354" s="634" t="str">
        <f>IF(J354="Funcionamiento Gastos Generales","No aplica",IF(J354="Funcionamiento Servicios Personales","No aplica",IFERROR(VLOOKUP(J354,Listas!$A$220:$D$224,4,FALSE),"Alerta: Seleccione la celda en la comumna B con el nombre del proyecto")))</f>
        <v>FONT1114</v>
      </c>
      <c r="AR354" s="633" t="s">
        <v>198</v>
      </c>
      <c r="AS354" s="634" t="str">
        <f>IFERROR(VLOOKUP(AU354,Listas!$E$85:$L$105,7,FALSE),"Alerta: Seleccione la celda en la comumna AI con el concepto de gasto")</f>
        <v>01-INFRAESTRUCTURA</v>
      </c>
      <c r="AT354" s="634" t="str">
        <f>IFERROR(VLOOKUP(AU354,Listas!$E$85:$L$105,8,FALSE),"Alerta: Seleccione la celda en la comumna AI con el concepto de gasto")</f>
        <v>01-CONSTRUCCION, ADECUACION Y AMPLIACION DE INFRAESTRUCTURA PROPIA DEL SECTOR</v>
      </c>
      <c r="AU354" s="633" t="s">
        <v>422</v>
      </c>
      <c r="AV354" s="634">
        <f>IFERROR(VLOOKUP(AU354,Listas!$E$85:$F$105,2,FALSE),"Alerta: Seleccione el Concepto de Gasto primero")</f>
        <v>0</v>
      </c>
      <c r="AW354" s="644">
        <v>60000000</v>
      </c>
      <c r="AX354" s="645"/>
      <c r="AY354" s="645"/>
      <c r="AZ354" s="645"/>
      <c r="BA354" s="646">
        <f t="shared" si="123"/>
        <v>60000000</v>
      </c>
      <c r="BB354" s="647"/>
      <c r="BC354" s="648"/>
      <c r="BD354" s="649"/>
      <c r="BE354" s="647"/>
      <c r="BF354" s="644"/>
      <c r="BG354" s="646">
        <f t="shared" si="124"/>
        <v>60000000</v>
      </c>
      <c r="BH354" s="650"/>
      <c r="BI354" s="647"/>
      <c r="BJ354" s="644"/>
      <c r="BK354" s="646">
        <f t="shared" si="125"/>
        <v>0</v>
      </c>
      <c r="BL354" s="651"/>
      <c r="BM354" s="652">
        <f t="shared" si="126"/>
        <v>1</v>
      </c>
      <c r="BN354" s="628"/>
      <c r="BO354" s="670"/>
      <c r="BP354" s="644"/>
      <c r="BQ354" s="644"/>
      <c r="BR354" s="644"/>
      <c r="BS354" s="644"/>
      <c r="BT354" s="644"/>
      <c r="BU354" s="644"/>
      <c r="BV354" s="644"/>
      <c r="BW354" s="644"/>
      <c r="BX354" s="644"/>
      <c r="BY354" s="644"/>
      <c r="BZ354" s="644"/>
      <c r="CA354" s="644"/>
      <c r="CB354" s="646">
        <f t="shared" si="127"/>
        <v>0</v>
      </c>
      <c r="CC354" s="646">
        <f t="shared" si="128"/>
        <v>0</v>
      </c>
      <c r="CD354" s="614"/>
    </row>
    <row r="355" spans="1:85" s="561" customFormat="1" ht="61.5" customHeight="1">
      <c r="A355" s="625" t="str">
        <f t="shared" si="110"/>
        <v xml:space="preserve">1114-140-FONT1114-01-01-0525-Bienes de Interés Cultural de tipo inmueble intervenidos </v>
      </c>
      <c r="B355" s="626" t="str">
        <f t="shared" si="111"/>
        <v>1114-140-FONT1114-01-01-0525</v>
      </c>
      <c r="C355" s="626" t="str">
        <f t="shared" si="112"/>
        <v xml:space="preserve">1114-140-FONT1114-Bienes de Interés Cultural de tipo inmueble intervenidos </v>
      </c>
      <c r="D355" s="626" t="str">
        <f t="shared" si="113"/>
        <v>1114-140-12-Otros Distrito-01-01-0525</v>
      </c>
      <c r="E355" s="626" t="str">
        <f t="shared" si="114"/>
        <v>Bienes de Interés Cultural de tipo inmueble intervenidos -12-Otros Distrito-0525-Recuperación y aprovechamiento de bienes de interés cultural</v>
      </c>
      <c r="F355" s="627">
        <v>315</v>
      </c>
      <c r="G355" s="628">
        <f t="shared" si="115"/>
        <v>315</v>
      </c>
      <c r="H355" s="629" t="b">
        <f t="shared" si="116"/>
        <v>0</v>
      </c>
      <c r="I355" s="630" t="s">
        <v>594</v>
      </c>
      <c r="J355" s="627" t="s">
        <v>180</v>
      </c>
      <c r="K355" s="631" t="str">
        <f>+IFERROR(VLOOKUP(J355,Listas!$A$108:$B$114,2,FALSE),"Alerta: Seleccione la celda en la comumna B con el nombre del proyecto")</f>
        <v>3-3-1-15-02-17-1114-140</v>
      </c>
      <c r="L355" s="632" t="s">
        <v>886</v>
      </c>
      <c r="M355" s="633" t="s">
        <v>887</v>
      </c>
      <c r="N355" s="634" t="str">
        <f t="shared" si="117"/>
        <v>(Cód. 315) Ejecutar bajo la modalidad de precios unitarios fijos las obras requeridas para el inmueble ubicado en la Calle 12B No. 2-58, denominado Casa Genoveva en la ciudad de Bogotá, D. C.</v>
      </c>
      <c r="O355" s="635">
        <v>43525</v>
      </c>
      <c r="P355" s="636">
        <f>IFERROR(VLOOKUP(W355,'Estimación CRP'!$D$21:$E$30,2,FALSE),0)</f>
        <v>50</v>
      </c>
      <c r="Q355" s="637">
        <f>IF(O355="No aplica","No aplica",WORKDAY.INTL(O355,P355,1,'Estimación CRP'!A541:A557))</f>
        <v>43595</v>
      </c>
      <c r="R355" s="636">
        <f t="shared" si="118"/>
        <v>5</v>
      </c>
      <c r="S355" s="636">
        <f t="shared" si="119"/>
        <v>3</v>
      </c>
      <c r="T355" s="636">
        <f t="shared" si="120"/>
        <v>3</v>
      </c>
      <c r="U355" s="712">
        <v>4</v>
      </c>
      <c r="V355" s="638">
        <v>1</v>
      </c>
      <c r="W355" s="639" t="s">
        <v>258</v>
      </c>
      <c r="X355" s="640" t="str">
        <f>IFERROR(VLOOKUP(W355,Listas!$A$60:$B$73,2,FALSE),"Alerta: Seleccione primero Modalidad de selección")</f>
        <v>CCE-02</v>
      </c>
      <c r="Y355" s="641">
        <v>0</v>
      </c>
      <c r="Z355" s="641" t="s">
        <v>346</v>
      </c>
      <c r="AA355" s="641" t="s">
        <v>1329</v>
      </c>
      <c r="AB355" s="642">
        <f t="shared" si="121"/>
        <v>714166680</v>
      </c>
      <c r="AC355" s="642">
        <f t="shared" si="122"/>
        <v>714166680</v>
      </c>
      <c r="AD355" s="641">
        <v>0</v>
      </c>
      <c r="AE355" s="643">
        <v>0</v>
      </c>
      <c r="AF355" s="639" t="s">
        <v>276</v>
      </c>
      <c r="AG355" s="639" t="s">
        <v>277</v>
      </c>
      <c r="AH355" s="639" t="s">
        <v>573</v>
      </c>
      <c r="AI355" s="626" t="str">
        <f>IFERROR(VLOOKUP(AH355,Listas!$A$77:$C$83,2,FALSE),"Alerta: Seleccione primero el responsable")</f>
        <v>3550800</v>
      </c>
      <c r="AJ355" s="640" t="str">
        <f>IFERROR(VLOOKUP(AH355,Listas!$A$77:$C$83,3,FALSE),"Alerta: Seleccione primero el responsable")</f>
        <v>carolina.fernandez@idpc.gov.co</v>
      </c>
      <c r="AK355" s="640" t="str">
        <f>IF(J355="Funcionamiento Gastos Generales","No aplica",IF(J355="Funcionamiento Servicios Personales indirectos","No aplica",IFERROR(VLOOKUP(J355,Listas!$A$127:$E$139,3,FALSE),"Alerta: Seleccione la celda en la comumna B con el nombre del proyecto")))</f>
        <v>ME20181114</v>
      </c>
      <c r="AL355" s="640" t="str">
        <f>IF(J355="Funcionamiento Gastos Generales","No aplica",IF(J355="Funcionamiento Servicios Personales","No aplica",IFERROR(VLOOKUP(J355,Listas!$A$220:$D$224,2,FALSE),"Alerta: Seleccione la celda en la comumna B con el nombre del proyecto")))</f>
        <v>COMP1114</v>
      </c>
      <c r="AM355" s="640" t="str">
        <f>IF(J355="Funcionamiento Gastos Generales","No aplica",IF(J355="Funcionamiento Servicios Personales","No aplica",IFERROR(VLOOKUP(J355,Listas!$A$220:$D$224,3,FALSE),"Alerta: Seleccione la celda en la comumna B con el nombre del proyecto")))</f>
        <v>CONC1114</v>
      </c>
      <c r="AN355" s="633" t="s">
        <v>1054</v>
      </c>
      <c r="AO355" s="633" t="s">
        <v>62</v>
      </c>
      <c r="AP355" s="634" t="str">
        <f>IFERROR(VLOOKUP(J355,Listas!$A$182:$E$215,5,FALSE),"Alerta: Seleccione la celda en la comumna B con el nombre del proyecto")</f>
        <v>4. Obras de Intervención en Bienes muebles - inmuebles y sectores que conforman el patrimonio cultural del D.C.</v>
      </c>
      <c r="AQ355" s="634" t="str">
        <f>IF(J355="Funcionamiento Gastos Generales","No aplica",IF(J355="Funcionamiento Servicios Personales","No aplica",IFERROR(VLOOKUP(J355,Listas!$A$220:$D$224,4,FALSE),"Alerta: Seleccione la celda en la comumna B con el nombre del proyecto")))</f>
        <v>FONT1114</v>
      </c>
      <c r="AR355" s="633" t="s">
        <v>198</v>
      </c>
      <c r="AS355" s="634" t="str">
        <f>IFERROR(VLOOKUP(AU355,Listas!$E$85:$L$105,7,FALSE),"Alerta: Seleccione la celda en la comumna AI con el concepto de gasto")</f>
        <v>01-INFRAESTRUCTURA</v>
      </c>
      <c r="AT355" s="634" t="str">
        <f>IFERROR(VLOOKUP(AU355,Listas!$E$85:$L$105,8,FALSE),"Alerta: Seleccione la celda en la comumna AI con el concepto de gasto")</f>
        <v>01-CONSTRUCCION, ADECUACION Y AMPLIACION DE INFRAESTRUCTURA PROPIA DEL SECTOR</v>
      </c>
      <c r="AU355" s="633" t="s">
        <v>422</v>
      </c>
      <c r="AV355" s="634">
        <f>IFERROR(VLOOKUP(AU355,Listas!$E$85:$F$105,2,FALSE),"Alerta: Seleccione el Concepto de Gasto primero")</f>
        <v>0</v>
      </c>
      <c r="AW355" s="644">
        <v>714166680</v>
      </c>
      <c r="AX355" s="645"/>
      <c r="AY355" s="645"/>
      <c r="AZ355" s="645"/>
      <c r="BA355" s="646">
        <f t="shared" si="123"/>
        <v>714166680</v>
      </c>
      <c r="BB355" s="647"/>
      <c r="BC355" s="648"/>
      <c r="BD355" s="649"/>
      <c r="BE355" s="647"/>
      <c r="BF355" s="644"/>
      <c r="BG355" s="646">
        <f t="shared" si="124"/>
        <v>714166680</v>
      </c>
      <c r="BH355" s="650"/>
      <c r="BI355" s="647"/>
      <c r="BJ355" s="644"/>
      <c r="BK355" s="646">
        <f t="shared" si="125"/>
        <v>0</v>
      </c>
      <c r="BL355" s="651"/>
      <c r="BM355" s="652">
        <f t="shared" si="126"/>
        <v>1</v>
      </c>
      <c r="BN355" s="628"/>
      <c r="BO355" s="670"/>
      <c r="BP355" s="644"/>
      <c r="BQ355" s="644"/>
      <c r="BR355" s="644"/>
      <c r="BS355" s="644"/>
      <c r="BT355" s="644"/>
      <c r="BU355" s="644"/>
      <c r="BV355" s="644"/>
      <c r="BW355" s="644"/>
      <c r="BX355" s="644"/>
      <c r="BY355" s="644"/>
      <c r="BZ355" s="644"/>
      <c r="CA355" s="644"/>
      <c r="CB355" s="646">
        <f t="shared" si="127"/>
        <v>0</v>
      </c>
      <c r="CC355" s="646">
        <f t="shared" si="128"/>
        <v>0</v>
      </c>
      <c r="CD355" s="614"/>
    </row>
    <row r="356" spans="1:85" s="561" customFormat="1" ht="61.5" customHeight="1">
      <c r="A356" s="625" t="str">
        <f t="shared" si="110"/>
        <v xml:space="preserve">1114-140-FONT1114-01-01-0525-Bienes de Interés Cultural de tipo inmueble intervenidos </v>
      </c>
      <c r="B356" s="626" t="str">
        <f t="shared" si="111"/>
        <v>1114-140-FONT1114-01-01-0525</v>
      </c>
      <c r="C356" s="626" t="str">
        <f t="shared" si="112"/>
        <v xml:space="preserve">1114-140-FONT1114-Bienes de Interés Cultural de tipo inmueble intervenidos </v>
      </c>
      <c r="D356" s="626" t="str">
        <f t="shared" si="113"/>
        <v>1114-140-12-Otros Distrito-01-01-0525</v>
      </c>
      <c r="E356" s="626" t="str">
        <f t="shared" si="114"/>
        <v>Bienes de Interés Cultural de tipo inmueble intervenidos -12-Otros Distrito-0525-Recuperación y aprovechamiento de bienes de interés cultural</v>
      </c>
      <c r="F356" s="627" t="s">
        <v>346</v>
      </c>
      <c r="G356" s="628" t="str">
        <f t="shared" si="115"/>
        <v>N.A.</v>
      </c>
      <c r="H356" s="629" t="b">
        <f t="shared" si="116"/>
        <v>0</v>
      </c>
      <c r="I356" s="630" t="s">
        <v>595</v>
      </c>
      <c r="J356" s="627" t="s">
        <v>180</v>
      </c>
      <c r="K356" s="631" t="str">
        <f>+IFERROR(VLOOKUP(J356,Listas!$A$108:$B$114,2,FALSE),"Alerta: Seleccione la celda en la comumna B con el nombre del proyecto")</f>
        <v>3-3-1-15-02-17-1114-140</v>
      </c>
      <c r="L356" s="632" t="s">
        <v>351</v>
      </c>
      <c r="M356" s="633" t="s">
        <v>888</v>
      </c>
      <c r="N356" s="634" t="str">
        <f t="shared" si="117"/>
        <v>(Cód. N.A.) Pago de expensas con cargo variable para la modificación de la Licencia de Construcción del predio Calle 12b N° 2-58, denominado Sede Principal o Casa Genoveva en la ciudad de Bogotá, D. C.</v>
      </c>
      <c r="O356" s="635">
        <v>43525</v>
      </c>
      <c r="P356" s="636">
        <f>IFERROR(VLOOKUP(W356,'Estimación CRP'!$D$21:$E$30,2,FALSE),0)</f>
        <v>0</v>
      </c>
      <c r="Q356" s="637">
        <f>IF(O356="No aplica","No aplica",WORKDAY.INTL(O356,P356,1,'Estimación CRP'!A542:A558))</f>
        <v>43525</v>
      </c>
      <c r="R356" s="636">
        <f t="shared" si="118"/>
        <v>3</v>
      </c>
      <c r="S356" s="636">
        <f t="shared" si="119"/>
        <v>3</v>
      </c>
      <c r="T356" s="636">
        <f t="shared" si="120"/>
        <v>3</v>
      </c>
      <c r="U356" s="638">
        <v>0</v>
      </c>
      <c r="V356" s="638">
        <v>0</v>
      </c>
      <c r="W356" s="639" t="s">
        <v>351</v>
      </c>
      <c r="X356" s="640" t="str">
        <f>IFERROR(VLOOKUP(W356,Listas!$A$60:$B$73,2,FALSE),"Alerta: Seleccione primero Modalidad de selección")</f>
        <v>No aplica</v>
      </c>
      <c r="Y356" s="641">
        <v>0</v>
      </c>
      <c r="Z356" s="641" t="s">
        <v>346</v>
      </c>
      <c r="AA356" s="641" t="s">
        <v>1329</v>
      </c>
      <c r="AB356" s="642">
        <f t="shared" si="121"/>
        <v>3000000</v>
      </c>
      <c r="AC356" s="642">
        <f t="shared" si="122"/>
        <v>3000000</v>
      </c>
      <c r="AD356" s="641">
        <v>0</v>
      </c>
      <c r="AE356" s="643">
        <v>0</v>
      </c>
      <c r="AF356" s="639" t="s">
        <v>276</v>
      </c>
      <c r="AG356" s="639" t="s">
        <v>277</v>
      </c>
      <c r="AH356" s="639" t="s">
        <v>573</v>
      </c>
      <c r="AI356" s="626" t="str">
        <f>IFERROR(VLOOKUP(AH356,Listas!$A$77:$C$83,2,FALSE),"Alerta: Seleccione primero el responsable")</f>
        <v>3550800</v>
      </c>
      <c r="AJ356" s="640" t="str">
        <f>IFERROR(VLOOKUP(AH356,Listas!$A$77:$C$83,3,FALSE),"Alerta: Seleccione primero el responsable")</f>
        <v>carolina.fernandez@idpc.gov.co</v>
      </c>
      <c r="AK356" s="640" t="str">
        <f>IF(J356="Funcionamiento Gastos Generales","No aplica",IF(J356="Funcionamiento Servicios Personales indirectos","No aplica",IFERROR(VLOOKUP(J356,Listas!$A$127:$E$139,3,FALSE),"Alerta: Seleccione la celda en la comumna B con el nombre del proyecto")))</f>
        <v>ME20181114</v>
      </c>
      <c r="AL356" s="640" t="str">
        <f>IF(J356="Funcionamiento Gastos Generales","No aplica",IF(J356="Funcionamiento Servicios Personales","No aplica",IFERROR(VLOOKUP(J356,Listas!$A$220:$D$224,2,FALSE),"Alerta: Seleccione la celda en la comumna B con el nombre del proyecto")))</f>
        <v>COMP1114</v>
      </c>
      <c r="AM356" s="640" t="str">
        <f>IF(J356="Funcionamiento Gastos Generales","No aplica",IF(J356="Funcionamiento Servicios Personales","No aplica",IFERROR(VLOOKUP(J356,Listas!$A$220:$D$224,3,FALSE),"Alerta: Seleccione la celda en la comumna B con el nombre del proyecto")))</f>
        <v>CONC1114</v>
      </c>
      <c r="AN356" s="633" t="s">
        <v>1054</v>
      </c>
      <c r="AO356" s="633" t="s">
        <v>62</v>
      </c>
      <c r="AP356" s="634" t="str">
        <f>IFERROR(VLOOKUP(J356,Listas!$A$182:$E$215,5,FALSE),"Alerta: Seleccione la celda en la comumna B con el nombre del proyecto")</f>
        <v>4. Obras de Intervención en Bienes muebles - inmuebles y sectores que conforman el patrimonio cultural del D.C.</v>
      </c>
      <c r="AQ356" s="634" t="str">
        <f>IF(J356="Funcionamiento Gastos Generales","No aplica",IF(J356="Funcionamiento Servicios Personales","No aplica",IFERROR(VLOOKUP(J356,Listas!$A$220:$D$224,4,FALSE),"Alerta: Seleccione la celda en la comumna B con el nombre del proyecto")))</f>
        <v>FONT1114</v>
      </c>
      <c r="AR356" s="633" t="s">
        <v>198</v>
      </c>
      <c r="AS356" s="634" t="str">
        <f>IFERROR(VLOOKUP(AU356,Listas!$E$85:$L$105,7,FALSE),"Alerta: Seleccione la celda en la comumna AI con el concepto de gasto")</f>
        <v>01-INFRAESTRUCTURA</v>
      </c>
      <c r="AT356" s="634" t="str">
        <f>IFERROR(VLOOKUP(AU356,Listas!$E$85:$L$105,8,FALSE),"Alerta: Seleccione la celda en la comumna AI con el concepto de gasto")</f>
        <v>01-CONSTRUCCION, ADECUACION Y AMPLIACION DE INFRAESTRUCTURA PROPIA DEL SECTOR</v>
      </c>
      <c r="AU356" s="633" t="s">
        <v>422</v>
      </c>
      <c r="AV356" s="634">
        <f>IFERROR(VLOOKUP(AU356,Listas!$E$85:$F$105,2,FALSE),"Alerta: Seleccione el Concepto de Gasto primero")</f>
        <v>0</v>
      </c>
      <c r="AW356" s="644">
        <v>3000000</v>
      </c>
      <c r="AX356" s="645"/>
      <c r="AY356" s="645"/>
      <c r="AZ356" s="645"/>
      <c r="BA356" s="646">
        <f t="shared" si="123"/>
        <v>3000000</v>
      </c>
      <c r="BB356" s="647"/>
      <c r="BC356" s="648"/>
      <c r="BD356" s="649"/>
      <c r="BE356" s="647"/>
      <c r="BF356" s="644"/>
      <c r="BG356" s="646">
        <f t="shared" si="124"/>
        <v>3000000</v>
      </c>
      <c r="BH356" s="650"/>
      <c r="BI356" s="647"/>
      <c r="BJ356" s="644"/>
      <c r="BK356" s="646">
        <f t="shared" si="125"/>
        <v>0</v>
      </c>
      <c r="BL356" s="651"/>
      <c r="BM356" s="652">
        <f t="shared" si="126"/>
        <v>1</v>
      </c>
      <c r="BN356" s="628"/>
      <c r="BO356" s="670"/>
      <c r="BP356" s="644"/>
      <c r="BQ356" s="644"/>
      <c r="BR356" s="644"/>
      <c r="BS356" s="644"/>
      <c r="BT356" s="644"/>
      <c r="BU356" s="644"/>
      <c r="BV356" s="644"/>
      <c r="BW356" s="644"/>
      <c r="BX356" s="644"/>
      <c r="BY356" s="644"/>
      <c r="BZ356" s="644"/>
      <c r="CA356" s="644"/>
      <c r="CB356" s="646">
        <f t="shared" si="127"/>
        <v>0</v>
      </c>
      <c r="CC356" s="646">
        <f t="shared" si="128"/>
        <v>0</v>
      </c>
      <c r="CD356" s="614"/>
    </row>
    <row r="357" spans="1:85" s="561" customFormat="1" ht="61.5" customHeight="1">
      <c r="A357" s="625" t="str">
        <f t="shared" si="110"/>
        <v xml:space="preserve">1114-140-FONT1114-01-01-0525-Bienes de Interés Cultural de tipo inmueble intervenidos </v>
      </c>
      <c r="B357" s="626" t="str">
        <f t="shared" si="111"/>
        <v>1114-140-FONT1114-01-01-0525</v>
      </c>
      <c r="C357" s="626" t="str">
        <f t="shared" si="112"/>
        <v xml:space="preserve">1114-140-FONT1114-Bienes de Interés Cultural de tipo inmueble intervenidos </v>
      </c>
      <c r="D357" s="626" t="str">
        <f t="shared" si="113"/>
        <v>1114-140-12-Otros Distrito-01-01-0525</v>
      </c>
      <c r="E357" s="626" t="str">
        <f t="shared" si="114"/>
        <v>Bienes de Interés Cultural de tipo inmueble intervenidos -12-Otros Distrito-0525-Recuperación y aprovechamiento de bienes de interés cultural</v>
      </c>
      <c r="F357" s="627">
        <v>316</v>
      </c>
      <c r="G357" s="628">
        <f t="shared" si="115"/>
        <v>316</v>
      </c>
      <c r="H357" s="629" t="b">
        <f t="shared" si="116"/>
        <v>0</v>
      </c>
      <c r="I357" s="630" t="s">
        <v>594</v>
      </c>
      <c r="J357" s="627" t="s">
        <v>180</v>
      </c>
      <c r="K357" s="631" t="str">
        <f>+IFERROR(VLOOKUP(J357,Listas!$A$108:$B$114,2,FALSE),"Alerta: Seleccione la celda en la comumna B con el nombre del proyecto")</f>
        <v>3-3-1-15-02-17-1114-140</v>
      </c>
      <c r="L357" s="632" t="s">
        <v>889</v>
      </c>
      <c r="M357" s="633" t="s">
        <v>890</v>
      </c>
      <c r="N357" s="634" t="str">
        <f t="shared" si="117"/>
        <v>(Cód. 316) Realizar la interventoría integral de la obra cuyo objeto es: "Ejecutar bajo la modalidad de precios unitarios fijos las obras requeridas para el inmueble ubicado en la Calle 12B No. 2-58, denominado Casa Genoveva en la ciudad de Bogotá, D. C."</v>
      </c>
      <c r="O357" s="635">
        <v>43525</v>
      </c>
      <c r="P357" s="636">
        <f>IFERROR(VLOOKUP(W357,'Estimación CRP'!$D$21:$E$30,2,FALSE),0)</f>
        <v>45</v>
      </c>
      <c r="Q357" s="637">
        <f>IF(O357="No aplica","No aplica",WORKDAY.INTL(O357,P357,1,'Estimación CRP'!A543:A559))</f>
        <v>43588</v>
      </c>
      <c r="R357" s="636">
        <f t="shared" si="118"/>
        <v>5</v>
      </c>
      <c r="S357" s="636">
        <f t="shared" si="119"/>
        <v>3</v>
      </c>
      <c r="T357" s="636">
        <f t="shared" si="120"/>
        <v>3</v>
      </c>
      <c r="U357" s="712">
        <v>5</v>
      </c>
      <c r="V357" s="638">
        <v>1</v>
      </c>
      <c r="W357" s="639" t="s">
        <v>350</v>
      </c>
      <c r="X357" s="640" t="str">
        <f>IFERROR(VLOOKUP(W357,Listas!$A$60:$B$73,2,FALSE),"Alerta: Seleccione primero Modalidad de selección")</f>
        <v>CCE-04</v>
      </c>
      <c r="Y357" s="641">
        <v>0</v>
      </c>
      <c r="Z357" s="641" t="s">
        <v>346</v>
      </c>
      <c r="AA357" s="641" t="s">
        <v>1329</v>
      </c>
      <c r="AB357" s="642">
        <f t="shared" si="121"/>
        <v>142833320</v>
      </c>
      <c r="AC357" s="642">
        <f t="shared" si="122"/>
        <v>142833320</v>
      </c>
      <c r="AD357" s="641">
        <v>0</v>
      </c>
      <c r="AE357" s="643">
        <v>0</v>
      </c>
      <c r="AF357" s="639" t="s">
        <v>276</v>
      </c>
      <c r="AG357" s="639" t="s">
        <v>277</v>
      </c>
      <c r="AH357" s="639" t="s">
        <v>573</v>
      </c>
      <c r="AI357" s="626" t="str">
        <f>IFERROR(VLOOKUP(AH357,Listas!$A$77:$C$83,2,FALSE),"Alerta: Seleccione primero el responsable")</f>
        <v>3550800</v>
      </c>
      <c r="AJ357" s="640" t="str">
        <f>IFERROR(VLOOKUP(AH357,Listas!$A$77:$C$83,3,FALSE),"Alerta: Seleccione primero el responsable")</f>
        <v>carolina.fernandez@idpc.gov.co</v>
      </c>
      <c r="AK357" s="640" t="str">
        <f>IF(J357="Funcionamiento Gastos Generales","No aplica",IF(J357="Funcionamiento Servicios Personales indirectos","No aplica",IFERROR(VLOOKUP(J357,Listas!$A$127:$E$139,3,FALSE),"Alerta: Seleccione la celda en la comumna B con el nombre del proyecto")))</f>
        <v>ME20181114</v>
      </c>
      <c r="AL357" s="640" t="str">
        <f>IF(J357="Funcionamiento Gastos Generales","No aplica",IF(J357="Funcionamiento Servicios Personales","No aplica",IFERROR(VLOOKUP(J357,Listas!$A$220:$D$224,2,FALSE),"Alerta: Seleccione la celda en la comumna B con el nombre del proyecto")))</f>
        <v>COMP1114</v>
      </c>
      <c r="AM357" s="640" t="str">
        <f>IF(J357="Funcionamiento Gastos Generales","No aplica",IF(J357="Funcionamiento Servicios Personales","No aplica",IFERROR(VLOOKUP(J357,Listas!$A$220:$D$224,3,FALSE),"Alerta: Seleccione la celda en la comumna B con el nombre del proyecto")))</f>
        <v>CONC1114</v>
      </c>
      <c r="AN357" s="633" t="s">
        <v>1054</v>
      </c>
      <c r="AO357" s="633" t="s">
        <v>62</v>
      </c>
      <c r="AP357" s="634" t="str">
        <f>IFERROR(VLOOKUP(J357,Listas!$A$182:$E$215,5,FALSE),"Alerta: Seleccione la celda en la comumna B con el nombre del proyecto")</f>
        <v>4. Obras de Intervención en Bienes muebles - inmuebles y sectores que conforman el patrimonio cultural del D.C.</v>
      </c>
      <c r="AQ357" s="634" t="str">
        <f>IF(J357="Funcionamiento Gastos Generales","No aplica",IF(J357="Funcionamiento Servicios Personales","No aplica",IFERROR(VLOOKUP(J357,Listas!$A$220:$D$224,4,FALSE),"Alerta: Seleccione la celda en la comumna B con el nombre del proyecto")))</f>
        <v>FONT1114</v>
      </c>
      <c r="AR357" s="633" t="s">
        <v>198</v>
      </c>
      <c r="AS357" s="634" t="str">
        <f>IFERROR(VLOOKUP(AU357,Listas!$E$85:$L$105,7,FALSE),"Alerta: Seleccione la celda en la comumna AI con el concepto de gasto")</f>
        <v>01-INFRAESTRUCTURA</v>
      </c>
      <c r="AT357" s="634" t="str">
        <f>IFERROR(VLOOKUP(AU357,Listas!$E$85:$L$105,8,FALSE),"Alerta: Seleccione la celda en la comumna AI con el concepto de gasto")</f>
        <v>01-CONSTRUCCION, ADECUACION Y AMPLIACION DE INFRAESTRUCTURA PROPIA DEL SECTOR</v>
      </c>
      <c r="AU357" s="633" t="s">
        <v>422</v>
      </c>
      <c r="AV357" s="634">
        <f>IFERROR(VLOOKUP(AU357,Listas!$E$85:$F$105,2,FALSE),"Alerta: Seleccione el Concepto de Gasto primero")</f>
        <v>0</v>
      </c>
      <c r="AW357" s="644">
        <v>142833320</v>
      </c>
      <c r="AX357" s="645"/>
      <c r="AY357" s="645"/>
      <c r="AZ357" s="645"/>
      <c r="BA357" s="646">
        <f t="shared" si="123"/>
        <v>142833320</v>
      </c>
      <c r="BB357" s="647"/>
      <c r="BC357" s="648"/>
      <c r="BD357" s="649"/>
      <c r="BE357" s="647"/>
      <c r="BF357" s="644"/>
      <c r="BG357" s="646">
        <f t="shared" si="124"/>
        <v>142833320</v>
      </c>
      <c r="BH357" s="650"/>
      <c r="BI357" s="647"/>
      <c r="BJ357" s="644"/>
      <c r="BK357" s="646">
        <f t="shared" si="125"/>
        <v>0</v>
      </c>
      <c r="BL357" s="651"/>
      <c r="BM357" s="652">
        <f t="shared" si="126"/>
        <v>1</v>
      </c>
      <c r="BN357" s="628"/>
      <c r="BO357" s="670"/>
      <c r="BP357" s="644"/>
      <c r="BQ357" s="644"/>
      <c r="BR357" s="644"/>
      <c r="BS357" s="644"/>
      <c r="BT357" s="644"/>
      <c r="BU357" s="644"/>
      <c r="BV357" s="644"/>
      <c r="BW357" s="644"/>
      <c r="BX357" s="644"/>
      <c r="BY357" s="644"/>
      <c r="BZ357" s="644"/>
      <c r="CA357" s="644"/>
      <c r="CB357" s="646">
        <f t="shared" si="127"/>
        <v>0</v>
      </c>
      <c r="CC357" s="646">
        <f t="shared" si="128"/>
        <v>0</v>
      </c>
      <c r="CD357" s="614"/>
    </row>
    <row r="358" spans="1:85" s="561" customFormat="1" ht="61.5" customHeight="1">
      <c r="A358" s="625" t="str">
        <f t="shared" si="110"/>
        <v xml:space="preserve">1114-140-FONT1114-01-01-0525-Bienes de Interés Cultural de tipo inmueble intervenidos </v>
      </c>
      <c r="B358" s="626" t="str">
        <f t="shared" si="111"/>
        <v>1114-140-FONT1114-01-01-0525</v>
      </c>
      <c r="C358" s="626" t="str">
        <f t="shared" si="112"/>
        <v xml:space="preserve">1114-140-FONT1114-Bienes de Interés Cultural de tipo inmueble intervenidos </v>
      </c>
      <c r="D358" s="626" t="str">
        <f t="shared" si="113"/>
        <v>1114-140-146-Recursos del balance de libre destinación-01-01-0525</v>
      </c>
      <c r="E358" s="626" t="str">
        <f t="shared" si="114"/>
        <v>Bienes de Interés Cultural de tipo inmueble intervenidos -146-Recursos del balance de libre destinación-0525-Recuperación y aprovechamiento de bienes de interés cultural</v>
      </c>
      <c r="F358" s="627">
        <v>317</v>
      </c>
      <c r="G358" s="628">
        <f t="shared" si="115"/>
        <v>317</v>
      </c>
      <c r="H358" s="629" t="b">
        <f t="shared" si="116"/>
        <v>0</v>
      </c>
      <c r="I358" s="630" t="s">
        <v>594</v>
      </c>
      <c r="J358" s="627" t="s">
        <v>180</v>
      </c>
      <c r="K358" s="631" t="str">
        <f>+IFERROR(VLOOKUP(J358,Listas!$A$108:$B$114,2,FALSE),"Alerta: Seleccione la celda en la comumna B con el nombre del proyecto")</f>
        <v>3-3-1-15-02-17-1114-140</v>
      </c>
      <c r="L358" s="632" t="s">
        <v>891</v>
      </c>
      <c r="M358" s="633" t="s">
        <v>892</v>
      </c>
      <c r="N358" s="634" t="str">
        <f t="shared" si="117"/>
        <v>(Cód. 317) Ejecutar las obras por precios unitarios fijos para la restauración de las naves de la Basílica Menor del Sagrado Corazón de Jesús - Iglesia del Voto Nacional.</v>
      </c>
      <c r="O358" s="635">
        <v>43556</v>
      </c>
      <c r="P358" s="636">
        <f>IFERROR(VLOOKUP(W358,'Estimación CRP'!$D$21:$E$30,2,FALSE),0)</f>
        <v>50</v>
      </c>
      <c r="Q358" s="637">
        <f>IF(O358="No aplica","No aplica",WORKDAY.INTL(O358,P358,1,'Estimación CRP'!A544:A560))</f>
        <v>43626</v>
      </c>
      <c r="R358" s="636">
        <f t="shared" si="118"/>
        <v>6</v>
      </c>
      <c r="S358" s="636">
        <f t="shared" si="119"/>
        <v>4</v>
      </c>
      <c r="T358" s="636">
        <f t="shared" si="120"/>
        <v>4</v>
      </c>
      <c r="U358" s="712">
        <v>10</v>
      </c>
      <c r="V358" s="638">
        <v>1</v>
      </c>
      <c r="W358" s="639" t="s">
        <v>258</v>
      </c>
      <c r="X358" s="640" t="str">
        <f>IFERROR(VLOOKUP(W358,Listas!$A$60:$B$73,2,FALSE),"Alerta: Seleccione primero Modalidad de selección")</f>
        <v>CCE-02</v>
      </c>
      <c r="Y358" s="641">
        <v>0</v>
      </c>
      <c r="Z358" s="641" t="s">
        <v>346</v>
      </c>
      <c r="AA358" s="641" t="s">
        <v>1330</v>
      </c>
      <c r="AB358" s="642">
        <f t="shared" si="121"/>
        <v>2570000</v>
      </c>
      <c r="AC358" s="642">
        <f t="shared" si="122"/>
        <v>2570000</v>
      </c>
      <c r="AD358" s="641">
        <v>0</v>
      </c>
      <c r="AE358" s="643">
        <v>0</v>
      </c>
      <c r="AF358" s="639" t="s">
        <v>276</v>
      </c>
      <c r="AG358" s="639" t="s">
        <v>277</v>
      </c>
      <c r="AH358" s="639" t="s">
        <v>573</v>
      </c>
      <c r="AI358" s="626" t="str">
        <f>IFERROR(VLOOKUP(AH358,Listas!$A$77:$C$83,2,FALSE),"Alerta: Seleccione primero el responsable")</f>
        <v>3550800</v>
      </c>
      <c r="AJ358" s="640" t="str">
        <f>IFERROR(VLOOKUP(AH358,Listas!$A$77:$C$83,3,FALSE),"Alerta: Seleccione primero el responsable")</f>
        <v>carolina.fernandez@idpc.gov.co</v>
      </c>
      <c r="AK358" s="640" t="str">
        <f>IF(J358="Funcionamiento Gastos Generales","No aplica",IF(J358="Funcionamiento Servicios Personales indirectos","No aplica",IFERROR(VLOOKUP(J358,Listas!$A$127:$E$139,3,FALSE),"Alerta: Seleccione la celda en la comumna B con el nombre del proyecto")))</f>
        <v>ME20181114</v>
      </c>
      <c r="AL358" s="640" t="str">
        <f>IF(J358="Funcionamiento Gastos Generales","No aplica",IF(J358="Funcionamiento Servicios Personales","No aplica",IFERROR(VLOOKUP(J358,Listas!$A$220:$D$224,2,FALSE),"Alerta: Seleccione la celda en la comumna B con el nombre del proyecto")))</f>
        <v>COMP1114</v>
      </c>
      <c r="AM358" s="640" t="str">
        <f>IF(J358="Funcionamiento Gastos Generales","No aplica",IF(J358="Funcionamiento Servicios Personales","No aplica",IFERROR(VLOOKUP(J358,Listas!$A$220:$D$224,3,FALSE),"Alerta: Seleccione la celda en la comumna B con el nombre del proyecto")))</f>
        <v>CONC1114</v>
      </c>
      <c r="AN358" s="633" t="s">
        <v>1054</v>
      </c>
      <c r="AO358" s="633" t="s">
        <v>62</v>
      </c>
      <c r="AP358" s="634" t="str">
        <f>IFERROR(VLOOKUP(J358,Listas!$A$182:$E$215,5,FALSE),"Alerta: Seleccione la celda en la comumna B con el nombre del proyecto")</f>
        <v>4. Obras de Intervención en Bienes muebles - inmuebles y sectores que conforman el patrimonio cultural del D.C.</v>
      </c>
      <c r="AQ358" s="634" t="str">
        <f>IF(J358="Funcionamiento Gastos Generales","No aplica",IF(J358="Funcionamiento Servicios Personales","No aplica",IFERROR(VLOOKUP(J358,Listas!$A$220:$D$224,4,FALSE),"Alerta: Seleccione la celda en la comumna B con el nombre del proyecto")))</f>
        <v>FONT1114</v>
      </c>
      <c r="AR358" s="633" t="s">
        <v>1058</v>
      </c>
      <c r="AS358" s="634" t="str">
        <f>IFERROR(VLOOKUP(AU358,Listas!$E$85:$L$105,7,FALSE),"Alerta: Seleccione la celda en la comumna AI con el concepto de gasto")</f>
        <v>01-INFRAESTRUCTURA</v>
      </c>
      <c r="AT358" s="634" t="str">
        <f>IFERROR(VLOOKUP(AU358,Listas!$E$85:$L$105,8,FALSE),"Alerta: Seleccione la celda en la comumna AI con el concepto de gasto")</f>
        <v>01-CONSTRUCCION, ADECUACION Y AMPLIACION DE INFRAESTRUCTURA PROPIA DEL SECTOR</v>
      </c>
      <c r="AU358" s="633" t="s">
        <v>422</v>
      </c>
      <c r="AV358" s="634">
        <f>IFERROR(VLOOKUP(AU358,Listas!$E$85:$F$105,2,FALSE),"Alerta: Seleccione el Concepto de Gasto primero")</f>
        <v>0</v>
      </c>
      <c r="AW358" s="644">
        <v>2570000</v>
      </c>
      <c r="AX358" s="645"/>
      <c r="AY358" s="645"/>
      <c r="AZ358" s="645"/>
      <c r="BA358" s="646">
        <f t="shared" si="123"/>
        <v>2570000</v>
      </c>
      <c r="BB358" s="647"/>
      <c r="BC358" s="648"/>
      <c r="BD358" s="649"/>
      <c r="BE358" s="647"/>
      <c r="BF358" s="644"/>
      <c r="BG358" s="646">
        <f t="shared" si="124"/>
        <v>2570000</v>
      </c>
      <c r="BH358" s="650"/>
      <c r="BI358" s="647"/>
      <c r="BJ358" s="644"/>
      <c r="BK358" s="646">
        <f t="shared" si="125"/>
        <v>0</v>
      </c>
      <c r="BL358" s="651"/>
      <c r="BM358" s="652">
        <f t="shared" si="126"/>
        <v>1</v>
      </c>
      <c r="BN358" s="628"/>
      <c r="BO358" s="670"/>
      <c r="BP358" s="644"/>
      <c r="BQ358" s="644"/>
      <c r="BR358" s="644"/>
      <c r="BS358" s="644"/>
      <c r="BT358" s="644"/>
      <c r="BU358" s="644"/>
      <c r="BV358" s="644"/>
      <c r="BW358" s="644"/>
      <c r="BX358" s="644"/>
      <c r="BY358" s="644"/>
      <c r="BZ358" s="644"/>
      <c r="CA358" s="644"/>
      <c r="CB358" s="646">
        <f t="shared" si="127"/>
        <v>0</v>
      </c>
      <c r="CC358" s="646">
        <f t="shared" si="128"/>
        <v>0</v>
      </c>
      <c r="CD358" s="614"/>
    </row>
    <row r="359" spans="1:85" s="561" customFormat="1" ht="61.5" customHeight="1">
      <c r="A359" s="625" t="str">
        <f t="shared" si="110"/>
        <v xml:space="preserve">1114-140-FONT1114-01-01-0525-Bienes de Interés Cultural de tipo inmueble intervenidos </v>
      </c>
      <c r="B359" s="626" t="str">
        <f t="shared" si="111"/>
        <v>1114-140-FONT1114-01-01-0525</v>
      </c>
      <c r="C359" s="626" t="str">
        <f t="shared" si="112"/>
        <v xml:space="preserve">1114-140-FONT1114-Bienes de Interés Cultural de tipo inmueble intervenidos </v>
      </c>
      <c r="D359" s="626" t="str">
        <f t="shared" si="113"/>
        <v>1114-140-147-Otros Recursos del balance de destinación específica-01-01-0525</v>
      </c>
      <c r="E359" s="626" t="str">
        <f t="shared" si="114"/>
        <v>Bienes de Interés Cultural de tipo inmueble intervenidos -147-Otros Recursos del balance de destinación específica-0525-Recuperación y aprovechamiento de bienes de interés cultural</v>
      </c>
      <c r="F359" s="627">
        <v>317</v>
      </c>
      <c r="G359" s="628">
        <f t="shared" si="115"/>
        <v>317</v>
      </c>
      <c r="H359" s="629" t="b">
        <f t="shared" si="116"/>
        <v>1</v>
      </c>
      <c r="I359" s="630" t="s">
        <v>594</v>
      </c>
      <c r="J359" s="627" t="s">
        <v>180</v>
      </c>
      <c r="K359" s="631" t="str">
        <f>+IFERROR(VLOOKUP(J359,Listas!$A$108:$B$114,2,FALSE),"Alerta: Seleccione la celda en la comumna B con el nombre del proyecto")</f>
        <v>3-3-1-15-02-17-1114-140</v>
      </c>
      <c r="L359" s="632" t="s">
        <v>891</v>
      </c>
      <c r="M359" s="633" t="s">
        <v>892</v>
      </c>
      <c r="N359" s="634" t="str">
        <f t="shared" si="117"/>
        <v>(Cód. 317) Ejecutar las obras por precios unitarios fijos para la restauración de las naves de la Basílica Menor del Sagrado Corazón de Jesús - Iglesia del Voto Nacional.</v>
      </c>
      <c r="O359" s="635">
        <v>43556</v>
      </c>
      <c r="P359" s="636">
        <f>IFERROR(VLOOKUP(W359,'Estimación CRP'!$D$21:$E$30,2,FALSE),0)</f>
        <v>50</v>
      </c>
      <c r="Q359" s="637">
        <f>IF(O359="No aplica","No aplica",WORKDAY.INTL(O359,P359,1,'Estimación CRP'!A545:A561))</f>
        <v>43626</v>
      </c>
      <c r="R359" s="636">
        <f t="shared" si="118"/>
        <v>6</v>
      </c>
      <c r="S359" s="636">
        <f t="shared" si="119"/>
        <v>4</v>
      </c>
      <c r="T359" s="636">
        <f t="shared" si="120"/>
        <v>4</v>
      </c>
      <c r="U359" s="712">
        <v>10</v>
      </c>
      <c r="V359" s="638">
        <v>1</v>
      </c>
      <c r="W359" s="639" t="s">
        <v>258</v>
      </c>
      <c r="X359" s="640" t="str">
        <f>IFERROR(VLOOKUP(W359,Listas!$A$60:$B$73,2,FALSE),"Alerta: Seleccione primero Modalidad de selección")</f>
        <v>CCE-02</v>
      </c>
      <c r="Y359" s="641">
        <v>0</v>
      </c>
      <c r="Z359" s="641" t="s">
        <v>346</v>
      </c>
      <c r="AA359" s="641" t="s">
        <v>1330</v>
      </c>
      <c r="AB359" s="642">
        <f t="shared" si="121"/>
        <v>20000000</v>
      </c>
      <c r="AC359" s="642">
        <f t="shared" si="122"/>
        <v>20000000</v>
      </c>
      <c r="AD359" s="641">
        <v>0</v>
      </c>
      <c r="AE359" s="643">
        <v>0</v>
      </c>
      <c r="AF359" s="639" t="s">
        <v>276</v>
      </c>
      <c r="AG359" s="639" t="s">
        <v>277</v>
      </c>
      <c r="AH359" s="639" t="s">
        <v>573</v>
      </c>
      <c r="AI359" s="626" t="str">
        <f>IFERROR(VLOOKUP(AH359,Listas!$A$77:$C$83,2,FALSE),"Alerta: Seleccione primero el responsable")</f>
        <v>3550800</v>
      </c>
      <c r="AJ359" s="640" t="str">
        <f>IFERROR(VLOOKUP(AH359,Listas!$A$77:$C$83,3,FALSE),"Alerta: Seleccione primero el responsable")</f>
        <v>carolina.fernandez@idpc.gov.co</v>
      </c>
      <c r="AK359" s="640" t="str">
        <f>IF(J359="Funcionamiento Gastos Generales","No aplica",IF(J359="Funcionamiento Servicios Personales indirectos","No aplica",IFERROR(VLOOKUP(J359,Listas!$A$127:$E$139,3,FALSE),"Alerta: Seleccione la celda en la comumna B con el nombre del proyecto")))</f>
        <v>ME20181114</v>
      </c>
      <c r="AL359" s="640" t="str">
        <f>IF(J359="Funcionamiento Gastos Generales","No aplica",IF(J359="Funcionamiento Servicios Personales","No aplica",IFERROR(VLOOKUP(J359,Listas!$A$220:$D$224,2,FALSE),"Alerta: Seleccione la celda en la comumna B con el nombre del proyecto")))</f>
        <v>COMP1114</v>
      </c>
      <c r="AM359" s="640" t="str">
        <f>IF(J359="Funcionamiento Gastos Generales","No aplica",IF(J359="Funcionamiento Servicios Personales","No aplica",IFERROR(VLOOKUP(J359,Listas!$A$220:$D$224,3,FALSE),"Alerta: Seleccione la celda en la comumna B con el nombre del proyecto")))</f>
        <v>CONC1114</v>
      </c>
      <c r="AN359" s="633" t="s">
        <v>1054</v>
      </c>
      <c r="AO359" s="633" t="s">
        <v>62</v>
      </c>
      <c r="AP359" s="634" t="str">
        <f>IFERROR(VLOOKUP(J359,Listas!$A$182:$E$215,5,FALSE),"Alerta: Seleccione la celda en la comumna B con el nombre del proyecto")</f>
        <v>4. Obras de Intervención en Bienes muebles - inmuebles y sectores que conforman el patrimonio cultural del D.C.</v>
      </c>
      <c r="AQ359" s="634" t="str">
        <f>IF(J359="Funcionamiento Gastos Generales","No aplica",IF(J359="Funcionamiento Servicios Personales","No aplica",IFERROR(VLOOKUP(J359,Listas!$A$220:$D$224,4,FALSE),"Alerta: Seleccione la celda en la comumna B con el nombre del proyecto")))</f>
        <v>FONT1114</v>
      </c>
      <c r="AR359" s="633" t="s">
        <v>1056</v>
      </c>
      <c r="AS359" s="634" t="str">
        <f>IFERROR(VLOOKUP(AU359,Listas!$E$85:$L$105,7,FALSE),"Alerta: Seleccione la celda en la comumna AI con el concepto de gasto")</f>
        <v>01-INFRAESTRUCTURA</v>
      </c>
      <c r="AT359" s="634" t="str">
        <f>IFERROR(VLOOKUP(AU359,Listas!$E$85:$L$105,8,FALSE),"Alerta: Seleccione la celda en la comumna AI con el concepto de gasto")</f>
        <v>01-CONSTRUCCION, ADECUACION Y AMPLIACION DE INFRAESTRUCTURA PROPIA DEL SECTOR</v>
      </c>
      <c r="AU359" s="633" t="s">
        <v>422</v>
      </c>
      <c r="AV359" s="634">
        <f>IFERROR(VLOOKUP(AU359,Listas!$E$85:$F$105,2,FALSE),"Alerta: Seleccione el Concepto de Gasto primero")</f>
        <v>0</v>
      </c>
      <c r="AW359" s="644">
        <v>20000000</v>
      </c>
      <c r="AX359" s="645"/>
      <c r="AY359" s="645"/>
      <c r="AZ359" s="645"/>
      <c r="BA359" s="646">
        <f t="shared" si="123"/>
        <v>20000000</v>
      </c>
      <c r="BB359" s="647"/>
      <c r="BC359" s="648"/>
      <c r="BD359" s="649"/>
      <c r="BE359" s="647"/>
      <c r="BF359" s="644"/>
      <c r="BG359" s="646">
        <f t="shared" si="124"/>
        <v>20000000</v>
      </c>
      <c r="BH359" s="650"/>
      <c r="BI359" s="647"/>
      <c r="BJ359" s="644"/>
      <c r="BK359" s="646">
        <f t="shared" si="125"/>
        <v>0</v>
      </c>
      <c r="BL359" s="651"/>
      <c r="BM359" s="652">
        <f t="shared" si="126"/>
        <v>1</v>
      </c>
      <c r="BN359" s="628"/>
      <c r="BO359" s="670"/>
      <c r="BP359" s="644"/>
      <c r="BQ359" s="644"/>
      <c r="BR359" s="644"/>
      <c r="BS359" s="644"/>
      <c r="BT359" s="644"/>
      <c r="BU359" s="644"/>
      <c r="BV359" s="644"/>
      <c r="BW359" s="644"/>
      <c r="BX359" s="644"/>
      <c r="BY359" s="644"/>
      <c r="BZ359" s="644"/>
      <c r="CA359" s="644"/>
      <c r="CB359" s="646">
        <f t="shared" si="127"/>
        <v>0</v>
      </c>
      <c r="CC359" s="646">
        <f t="shared" si="128"/>
        <v>0</v>
      </c>
      <c r="CD359" s="614"/>
    </row>
    <row r="360" spans="1:85" s="561" customFormat="1" ht="61.5" customHeight="1">
      <c r="A360" s="625" t="str">
        <f t="shared" si="110"/>
        <v xml:space="preserve">1114-140-FONT1114-01-01-0525-Bienes de Interés Cultural de tipo inmueble intervenidos </v>
      </c>
      <c r="B360" s="626" t="str">
        <f t="shared" si="111"/>
        <v>1114-140-FONT1114-01-01-0525</v>
      </c>
      <c r="C360" s="626" t="str">
        <f t="shared" si="112"/>
        <v xml:space="preserve">1114-140-FONT1114-Bienes de Interés Cultural de tipo inmueble intervenidos </v>
      </c>
      <c r="D360" s="626" t="str">
        <f t="shared" si="113"/>
        <v>1114-140-265-Recursos del Balance Plusvalía-01-01-0525</v>
      </c>
      <c r="E360" s="626" t="str">
        <f t="shared" si="114"/>
        <v>Bienes de Interés Cultural de tipo inmueble intervenidos -265-Recursos del Balance Plusvalía-0525-Recuperación y aprovechamiento de bienes de interés cultural</v>
      </c>
      <c r="F360" s="627">
        <v>317</v>
      </c>
      <c r="G360" s="628">
        <f t="shared" si="115"/>
        <v>317</v>
      </c>
      <c r="H360" s="629" t="b">
        <f t="shared" si="116"/>
        <v>1</v>
      </c>
      <c r="I360" s="630" t="s">
        <v>594</v>
      </c>
      <c r="J360" s="627" t="s">
        <v>180</v>
      </c>
      <c r="K360" s="631" t="str">
        <f>+IFERROR(VLOOKUP(J360,Listas!$A$108:$B$114,2,FALSE),"Alerta: Seleccione la celda en la comumna B con el nombre del proyecto")</f>
        <v>3-3-1-15-02-17-1114-140</v>
      </c>
      <c r="L360" s="632" t="s">
        <v>891</v>
      </c>
      <c r="M360" s="633" t="s">
        <v>892</v>
      </c>
      <c r="N360" s="634" t="str">
        <f t="shared" si="117"/>
        <v>(Cód. 317) Ejecutar las obras por precios unitarios fijos para la restauración de las naves de la Basílica Menor del Sagrado Corazón de Jesús - Iglesia del Voto Nacional.</v>
      </c>
      <c r="O360" s="635">
        <v>43556</v>
      </c>
      <c r="P360" s="636">
        <f>IFERROR(VLOOKUP(W360,'Estimación CRP'!$D$21:$E$30,2,FALSE),0)</f>
        <v>50</v>
      </c>
      <c r="Q360" s="637">
        <f>IF(O360="No aplica","No aplica",WORKDAY.INTL(O360,P360,1,'Estimación CRP'!A546:A562))</f>
        <v>43626</v>
      </c>
      <c r="R360" s="636">
        <f t="shared" si="118"/>
        <v>6</v>
      </c>
      <c r="S360" s="636">
        <f t="shared" si="119"/>
        <v>4</v>
      </c>
      <c r="T360" s="636">
        <f t="shared" si="120"/>
        <v>4</v>
      </c>
      <c r="U360" s="712">
        <v>10</v>
      </c>
      <c r="V360" s="638">
        <v>1</v>
      </c>
      <c r="W360" s="639" t="s">
        <v>258</v>
      </c>
      <c r="X360" s="640" t="str">
        <f>IFERROR(VLOOKUP(W360,Listas!$A$60:$B$73,2,FALSE),"Alerta: Seleccione primero Modalidad de selección")</f>
        <v>CCE-02</v>
      </c>
      <c r="Y360" s="641">
        <v>0</v>
      </c>
      <c r="Z360" s="641" t="s">
        <v>346</v>
      </c>
      <c r="AA360" s="641" t="s">
        <v>1330</v>
      </c>
      <c r="AB360" s="642">
        <f t="shared" si="121"/>
        <v>725000</v>
      </c>
      <c r="AC360" s="642">
        <f t="shared" si="122"/>
        <v>725000</v>
      </c>
      <c r="AD360" s="641">
        <v>0</v>
      </c>
      <c r="AE360" s="643">
        <v>0</v>
      </c>
      <c r="AF360" s="639" t="s">
        <v>276</v>
      </c>
      <c r="AG360" s="639" t="s">
        <v>277</v>
      </c>
      <c r="AH360" s="639" t="s">
        <v>573</v>
      </c>
      <c r="AI360" s="626" t="str">
        <f>IFERROR(VLOOKUP(AH360,Listas!$A$77:$C$83,2,FALSE),"Alerta: Seleccione primero el responsable")</f>
        <v>3550800</v>
      </c>
      <c r="AJ360" s="640" t="str">
        <f>IFERROR(VLOOKUP(AH360,Listas!$A$77:$C$83,3,FALSE),"Alerta: Seleccione primero el responsable")</f>
        <v>carolina.fernandez@idpc.gov.co</v>
      </c>
      <c r="AK360" s="640" t="str">
        <f>IF(J360="Funcionamiento Gastos Generales","No aplica",IF(J360="Funcionamiento Servicios Personales indirectos","No aplica",IFERROR(VLOOKUP(J360,Listas!$A$127:$E$139,3,FALSE),"Alerta: Seleccione la celda en la comumna B con el nombre del proyecto")))</f>
        <v>ME20181114</v>
      </c>
      <c r="AL360" s="640" t="str">
        <f>IF(J360="Funcionamiento Gastos Generales","No aplica",IF(J360="Funcionamiento Servicios Personales","No aplica",IFERROR(VLOOKUP(J360,Listas!$A$220:$D$224,2,FALSE),"Alerta: Seleccione la celda en la comumna B con el nombre del proyecto")))</f>
        <v>COMP1114</v>
      </c>
      <c r="AM360" s="640" t="str">
        <f>IF(J360="Funcionamiento Gastos Generales","No aplica",IF(J360="Funcionamiento Servicios Personales","No aplica",IFERROR(VLOOKUP(J360,Listas!$A$220:$D$224,3,FALSE),"Alerta: Seleccione la celda en la comumna B con el nombre del proyecto")))</f>
        <v>CONC1114</v>
      </c>
      <c r="AN360" s="633" t="s">
        <v>1054</v>
      </c>
      <c r="AO360" s="633" t="s">
        <v>62</v>
      </c>
      <c r="AP360" s="634" t="str">
        <f>IFERROR(VLOOKUP(J360,Listas!$A$182:$E$215,5,FALSE),"Alerta: Seleccione la celda en la comumna B con el nombre del proyecto")</f>
        <v>4. Obras de Intervención en Bienes muebles - inmuebles y sectores que conforman el patrimonio cultural del D.C.</v>
      </c>
      <c r="AQ360" s="634" t="str">
        <f>IF(J360="Funcionamiento Gastos Generales","No aplica",IF(J360="Funcionamiento Servicios Personales","No aplica",IFERROR(VLOOKUP(J360,Listas!$A$220:$D$224,4,FALSE),"Alerta: Seleccione la celda en la comumna B con el nombre del proyecto")))</f>
        <v>FONT1114</v>
      </c>
      <c r="AR360" s="633" t="s">
        <v>1059</v>
      </c>
      <c r="AS360" s="634" t="str">
        <f>IFERROR(VLOOKUP(AU360,Listas!$E$85:$L$105,7,FALSE),"Alerta: Seleccione la celda en la comumna AI con el concepto de gasto")</f>
        <v>01-INFRAESTRUCTURA</v>
      </c>
      <c r="AT360" s="634" t="str">
        <f>IFERROR(VLOOKUP(AU360,Listas!$E$85:$L$105,8,FALSE),"Alerta: Seleccione la celda en la comumna AI con el concepto de gasto")</f>
        <v>01-CONSTRUCCION, ADECUACION Y AMPLIACION DE INFRAESTRUCTURA PROPIA DEL SECTOR</v>
      </c>
      <c r="AU360" s="633" t="s">
        <v>422</v>
      </c>
      <c r="AV360" s="634">
        <f>IFERROR(VLOOKUP(AU360,Listas!$E$85:$F$105,2,FALSE),"Alerta: Seleccione el Concepto de Gasto primero")</f>
        <v>0</v>
      </c>
      <c r="AW360" s="644">
        <v>725000</v>
      </c>
      <c r="AX360" s="645"/>
      <c r="AY360" s="645"/>
      <c r="AZ360" s="645"/>
      <c r="BA360" s="646">
        <f t="shared" si="123"/>
        <v>725000</v>
      </c>
      <c r="BB360" s="647"/>
      <c r="BC360" s="648"/>
      <c r="BD360" s="649"/>
      <c r="BE360" s="647"/>
      <c r="BF360" s="644"/>
      <c r="BG360" s="646">
        <f t="shared" si="124"/>
        <v>725000</v>
      </c>
      <c r="BH360" s="650"/>
      <c r="BI360" s="647"/>
      <c r="BJ360" s="644"/>
      <c r="BK360" s="646">
        <f t="shared" si="125"/>
        <v>0</v>
      </c>
      <c r="BL360" s="651"/>
      <c r="BM360" s="652">
        <f t="shared" si="126"/>
        <v>1</v>
      </c>
      <c r="BN360" s="628"/>
      <c r="BO360" s="670"/>
      <c r="BP360" s="644"/>
      <c r="BQ360" s="644"/>
      <c r="BR360" s="644"/>
      <c r="BS360" s="644"/>
      <c r="BT360" s="644"/>
      <c r="BU360" s="644"/>
      <c r="BV360" s="644"/>
      <c r="BW360" s="644"/>
      <c r="BX360" s="644"/>
      <c r="BY360" s="644"/>
      <c r="BZ360" s="644"/>
      <c r="CA360" s="644"/>
      <c r="CB360" s="646">
        <f t="shared" si="127"/>
        <v>0</v>
      </c>
      <c r="CC360" s="646">
        <f t="shared" si="128"/>
        <v>0</v>
      </c>
      <c r="CD360" s="614"/>
    </row>
    <row r="361" spans="1:85" s="561" customFormat="1" ht="61.5" customHeight="1">
      <c r="A361" s="625" t="str">
        <f t="shared" si="110"/>
        <v xml:space="preserve">1114-140-FONT1114-01-01-0525-Bienes de Interés Cultural de tipo inmueble intervenidos </v>
      </c>
      <c r="B361" s="626" t="str">
        <f t="shared" si="111"/>
        <v>1114-140-FONT1114-01-01-0525</v>
      </c>
      <c r="C361" s="626" t="str">
        <f t="shared" si="112"/>
        <v xml:space="preserve">1114-140-FONT1114-Bienes de Interés Cultural de tipo inmueble intervenidos </v>
      </c>
      <c r="D361" s="626" t="str">
        <f t="shared" si="113"/>
        <v>1114-140-270-Recursos del Balance Reaforo Plusvalía-01-01-0525</v>
      </c>
      <c r="E361" s="626" t="str">
        <f t="shared" si="114"/>
        <v>Bienes de Interés Cultural de tipo inmueble intervenidos -270-Recursos del Balance Reaforo Plusvalía-0525-Recuperación y aprovechamiento de bienes de interés cultural</v>
      </c>
      <c r="F361" s="627">
        <v>317</v>
      </c>
      <c r="G361" s="628">
        <f t="shared" si="115"/>
        <v>317</v>
      </c>
      <c r="H361" s="629" t="b">
        <f t="shared" si="116"/>
        <v>1</v>
      </c>
      <c r="I361" s="630" t="s">
        <v>594</v>
      </c>
      <c r="J361" s="627" t="s">
        <v>180</v>
      </c>
      <c r="K361" s="631" t="str">
        <f>+IFERROR(VLOOKUP(J361,Listas!$A$108:$B$114,2,FALSE),"Alerta: Seleccione la celda en la comumna B con el nombre del proyecto")</f>
        <v>3-3-1-15-02-17-1114-140</v>
      </c>
      <c r="L361" s="632" t="s">
        <v>891</v>
      </c>
      <c r="M361" s="633" t="s">
        <v>892</v>
      </c>
      <c r="N361" s="634" t="str">
        <f t="shared" si="117"/>
        <v>(Cód. 317) Ejecutar las obras por precios unitarios fijos para la restauración de las naves de la Basílica Menor del Sagrado Corazón de Jesús - Iglesia del Voto Nacional.</v>
      </c>
      <c r="O361" s="635">
        <v>43556</v>
      </c>
      <c r="P361" s="636">
        <f>IFERROR(VLOOKUP(W361,'Estimación CRP'!$D$21:$E$30,2,FALSE),0)</f>
        <v>50</v>
      </c>
      <c r="Q361" s="637">
        <f>IF(O361="No aplica","No aplica",WORKDAY.INTL(O361,P361,1,'Estimación CRP'!A547:A563))</f>
        <v>43626</v>
      </c>
      <c r="R361" s="636">
        <f t="shared" si="118"/>
        <v>6</v>
      </c>
      <c r="S361" s="636">
        <f t="shared" si="119"/>
        <v>4</v>
      </c>
      <c r="T361" s="636">
        <f t="shared" si="120"/>
        <v>4</v>
      </c>
      <c r="U361" s="712">
        <v>10</v>
      </c>
      <c r="V361" s="638">
        <v>1</v>
      </c>
      <c r="W361" s="639" t="s">
        <v>258</v>
      </c>
      <c r="X361" s="640" t="str">
        <f>IFERROR(VLOOKUP(W361,Listas!$A$60:$B$73,2,FALSE),"Alerta: Seleccione primero Modalidad de selección")</f>
        <v>CCE-02</v>
      </c>
      <c r="Y361" s="641">
        <v>0</v>
      </c>
      <c r="Z361" s="641" t="s">
        <v>346</v>
      </c>
      <c r="AA361" s="641" t="s">
        <v>1330</v>
      </c>
      <c r="AB361" s="642">
        <f t="shared" si="121"/>
        <v>528108000</v>
      </c>
      <c r="AC361" s="642">
        <f t="shared" si="122"/>
        <v>528108000</v>
      </c>
      <c r="AD361" s="641">
        <v>0</v>
      </c>
      <c r="AE361" s="643">
        <v>0</v>
      </c>
      <c r="AF361" s="639" t="s">
        <v>276</v>
      </c>
      <c r="AG361" s="639" t="s">
        <v>277</v>
      </c>
      <c r="AH361" s="639" t="s">
        <v>573</v>
      </c>
      <c r="AI361" s="626" t="str">
        <f>IFERROR(VLOOKUP(AH361,Listas!$A$77:$C$83,2,FALSE),"Alerta: Seleccione primero el responsable")</f>
        <v>3550800</v>
      </c>
      <c r="AJ361" s="640" t="str">
        <f>IFERROR(VLOOKUP(AH361,Listas!$A$77:$C$83,3,FALSE),"Alerta: Seleccione primero el responsable")</f>
        <v>carolina.fernandez@idpc.gov.co</v>
      </c>
      <c r="AK361" s="640" t="str">
        <f>IF(J361="Funcionamiento Gastos Generales","No aplica",IF(J361="Funcionamiento Servicios Personales indirectos","No aplica",IFERROR(VLOOKUP(J361,Listas!$A$127:$E$139,3,FALSE),"Alerta: Seleccione la celda en la comumna B con el nombre del proyecto")))</f>
        <v>ME20181114</v>
      </c>
      <c r="AL361" s="640" t="str">
        <f>IF(J361="Funcionamiento Gastos Generales","No aplica",IF(J361="Funcionamiento Servicios Personales","No aplica",IFERROR(VLOOKUP(J361,Listas!$A$220:$D$224,2,FALSE),"Alerta: Seleccione la celda en la comumna B con el nombre del proyecto")))</f>
        <v>COMP1114</v>
      </c>
      <c r="AM361" s="640" t="str">
        <f>IF(J361="Funcionamiento Gastos Generales","No aplica",IF(J361="Funcionamiento Servicios Personales","No aplica",IFERROR(VLOOKUP(J361,Listas!$A$220:$D$224,3,FALSE),"Alerta: Seleccione la celda en la comumna B con el nombre del proyecto")))</f>
        <v>CONC1114</v>
      </c>
      <c r="AN361" s="633" t="s">
        <v>1054</v>
      </c>
      <c r="AO361" s="633" t="s">
        <v>62</v>
      </c>
      <c r="AP361" s="634" t="str">
        <f>IFERROR(VLOOKUP(J361,Listas!$A$182:$E$215,5,FALSE),"Alerta: Seleccione la celda en la comumna B con el nombre del proyecto")</f>
        <v>4. Obras de Intervención en Bienes muebles - inmuebles y sectores que conforman el patrimonio cultural del D.C.</v>
      </c>
      <c r="AQ361" s="634" t="str">
        <f>IF(J361="Funcionamiento Gastos Generales","No aplica",IF(J361="Funcionamiento Servicios Personales","No aplica",IFERROR(VLOOKUP(J361,Listas!$A$220:$D$224,4,FALSE),"Alerta: Seleccione la celda en la comumna B con el nombre del proyecto")))</f>
        <v>FONT1114</v>
      </c>
      <c r="AR361" s="633" t="s">
        <v>1060</v>
      </c>
      <c r="AS361" s="634" t="str">
        <f>IFERROR(VLOOKUP(AU361,Listas!$E$85:$L$105,7,FALSE),"Alerta: Seleccione la celda en la comumna AI con el concepto de gasto")</f>
        <v>01-INFRAESTRUCTURA</v>
      </c>
      <c r="AT361" s="634" t="str">
        <f>IFERROR(VLOOKUP(AU361,Listas!$E$85:$L$105,8,FALSE),"Alerta: Seleccione la celda en la comumna AI con el concepto de gasto")</f>
        <v>01-CONSTRUCCION, ADECUACION Y AMPLIACION DE INFRAESTRUCTURA PROPIA DEL SECTOR</v>
      </c>
      <c r="AU361" s="633" t="s">
        <v>422</v>
      </c>
      <c r="AV361" s="634">
        <f>IFERROR(VLOOKUP(AU361,Listas!$E$85:$F$105,2,FALSE),"Alerta: Seleccione el Concepto de Gasto primero")</f>
        <v>0</v>
      </c>
      <c r="AW361" s="644">
        <v>528108000</v>
      </c>
      <c r="AX361" s="645"/>
      <c r="AY361" s="645"/>
      <c r="AZ361" s="645"/>
      <c r="BA361" s="646">
        <f t="shared" si="123"/>
        <v>528108000</v>
      </c>
      <c r="BB361" s="647"/>
      <c r="BC361" s="648"/>
      <c r="BD361" s="649"/>
      <c r="BE361" s="647"/>
      <c r="BF361" s="644"/>
      <c r="BG361" s="646">
        <f t="shared" si="124"/>
        <v>528108000</v>
      </c>
      <c r="BH361" s="650"/>
      <c r="BI361" s="647"/>
      <c r="BJ361" s="644"/>
      <c r="BK361" s="646">
        <f t="shared" si="125"/>
        <v>0</v>
      </c>
      <c r="BL361" s="651"/>
      <c r="BM361" s="652">
        <f t="shared" si="126"/>
        <v>1</v>
      </c>
      <c r="BN361" s="628"/>
      <c r="BO361" s="670"/>
      <c r="BP361" s="644"/>
      <c r="BQ361" s="644"/>
      <c r="BR361" s="644"/>
      <c r="BS361" s="644"/>
      <c r="BT361" s="644"/>
      <c r="BU361" s="644"/>
      <c r="BV361" s="644"/>
      <c r="BW361" s="644"/>
      <c r="BX361" s="644"/>
      <c r="BY361" s="644"/>
      <c r="BZ361" s="644"/>
      <c r="CA361" s="644"/>
      <c r="CB361" s="646">
        <f t="shared" si="127"/>
        <v>0</v>
      </c>
      <c r="CC361" s="646">
        <f t="shared" si="128"/>
        <v>0</v>
      </c>
      <c r="CD361" s="614"/>
    </row>
    <row r="362" spans="1:85" s="561" customFormat="1" ht="61.5" customHeight="1">
      <c r="A362" s="625" t="str">
        <f t="shared" si="110"/>
        <v xml:space="preserve">1114-140-FONT1114-01-01-0525-Bienes de Interés Cultural de tipo inmueble intervenidos </v>
      </c>
      <c r="B362" s="626" t="str">
        <f t="shared" si="111"/>
        <v>1114-140-FONT1114-01-01-0525</v>
      </c>
      <c r="C362" s="626" t="str">
        <f t="shared" si="112"/>
        <v xml:space="preserve">1114-140-FONT1114-Bienes de Interés Cultural de tipo inmueble intervenidos </v>
      </c>
      <c r="D362" s="626" t="str">
        <f t="shared" si="113"/>
        <v>1114-140-41-Plusvalía-01-01-0525</v>
      </c>
      <c r="E362" s="626" t="str">
        <f t="shared" si="114"/>
        <v>Bienes de Interés Cultural de tipo inmueble intervenidos -41-Plusvalía-0525-Recuperación y aprovechamiento de bienes de interés cultural</v>
      </c>
      <c r="F362" s="627">
        <v>317</v>
      </c>
      <c r="G362" s="628">
        <f t="shared" si="115"/>
        <v>317</v>
      </c>
      <c r="H362" s="629" t="b">
        <f t="shared" si="116"/>
        <v>1</v>
      </c>
      <c r="I362" s="630" t="s">
        <v>594</v>
      </c>
      <c r="J362" s="627" t="s">
        <v>180</v>
      </c>
      <c r="K362" s="631" t="str">
        <f>+IFERROR(VLOOKUP(J362,Listas!$A$108:$B$114,2,FALSE),"Alerta: Seleccione la celda en la comumna B con el nombre del proyecto")</f>
        <v>3-3-1-15-02-17-1114-140</v>
      </c>
      <c r="L362" s="632" t="s">
        <v>891</v>
      </c>
      <c r="M362" s="633" t="s">
        <v>892</v>
      </c>
      <c r="N362" s="634" t="str">
        <f t="shared" si="117"/>
        <v>(Cód. 317) Ejecutar las obras por precios unitarios fijos para la restauración de las naves de la Basílica Menor del Sagrado Corazón de Jesús - Iglesia del Voto Nacional.</v>
      </c>
      <c r="O362" s="635">
        <v>43556</v>
      </c>
      <c r="P362" s="636">
        <f>IFERROR(VLOOKUP(W362,'Estimación CRP'!$D$21:$E$30,2,FALSE),0)</f>
        <v>50</v>
      </c>
      <c r="Q362" s="637">
        <f>IF(O362="No aplica","No aplica",WORKDAY.INTL(O362,P362,1,'Estimación CRP'!A548:A564))</f>
        <v>43626</v>
      </c>
      <c r="R362" s="636">
        <f t="shared" si="118"/>
        <v>6</v>
      </c>
      <c r="S362" s="636">
        <f t="shared" si="119"/>
        <v>4</v>
      </c>
      <c r="T362" s="636">
        <f t="shared" si="120"/>
        <v>4</v>
      </c>
      <c r="U362" s="712">
        <v>10</v>
      </c>
      <c r="V362" s="638">
        <v>1</v>
      </c>
      <c r="W362" s="639" t="s">
        <v>258</v>
      </c>
      <c r="X362" s="640" t="str">
        <f>IFERROR(VLOOKUP(W362,Listas!$A$60:$B$73,2,FALSE),"Alerta: Seleccione primero Modalidad de selección")</f>
        <v>CCE-02</v>
      </c>
      <c r="Y362" s="641">
        <v>0</v>
      </c>
      <c r="Z362" s="641" t="s">
        <v>346</v>
      </c>
      <c r="AA362" s="641" t="s">
        <v>1330</v>
      </c>
      <c r="AB362" s="642">
        <f t="shared" si="121"/>
        <v>864424000</v>
      </c>
      <c r="AC362" s="642">
        <f t="shared" si="122"/>
        <v>864424000</v>
      </c>
      <c r="AD362" s="641">
        <v>0</v>
      </c>
      <c r="AE362" s="643">
        <v>0</v>
      </c>
      <c r="AF362" s="639" t="s">
        <v>276</v>
      </c>
      <c r="AG362" s="639" t="s">
        <v>277</v>
      </c>
      <c r="AH362" s="639" t="s">
        <v>573</v>
      </c>
      <c r="AI362" s="626" t="str">
        <f>IFERROR(VLOOKUP(AH362,Listas!$A$77:$C$83,2,FALSE),"Alerta: Seleccione primero el responsable")</f>
        <v>3550800</v>
      </c>
      <c r="AJ362" s="640" t="str">
        <f>IFERROR(VLOOKUP(AH362,Listas!$A$77:$C$83,3,FALSE),"Alerta: Seleccione primero el responsable")</f>
        <v>carolina.fernandez@idpc.gov.co</v>
      </c>
      <c r="AK362" s="640" t="str">
        <f>IF(J362="Funcionamiento Gastos Generales","No aplica",IF(J362="Funcionamiento Servicios Personales indirectos","No aplica",IFERROR(VLOOKUP(J362,Listas!$A$127:$E$139,3,FALSE),"Alerta: Seleccione la celda en la comumna B con el nombre del proyecto")))</f>
        <v>ME20181114</v>
      </c>
      <c r="AL362" s="640" t="str">
        <f>IF(J362="Funcionamiento Gastos Generales","No aplica",IF(J362="Funcionamiento Servicios Personales","No aplica",IFERROR(VLOOKUP(J362,Listas!$A$220:$D$224,2,FALSE),"Alerta: Seleccione la celda en la comumna B con el nombre del proyecto")))</f>
        <v>COMP1114</v>
      </c>
      <c r="AM362" s="640" t="str">
        <f>IF(J362="Funcionamiento Gastos Generales","No aplica",IF(J362="Funcionamiento Servicios Personales","No aplica",IFERROR(VLOOKUP(J362,Listas!$A$220:$D$224,3,FALSE),"Alerta: Seleccione la celda en la comumna B con el nombre del proyecto")))</f>
        <v>CONC1114</v>
      </c>
      <c r="AN362" s="633" t="s">
        <v>1054</v>
      </c>
      <c r="AO362" s="633" t="s">
        <v>62</v>
      </c>
      <c r="AP362" s="634" t="str">
        <f>IFERROR(VLOOKUP(J362,Listas!$A$182:$E$215,5,FALSE),"Alerta: Seleccione la celda en la comumna B con el nombre del proyecto")</f>
        <v>4. Obras de Intervención en Bienes muebles - inmuebles y sectores que conforman el patrimonio cultural del D.C.</v>
      </c>
      <c r="AQ362" s="634" t="str">
        <f>IF(J362="Funcionamiento Gastos Generales","No aplica",IF(J362="Funcionamiento Servicios Personales","No aplica",IFERROR(VLOOKUP(J362,Listas!$A$220:$D$224,4,FALSE),"Alerta: Seleccione la celda en la comumna B con el nombre del proyecto")))</f>
        <v>FONT1114</v>
      </c>
      <c r="AR362" s="633" t="s">
        <v>218</v>
      </c>
      <c r="AS362" s="634" t="str">
        <f>IFERROR(VLOOKUP(AU362,Listas!$E$85:$L$105,7,FALSE),"Alerta: Seleccione la celda en la comumna AI con el concepto de gasto")</f>
        <v>01-INFRAESTRUCTURA</v>
      </c>
      <c r="AT362" s="634" t="str">
        <f>IFERROR(VLOOKUP(AU362,Listas!$E$85:$L$105,8,FALSE),"Alerta: Seleccione la celda en la comumna AI con el concepto de gasto")</f>
        <v>01-CONSTRUCCION, ADECUACION Y AMPLIACION DE INFRAESTRUCTURA PROPIA DEL SECTOR</v>
      </c>
      <c r="AU362" s="633" t="s">
        <v>422</v>
      </c>
      <c r="AV362" s="634">
        <f>IFERROR(VLOOKUP(AU362,Listas!$E$85:$F$105,2,FALSE),"Alerta: Seleccione el Concepto de Gasto primero")</f>
        <v>0</v>
      </c>
      <c r="AW362" s="644">
        <v>864424000</v>
      </c>
      <c r="AX362" s="645"/>
      <c r="AY362" s="645"/>
      <c r="AZ362" s="645"/>
      <c r="BA362" s="646">
        <f t="shared" si="123"/>
        <v>864424000</v>
      </c>
      <c r="BB362" s="647"/>
      <c r="BC362" s="648"/>
      <c r="BD362" s="649"/>
      <c r="BE362" s="647"/>
      <c r="BF362" s="644"/>
      <c r="BG362" s="646">
        <f t="shared" si="124"/>
        <v>864424000</v>
      </c>
      <c r="BH362" s="650"/>
      <c r="BI362" s="647"/>
      <c r="BJ362" s="644"/>
      <c r="BK362" s="646">
        <f t="shared" si="125"/>
        <v>0</v>
      </c>
      <c r="BL362" s="651"/>
      <c r="BM362" s="652">
        <f t="shared" si="126"/>
        <v>1</v>
      </c>
      <c r="BN362" s="628"/>
      <c r="BO362" s="670"/>
      <c r="BP362" s="644"/>
      <c r="BQ362" s="644"/>
      <c r="BR362" s="644"/>
      <c r="BS362" s="644"/>
      <c r="BT362" s="644"/>
      <c r="BU362" s="644"/>
      <c r="BV362" s="644"/>
      <c r="BW362" s="644"/>
      <c r="BX362" s="644"/>
      <c r="BY362" s="644"/>
      <c r="BZ362" s="644"/>
      <c r="CA362" s="644"/>
      <c r="CB362" s="646">
        <f t="shared" si="127"/>
        <v>0</v>
      </c>
      <c r="CC362" s="646">
        <f t="shared" si="128"/>
        <v>0</v>
      </c>
      <c r="CD362" s="614"/>
    </row>
    <row r="363" spans="1:85" s="561" customFormat="1" ht="61.5" customHeight="1">
      <c r="A363" s="625" t="str">
        <f t="shared" si="110"/>
        <v xml:space="preserve">1114-140-FONT1114-01-01-0525-Bienes de Interés Cultural de tipo inmueble intervenidos </v>
      </c>
      <c r="B363" s="626" t="str">
        <f t="shared" si="111"/>
        <v>1114-140-FONT1114-01-01-0525</v>
      </c>
      <c r="C363" s="626" t="str">
        <f t="shared" si="112"/>
        <v xml:space="preserve">1114-140-FONT1114-Bienes de Interés Cultural de tipo inmueble intervenidos </v>
      </c>
      <c r="D363" s="626" t="str">
        <f t="shared" si="113"/>
        <v>1114-140-555-Impuesto Nacional al Consumo de Telefonía Móvil-01-01-0525</v>
      </c>
      <c r="E363" s="626" t="str">
        <f t="shared" si="114"/>
        <v>Bienes de Interés Cultural de tipo inmueble intervenidos -555-Impuesto Nacional al Consumo de Telefonía Móvil-0525-Recuperación y aprovechamiento de bienes de interés cultural</v>
      </c>
      <c r="F363" s="627">
        <v>317</v>
      </c>
      <c r="G363" s="628">
        <f t="shared" si="115"/>
        <v>317</v>
      </c>
      <c r="H363" s="629" t="b">
        <f t="shared" si="116"/>
        <v>1</v>
      </c>
      <c r="I363" s="630" t="s">
        <v>594</v>
      </c>
      <c r="J363" s="627" t="s">
        <v>180</v>
      </c>
      <c r="K363" s="631" t="str">
        <f>+IFERROR(VLOOKUP(J363,Listas!$A$108:$B$114,2,FALSE),"Alerta: Seleccione la celda en la comumna B con el nombre del proyecto")</f>
        <v>3-3-1-15-02-17-1114-140</v>
      </c>
      <c r="L363" s="632" t="s">
        <v>891</v>
      </c>
      <c r="M363" s="633" t="s">
        <v>892</v>
      </c>
      <c r="N363" s="634" t="str">
        <f t="shared" si="117"/>
        <v>(Cód. 317) Ejecutar las obras por precios unitarios fijos para la restauración de las naves de la Basílica Menor del Sagrado Corazón de Jesús - Iglesia del Voto Nacional.</v>
      </c>
      <c r="O363" s="635">
        <v>43556</v>
      </c>
      <c r="P363" s="636">
        <f>IFERROR(VLOOKUP(W363,'Estimación CRP'!$D$21:$E$30,2,FALSE),0)</f>
        <v>50</v>
      </c>
      <c r="Q363" s="637">
        <f>IF(O363="No aplica","No aplica",WORKDAY.INTL(O363,P363,1,'Estimación CRP'!A549:A565))</f>
        <v>43626</v>
      </c>
      <c r="R363" s="636">
        <f t="shared" si="118"/>
        <v>6</v>
      </c>
      <c r="S363" s="636">
        <f t="shared" si="119"/>
        <v>4</v>
      </c>
      <c r="T363" s="636">
        <f t="shared" si="120"/>
        <v>4</v>
      </c>
      <c r="U363" s="712">
        <v>10</v>
      </c>
      <c r="V363" s="638">
        <v>1</v>
      </c>
      <c r="W363" s="639" t="s">
        <v>258</v>
      </c>
      <c r="X363" s="640" t="str">
        <f>IFERROR(VLOOKUP(W363,Listas!$A$60:$B$73,2,FALSE),"Alerta: Seleccione primero Modalidad de selección")</f>
        <v>CCE-02</v>
      </c>
      <c r="Y363" s="641">
        <v>0</v>
      </c>
      <c r="Z363" s="641" t="s">
        <v>346</v>
      </c>
      <c r="AA363" s="641" t="s">
        <v>1330</v>
      </c>
      <c r="AB363" s="642">
        <f t="shared" si="121"/>
        <v>1137737275</v>
      </c>
      <c r="AC363" s="642">
        <f t="shared" si="122"/>
        <v>1137737275</v>
      </c>
      <c r="AD363" s="641">
        <v>0</v>
      </c>
      <c r="AE363" s="643">
        <v>0</v>
      </c>
      <c r="AF363" s="639" t="s">
        <v>276</v>
      </c>
      <c r="AG363" s="639" t="s">
        <v>277</v>
      </c>
      <c r="AH363" s="639" t="s">
        <v>573</v>
      </c>
      <c r="AI363" s="626" t="str">
        <f>IFERROR(VLOOKUP(AH363,Listas!$A$77:$C$83,2,FALSE),"Alerta: Seleccione primero el responsable")</f>
        <v>3550800</v>
      </c>
      <c r="AJ363" s="640" t="str">
        <f>IFERROR(VLOOKUP(AH363,Listas!$A$77:$C$83,3,FALSE),"Alerta: Seleccione primero el responsable")</f>
        <v>carolina.fernandez@idpc.gov.co</v>
      </c>
      <c r="AK363" s="640" t="str">
        <f>IF(J363="Funcionamiento Gastos Generales","No aplica",IF(J363="Funcionamiento Servicios Personales indirectos","No aplica",IFERROR(VLOOKUP(J363,Listas!$A$127:$E$139,3,FALSE),"Alerta: Seleccione la celda en la comumna B con el nombre del proyecto")))</f>
        <v>ME20181114</v>
      </c>
      <c r="AL363" s="640" t="str">
        <f>IF(J363="Funcionamiento Gastos Generales","No aplica",IF(J363="Funcionamiento Servicios Personales","No aplica",IFERROR(VLOOKUP(J363,Listas!$A$220:$D$224,2,FALSE),"Alerta: Seleccione la celda en la comumna B con el nombre del proyecto")))</f>
        <v>COMP1114</v>
      </c>
      <c r="AM363" s="640" t="str">
        <f>IF(J363="Funcionamiento Gastos Generales","No aplica",IF(J363="Funcionamiento Servicios Personales","No aplica",IFERROR(VLOOKUP(J363,Listas!$A$220:$D$224,3,FALSE),"Alerta: Seleccione la celda en la comumna B con el nombre del proyecto")))</f>
        <v>CONC1114</v>
      </c>
      <c r="AN363" s="633" t="s">
        <v>1054</v>
      </c>
      <c r="AO363" s="633" t="s">
        <v>62</v>
      </c>
      <c r="AP363" s="634" t="str">
        <f>IFERROR(VLOOKUP(J363,Listas!$A$182:$E$215,5,FALSE),"Alerta: Seleccione la celda en la comumna B con el nombre del proyecto")</f>
        <v>4. Obras de Intervención en Bienes muebles - inmuebles y sectores que conforman el patrimonio cultural del D.C.</v>
      </c>
      <c r="AQ363" s="634" t="str">
        <f>IF(J363="Funcionamiento Gastos Generales","No aplica",IF(J363="Funcionamiento Servicios Personales","No aplica",IFERROR(VLOOKUP(J363,Listas!$A$220:$D$224,4,FALSE),"Alerta: Seleccione la celda en la comumna B con el nombre del proyecto")))</f>
        <v>FONT1114</v>
      </c>
      <c r="AR363" s="633" t="s">
        <v>1061</v>
      </c>
      <c r="AS363" s="634" t="str">
        <f>IFERROR(VLOOKUP(AU363,Listas!$E$85:$L$105,7,FALSE),"Alerta: Seleccione la celda en la comumna AI con el concepto de gasto")</f>
        <v>01-INFRAESTRUCTURA</v>
      </c>
      <c r="AT363" s="634" t="str">
        <f>IFERROR(VLOOKUP(AU363,Listas!$E$85:$L$105,8,FALSE),"Alerta: Seleccione la celda en la comumna AI con el concepto de gasto")</f>
        <v>01-CONSTRUCCION, ADECUACION Y AMPLIACION DE INFRAESTRUCTURA PROPIA DEL SECTOR</v>
      </c>
      <c r="AU363" s="633" t="s">
        <v>422</v>
      </c>
      <c r="AV363" s="634">
        <f>IFERROR(VLOOKUP(AU363,Listas!$E$85:$F$105,2,FALSE),"Alerta: Seleccione el Concepto de Gasto primero")</f>
        <v>0</v>
      </c>
      <c r="AW363" s="644">
        <v>1137737275</v>
      </c>
      <c r="AX363" s="645"/>
      <c r="AY363" s="645"/>
      <c r="AZ363" s="645"/>
      <c r="BA363" s="646">
        <f t="shared" si="123"/>
        <v>1137737275</v>
      </c>
      <c r="BB363" s="647"/>
      <c r="BC363" s="648"/>
      <c r="BD363" s="649"/>
      <c r="BE363" s="647"/>
      <c r="BF363" s="644"/>
      <c r="BG363" s="646">
        <f t="shared" si="124"/>
        <v>1137737275</v>
      </c>
      <c r="BH363" s="650"/>
      <c r="BI363" s="647"/>
      <c r="BJ363" s="644"/>
      <c r="BK363" s="646">
        <f t="shared" si="125"/>
        <v>0</v>
      </c>
      <c r="BL363" s="651"/>
      <c r="BM363" s="652">
        <f t="shared" si="126"/>
        <v>1</v>
      </c>
      <c r="BN363" s="628"/>
      <c r="BO363" s="670"/>
      <c r="BP363" s="644"/>
      <c r="BQ363" s="644"/>
      <c r="BR363" s="644"/>
      <c r="BS363" s="644"/>
      <c r="BT363" s="644"/>
      <c r="BU363" s="644"/>
      <c r="BV363" s="644"/>
      <c r="BW363" s="644"/>
      <c r="BX363" s="644"/>
      <c r="BY363" s="644"/>
      <c r="BZ363" s="644"/>
      <c r="CA363" s="644"/>
      <c r="CB363" s="646">
        <f t="shared" si="127"/>
        <v>0</v>
      </c>
      <c r="CC363" s="646">
        <f t="shared" si="128"/>
        <v>0</v>
      </c>
      <c r="CD363" s="614"/>
    </row>
    <row r="364" spans="1:85" s="561" customFormat="1" ht="61.5" customHeight="1">
      <c r="A364" s="625" t="str">
        <f t="shared" si="110"/>
        <v xml:space="preserve">1114-140-FONT1114-01-01-0525-Bienes de Interés Cultural de tipo inmueble intervenidos </v>
      </c>
      <c r="B364" s="626" t="str">
        <f t="shared" si="111"/>
        <v>1114-140-FONT1114-01-01-0525</v>
      </c>
      <c r="C364" s="626" t="str">
        <f t="shared" si="112"/>
        <v xml:space="preserve">1114-140-FONT1114-Bienes de Interés Cultural de tipo inmueble intervenidos </v>
      </c>
      <c r="D364" s="626" t="str">
        <f t="shared" si="113"/>
        <v>1114-140-555-Impuesto Nacional al Consumo de Telefonía Móvil-01-01-0525</v>
      </c>
      <c r="E364" s="626" t="str">
        <f t="shared" si="114"/>
        <v>Bienes de Interés Cultural de tipo inmueble intervenidos -555-Impuesto Nacional al Consumo de Telefonía Móvil-0525-Recuperación y aprovechamiento de bienes de interés cultural</v>
      </c>
      <c r="F364" s="627">
        <v>317</v>
      </c>
      <c r="G364" s="628">
        <f t="shared" si="115"/>
        <v>317</v>
      </c>
      <c r="H364" s="629" t="b">
        <f t="shared" si="116"/>
        <v>1</v>
      </c>
      <c r="I364" s="630" t="s">
        <v>594</v>
      </c>
      <c r="J364" s="627" t="s">
        <v>180</v>
      </c>
      <c r="K364" s="631" t="str">
        <f>+IFERROR(VLOOKUP(J364,Listas!$A$108:$B$114,2,FALSE),"Alerta: Seleccione la celda en la comumna B con el nombre del proyecto")</f>
        <v>3-3-1-15-02-17-1114-140</v>
      </c>
      <c r="L364" s="632" t="s">
        <v>891</v>
      </c>
      <c r="M364" s="633" t="s">
        <v>892</v>
      </c>
      <c r="N364" s="634" t="str">
        <f t="shared" si="117"/>
        <v>(Cód. 317) Ejecutar las obras por precios unitarios fijos para la restauración de las naves de la Basílica Menor del Sagrado Corazón de Jesús - Iglesia del Voto Nacional.</v>
      </c>
      <c r="O364" s="635">
        <v>43556</v>
      </c>
      <c r="P364" s="636">
        <f>IFERROR(VLOOKUP(W364,'Estimación CRP'!$D$21:$E$30,2,FALSE),0)</f>
        <v>50</v>
      </c>
      <c r="Q364" s="637">
        <f>IF(O364="No aplica","No aplica",WORKDAY.INTL(O364,P364,1,'Estimación CRP'!A550:A566))</f>
        <v>43626</v>
      </c>
      <c r="R364" s="636">
        <f t="shared" si="118"/>
        <v>6</v>
      </c>
      <c r="S364" s="636">
        <f t="shared" si="119"/>
        <v>4</v>
      </c>
      <c r="T364" s="636">
        <f t="shared" si="120"/>
        <v>4</v>
      </c>
      <c r="U364" s="712">
        <v>10</v>
      </c>
      <c r="V364" s="638">
        <v>1</v>
      </c>
      <c r="W364" s="639" t="s">
        <v>258</v>
      </c>
      <c r="X364" s="640" t="str">
        <f>IFERROR(VLOOKUP(W364,Listas!$A$60:$B$73,2,FALSE),"Alerta: Seleccione primero Modalidad de selección")</f>
        <v>CCE-02</v>
      </c>
      <c r="Y364" s="641">
        <v>0</v>
      </c>
      <c r="Z364" s="641" t="s">
        <v>346</v>
      </c>
      <c r="AA364" s="641" t="s">
        <v>1330</v>
      </c>
      <c r="AB364" s="642">
        <f t="shared" si="121"/>
        <v>915089725</v>
      </c>
      <c r="AC364" s="642">
        <f t="shared" si="122"/>
        <v>915089725</v>
      </c>
      <c r="AD364" s="641">
        <v>0</v>
      </c>
      <c r="AE364" s="643">
        <v>0</v>
      </c>
      <c r="AF364" s="639" t="s">
        <v>276</v>
      </c>
      <c r="AG364" s="639" t="s">
        <v>277</v>
      </c>
      <c r="AH364" s="639" t="s">
        <v>573</v>
      </c>
      <c r="AI364" s="626" t="str">
        <f>IFERROR(VLOOKUP(AH364,Listas!$A$77:$C$83,2,FALSE),"Alerta: Seleccione primero el responsable")</f>
        <v>3550800</v>
      </c>
      <c r="AJ364" s="640" t="str">
        <f>IFERROR(VLOOKUP(AH364,Listas!$A$77:$C$83,3,FALSE),"Alerta: Seleccione primero el responsable")</f>
        <v>carolina.fernandez@idpc.gov.co</v>
      </c>
      <c r="AK364" s="640" t="str">
        <f>IF(J364="Funcionamiento Gastos Generales","No aplica",IF(J364="Funcionamiento Servicios Personales indirectos","No aplica",IFERROR(VLOOKUP(J364,Listas!$A$127:$E$139,3,FALSE),"Alerta: Seleccione la celda en la comumna B con el nombre del proyecto")))</f>
        <v>ME20181114</v>
      </c>
      <c r="AL364" s="640" t="str">
        <f>IF(J364="Funcionamiento Gastos Generales","No aplica",IF(J364="Funcionamiento Servicios Personales","No aplica",IFERROR(VLOOKUP(J364,Listas!$A$220:$D$224,2,FALSE),"Alerta: Seleccione la celda en la comumna B con el nombre del proyecto")))</f>
        <v>COMP1114</v>
      </c>
      <c r="AM364" s="640" t="str">
        <f>IF(J364="Funcionamiento Gastos Generales","No aplica",IF(J364="Funcionamiento Servicios Personales","No aplica",IFERROR(VLOOKUP(J364,Listas!$A$220:$D$224,3,FALSE),"Alerta: Seleccione la celda en la comumna B con el nombre del proyecto")))</f>
        <v>CONC1114</v>
      </c>
      <c r="AN364" s="633" t="s">
        <v>1054</v>
      </c>
      <c r="AO364" s="633" t="s">
        <v>62</v>
      </c>
      <c r="AP364" s="634" t="str">
        <f>IFERROR(VLOOKUP(J364,Listas!$A$182:$E$215,5,FALSE),"Alerta: Seleccione la celda en la comumna B con el nombre del proyecto")</f>
        <v>4. Obras de Intervención en Bienes muebles - inmuebles y sectores que conforman el patrimonio cultural del D.C.</v>
      </c>
      <c r="AQ364" s="634" t="str">
        <f>IF(J364="Funcionamiento Gastos Generales","No aplica",IF(J364="Funcionamiento Servicios Personales","No aplica",IFERROR(VLOOKUP(J364,Listas!$A$220:$D$224,4,FALSE),"Alerta: Seleccione la celda en la comumna B con el nombre del proyecto")))</f>
        <v>FONT1114</v>
      </c>
      <c r="AR364" s="633" t="s">
        <v>1061</v>
      </c>
      <c r="AS364" s="634" t="str">
        <f>IFERROR(VLOOKUP(AU364,Listas!$E$85:$L$105,7,FALSE),"Alerta: Seleccione la celda en la comumna AI con el concepto de gasto")</f>
        <v>01-INFRAESTRUCTURA</v>
      </c>
      <c r="AT364" s="634" t="str">
        <f>IFERROR(VLOOKUP(AU364,Listas!$E$85:$L$105,8,FALSE),"Alerta: Seleccione la celda en la comumna AI con el concepto de gasto")</f>
        <v>01-CONSTRUCCION, ADECUACION Y AMPLIACION DE INFRAESTRUCTURA PROPIA DEL SECTOR</v>
      </c>
      <c r="AU364" s="633" t="s">
        <v>422</v>
      </c>
      <c r="AV364" s="634">
        <f>IFERROR(VLOOKUP(AU364,Listas!$E$85:$F$105,2,FALSE),"Alerta: Seleccione el Concepto de Gasto primero")</f>
        <v>0</v>
      </c>
      <c r="AW364" s="644">
        <v>915089725</v>
      </c>
      <c r="AX364" s="645"/>
      <c r="AY364" s="645"/>
      <c r="AZ364" s="645"/>
      <c r="BA364" s="646">
        <f t="shared" si="123"/>
        <v>915089725</v>
      </c>
      <c r="BB364" s="647"/>
      <c r="BC364" s="648"/>
      <c r="BD364" s="649"/>
      <c r="BE364" s="647"/>
      <c r="BF364" s="644"/>
      <c r="BG364" s="646">
        <f t="shared" si="124"/>
        <v>915089725</v>
      </c>
      <c r="BH364" s="650"/>
      <c r="BI364" s="647"/>
      <c r="BJ364" s="644"/>
      <c r="BK364" s="646">
        <f t="shared" si="125"/>
        <v>0</v>
      </c>
      <c r="BL364" s="651"/>
      <c r="BM364" s="652">
        <f t="shared" si="126"/>
        <v>1</v>
      </c>
      <c r="BN364" s="628"/>
      <c r="BO364" s="670"/>
      <c r="BP364" s="644"/>
      <c r="BQ364" s="644"/>
      <c r="BR364" s="644"/>
      <c r="BS364" s="644"/>
      <c r="BT364" s="644"/>
      <c r="BU364" s="644"/>
      <c r="BV364" s="644"/>
      <c r="BW364" s="644"/>
      <c r="BX364" s="644"/>
      <c r="BY364" s="644"/>
      <c r="BZ364" s="644"/>
      <c r="CA364" s="644"/>
      <c r="CB364" s="646">
        <f t="shared" si="127"/>
        <v>0</v>
      </c>
      <c r="CC364" s="646">
        <f t="shared" si="128"/>
        <v>0</v>
      </c>
      <c r="CD364" s="614"/>
    </row>
    <row r="365" spans="1:85" s="561" customFormat="1" ht="61.5" customHeight="1">
      <c r="A365" s="625" t="str">
        <f t="shared" si="110"/>
        <v xml:space="preserve">1114-140-FONT1114-01-01-0525-Bienes de Interés Cultural de tipo inmueble intervenidos </v>
      </c>
      <c r="B365" s="626" t="str">
        <f t="shared" si="111"/>
        <v>1114-140-FONT1114-01-01-0525</v>
      </c>
      <c r="C365" s="626" t="str">
        <f t="shared" si="112"/>
        <v xml:space="preserve">1114-140-FONT1114-Bienes de Interés Cultural de tipo inmueble intervenidos </v>
      </c>
      <c r="D365" s="626" t="str">
        <f t="shared" si="113"/>
        <v>1114-140-12-Otros Distrito-01-01-0525</v>
      </c>
      <c r="E365" s="626" t="str">
        <f t="shared" si="114"/>
        <v>Bienes de Interés Cultural de tipo inmueble intervenidos -12-Otros Distrito-0525-Recuperación y aprovechamiento de bienes de interés cultural</v>
      </c>
      <c r="F365" s="627">
        <v>317</v>
      </c>
      <c r="G365" s="628">
        <f t="shared" si="115"/>
        <v>317</v>
      </c>
      <c r="H365" s="629" t="b">
        <f t="shared" si="116"/>
        <v>1</v>
      </c>
      <c r="I365" s="630" t="s">
        <v>594</v>
      </c>
      <c r="J365" s="627" t="s">
        <v>180</v>
      </c>
      <c r="K365" s="631" t="str">
        <f>+IFERROR(VLOOKUP(J365,Listas!$A$108:$B$114,2,FALSE),"Alerta: Seleccione la celda en la comumna B con el nombre del proyecto")</f>
        <v>3-3-1-15-02-17-1114-140</v>
      </c>
      <c r="L365" s="632" t="s">
        <v>891</v>
      </c>
      <c r="M365" s="633" t="s">
        <v>892</v>
      </c>
      <c r="N365" s="634" t="str">
        <f t="shared" si="117"/>
        <v>(Cód. 317) Ejecutar las obras por precios unitarios fijos para la restauración de las naves de la Basílica Menor del Sagrado Corazón de Jesús - Iglesia del Voto Nacional.</v>
      </c>
      <c r="O365" s="635">
        <v>43556</v>
      </c>
      <c r="P365" s="636">
        <f>IFERROR(VLOOKUP(W365,'Estimación CRP'!$D$21:$E$30,2,FALSE),0)</f>
        <v>50</v>
      </c>
      <c r="Q365" s="637">
        <f>IF(O365="No aplica","No aplica",WORKDAY.INTL(O365,P365,1,'Estimación CRP'!A551:A567))</f>
        <v>43626</v>
      </c>
      <c r="R365" s="636">
        <f t="shared" si="118"/>
        <v>6</v>
      </c>
      <c r="S365" s="636">
        <f t="shared" si="119"/>
        <v>4</v>
      </c>
      <c r="T365" s="636">
        <f t="shared" si="120"/>
        <v>4</v>
      </c>
      <c r="U365" s="712">
        <v>10</v>
      </c>
      <c r="V365" s="638">
        <v>1</v>
      </c>
      <c r="W365" s="639" t="s">
        <v>258</v>
      </c>
      <c r="X365" s="640" t="str">
        <f>IFERROR(VLOOKUP(W365,Listas!$A$60:$B$73,2,FALSE),"Alerta: Seleccione primero Modalidad de selección")</f>
        <v>CCE-02</v>
      </c>
      <c r="Y365" s="641">
        <v>0</v>
      </c>
      <c r="Z365" s="641" t="s">
        <v>346</v>
      </c>
      <c r="AA365" s="641" t="s">
        <v>1330</v>
      </c>
      <c r="AB365" s="642">
        <f t="shared" si="121"/>
        <v>1677499868</v>
      </c>
      <c r="AC365" s="642">
        <f t="shared" si="122"/>
        <v>1677499868</v>
      </c>
      <c r="AD365" s="641">
        <v>0</v>
      </c>
      <c r="AE365" s="643">
        <v>0</v>
      </c>
      <c r="AF365" s="639" t="s">
        <v>276</v>
      </c>
      <c r="AG365" s="639" t="s">
        <v>277</v>
      </c>
      <c r="AH365" s="639" t="s">
        <v>573</v>
      </c>
      <c r="AI365" s="626" t="str">
        <f>IFERROR(VLOOKUP(AH365,Listas!$A$77:$C$83,2,FALSE),"Alerta: Seleccione primero el responsable")</f>
        <v>3550800</v>
      </c>
      <c r="AJ365" s="640" t="str">
        <f>IFERROR(VLOOKUP(AH365,Listas!$A$77:$C$83,3,FALSE),"Alerta: Seleccione primero el responsable")</f>
        <v>carolina.fernandez@idpc.gov.co</v>
      </c>
      <c r="AK365" s="640" t="str">
        <f>IF(J365="Funcionamiento Gastos Generales","No aplica",IF(J365="Funcionamiento Servicios Personales indirectos","No aplica",IFERROR(VLOOKUP(J365,Listas!$A$127:$E$139,3,FALSE),"Alerta: Seleccione la celda en la comumna B con el nombre del proyecto")))</f>
        <v>ME20181114</v>
      </c>
      <c r="AL365" s="640" t="str">
        <f>IF(J365="Funcionamiento Gastos Generales","No aplica",IF(J365="Funcionamiento Servicios Personales","No aplica",IFERROR(VLOOKUP(J365,Listas!$A$220:$D$224,2,FALSE),"Alerta: Seleccione la celda en la comumna B con el nombre del proyecto")))</f>
        <v>COMP1114</v>
      </c>
      <c r="AM365" s="640" t="str">
        <f>IF(J365="Funcionamiento Gastos Generales","No aplica",IF(J365="Funcionamiento Servicios Personales","No aplica",IFERROR(VLOOKUP(J365,Listas!$A$220:$D$224,3,FALSE),"Alerta: Seleccione la celda en la comumna B con el nombre del proyecto")))</f>
        <v>CONC1114</v>
      </c>
      <c r="AN365" s="633" t="s">
        <v>1054</v>
      </c>
      <c r="AO365" s="633" t="s">
        <v>62</v>
      </c>
      <c r="AP365" s="634" t="str">
        <f>IFERROR(VLOOKUP(J365,Listas!$A$182:$E$215,5,FALSE),"Alerta: Seleccione la celda en la comumna B con el nombre del proyecto")</f>
        <v>4. Obras de Intervención en Bienes muebles - inmuebles y sectores que conforman el patrimonio cultural del D.C.</v>
      </c>
      <c r="AQ365" s="634" t="str">
        <f>IF(J365="Funcionamiento Gastos Generales","No aplica",IF(J365="Funcionamiento Servicios Personales","No aplica",IFERROR(VLOOKUP(J365,Listas!$A$220:$D$224,4,FALSE),"Alerta: Seleccione la celda en la comumna B con el nombre del proyecto")))</f>
        <v>FONT1114</v>
      </c>
      <c r="AR365" s="633" t="s">
        <v>198</v>
      </c>
      <c r="AS365" s="634" t="str">
        <f>IFERROR(VLOOKUP(AU365,Listas!$E$85:$L$105,7,FALSE),"Alerta: Seleccione la celda en la comumna AI con el concepto de gasto")</f>
        <v>01-INFRAESTRUCTURA</v>
      </c>
      <c r="AT365" s="634" t="str">
        <f>IFERROR(VLOOKUP(AU365,Listas!$E$85:$L$105,8,FALSE),"Alerta: Seleccione la celda en la comumna AI con el concepto de gasto")</f>
        <v>01-CONSTRUCCION, ADECUACION Y AMPLIACION DE INFRAESTRUCTURA PROPIA DEL SECTOR</v>
      </c>
      <c r="AU365" s="633" t="s">
        <v>422</v>
      </c>
      <c r="AV365" s="634">
        <f>IFERROR(VLOOKUP(AU365,Listas!$E$85:$F$105,2,FALSE),"Alerta: Seleccione el Concepto de Gasto primero")</f>
        <v>0</v>
      </c>
      <c r="AW365" s="644">
        <v>1677499868</v>
      </c>
      <c r="AX365" s="645"/>
      <c r="AY365" s="645"/>
      <c r="AZ365" s="645"/>
      <c r="BA365" s="646">
        <f t="shared" si="123"/>
        <v>1677499868</v>
      </c>
      <c r="BB365" s="647"/>
      <c r="BC365" s="648"/>
      <c r="BD365" s="649"/>
      <c r="BE365" s="647"/>
      <c r="BF365" s="644"/>
      <c r="BG365" s="646">
        <f t="shared" si="124"/>
        <v>1677499868</v>
      </c>
      <c r="BH365" s="650"/>
      <c r="BI365" s="647"/>
      <c r="BJ365" s="644"/>
      <c r="BK365" s="646">
        <f t="shared" si="125"/>
        <v>0</v>
      </c>
      <c r="BL365" s="651"/>
      <c r="BM365" s="652">
        <f t="shared" si="126"/>
        <v>1</v>
      </c>
      <c r="BN365" s="628"/>
      <c r="BO365" s="670"/>
      <c r="BP365" s="644"/>
      <c r="BQ365" s="644"/>
      <c r="BR365" s="644"/>
      <c r="BS365" s="644"/>
      <c r="BT365" s="644"/>
      <c r="BU365" s="644"/>
      <c r="BV365" s="644"/>
      <c r="BW365" s="644"/>
      <c r="BX365" s="644"/>
      <c r="BY365" s="644"/>
      <c r="BZ365" s="644"/>
      <c r="CA365" s="644"/>
      <c r="CB365" s="646">
        <f t="shared" si="127"/>
        <v>0</v>
      </c>
      <c r="CC365" s="646">
        <f t="shared" si="128"/>
        <v>0</v>
      </c>
      <c r="CD365" s="614"/>
    </row>
    <row r="366" spans="1:85" s="561" customFormat="1" ht="61.5" customHeight="1">
      <c r="A366" s="625" t="str">
        <f t="shared" si="110"/>
        <v xml:space="preserve">1114-140-FONT1114-01-01-0525-Bienes de Interés Cultural de tipo inmueble intervenidos </v>
      </c>
      <c r="B366" s="626" t="str">
        <f t="shared" si="111"/>
        <v>1114-140-FONT1114-01-01-0525</v>
      </c>
      <c r="C366" s="626" t="str">
        <f t="shared" si="112"/>
        <v xml:space="preserve">1114-140-FONT1114-Bienes de Interés Cultural de tipo inmueble intervenidos </v>
      </c>
      <c r="D366" s="626" t="str">
        <f t="shared" si="113"/>
        <v>1114-140-12-Otros Distrito-01-01-0525</v>
      </c>
      <c r="E366" s="626" t="str">
        <f t="shared" si="114"/>
        <v>Bienes de Interés Cultural de tipo inmueble intervenidos -12-Otros Distrito-0525-Recuperación y aprovechamiento de bienes de interés cultural</v>
      </c>
      <c r="F366" s="627" t="s">
        <v>346</v>
      </c>
      <c r="G366" s="628" t="str">
        <f t="shared" si="115"/>
        <v>N.A.</v>
      </c>
      <c r="H366" s="629" t="b">
        <f t="shared" si="116"/>
        <v>0</v>
      </c>
      <c r="I366" s="630" t="s">
        <v>595</v>
      </c>
      <c r="J366" s="627" t="s">
        <v>180</v>
      </c>
      <c r="K366" s="631" t="str">
        <f>+IFERROR(VLOOKUP(J366,Listas!$A$108:$B$114,2,FALSE),"Alerta: Seleccione la celda en la comumna B con el nombre del proyecto")</f>
        <v>3-3-1-15-02-17-1114-140</v>
      </c>
      <c r="L366" s="632" t="s">
        <v>351</v>
      </c>
      <c r="M366" s="633" t="s">
        <v>893</v>
      </c>
      <c r="N366" s="634" t="str">
        <f t="shared" si="117"/>
        <v>(Cód. N.A.) Pago de trámites y documentación inherente al Proyecto de Intervención de la Iglesia del Voto Nacional del predio ubicado en la Carrera 15 N° 10-43 en la Ciudad de Bogotá, D. C.</v>
      </c>
      <c r="O366" s="635">
        <v>43556</v>
      </c>
      <c r="P366" s="636">
        <f>IFERROR(VLOOKUP(W366,'Estimación CRP'!$D$21:$E$30,2,FALSE),0)</f>
        <v>0</v>
      </c>
      <c r="Q366" s="637">
        <f>IF(O366="No aplica","No aplica",WORKDAY.INTL(O366,P366,1,'Estimación CRP'!A552:A568))</f>
        <v>43556</v>
      </c>
      <c r="R366" s="636">
        <f t="shared" si="118"/>
        <v>4</v>
      </c>
      <c r="S366" s="636">
        <f t="shared" si="119"/>
        <v>4</v>
      </c>
      <c r="T366" s="636">
        <f t="shared" si="120"/>
        <v>4</v>
      </c>
      <c r="U366" s="638">
        <v>0</v>
      </c>
      <c r="V366" s="638">
        <v>0</v>
      </c>
      <c r="W366" s="639" t="s">
        <v>351</v>
      </c>
      <c r="X366" s="640" t="str">
        <f>IFERROR(VLOOKUP(W366,Listas!$A$60:$B$73,2,FALSE),"Alerta: Seleccione primero Modalidad de selección")</f>
        <v>No aplica</v>
      </c>
      <c r="Y366" s="641">
        <v>0</v>
      </c>
      <c r="Z366" s="641" t="s">
        <v>346</v>
      </c>
      <c r="AA366" s="641" t="s">
        <v>1330</v>
      </c>
      <c r="AB366" s="642">
        <f t="shared" si="121"/>
        <v>6000000</v>
      </c>
      <c r="AC366" s="642">
        <f t="shared" si="122"/>
        <v>6000000</v>
      </c>
      <c r="AD366" s="641">
        <v>0</v>
      </c>
      <c r="AE366" s="643">
        <v>0</v>
      </c>
      <c r="AF366" s="639" t="s">
        <v>276</v>
      </c>
      <c r="AG366" s="639" t="s">
        <v>277</v>
      </c>
      <c r="AH366" s="639" t="s">
        <v>573</v>
      </c>
      <c r="AI366" s="626" t="str">
        <f>IFERROR(VLOOKUP(AH366,Listas!$A$77:$C$83,2,FALSE),"Alerta: Seleccione primero el responsable")</f>
        <v>3550800</v>
      </c>
      <c r="AJ366" s="640" t="str">
        <f>IFERROR(VLOOKUP(AH366,Listas!$A$77:$C$83,3,FALSE),"Alerta: Seleccione primero el responsable")</f>
        <v>carolina.fernandez@idpc.gov.co</v>
      </c>
      <c r="AK366" s="640" t="str">
        <f>IF(J366="Funcionamiento Gastos Generales","No aplica",IF(J366="Funcionamiento Servicios Personales indirectos","No aplica",IFERROR(VLOOKUP(J366,Listas!$A$127:$E$139,3,FALSE),"Alerta: Seleccione la celda en la comumna B con el nombre del proyecto")))</f>
        <v>ME20181114</v>
      </c>
      <c r="AL366" s="640" t="str">
        <f>IF(J366="Funcionamiento Gastos Generales","No aplica",IF(J366="Funcionamiento Servicios Personales","No aplica",IFERROR(VLOOKUP(J366,Listas!$A$220:$D$224,2,FALSE),"Alerta: Seleccione la celda en la comumna B con el nombre del proyecto")))</f>
        <v>COMP1114</v>
      </c>
      <c r="AM366" s="640" t="str">
        <f>IF(J366="Funcionamiento Gastos Generales","No aplica",IF(J366="Funcionamiento Servicios Personales","No aplica",IFERROR(VLOOKUP(J366,Listas!$A$220:$D$224,3,FALSE),"Alerta: Seleccione la celda en la comumna B con el nombre del proyecto")))</f>
        <v>CONC1114</v>
      </c>
      <c r="AN366" s="633" t="s">
        <v>1054</v>
      </c>
      <c r="AO366" s="633" t="s">
        <v>62</v>
      </c>
      <c r="AP366" s="634" t="str">
        <f>IFERROR(VLOOKUP(J366,Listas!$A$182:$E$215,5,FALSE),"Alerta: Seleccione la celda en la comumna B con el nombre del proyecto")</f>
        <v>4. Obras de Intervención en Bienes muebles - inmuebles y sectores que conforman el patrimonio cultural del D.C.</v>
      </c>
      <c r="AQ366" s="634" t="str">
        <f>IF(J366="Funcionamiento Gastos Generales","No aplica",IF(J366="Funcionamiento Servicios Personales","No aplica",IFERROR(VLOOKUP(J366,Listas!$A$220:$D$224,4,FALSE),"Alerta: Seleccione la celda en la comumna B con el nombre del proyecto")))</f>
        <v>FONT1114</v>
      </c>
      <c r="AR366" s="633" t="s">
        <v>198</v>
      </c>
      <c r="AS366" s="634" t="str">
        <f>IFERROR(VLOOKUP(AU366,Listas!$E$85:$L$105,7,FALSE),"Alerta: Seleccione la celda en la comumna AI con el concepto de gasto")</f>
        <v>01-INFRAESTRUCTURA</v>
      </c>
      <c r="AT366" s="634" t="str">
        <f>IFERROR(VLOOKUP(AU366,Listas!$E$85:$L$105,8,FALSE),"Alerta: Seleccione la celda en la comumna AI con el concepto de gasto")</f>
        <v>01-CONSTRUCCION, ADECUACION Y AMPLIACION DE INFRAESTRUCTURA PROPIA DEL SECTOR</v>
      </c>
      <c r="AU366" s="633" t="s">
        <v>422</v>
      </c>
      <c r="AV366" s="634">
        <f>IFERROR(VLOOKUP(AU366,Listas!$E$85:$F$105,2,FALSE),"Alerta: Seleccione el Concepto de Gasto primero")</f>
        <v>0</v>
      </c>
      <c r="AW366" s="644">
        <v>6000000</v>
      </c>
      <c r="AX366" s="645"/>
      <c r="AY366" s="645"/>
      <c r="AZ366" s="645"/>
      <c r="BA366" s="646">
        <f t="shared" si="123"/>
        <v>6000000</v>
      </c>
      <c r="BB366" s="647"/>
      <c r="BC366" s="648"/>
      <c r="BD366" s="649"/>
      <c r="BE366" s="647"/>
      <c r="BF366" s="644"/>
      <c r="BG366" s="646">
        <f t="shared" si="124"/>
        <v>6000000</v>
      </c>
      <c r="BH366" s="650"/>
      <c r="BI366" s="647"/>
      <c r="BJ366" s="644"/>
      <c r="BK366" s="646">
        <f t="shared" si="125"/>
        <v>0</v>
      </c>
      <c r="BL366" s="651"/>
      <c r="BM366" s="652">
        <f t="shared" si="126"/>
        <v>1</v>
      </c>
      <c r="BN366" s="628"/>
      <c r="BO366" s="670"/>
      <c r="BP366" s="644"/>
      <c r="BQ366" s="644"/>
      <c r="BR366" s="644"/>
      <c r="BS366" s="644"/>
      <c r="BT366" s="644"/>
      <c r="BU366" s="644"/>
      <c r="BV366" s="644"/>
      <c r="BW366" s="644"/>
      <c r="BX366" s="644"/>
      <c r="BY366" s="644"/>
      <c r="BZ366" s="644"/>
      <c r="CA366" s="644"/>
      <c r="CB366" s="646">
        <f t="shared" si="127"/>
        <v>0</v>
      </c>
      <c r="CC366" s="646">
        <f t="shared" si="128"/>
        <v>0</v>
      </c>
      <c r="CD366" s="614"/>
    </row>
    <row r="367" spans="1:85" s="561" customFormat="1" ht="61.5" customHeight="1">
      <c r="A367" s="625" t="str">
        <f t="shared" si="110"/>
        <v xml:space="preserve">1114-140-FONT1114-01-01-0525-Bienes de Interés Cultural de tipo inmueble intervenidos </v>
      </c>
      <c r="B367" s="626" t="str">
        <f t="shared" si="111"/>
        <v>1114-140-FONT1114-01-01-0525</v>
      </c>
      <c r="C367" s="626" t="str">
        <f t="shared" si="112"/>
        <v xml:space="preserve">1114-140-FONT1114-Bienes de Interés Cultural de tipo inmueble intervenidos </v>
      </c>
      <c r="D367" s="626" t="str">
        <f t="shared" si="113"/>
        <v>1114-140-12-Otros Distrito-01-01-0525</v>
      </c>
      <c r="E367" s="626" t="str">
        <f t="shared" si="114"/>
        <v>Bienes de Interés Cultural de tipo inmueble intervenidos -12-Otros Distrito-0525-Recuperación y aprovechamiento de bienes de interés cultural</v>
      </c>
      <c r="F367" s="627">
        <v>318</v>
      </c>
      <c r="G367" s="628">
        <f t="shared" si="115"/>
        <v>318</v>
      </c>
      <c r="H367" s="629" t="b">
        <f t="shared" si="116"/>
        <v>0</v>
      </c>
      <c r="I367" s="630" t="s">
        <v>594</v>
      </c>
      <c r="J367" s="627" t="s">
        <v>180</v>
      </c>
      <c r="K367" s="631" t="str">
        <f>+IFERROR(VLOOKUP(J367,Listas!$A$108:$B$114,2,FALSE),"Alerta: Seleccione la celda en la comumna B con el nombre del proyecto")</f>
        <v>3-3-1-15-02-17-1114-140</v>
      </c>
      <c r="L367" s="632" t="s">
        <v>891</v>
      </c>
      <c r="M367" s="633" t="s">
        <v>894</v>
      </c>
      <c r="N367" s="634" t="str">
        <f t="shared" si="117"/>
        <v>(Cód. 318) Prestar servicios profesionales al Instituto Distrital de Patrimonio Cultural  para apoyar la revisión y organización de los insumos técnicos y documentación inherente al proyecto de intervención de BIC Voto Nacional.</v>
      </c>
      <c r="O367" s="635">
        <v>43480</v>
      </c>
      <c r="P367" s="636">
        <f>IFERROR(VLOOKUP(W367,'Estimación CRP'!$D$21:$E$30,2,FALSE),0)</f>
        <v>10</v>
      </c>
      <c r="Q367" s="637">
        <f>IF(O367="No aplica","No aplica",WORKDAY.INTL(O367,P367,1,'Estimación CRP'!A553:A569))</f>
        <v>43494</v>
      </c>
      <c r="R367" s="636">
        <f t="shared" si="118"/>
        <v>1</v>
      </c>
      <c r="S367" s="636">
        <f t="shared" si="119"/>
        <v>1</v>
      </c>
      <c r="T367" s="636">
        <f t="shared" si="120"/>
        <v>1</v>
      </c>
      <c r="U367" s="712">
        <v>3</v>
      </c>
      <c r="V367" s="638">
        <v>1</v>
      </c>
      <c r="W367" s="639" t="s">
        <v>274</v>
      </c>
      <c r="X367" s="640" t="str">
        <f>IFERROR(VLOOKUP(W367,Listas!$A$60:$B$73,2,FALSE),"Alerta: Seleccione primero Modalidad de selección")</f>
        <v>CCE-16</v>
      </c>
      <c r="Y367" s="641">
        <v>0</v>
      </c>
      <c r="Z367" s="641" t="s">
        <v>346</v>
      </c>
      <c r="AA367" s="641" t="s">
        <v>1330</v>
      </c>
      <c r="AB367" s="642">
        <f t="shared" si="121"/>
        <v>15846132</v>
      </c>
      <c r="AC367" s="642">
        <f t="shared" si="122"/>
        <v>15846132</v>
      </c>
      <c r="AD367" s="641">
        <v>0</v>
      </c>
      <c r="AE367" s="643">
        <v>0</v>
      </c>
      <c r="AF367" s="639" t="s">
        <v>276</v>
      </c>
      <c r="AG367" s="639" t="s">
        <v>277</v>
      </c>
      <c r="AH367" s="639" t="s">
        <v>573</v>
      </c>
      <c r="AI367" s="626" t="str">
        <f>IFERROR(VLOOKUP(AH367,Listas!$A$77:$C$83,2,FALSE),"Alerta: Seleccione primero el responsable")</f>
        <v>3550800</v>
      </c>
      <c r="AJ367" s="640" t="str">
        <f>IFERROR(VLOOKUP(AH367,Listas!$A$77:$C$83,3,FALSE),"Alerta: Seleccione primero el responsable")</f>
        <v>carolina.fernandez@idpc.gov.co</v>
      </c>
      <c r="AK367" s="640" t="str">
        <f>IF(J367="Funcionamiento Gastos Generales","No aplica",IF(J367="Funcionamiento Servicios Personales indirectos","No aplica",IFERROR(VLOOKUP(J367,Listas!$A$127:$E$139,3,FALSE),"Alerta: Seleccione la celda en la comumna B con el nombre del proyecto")))</f>
        <v>ME20181114</v>
      </c>
      <c r="AL367" s="640" t="str">
        <f>IF(J367="Funcionamiento Gastos Generales","No aplica",IF(J367="Funcionamiento Servicios Personales","No aplica",IFERROR(VLOOKUP(J367,Listas!$A$220:$D$224,2,FALSE),"Alerta: Seleccione la celda en la comumna B con el nombre del proyecto")))</f>
        <v>COMP1114</v>
      </c>
      <c r="AM367" s="640" t="str">
        <f>IF(J367="Funcionamiento Gastos Generales","No aplica",IF(J367="Funcionamiento Servicios Personales","No aplica",IFERROR(VLOOKUP(J367,Listas!$A$220:$D$224,3,FALSE),"Alerta: Seleccione la celda en la comumna B con el nombre del proyecto")))</f>
        <v>CONC1114</v>
      </c>
      <c r="AN367" s="633" t="s">
        <v>1054</v>
      </c>
      <c r="AO367" s="633" t="s">
        <v>62</v>
      </c>
      <c r="AP367" s="634" t="str">
        <f>IFERROR(VLOOKUP(J367,Listas!$A$182:$E$215,5,FALSE),"Alerta: Seleccione la celda en la comumna B con el nombre del proyecto")</f>
        <v>4. Obras de Intervención en Bienes muebles - inmuebles y sectores que conforman el patrimonio cultural del D.C.</v>
      </c>
      <c r="AQ367" s="634" t="str">
        <f>IF(J367="Funcionamiento Gastos Generales","No aplica",IF(J367="Funcionamiento Servicios Personales","No aplica",IFERROR(VLOOKUP(J367,Listas!$A$220:$D$224,4,FALSE),"Alerta: Seleccione la celda en la comumna B con el nombre del proyecto")))</f>
        <v>FONT1114</v>
      </c>
      <c r="AR367" s="633" t="s">
        <v>198</v>
      </c>
      <c r="AS367" s="634" t="str">
        <f>IFERROR(VLOOKUP(AU367,Listas!$E$85:$L$105,7,FALSE),"Alerta: Seleccione la celda en la comumna AI con el concepto de gasto")</f>
        <v>01-INFRAESTRUCTURA</v>
      </c>
      <c r="AT367" s="634" t="str">
        <f>IFERROR(VLOOKUP(AU367,Listas!$E$85:$L$105,8,FALSE),"Alerta: Seleccione la celda en la comumna AI con el concepto de gasto")</f>
        <v>01-CONSTRUCCION, ADECUACION Y AMPLIACION DE INFRAESTRUCTURA PROPIA DEL SECTOR</v>
      </c>
      <c r="AU367" s="633" t="s">
        <v>422</v>
      </c>
      <c r="AV367" s="634">
        <f>IFERROR(VLOOKUP(AU367,Listas!$E$85:$F$105,2,FALSE),"Alerta: Seleccione el Concepto de Gasto primero")</f>
        <v>0</v>
      </c>
      <c r="AW367" s="644">
        <v>15846132</v>
      </c>
      <c r="AX367" s="645"/>
      <c r="AY367" s="645"/>
      <c r="AZ367" s="645"/>
      <c r="BA367" s="646">
        <f t="shared" si="123"/>
        <v>15846132</v>
      </c>
      <c r="BB367" s="647"/>
      <c r="BC367" s="648"/>
      <c r="BD367" s="649"/>
      <c r="BE367" s="647"/>
      <c r="BF367" s="644"/>
      <c r="BG367" s="646">
        <f t="shared" si="124"/>
        <v>15846132</v>
      </c>
      <c r="BH367" s="650"/>
      <c r="BI367" s="647"/>
      <c r="BJ367" s="644"/>
      <c r="BK367" s="646">
        <f t="shared" si="125"/>
        <v>0</v>
      </c>
      <c r="BL367" s="651"/>
      <c r="BM367" s="652">
        <f t="shared" si="126"/>
        <v>1</v>
      </c>
      <c r="BN367" s="628"/>
      <c r="BO367" s="670"/>
      <c r="BP367" s="644"/>
      <c r="BQ367" s="644"/>
      <c r="BR367" s="644"/>
      <c r="BS367" s="644"/>
      <c r="BT367" s="644"/>
      <c r="BU367" s="644"/>
      <c r="BV367" s="644"/>
      <c r="BW367" s="644"/>
      <c r="BX367" s="644"/>
      <c r="BY367" s="644"/>
      <c r="BZ367" s="644"/>
      <c r="CA367" s="644"/>
      <c r="CB367" s="646">
        <f t="shared" si="127"/>
        <v>0</v>
      </c>
      <c r="CC367" s="646">
        <f t="shared" si="128"/>
        <v>0</v>
      </c>
      <c r="CD367" s="614"/>
      <c r="CG367" s="561" t="s">
        <v>589</v>
      </c>
    </row>
    <row r="368" spans="1:85" s="561" customFormat="1" ht="61.5" customHeight="1">
      <c r="A368" s="625" t="str">
        <f t="shared" si="110"/>
        <v xml:space="preserve">1114-140-FONT1114-01-01-0525-Bienes de Interés Cultural de tipo inmueble intervenidos </v>
      </c>
      <c r="B368" s="626" t="str">
        <f t="shared" si="111"/>
        <v>1114-140-FONT1114-01-01-0525</v>
      </c>
      <c r="C368" s="626" t="str">
        <f t="shared" si="112"/>
        <v xml:space="preserve">1114-140-FONT1114-Bienes de Interés Cultural de tipo inmueble intervenidos </v>
      </c>
      <c r="D368" s="626" t="str">
        <f t="shared" si="113"/>
        <v>1114-140-12-Otros Distrito-01-01-0525</v>
      </c>
      <c r="E368" s="626" t="str">
        <f t="shared" si="114"/>
        <v>Bienes de Interés Cultural de tipo inmueble intervenidos -12-Otros Distrito-0525-Recuperación y aprovechamiento de bienes de interés cultural</v>
      </c>
      <c r="F368" s="627">
        <v>319</v>
      </c>
      <c r="G368" s="628">
        <f t="shared" si="115"/>
        <v>319</v>
      </c>
      <c r="H368" s="629" t="b">
        <f t="shared" si="116"/>
        <v>0</v>
      </c>
      <c r="I368" s="630" t="s">
        <v>594</v>
      </c>
      <c r="J368" s="627" t="s">
        <v>180</v>
      </c>
      <c r="K368" s="631" t="str">
        <f>+IFERROR(VLOOKUP(J368,Listas!$A$108:$B$114,2,FALSE),"Alerta: Seleccione la celda en la comumna B con el nombre del proyecto")</f>
        <v>3-3-1-15-02-17-1114-140</v>
      </c>
      <c r="L368" s="632" t="s">
        <v>895</v>
      </c>
      <c r="M368" s="633" t="s">
        <v>896</v>
      </c>
      <c r="N368" s="634" t="str">
        <f t="shared" si="117"/>
        <v>(Cód. 319) Realizar la interventoría integral del contrato de obra que tiene por objeto: "Ejecutar las obras por precios unitarios fijos para la restauración de las naves de la Basílica Menor del Sagrado Corazón de Jesús - Iglesia del Voto Nacional."</v>
      </c>
      <c r="O368" s="635">
        <v>43570</v>
      </c>
      <c r="P368" s="636">
        <f>IFERROR(VLOOKUP(W368,'Estimación CRP'!$D$21:$E$30,2,FALSE),0)</f>
        <v>45</v>
      </c>
      <c r="Q368" s="637">
        <f>IF(O368="No aplica","No aplica",WORKDAY.INTL(O368,P368,1,'Estimación CRP'!A554:A570))</f>
        <v>43633</v>
      </c>
      <c r="R368" s="636">
        <f t="shared" si="118"/>
        <v>6</v>
      </c>
      <c r="S368" s="636">
        <f t="shared" si="119"/>
        <v>4</v>
      </c>
      <c r="T368" s="636">
        <f t="shared" si="120"/>
        <v>4</v>
      </c>
      <c r="U368" s="712">
        <v>11</v>
      </c>
      <c r="V368" s="638">
        <v>1</v>
      </c>
      <c r="W368" s="639" t="s">
        <v>350</v>
      </c>
      <c r="X368" s="640" t="str">
        <f>IFERROR(VLOOKUP(W368,Listas!$A$60:$B$73,2,FALSE),"Alerta: Seleccione primero Modalidad de selección")</f>
        <v>CCE-04</v>
      </c>
      <c r="Y368" s="641">
        <v>0</v>
      </c>
      <c r="Z368" s="641" t="s">
        <v>346</v>
      </c>
      <c r="AA368" s="641" t="s">
        <v>1330</v>
      </c>
      <c r="AB368" s="642">
        <f t="shared" si="121"/>
        <v>832000000</v>
      </c>
      <c r="AC368" s="642">
        <f t="shared" si="122"/>
        <v>832000000</v>
      </c>
      <c r="AD368" s="641">
        <v>0</v>
      </c>
      <c r="AE368" s="643">
        <v>0</v>
      </c>
      <c r="AF368" s="639" t="s">
        <v>276</v>
      </c>
      <c r="AG368" s="639" t="s">
        <v>277</v>
      </c>
      <c r="AH368" s="639" t="s">
        <v>573</v>
      </c>
      <c r="AI368" s="626" t="str">
        <f>IFERROR(VLOOKUP(AH368,Listas!$A$77:$C$83,2,FALSE),"Alerta: Seleccione primero el responsable")</f>
        <v>3550800</v>
      </c>
      <c r="AJ368" s="640" t="str">
        <f>IFERROR(VLOOKUP(AH368,Listas!$A$77:$C$83,3,FALSE),"Alerta: Seleccione primero el responsable")</f>
        <v>carolina.fernandez@idpc.gov.co</v>
      </c>
      <c r="AK368" s="640" t="str">
        <f>IF(J368="Funcionamiento Gastos Generales","No aplica",IF(J368="Funcionamiento Servicios Personales indirectos","No aplica",IFERROR(VLOOKUP(J368,Listas!$A$127:$E$139,3,FALSE),"Alerta: Seleccione la celda en la comumna B con el nombre del proyecto")))</f>
        <v>ME20181114</v>
      </c>
      <c r="AL368" s="640" t="str">
        <f>IF(J368="Funcionamiento Gastos Generales","No aplica",IF(J368="Funcionamiento Servicios Personales","No aplica",IFERROR(VLOOKUP(J368,Listas!$A$220:$D$224,2,FALSE),"Alerta: Seleccione la celda en la comumna B con el nombre del proyecto")))</f>
        <v>COMP1114</v>
      </c>
      <c r="AM368" s="640" t="str">
        <f>IF(J368="Funcionamiento Gastos Generales","No aplica",IF(J368="Funcionamiento Servicios Personales","No aplica",IFERROR(VLOOKUP(J368,Listas!$A$220:$D$224,3,FALSE),"Alerta: Seleccione la celda en la comumna B con el nombre del proyecto")))</f>
        <v>CONC1114</v>
      </c>
      <c r="AN368" s="633" t="s">
        <v>1054</v>
      </c>
      <c r="AO368" s="633" t="s">
        <v>62</v>
      </c>
      <c r="AP368" s="634" t="str">
        <f>IFERROR(VLOOKUP(J368,Listas!$A$182:$E$215,5,FALSE),"Alerta: Seleccione la celda en la comumna B con el nombre del proyecto")</f>
        <v>4. Obras de Intervención en Bienes muebles - inmuebles y sectores que conforman el patrimonio cultural del D.C.</v>
      </c>
      <c r="AQ368" s="634" t="str">
        <f>IF(J368="Funcionamiento Gastos Generales","No aplica",IF(J368="Funcionamiento Servicios Personales","No aplica",IFERROR(VLOOKUP(J368,Listas!$A$220:$D$224,4,FALSE),"Alerta: Seleccione la celda en la comumna B con el nombre del proyecto")))</f>
        <v>FONT1114</v>
      </c>
      <c r="AR368" s="633" t="s">
        <v>198</v>
      </c>
      <c r="AS368" s="634" t="str">
        <f>IFERROR(VLOOKUP(AU368,Listas!$E$85:$L$105,7,FALSE),"Alerta: Seleccione la celda en la comumna AI con el concepto de gasto")</f>
        <v>01-INFRAESTRUCTURA</v>
      </c>
      <c r="AT368" s="634" t="str">
        <f>IFERROR(VLOOKUP(AU368,Listas!$E$85:$L$105,8,FALSE),"Alerta: Seleccione la celda en la comumna AI con el concepto de gasto")</f>
        <v>01-CONSTRUCCION, ADECUACION Y AMPLIACION DE INFRAESTRUCTURA PROPIA DEL SECTOR</v>
      </c>
      <c r="AU368" s="633" t="s">
        <v>422</v>
      </c>
      <c r="AV368" s="634">
        <f>IFERROR(VLOOKUP(AU368,Listas!$E$85:$F$105,2,FALSE),"Alerta: Seleccione el Concepto de Gasto primero")</f>
        <v>0</v>
      </c>
      <c r="AW368" s="644">
        <v>832000000</v>
      </c>
      <c r="AX368" s="645"/>
      <c r="AY368" s="645"/>
      <c r="AZ368" s="645"/>
      <c r="BA368" s="646">
        <f t="shared" si="123"/>
        <v>832000000</v>
      </c>
      <c r="BB368" s="647"/>
      <c r="BC368" s="648"/>
      <c r="BD368" s="649"/>
      <c r="BE368" s="647"/>
      <c r="BF368" s="644"/>
      <c r="BG368" s="646">
        <f t="shared" si="124"/>
        <v>832000000</v>
      </c>
      <c r="BH368" s="650"/>
      <c r="BI368" s="647"/>
      <c r="BJ368" s="644"/>
      <c r="BK368" s="646">
        <f t="shared" si="125"/>
        <v>0</v>
      </c>
      <c r="BL368" s="651"/>
      <c r="BM368" s="652">
        <f t="shared" si="126"/>
        <v>1</v>
      </c>
      <c r="BN368" s="628"/>
      <c r="BO368" s="670"/>
      <c r="BP368" s="644"/>
      <c r="BQ368" s="644"/>
      <c r="BR368" s="644"/>
      <c r="BS368" s="644"/>
      <c r="BT368" s="644"/>
      <c r="BU368" s="644"/>
      <c r="BV368" s="644"/>
      <c r="BW368" s="644"/>
      <c r="BX368" s="644"/>
      <c r="BY368" s="644"/>
      <c r="BZ368" s="644"/>
      <c r="CA368" s="644"/>
      <c r="CB368" s="646">
        <f t="shared" si="127"/>
        <v>0</v>
      </c>
      <c r="CC368" s="646">
        <f t="shared" si="128"/>
        <v>0</v>
      </c>
      <c r="CD368" s="614"/>
      <c r="CG368" s="561" t="s">
        <v>589</v>
      </c>
    </row>
    <row r="369" spans="1:85" s="561" customFormat="1" ht="61.5" customHeight="1">
      <c r="A369" s="625" t="str">
        <f t="shared" si="110"/>
        <v xml:space="preserve">1114-140-FONT1114-01-01-0525-Bienes de Interés Cultural de tipo inmueble intervenidos </v>
      </c>
      <c r="B369" s="626" t="str">
        <f t="shared" si="111"/>
        <v>1114-140-FONT1114-01-01-0525</v>
      </c>
      <c r="C369" s="626" t="str">
        <f t="shared" si="112"/>
        <v xml:space="preserve">1114-140-FONT1114-Bienes de Interés Cultural de tipo inmueble intervenidos </v>
      </c>
      <c r="D369" s="626" t="str">
        <f t="shared" si="113"/>
        <v>1114-140-12-Otros Distrito-01-01-0525</v>
      </c>
      <c r="E369" s="626" t="str">
        <f t="shared" si="114"/>
        <v>Bienes de Interés Cultural de tipo inmueble intervenidos -12-Otros Distrito-0525-Recuperación y aprovechamiento de bienes de interés cultural</v>
      </c>
      <c r="F369" s="627">
        <v>320</v>
      </c>
      <c r="G369" s="628">
        <f t="shared" si="115"/>
        <v>320</v>
      </c>
      <c r="H369" s="629" t="b">
        <f t="shared" si="116"/>
        <v>0</v>
      </c>
      <c r="I369" s="630" t="s">
        <v>594</v>
      </c>
      <c r="J369" s="627" t="s">
        <v>180</v>
      </c>
      <c r="K369" s="631" t="str">
        <f>+IFERROR(VLOOKUP(J369,Listas!$A$108:$B$114,2,FALSE),"Alerta: Seleccione la celda en la comumna B con el nombre del proyecto")</f>
        <v>3-3-1-15-02-17-1114-140</v>
      </c>
      <c r="L369" s="632" t="s">
        <v>886</v>
      </c>
      <c r="M369" s="633" t="s">
        <v>897</v>
      </c>
      <c r="N369" s="634" t="str">
        <f t="shared" si="117"/>
        <v xml:space="preserve">(Cód. 320) Ejecutar bajo la modalidad de precios unitarios fijos las obras en la Fachada de la Plaza de Toros la Santamaría, en la ciudad de Bogotá D.C. </v>
      </c>
      <c r="O369" s="635">
        <v>43600</v>
      </c>
      <c r="P369" s="636">
        <f>IFERROR(VLOOKUP(W369,'Estimación CRP'!$D$21:$E$30,2,FALSE),0)</f>
        <v>50</v>
      </c>
      <c r="Q369" s="637">
        <f>IF(O369="No aplica","No aplica",WORKDAY.INTL(O369,P369,1,'Estimación CRP'!A555:A571))</f>
        <v>43670</v>
      </c>
      <c r="R369" s="636">
        <f t="shared" si="118"/>
        <v>7</v>
      </c>
      <c r="S369" s="636">
        <f t="shared" si="119"/>
        <v>5</v>
      </c>
      <c r="T369" s="636">
        <f t="shared" si="120"/>
        <v>5</v>
      </c>
      <c r="U369" s="712">
        <v>8</v>
      </c>
      <c r="V369" s="638">
        <v>1</v>
      </c>
      <c r="W369" s="639" t="s">
        <v>258</v>
      </c>
      <c r="X369" s="640" t="str">
        <f>IFERROR(VLOOKUP(W369,Listas!$A$60:$B$73,2,FALSE),"Alerta: Seleccione primero Modalidad de selección")</f>
        <v>CCE-02</v>
      </c>
      <c r="Y369" s="641">
        <v>0</v>
      </c>
      <c r="Z369" s="641" t="s">
        <v>346</v>
      </c>
      <c r="AA369" s="641" t="s">
        <v>1331</v>
      </c>
      <c r="AB369" s="642">
        <f t="shared" si="121"/>
        <v>417804600</v>
      </c>
      <c r="AC369" s="642">
        <f t="shared" si="122"/>
        <v>417804600</v>
      </c>
      <c r="AD369" s="641">
        <v>0</v>
      </c>
      <c r="AE369" s="643">
        <v>0</v>
      </c>
      <c r="AF369" s="639" t="s">
        <v>276</v>
      </c>
      <c r="AG369" s="639" t="s">
        <v>277</v>
      </c>
      <c r="AH369" s="639" t="s">
        <v>573</v>
      </c>
      <c r="AI369" s="626" t="str">
        <f>IFERROR(VLOOKUP(AH369,Listas!$A$77:$C$83,2,FALSE),"Alerta: Seleccione primero el responsable")</f>
        <v>3550800</v>
      </c>
      <c r="AJ369" s="640" t="str">
        <f>IFERROR(VLOOKUP(AH369,Listas!$A$77:$C$83,3,FALSE),"Alerta: Seleccione primero el responsable")</f>
        <v>carolina.fernandez@idpc.gov.co</v>
      </c>
      <c r="AK369" s="640" t="str">
        <f>IF(J369="Funcionamiento Gastos Generales","No aplica",IF(J369="Funcionamiento Servicios Personales indirectos","No aplica",IFERROR(VLOOKUP(J369,Listas!$A$127:$E$139,3,FALSE),"Alerta: Seleccione la celda en la comumna B con el nombre del proyecto")))</f>
        <v>ME20181114</v>
      </c>
      <c r="AL369" s="640" t="str">
        <f>IF(J369="Funcionamiento Gastos Generales","No aplica",IF(J369="Funcionamiento Servicios Personales","No aplica",IFERROR(VLOOKUP(J369,Listas!$A$220:$D$224,2,FALSE),"Alerta: Seleccione la celda en la comumna B con el nombre del proyecto")))</f>
        <v>COMP1114</v>
      </c>
      <c r="AM369" s="640" t="str">
        <f>IF(J369="Funcionamiento Gastos Generales","No aplica",IF(J369="Funcionamiento Servicios Personales","No aplica",IFERROR(VLOOKUP(J369,Listas!$A$220:$D$224,3,FALSE),"Alerta: Seleccione la celda en la comumna B con el nombre del proyecto")))</f>
        <v>CONC1114</v>
      </c>
      <c r="AN369" s="633" t="s">
        <v>1054</v>
      </c>
      <c r="AO369" s="633" t="s">
        <v>62</v>
      </c>
      <c r="AP369" s="634" t="str">
        <f>IFERROR(VLOOKUP(J369,Listas!$A$182:$E$215,5,FALSE),"Alerta: Seleccione la celda en la comumna B con el nombre del proyecto")</f>
        <v>4. Obras de Intervención en Bienes muebles - inmuebles y sectores que conforman el patrimonio cultural del D.C.</v>
      </c>
      <c r="AQ369" s="634" t="str">
        <f>IF(J369="Funcionamiento Gastos Generales","No aplica",IF(J369="Funcionamiento Servicios Personales","No aplica",IFERROR(VLOOKUP(J369,Listas!$A$220:$D$224,4,FALSE),"Alerta: Seleccione la celda en la comumna B con el nombre del proyecto")))</f>
        <v>FONT1114</v>
      </c>
      <c r="AR369" s="633" t="s">
        <v>198</v>
      </c>
      <c r="AS369" s="634" t="str">
        <f>IFERROR(VLOOKUP(AU369,Listas!$E$85:$L$105,7,FALSE),"Alerta: Seleccione la celda en la comumna AI con el concepto de gasto")</f>
        <v>01-INFRAESTRUCTURA</v>
      </c>
      <c r="AT369" s="634" t="str">
        <f>IFERROR(VLOOKUP(AU369,Listas!$E$85:$L$105,8,FALSE),"Alerta: Seleccione la celda en la comumna AI con el concepto de gasto")</f>
        <v>01-CONSTRUCCION, ADECUACION Y AMPLIACION DE INFRAESTRUCTURA PROPIA DEL SECTOR</v>
      </c>
      <c r="AU369" s="633" t="s">
        <v>422</v>
      </c>
      <c r="AV369" s="634">
        <f>IFERROR(VLOOKUP(AU369,Listas!$E$85:$F$105,2,FALSE),"Alerta: Seleccione el Concepto de Gasto primero")</f>
        <v>0</v>
      </c>
      <c r="AW369" s="644">
        <v>417804600</v>
      </c>
      <c r="AX369" s="645"/>
      <c r="AY369" s="645"/>
      <c r="AZ369" s="645"/>
      <c r="BA369" s="646">
        <f t="shared" si="123"/>
        <v>417804600</v>
      </c>
      <c r="BB369" s="647"/>
      <c r="BC369" s="648"/>
      <c r="BD369" s="649"/>
      <c r="BE369" s="647"/>
      <c r="BF369" s="644"/>
      <c r="BG369" s="646">
        <f t="shared" si="124"/>
        <v>417804600</v>
      </c>
      <c r="BH369" s="650"/>
      <c r="BI369" s="647"/>
      <c r="BJ369" s="644"/>
      <c r="BK369" s="646">
        <f t="shared" si="125"/>
        <v>0</v>
      </c>
      <c r="BL369" s="651"/>
      <c r="BM369" s="652">
        <f t="shared" si="126"/>
        <v>1</v>
      </c>
      <c r="BN369" s="628"/>
      <c r="BO369" s="670"/>
      <c r="BP369" s="644"/>
      <c r="BQ369" s="644"/>
      <c r="BR369" s="644"/>
      <c r="BS369" s="644"/>
      <c r="BT369" s="644"/>
      <c r="BU369" s="644"/>
      <c r="BV369" s="644"/>
      <c r="BW369" s="644"/>
      <c r="BX369" s="644"/>
      <c r="BY369" s="644"/>
      <c r="BZ369" s="644"/>
      <c r="CA369" s="644"/>
      <c r="CB369" s="646">
        <f t="shared" si="127"/>
        <v>0</v>
      </c>
      <c r="CC369" s="646">
        <f t="shared" si="128"/>
        <v>0</v>
      </c>
      <c r="CD369" s="614"/>
      <c r="CG369" s="561" t="s">
        <v>589</v>
      </c>
    </row>
    <row r="370" spans="1:85" s="561" customFormat="1" ht="61.5" customHeight="1">
      <c r="A370" s="625" t="str">
        <f t="shared" si="110"/>
        <v xml:space="preserve">1114-140-FONT1114-01-01-0525-Bienes de Interés Cultural de tipo inmueble intervenidos </v>
      </c>
      <c r="B370" s="626" t="str">
        <f t="shared" si="111"/>
        <v>1114-140-FONT1114-01-01-0525</v>
      </c>
      <c r="C370" s="626" t="str">
        <f t="shared" si="112"/>
        <v xml:space="preserve">1114-140-FONT1114-Bienes de Interés Cultural de tipo inmueble intervenidos </v>
      </c>
      <c r="D370" s="626" t="str">
        <f t="shared" si="113"/>
        <v>1114-140-12-Otros Distrito-01-01-0525</v>
      </c>
      <c r="E370" s="626" t="str">
        <f t="shared" si="114"/>
        <v>Bienes de Interés Cultural de tipo inmueble intervenidos -12-Otros Distrito-0525-Recuperación y aprovechamiento de bienes de interés cultural</v>
      </c>
      <c r="F370" s="627" t="s">
        <v>346</v>
      </c>
      <c r="G370" s="628" t="str">
        <f t="shared" si="115"/>
        <v>N.A.</v>
      </c>
      <c r="H370" s="629" t="b">
        <f t="shared" si="116"/>
        <v>0</v>
      </c>
      <c r="I370" s="630" t="s">
        <v>595</v>
      </c>
      <c r="J370" s="627" t="s">
        <v>180</v>
      </c>
      <c r="K370" s="631" t="str">
        <f>+IFERROR(VLOOKUP(J370,Listas!$A$108:$B$114,2,FALSE),"Alerta: Seleccione la celda en la comumna B con el nombre del proyecto")</f>
        <v>3-3-1-15-02-17-1114-140</v>
      </c>
      <c r="L370" s="632" t="s">
        <v>351</v>
      </c>
      <c r="M370" s="633" t="s">
        <v>898</v>
      </c>
      <c r="N370" s="634" t="str">
        <f t="shared" si="117"/>
        <v>(Cód. N.A.) Pago de trámites y documentación inherente al Proyecto de Intervención en la fachada de la Plaza de Toros La Santamaría.</v>
      </c>
      <c r="O370" s="635">
        <v>43600</v>
      </c>
      <c r="P370" s="636">
        <f>IFERROR(VLOOKUP(W370,'Estimación CRP'!$D$21:$E$30,2,FALSE),0)</f>
        <v>0</v>
      </c>
      <c r="Q370" s="637">
        <f>IF(O370="No aplica","No aplica",WORKDAY.INTL(O370,P370,1,'Estimación CRP'!A556:A572))</f>
        <v>43600</v>
      </c>
      <c r="R370" s="636">
        <f t="shared" si="118"/>
        <v>5</v>
      </c>
      <c r="S370" s="636">
        <f t="shared" si="119"/>
        <v>5</v>
      </c>
      <c r="T370" s="636">
        <f t="shared" si="120"/>
        <v>5</v>
      </c>
      <c r="U370" s="638">
        <v>0</v>
      </c>
      <c r="V370" s="638">
        <v>0</v>
      </c>
      <c r="W370" s="639" t="s">
        <v>351</v>
      </c>
      <c r="X370" s="640" t="str">
        <f>IFERROR(VLOOKUP(W370,Listas!$A$60:$B$73,2,FALSE),"Alerta: Seleccione primero Modalidad de selección")</f>
        <v>No aplica</v>
      </c>
      <c r="Y370" s="641">
        <v>0</v>
      </c>
      <c r="Z370" s="641" t="s">
        <v>346</v>
      </c>
      <c r="AA370" s="641" t="s">
        <v>1331</v>
      </c>
      <c r="AB370" s="642">
        <f t="shared" si="121"/>
        <v>6000000</v>
      </c>
      <c r="AC370" s="642">
        <f t="shared" si="122"/>
        <v>6000000</v>
      </c>
      <c r="AD370" s="641">
        <v>0</v>
      </c>
      <c r="AE370" s="643">
        <v>0</v>
      </c>
      <c r="AF370" s="639" t="s">
        <v>276</v>
      </c>
      <c r="AG370" s="639" t="s">
        <v>277</v>
      </c>
      <c r="AH370" s="639" t="s">
        <v>573</v>
      </c>
      <c r="AI370" s="626" t="str">
        <f>IFERROR(VLOOKUP(AH370,Listas!$A$77:$C$83,2,FALSE),"Alerta: Seleccione primero el responsable")</f>
        <v>3550800</v>
      </c>
      <c r="AJ370" s="640" t="str">
        <f>IFERROR(VLOOKUP(AH370,Listas!$A$77:$C$83,3,FALSE),"Alerta: Seleccione primero el responsable")</f>
        <v>carolina.fernandez@idpc.gov.co</v>
      </c>
      <c r="AK370" s="640" t="str">
        <f>IF(J370="Funcionamiento Gastos Generales","No aplica",IF(J370="Funcionamiento Servicios Personales indirectos","No aplica",IFERROR(VLOOKUP(J370,Listas!$A$127:$E$139,3,FALSE),"Alerta: Seleccione la celda en la comumna B con el nombre del proyecto")))</f>
        <v>ME20181114</v>
      </c>
      <c r="AL370" s="640" t="str">
        <f>IF(J370="Funcionamiento Gastos Generales","No aplica",IF(J370="Funcionamiento Servicios Personales","No aplica",IFERROR(VLOOKUP(J370,Listas!$A$220:$D$224,2,FALSE),"Alerta: Seleccione la celda en la comumna B con el nombre del proyecto")))</f>
        <v>COMP1114</v>
      </c>
      <c r="AM370" s="640" t="str">
        <f>IF(J370="Funcionamiento Gastos Generales","No aplica",IF(J370="Funcionamiento Servicios Personales","No aplica",IFERROR(VLOOKUP(J370,Listas!$A$220:$D$224,3,FALSE),"Alerta: Seleccione la celda en la comumna B con el nombre del proyecto")))</f>
        <v>CONC1114</v>
      </c>
      <c r="AN370" s="633" t="s">
        <v>1054</v>
      </c>
      <c r="AO370" s="633" t="s">
        <v>62</v>
      </c>
      <c r="AP370" s="634" t="str">
        <f>IFERROR(VLOOKUP(J370,Listas!$A$182:$E$215,5,FALSE),"Alerta: Seleccione la celda en la comumna B con el nombre del proyecto")</f>
        <v>4. Obras de Intervención en Bienes muebles - inmuebles y sectores que conforman el patrimonio cultural del D.C.</v>
      </c>
      <c r="AQ370" s="634" t="str">
        <f>IF(J370="Funcionamiento Gastos Generales","No aplica",IF(J370="Funcionamiento Servicios Personales","No aplica",IFERROR(VLOOKUP(J370,Listas!$A$220:$D$224,4,FALSE),"Alerta: Seleccione la celda en la comumna B con el nombre del proyecto")))</f>
        <v>FONT1114</v>
      </c>
      <c r="AR370" s="633" t="s">
        <v>198</v>
      </c>
      <c r="AS370" s="634" t="str">
        <f>IFERROR(VLOOKUP(AU370,Listas!$E$85:$L$105,7,FALSE),"Alerta: Seleccione la celda en la comumna AI con el concepto de gasto")</f>
        <v>01-INFRAESTRUCTURA</v>
      </c>
      <c r="AT370" s="634" t="str">
        <f>IFERROR(VLOOKUP(AU370,Listas!$E$85:$L$105,8,FALSE),"Alerta: Seleccione la celda en la comumna AI con el concepto de gasto")</f>
        <v>01-CONSTRUCCION, ADECUACION Y AMPLIACION DE INFRAESTRUCTURA PROPIA DEL SECTOR</v>
      </c>
      <c r="AU370" s="633" t="s">
        <v>422</v>
      </c>
      <c r="AV370" s="634">
        <f>IFERROR(VLOOKUP(AU370,Listas!$E$85:$F$105,2,FALSE),"Alerta: Seleccione el Concepto de Gasto primero")</f>
        <v>0</v>
      </c>
      <c r="AW370" s="644">
        <v>6000000</v>
      </c>
      <c r="AX370" s="645"/>
      <c r="AY370" s="645"/>
      <c r="AZ370" s="645"/>
      <c r="BA370" s="646">
        <f t="shared" si="123"/>
        <v>6000000</v>
      </c>
      <c r="BB370" s="647"/>
      <c r="BC370" s="648"/>
      <c r="BD370" s="649"/>
      <c r="BE370" s="647"/>
      <c r="BF370" s="644"/>
      <c r="BG370" s="646">
        <f t="shared" si="124"/>
        <v>6000000</v>
      </c>
      <c r="BH370" s="650"/>
      <c r="BI370" s="647"/>
      <c r="BJ370" s="644"/>
      <c r="BK370" s="646">
        <f t="shared" si="125"/>
        <v>0</v>
      </c>
      <c r="BL370" s="651"/>
      <c r="BM370" s="652">
        <f t="shared" si="126"/>
        <v>1</v>
      </c>
      <c r="BN370" s="628"/>
      <c r="BO370" s="670"/>
      <c r="BP370" s="644"/>
      <c r="BQ370" s="644"/>
      <c r="BR370" s="644"/>
      <c r="BS370" s="644"/>
      <c r="BT370" s="644"/>
      <c r="BU370" s="644"/>
      <c r="BV370" s="644"/>
      <c r="BW370" s="644"/>
      <c r="BX370" s="644"/>
      <c r="BY370" s="644"/>
      <c r="BZ370" s="644"/>
      <c r="CA370" s="644"/>
      <c r="CB370" s="646">
        <f t="shared" si="127"/>
        <v>0</v>
      </c>
      <c r="CC370" s="646">
        <f t="shared" si="128"/>
        <v>0</v>
      </c>
      <c r="CD370" s="614"/>
    </row>
    <row r="371" spans="1:85" s="561" customFormat="1" ht="61.5" customHeight="1">
      <c r="A371" s="625" t="str">
        <f t="shared" si="110"/>
        <v xml:space="preserve">1114-140-FONT1114-01-01-0525-Bienes de Interés Cultural de tipo inmueble intervenidos </v>
      </c>
      <c r="B371" s="626" t="str">
        <f t="shared" si="111"/>
        <v>1114-140-FONT1114-01-01-0525</v>
      </c>
      <c r="C371" s="626" t="str">
        <f t="shared" si="112"/>
        <v xml:space="preserve">1114-140-FONT1114-Bienes de Interés Cultural de tipo inmueble intervenidos </v>
      </c>
      <c r="D371" s="626" t="str">
        <f t="shared" si="113"/>
        <v>1114-140-12-Otros Distrito-01-01-0525</v>
      </c>
      <c r="E371" s="626" t="str">
        <f t="shared" si="114"/>
        <v>Bienes de Interés Cultural de tipo inmueble intervenidos -12-Otros Distrito-0525-Recuperación y aprovechamiento de bienes de interés cultural</v>
      </c>
      <c r="F371" s="627">
        <v>321</v>
      </c>
      <c r="G371" s="628">
        <f t="shared" si="115"/>
        <v>321</v>
      </c>
      <c r="H371" s="629" t="b">
        <f t="shared" si="116"/>
        <v>0</v>
      </c>
      <c r="I371" s="630" t="s">
        <v>594</v>
      </c>
      <c r="J371" s="627" t="s">
        <v>180</v>
      </c>
      <c r="K371" s="631" t="str">
        <f>+IFERROR(VLOOKUP(J371,Listas!$A$108:$B$114,2,FALSE),"Alerta: Seleccione la celda en la comumna B con el nombre del proyecto")</f>
        <v>3-3-1-15-02-17-1114-140</v>
      </c>
      <c r="L371" s="632" t="s">
        <v>899</v>
      </c>
      <c r="M371" s="633" t="s">
        <v>900</v>
      </c>
      <c r="N371" s="634" t="str">
        <f t="shared" si="117"/>
        <v>(Cód. 321) Realizar la interventoría integral de la obra que tiene por objeto "Ejecutar bajo la modalidad de precios unitarios fijos las obras en la Fachada de la Plaza de Toros la Santamaría, en la ciudad de Bogotá D.C. "</v>
      </c>
      <c r="O371" s="635">
        <v>43605</v>
      </c>
      <c r="P371" s="636">
        <f>IFERROR(VLOOKUP(W371,'Estimación CRP'!$D$21:$E$30,2,FALSE),0)</f>
        <v>45</v>
      </c>
      <c r="Q371" s="637">
        <f>IF(O371="No aplica","No aplica",WORKDAY.INTL(O371,P371,1,'Estimación CRP'!A557:A573))</f>
        <v>43668</v>
      </c>
      <c r="R371" s="636">
        <f t="shared" si="118"/>
        <v>7</v>
      </c>
      <c r="S371" s="636">
        <f t="shared" si="119"/>
        <v>5</v>
      </c>
      <c r="T371" s="636">
        <f t="shared" si="120"/>
        <v>5</v>
      </c>
      <c r="U371" s="712">
        <v>9</v>
      </c>
      <c r="V371" s="638">
        <v>1</v>
      </c>
      <c r="W371" s="639" t="s">
        <v>350</v>
      </c>
      <c r="X371" s="640" t="str">
        <f>IFERROR(VLOOKUP(W371,Listas!$A$60:$B$73,2,FALSE),"Alerta: Seleccione primero Modalidad de selección")</f>
        <v>CCE-04</v>
      </c>
      <c r="Y371" s="641">
        <v>0</v>
      </c>
      <c r="Z371" s="641" t="s">
        <v>346</v>
      </c>
      <c r="AA371" s="641" t="s">
        <v>1331</v>
      </c>
      <c r="AB371" s="642">
        <f t="shared" si="121"/>
        <v>76195399</v>
      </c>
      <c r="AC371" s="642">
        <f t="shared" si="122"/>
        <v>76195399</v>
      </c>
      <c r="AD371" s="641">
        <v>0</v>
      </c>
      <c r="AE371" s="643">
        <v>0</v>
      </c>
      <c r="AF371" s="639" t="s">
        <v>276</v>
      </c>
      <c r="AG371" s="639" t="s">
        <v>277</v>
      </c>
      <c r="AH371" s="639" t="s">
        <v>573</v>
      </c>
      <c r="AI371" s="626" t="str">
        <f>IFERROR(VLOOKUP(AH371,Listas!$A$77:$C$83,2,FALSE),"Alerta: Seleccione primero el responsable")</f>
        <v>3550800</v>
      </c>
      <c r="AJ371" s="640" t="str">
        <f>IFERROR(VLOOKUP(AH371,Listas!$A$77:$C$83,3,FALSE),"Alerta: Seleccione primero el responsable")</f>
        <v>carolina.fernandez@idpc.gov.co</v>
      </c>
      <c r="AK371" s="640" t="str">
        <f>IF(J371="Funcionamiento Gastos Generales","No aplica",IF(J371="Funcionamiento Servicios Personales indirectos","No aplica",IFERROR(VLOOKUP(J371,Listas!$A$127:$E$139,3,FALSE),"Alerta: Seleccione la celda en la comumna B con el nombre del proyecto")))</f>
        <v>ME20181114</v>
      </c>
      <c r="AL371" s="640" t="str">
        <f>IF(J371="Funcionamiento Gastos Generales","No aplica",IF(J371="Funcionamiento Servicios Personales","No aplica",IFERROR(VLOOKUP(J371,Listas!$A$220:$D$224,2,FALSE),"Alerta: Seleccione la celda en la comumna B con el nombre del proyecto")))</f>
        <v>COMP1114</v>
      </c>
      <c r="AM371" s="640" t="str">
        <f>IF(J371="Funcionamiento Gastos Generales","No aplica",IF(J371="Funcionamiento Servicios Personales","No aplica",IFERROR(VLOOKUP(J371,Listas!$A$220:$D$224,3,FALSE),"Alerta: Seleccione la celda en la comumna B con el nombre del proyecto")))</f>
        <v>CONC1114</v>
      </c>
      <c r="AN371" s="633" t="s">
        <v>1054</v>
      </c>
      <c r="AO371" s="633" t="s">
        <v>62</v>
      </c>
      <c r="AP371" s="634" t="str">
        <f>IFERROR(VLOOKUP(J371,Listas!$A$182:$E$215,5,FALSE),"Alerta: Seleccione la celda en la comumna B con el nombre del proyecto")</f>
        <v>4. Obras de Intervención en Bienes muebles - inmuebles y sectores que conforman el patrimonio cultural del D.C.</v>
      </c>
      <c r="AQ371" s="634" t="str">
        <f>IF(J371="Funcionamiento Gastos Generales","No aplica",IF(J371="Funcionamiento Servicios Personales","No aplica",IFERROR(VLOOKUP(J371,Listas!$A$220:$D$224,4,FALSE),"Alerta: Seleccione la celda en la comumna B con el nombre del proyecto")))</f>
        <v>FONT1114</v>
      </c>
      <c r="AR371" s="633" t="s">
        <v>198</v>
      </c>
      <c r="AS371" s="634" t="str">
        <f>IFERROR(VLOOKUP(AU371,Listas!$E$85:$L$105,7,FALSE),"Alerta: Seleccione la celda en la comumna AI con el concepto de gasto")</f>
        <v>01-INFRAESTRUCTURA</v>
      </c>
      <c r="AT371" s="634" t="str">
        <f>IFERROR(VLOOKUP(AU371,Listas!$E$85:$L$105,8,FALSE),"Alerta: Seleccione la celda en la comumna AI con el concepto de gasto")</f>
        <v>01-CONSTRUCCION, ADECUACION Y AMPLIACION DE INFRAESTRUCTURA PROPIA DEL SECTOR</v>
      </c>
      <c r="AU371" s="633" t="s">
        <v>422</v>
      </c>
      <c r="AV371" s="634">
        <f>IFERROR(VLOOKUP(AU371,Listas!$E$85:$F$105,2,FALSE),"Alerta: Seleccione el Concepto de Gasto primero")</f>
        <v>0</v>
      </c>
      <c r="AW371" s="644">
        <v>76195399</v>
      </c>
      <c r="AX371" s="645"/>
      <c r="AY371" s="645"/>
      <c r="AZ371" s="645"/>
      <c r="BA371" s="646">
        <f t="shared" si="123"/>
        <v>76195399</v>
      </c>
      <c r="BB371" s="647"/>
      <c r="BC371" s="648"/>
      <c r="BD371" s="649"/>
      <c r="BE371" s="647"/>
      <c r="BF371" s="644"/>
      <c r="BG371" s="646">
        <f t="shared" si="124"/>
        <v>76195399</v>
      </c>
      <c r="BH371" s="650"/>
      <c r="BI371" s="647"/>
      <c r="BJ371" s="644"/>
      <c r="BK371" s="646">
        <f t="shared" si="125"/>
        <v>0</v>
      </c>
      <c r="BL371" s="651"/>
      <c r="BM371" s="652">
        <f t="shared" si="126"/>
        <v>1</v>
      </c>
      <c r="BN371" s="628"/>
      <c r="BO371" s="670"/>
      <c r="BP371" s="644"/>
      <c r="BQ371" s="644"/>
      <c r="BR371" s="644"/>
      <c r="BS371" s="644"/>
      <c r="BT371" s="644"/>
      <c r="BU371" s="644"/>
      <c r="BV371" s="644"/>
      <c r="BW371" s="644"/>
      <c r="BX371" s="644"/>
      <c r="BY371" s="644"/>
      <c r="BZ371" s="644"/>
      <c r="CA371" s="644"/>
      <c r="CB371" s="646">
        <f t="shared" si="127"/>
        <v>0</v>
      </c>
      <c r="CC371" s="646">
        <f t="shared" si="128"/>
        <v>0</v>
      </c>
      <c r="CD371" s="614"/>
    </row>
    <row r="372" spans="1:85" s="561" customFormat="1" ht="61.5" customHeight="1">
      <c r="A372" s="625" t="str">
        <f t="shared" si="110"/>
        <v xml:space="preserve">1114-140-FONT1114-Al-Al--Bienes de Interés Cultural de tipo inmueble intervenidos </v>
      </c>
      <c r="B372" s="626" t="str">
        <f t="shared" si="111"/>
        <v>1114-140-FONT1114-Al-Al-</v>
      </c>
      <c r="C372" s="626" t="str">
        <f t="shared" si="112"/>
        <v xml:space="preserve">1114-140-FONT1114-Bienes de Interés Cultural de tipo inmueble intervenidos </v>
      </c>
      <c r="D372" s="626" t="str">
        <f t="shared" si="113"/>
        <v>1114-140--Al-Al-</v>
      </c>
      <c r="E372" s="626" t="str">
        <f t="shared" si="114"/>
        <v>Bienes de Interés Cultural de tipo inmueble intervenidos --</v>
      </c>
      <c r="F372" s="627" t="s">
        <v>346</v>
      </c>
      <c r="G372" s="628" t="str">
        <f t="shared" si="115"/>
        <v>N.A.</v>
      </c>
      <c r="H372" s="629" t="b">
        <f t="shared" si="116"/>
        <v>0</v>
      </c>
      <c r="I372" s="630" t="s">
        <v>595</v>
      </c>
      <c r="J372" s="627" t="s">
        <v>180</v>
      </c>
      <c r="K372" s="631" t="str">
        <f>+IFERROR(VLOOKUP(J372,Listas!$A$108:$B$114,2,FALSE),"Alerta: Seleccione la celda en la comumna B con el nombre del proyecto")</f>
        <v>3-3-1-15-02-17-1114-140</v>
      </c>
      <c r="L372" s="632" t="s">
        <v>351</v>
      </c>
      <c r="M372" s="633" t="s">
        <v>901</v>
      </c>
      <c r="N372" s="634" t="str">
        <f t="shared" si="117"/>
        <v>(Cód. N.A.) Valor presupuestado para adelantar un traslado presupuestal al rubro Pasivos Exigibles por concepto del saldo a favor del Convenio Interadministrativo No. 363 de 2017 suscrito con la Universidad Nacional.</v>
      </c>
      <c r="O372" s="635">
        <v>43605</v>
      </c>
      <c r="P372" s="636">
        <f>IFERROR(VLOOKUP(W372,'Estimación CRP'!$D$21:$E$30,2,FALSE),0)</f>
        <v>0</v>
      </c>
      <c r="Q372" s="637">
        <f>IF(O372="No aplica","No aplica",WORKDAY.INTL(O372,P372,1,'Estimación CRP'!A558:A574))</f>
        <v>43605</v>
      </c>
      <c r="R372" s="636">
        <f t="shared" si="118"/>
        <v>5</v>
      </c>
      <c r="S372" s="636">
        <f t="shared" si="119"/>
        <v>5</v>
      </c>
      <c r="T372" s="636">
        <f t="shared" si="120"/>
        <v>5</v>
      </c>
      <c r="U372" s="638">
        <v>0</v>
      </c>
      <c r="V372" s="638">
        <v>0</v>
      </c>
      <c r="W372" s="639" t="s">
        <v>351</v>
      </c>
      <c r="X372" s="640" t="str">
        <f>IFERROR(VLOOKUP(W372,Listas!$A$60:$B$73,2,FALSE),"Alerta: Seleccione primero Modalidad de selección")</f>
        <v>No aplica</v>
      </c>
      <c r="Y372" s="641">
        <v>0</v>
      </c>
      <c r="Z372" s="641" t="s">
        <v>346</v>
      </c>
      <c r="AA372" s="641" t="s">
        <v>1331</v>
      </c>
      <c r="AB372" s="642">
        <f t="shared" si="121"/>
        <v>38000000</v>
      </c>
      <c r="AC372" s="642">
        <f t="shared" si="122"/>
        <v>38000000</v>
      </c>
      <c r="AD372" s="641">
        <v>0</v>
      </c>
      <c r="AE372" s="643">
        <v>0</v>
      </c>
      <c r="AF372" s="639" t="s">
        <v>276</v>
      </c>
      <c r="AG372" s="639" t="s">
        <v>277</v>
      </c>
      <c r="AH372" s="639" t="s">
        <v>573</v>
      </c>
      <c r="AI372" s="626" t="str">
        <f>IFERROR(VLOOKUP(AH372,Listas!$A$77:$C$83,2,FALSE),"Alerta: Seleccione primero el responsable")</f>
        <v>3550800</v>
      </c>
      <c r="AJ372" s="640" t="str">
        <f>IFERROR(VLOOKUP(AH372,Listas!$A$77:$C$83,3,FALSE),"Alerta: Seleccione primero el responsable")</f>
        <v>carolina.fernandez@idpc.gov.co</v>
      </c>
      <c r="AK372" s="640" t="str">
        <f>IF(J372="Funcionamiento Gastos Generales","No aplica",IF(J372="Funcionamiento Servicios Personales indirectos","No aplica",IFERROR(VLOOKUP(J372,Listas!$A$127:$E$139,3,FALSE),"Alerta: Seleccione la celda en la comumna B con el nombre del proyecto")))</f>
        <v>ME20181114</v>
      </c>
      <c r="AL372" s="640" t="str">
        <f>IF(J372="Funcionamiento Gastos Generales","No aplica",IF(J372="Funcionamiento Servicios Personales","No aplica",IFERROR(VLOOKUP(J372,Listas!$A$220:$D$224,2,FALSE),"Alerta: Seleccione la celda en la comumna B con el nombre del proyecto")))</f>
        <v>COMP1114</v>
      </c>
      <c r="AM372" s="640" t="str">
        <f>IF(J372="Funcionamiento Gastos Generales","No aplica",IF(J372="Funcionamiento Servicios Personales","No aplica",IFERROR(VLOOKUP(J372,Listas!$A$220:$D$224,3,FALSE),"Alerta: Seleccione la celda en la comumna B con el nombre del proyecto")))</f>
        <v>CONC1114</v>
      </c>
      <c r="AN372" s="633" t="s">
        <v>1054</v>
      </c>
      <c r="AO372" s="633" t="s">
        <v>62</v>
      </c>
      <c r="AP372" s="634" t="str">
        <f>IFERROR(VLOOKUP(J372,Listas!$A$182:$E$215,5,FALSE),"Alerta: Seleccione la celda en la comumna B con el nombre del proyecto")</f>
        <v>4. Obras de Intervención en Bienes muebles - inmuebles y sectores que conforman el patrimonio cultural del D.C.</v>
      </c>
      <c r="AQ372" s="634" t="str">
        <f>IF(J372="Funcionamiento Gastos Generales","No aplica",IF(J372="Funcionamiento Servicios Personales","No aplica",IFERROR(VLOOKUP(J372,Listas!$A$220:$D$224,4,FALSE),"Alerta: Seleccione la celda en la comumna B con el nombre del proyecto")))</f>
        <v>FONT1114</v>
      </c>
      <c r="AR372" s="633"/>
      <c r="AS372" s="634" t="str">
        <f>IFERROR(VLOOKUP(AU372,Listas!$E$85:$L$105,7,FALSE),"Alerta: Seleccione la celda en la comumna AI con el concepto de gasto")</f>
        <v>Alerta: Seleccione la celda en la comumna AI con el concepto de gasto</v>
      </c>
      <c r="AT372" s="634" t="str">
        <f>IFERROR(VLOOKUP(AU372,Listas!$E$85:$L$105,8,FALSE),"Alerta: Seleccione la celda en la comumna AI con el concepto de gasto")</f>
        <v>Alerta: Seleccione la celda en la comumna AI con el concepto de gasto</v>
      </c>
      <c r="AU372" s="633"/>
      <c r="AV372" s="634" t="str">
        <f>IFERROR(VLOOKUP(AU372,Listas!$E$85:$F$105,2,FALSE),"Alerta: Seleccione el Concepto de Gasto primero")</f>
        <v>Alerta: Seleccione el Concepto de Gasto primero</v>
      </c>
      <c r="AW372" s="644">
        <v>38000000</v>
      </c>
      <c r="AX372" s="645"/>
      <c r="AY372" s="645"/>
      <c r="AZ372" s="645"/>
      <c r="BA372" s="646">
        <f t="shared" si="123"/>
        <v>38000000</v>
      </c>
      <c r="BB372" s="647"/>
      <c r="BC372" s="648"/>
      <c r="BD372" s="649"/>
      <c r="BE372" s="647"/>
      <c r="BF372" s="644"/>
      <c r="BG372" s="646">
        <f t="shared" si="124"/>
        <v>38000000</v>
      </c>
      <c r="BH372" s="650"/>
      <c r="BI372" s="647"/>
      <c r="BJ372" s="644"/>
      <c r="BK372" s="646">
        <f t="shared" si="125"/>
        <v>0</v>
      </c>
      <c r="BL372" s="651"/>
      <c r="BM372" s="652">
        <f t="shared" si="126"/>
        <v>1</v>
      </c>
      <c r="BN372" s="628"/>
      <c r="BO372" s="670"/>
      <c r="BP372" s="644"/>
      <c r="BQ372" s="644"/>
      <c r="BR372" s="644"/>
      <c r="BS372" s="644"/>
      <c r="BT372" s="644"/>
      <c r="BU372" s="644"/>
      <c r="BV372" s="644"/>
      <c r="BW372" s="644"/>
      <c r="BX372" s="644"/>
      <c r="BY372" s="644"/>
      <c r="BZ372" s="644"/>
      <c r="CA372" s="644"/>
      <c r="CB372" s="646">
        <f t="shared" si="127"/>
        <v>0</v>
      </c>
      <c r="CC372" s="646">
        <f t="shared" si="128"/>
        <v>0</v>
      </c>
      <c r="CD372" s="614"/>
    </row>
    <row r="373" spans="1:85" s="561" customFormat="1" ht="61.5" customHeight="1">
      <c r="A373" s="625" t="str">
        <f t="shared" si="110"/>
        <v xml:space="preserve">1114-140-FONT1114-01-01-0525-Bienes de Interés Cultural de tipo inmueble intervenidos </v>
      </c>
      <c r="B373" s="626" t="str">
        <f t="shared" si="111"/>
        <v>1114-140-FONT1114-01-01-0525</v>
      </c>
      <c r="C373" s="626" t="str">
        <f t="shared" si="112"/>
        <v xml:space="preserve">1114-140-FONT1114-Bienes de Interés Cultural de tipo inmueble intervenidos </v>
      </c>
      <c r="D373" s="626" t="str">
        <f t="shared" si="113"/>
        <v>1114-140-12-Otros Distrito-01-01-0525</v>
      </c>
      <c r="E373" s="626" t="str">
        <f t="shared" si="114"/>
        <v>Bienes de Interés Cultural de tipo inmueble intervenidos -12-Otros Distrito-0525-Recuperación y aprovechamiento de bienes de interés cultural</v>
      </c>
      <c r="F373" s="627">
        <v>322</v>
      </c>
      <c r="G373" s="628">
        <f t="shared" si="115"/>
        <v>322</v>
      </c>
      <c r="H373" s="629" t="b">
        <f t="shared" si="116"/>
        <v>0</v>
      </c>
      <c r="I373" s="630" t="s">
        <v>594</v>
      </c>
      <c r="J373" s="627" t="s">
        <v>180</v>
      </c>
      <c r="K373" s="631" t="str">
        <f>+IFERROR(VLOOKUP(J373,Listas!$A$108:$B$114,2,FALSE),"Alerta: Seleccione la celda en la comumna B con el nombre del proyecto")</f>
        <v>3-3-1-15-02-17-1114-140</v>
      </c>
      <c r="L373" s="632" t="s">
        <v>880</v>
      </c>
      <c r="M373" s="633" t="s">
        <v>902</v>
      </c>
      <c r="N373" s="634" t="str">
        <f t="shared" si="117"/>
        <v>(Cód. 322) Ejecutar bajo la modalidad de precios unitarios la obra de intervención de la del inmueble ubicado en la Calle 12 B N° 2-91 denominado Casa Tito.</v>
      </c>
      <c r="O373" s="635">
        <v>43617</v>
      </c>
      <c r="P373" s="636">
        <f>IFERROR(VLOOKUP(W373,'Estimación CRP'!$D$21:$E$30,2,FALSE),0)</f>
        <v>50</v>
      </c>
      <c r="Q373" s="637">
        <f>IF(O373="No aplica","No aplica",WORKDAY.INTL(O373,P373,1,'Estimación CRP'!A559:A575))</f>
        <v>43686</v>
      </c>
      <c r="R373" s="636">
        <f t="shared" si="118"/>
        <v>8</v>
      </c>
      <c r="S373" s="636">
        <f t="shared" si="119"/>
        <v>6</v>
      </c>
      <c r="T373" s="636">
        <f t="shared" si="120"/>
        <v>6</v>
      </c>
      <c r="U373" s="712">
        <v>6</v>
      </c>
      <c r="V373" s="638">
        <v>1</v>
      </c>
      <c r="W373" s="639" t="s">
        <v>258</v>
      </c>
      <c r="X373" s="640" t="str">
        <f>IFERROR(VLOOKUP(W373,Listas!$A$60:$B$73,2,FALSE),"Alerta: Seleccione primero Modalidad de selección")</f>
        <v>CCE-02</v>
      </c>
      <c r="Y373" s="641">
        <v>0</v>
      </c>
      <c r="Z373" s="641" t="s">
        <v>346</v>
      </c>
      <c r="AA373" s="641" t="s">
        <v>1332</v>
      </c>
      <c r="AB373" s="642">
        <f t="shared" si="121"/>
        <v>330900000</v>
      </c>
      <c r="AC373" s="642">
        <f t="shared" si="122"/>
        <v>330900000</v>
      </c>
      <c r="AD373" s="641">
        <v>0</v>
      </c>
      <c r="AE373" s="643">
        <v>0</v>
      </c>
      <c r="AF373" s="639" t="s">
        <v>276</v>
      </c>
      <c r="AG373" s="639" t="s">
        <v>277</v>
      </c>
      <c r="AH373" s="639" t="s">
        <v>573</v>
      </c>
      <c r="AI373" s="626" t="str">
        <f>IFERROR(VLOOKUP(AH373,Listas!$A$77:$C$83,2,FALSE),"Alerta: Seleccione primero el responsable")</f>
        <v>3550800</v>
      </c>
      <c r="AJ373" s="640" t="str">
        <f>IFERROR(VLOOKUP(AH373,Listas!$A$77:$C$83,3,FALSE),"Alerta: Seleccione primero el responsable")</f>
        <v>carolina.fernandez@idpc.gov.co</v>
      </c>
      <c r="AK373" s="640" t="str">
        <f>IF(J373="Funcionamiento Gastos Generales","No aplica",IF(J373="Funcionamiento Servicios Personales indirectos","No aplica",IFERROR(VLOOKUP(J373,Listas!$A$127:$E$139,3,FALSE),"Alerta: Seleccione la celda en la comumna B con el nombre del proyecto")))</f>
        <v>ME20181114</v>
      </c>
      <c r="AL373" s="640" t="str">
        <f>IF(J373="Funcionamiento Gastos Generales","No aplica",IF(J373="Funcionamiento Servicios Personales","No aplica",IFERROR(VLOOKUP(J373,Listas!$A$220:$D$224,2,FALSE),"Alerta: Seleccione la celda en la comumna B con el nombre del proyecto")))</f>
        <v>COMP1114</v>
      </c>
      <c r="AM373" s="640" t="str">
        <f>IF(J373="Funcionamiento Gastos Generales","No aplica",IF(J373="Funcionamiento Servicios Personales","No aplica",IFERROR(VLOOKUP(J373,Listas!$A$220:$D$224,3,FALSE),"Alerta: Seleccione la celda en la comumna B con el nombre del proyecto")))</f>
        <v>CONC1114</v>
      </c>
      <c r="AN373" s="633" t="s">
        <v>1054</v>
      </c>
      <c r="AO373" s="633" t="s">
        <v>62</v>
      </c>
      <c r="AP373" s="634" t="str">
        <f>IFERROR(VLOOKUP(J373,Listas!$A$182:$E$215,5,FALSE),"Alerta: Seleccione la celda en la comumna B con el nombre del proyecto")</f>
        <v>4. Obras de Intervención en Bienes muebles - inmuebles y sectores que conforman el patrimonio cultural del D.C.</v>
      </c>
      <c r="AQ373" s="634" t="str">
        <f>IF(J373="Funcionamiento Gastos Generales","No aplica",IF(J373="Funcionamiento Servicios Personales","No aplica",IFERROR(VLOOKUP(J373,Listas!$A$220:$D$224,4,FALSE),"Alerta: Seleccione la celda en la comumna B con el nombre del proyecto")))</f>
        <v>FONT1114</v>
      </c>
      <c r="AR373" s="633" t="s">
        <v>198</v>
      </c>
      <c r="AS373" s="634" t="str">
        <f>IFERROR(VLOOKUP(AU373,Listas!$E$85:$L$105,7,FALSE),"Alerta: Seleccione la celda en la comumna AI con el concepto de gasto")</f>
        <v>01-INFRAESTRUCTURA</v>
      </c>
      <c r="AT373" s="634" t="str">
        <f>IFERROR(VLOOKUP(AU373,Listas!$E$85:$L$105,8,FALSE),"Alerta: Seleccione la celda en la comumna AI con el concepto de gasto")</f>
        <v>01-CONSTRUCCION, ADECUACION Y AMPLIACION DE INFRAESTRUCTURA PROPIA DEL SECTOR</v>
      </c>
      <c r="AU373" s="633" t="s">
        <v>422</v>
      </c>
      <c r="AV373" s="634">
        <f>IFERROR(VLOOKUP(AU373,Listas!$E$85:$F$105,2,FALSE),"Alerta: Seleccione el Concepto de Gasto primero")</f>
        <v>0</v>
      </c>
      <c r="AW373" s="644">
        <v>330900000</v>
      </c>
      <c r="AX373" s="645"/>
      <c r="AY373" s="645"/>
      <c r="AZ373" s="645"/>
      <c r="BA373" s="646">
        <f t="shared" si="123"/>
        <v>330900000</v>
      </c>
      <c r="BB373" s="647"/>
      <c r="BC373" s="648"/>
      <c r="BD373" s="649"/>
      <c r="BE373" s="647"/>
      <c r="BF373" s="644"/>
      <c r="BG373" s="646">
        <f t="shared" si="124"/>
        <v>330900000</v>
      </c>
      <c r="BH373" s="650"/>
      <c r="BI373" s="647"/>
      <c r="BJ373" s="644"/>
      <c r="BK373" s="646">
        <f t="shared" si="125"/>
        <v>0</v>
      </c>
      <c r="BL373" s="651"/>
      <c r="BM373" s="652">
        <f t="shared" si="126"/>
        <v>1</v>
      </c>
      <c r="BN373" s="628"/>
      <c r="BO373" s="670"/>
      <c r="BP373" s="644"/>
      <c r="BQ373" s="644"/>
      <c r="BR373" s="644"/>
      <c r="BS373" s="644"/>
      <c r="BT373" s="644"/>
      <c r="BU373" s="644"/>
      <c r="BV373" s="644"/>
      <c r="BW373" s="644"/>
      <c r="BX373" s="644"/>
      <c r="BY373" s="644"/>
      <c r="BZ373" s="644"/>
      <c r="CA373" s="644"/>
      <c r="CB373" s="646">
        <f t="shared" si="127"/>
        <v>0</v>
      </c>
      <c r="CC373" s="646">
        <f t="shared" si="128"/>
        <v>0</v>
      </c>
      <c r="CD373" s="614"/>
    </row>
    <row r="374" spans="1:85" s="561" customFormat="1" ht="61.5" customHeight="1">
      <c r="A374" s="625" t="str">
        <f t="shared" si="110"/>
        <v xml:space="preserve">1114-140-FONT1114-01-01-0525-Bienes de Interés Cultural de tipo inmueble intervenidos </v>
      </c>
      <c r="B374" s="626" t="str">
        <f t="shared" si="111"/>
        <v>1114-140-FONT1114-01-01-0525</v>
      </c>
      <c r="C374" s="626" t="str">
        <f t="shared" si="112"/>
        <v xml:space="preserve">1114-140-FONT1114-Bienes de Interés Cultural de tipo inmueble intervenidos </v>
      </c>
      <c r="D374" s="626" t="str">
        <f t="shared" si="113"/>
        <v>1114-140-12-Otros Distrito-01-01-0525</v>
      </c>
      <c r="E374" s="626" t="str">
        <f t="shared" si="114"/>
        <v>Bienes de Interés Cultural de tipo inmueble intervenidos -12-Otros Distrito-0525-Recuperación y aprovechamiento de bienes de interés cultural</v>
      </c>
      <c r="F374" s="627" t="s">
        <v>346</v>
      </c>
      <c r="G374" s="628" t="str">
        <f t="shared" si="115"/>
        <v>N.A.</v>
      </c>
      <c r="H374" s="629" t="b">
        <f t="shared" si="116"/>
        <v>0</v>
      </c>
      <c r="I374" s="630" t="s">
        <v>595</v>
      </c>
      <c r="J374" s="627" t="s">
        <v>180</v>
      </c>
      <c r="K374" s="631" t="str">
        <f>+IFERROR(VLOOKUP(J374,Listas!$A$108:$B$114,2,FALSE),"Alerta: Seleccione la celda en la comumna B con el nombre del proyecto")</f>
        <v>3-3-1-15-02-17-1114-140</v>
      </c>
      <c r="L374" s="632" t="s">
        <v>351</v>
      </c>
      <c r="M374" s="633" t="s">
        <v>903</v>
      </c>
      <c r="N374" s="634" t="str">
        <f t="shared" si="117"/>
        <v>(Cód. N.A.) Pago de expensas con cargo variable para la Licencia de Construcción del predio denominado Casa Tito</v>
      </c>
      <c r="O374" s="635">
        <v>43617</v>
      </c>
      <c r="P374" s="636">
        <f>IFERROR(VLOOKUP(W374,'Estimación CRP'!$D$21:$E$30,2,FALSE),0)</f>
        <v>0</v>
      </c>
      <c r="Q374" s="637">
        <f>IF(O374="No aplica","No aplica",WORKDAY.INTL(O374,P374,1,'Estimación CRP'!A560:A576))</f>
        <v>43617</v>
      </c>
      <c r="R374" s="636">
        <f t="shared" si="118"/>
        <v>6</v>
      </c>
      <c r="S374" s="636">
        <f t="shared" si="119"/>
        <v>6</v>
      </c>
      <c r="T374" s="636">
        <f t="shared" si="120"/>
        <v>6</v>
      </c>
      <c r="U374" s="638">
        <v>0</v>
      </c>
      <c r="V374" s="638">
        <v>0</v>
      </c>
      <c r="W374" s="639" t="s">
        <v>351</v>
      </c>
      <c r="X374" s="640" t="str">
        <f>IFERROR(VLOOKUP(W374,Listas!$A$60:$B$73,2,FALSE),"Alerta: Seleccione primero Modalidad de selección")</f>
        <v>No aplica</v>
      </c>
      <c r="Y374" s="641">
        <v>0</v>
      </c>
      <c r="Z374" s="641" t="s">
        <v>346</v>
      </c>
      <c r="AA374" s="641" t="s">
        <v>1332</v>
      </c>
      <c r="AB374" s="642">
        <f t="shared" si="121"/>
        <v>3000000</v>
      </c>
      <c r="AC374" s="642">
        <f t="shared" si="122"/>
        <v>3000000</v>
      </c>
      <c r="AD374" s="641">
        <v>0</v>
      </c>
      <c r="AE374" s="643">
        <v>0</v>
      </c>
      <c r="AF374" s="639" t="s">
        <v>276</v>
      </c>
      <c r="AG374" s="639" t="s">
        <v>277</v>
      </c>
      <c r="AH374" s="639" t="s">
        <v>573</v>
      </c>
      <c r="AI374" s="626" t="str">
        <f>IFERROR(VLOOKUP(AH374,Listas!$A$77:$C$83,2,FALSE),"Alerta: Seleccione primero el responsable")</f>
        <v>3550800</v>
      </c>
      <c r="AJ374" s="640" t="str">
        <f>IFERROR(VLOOKUP(AH374,Listas!$A$77:$C$83,3,FALSE),"Alerta: Seleccione primero el responsable")</f>
        <v>carolina.fernandez@idpc.gov.co</v>
      </c>
      <c r="AK374" s="640" t="str">
        <f>IF(J374="Funcionamiento Gastos Generales","No aplica",IF(J374="Funcionamiento Servicios Personales indirectos","No aplica",IFERROR(VLOOKUP(J374,Listas!$A$127:$E$139,3,FALSE),"Alerta: Seleccione la celda en la comumna B con el nombre del proyecto")))</f>
        <v>ME20181114</v>
      </c>
      <c r="AL374" s="640" t="str">
        <f>IF(J374="Funcionamiento Gastos Generales","No aplica",IF(J374="Funcionamiento Servicios Personales","No aplica",IFERROR(VLOOKUP(J374,Listas!$A$220:$D$224,2,FALSE),"Alerta: Seleccione la celda en la comumna B con el nombre del proyecto")))</f>
        <v>COMP1114</v>
      </c>
      <c r="AM374" s="640" t="str">
        <f>IF(J374="Funcionamiento Gastos Generales","No aplica",IF(J374="Funcionamiento Servicios Personales","No aplica",IFERROR(VLOOKUP(J374,Listas!$A$220:$D$224,3,FALSE),"Alerta: Seleccione la celda en la comumna B con el nombre del proyecto")))</f>
        <v>CONC1114</v>
      </c>
      <c r="AN374" s="633" t="s">
        <v>1054</v>
      </c>
      <c r="AO374" s="633" t="s">
        <v>62</v>
      </c>
      <c r="AP374" s="634" t="str">
        <f>IFERROR(VLOOKUP(J374,Listas!$A$182:$E$215,5,FALSE),"Alerta: Seleccione la celda en la comumna B con el nombre del proyecto")</f>
        <v>4. Obras de Intervención en Bienes muebles - inmuebles y sectores que conforman el patrimonio cultural del D.C.</v>
      </c>
      <c r="AQ374" s="634" t="str">
        <f>IF(J374="Funcionamiento Gastos Generales","No aplica",IF(J374="Funcionamiento Servicios Personales","No aplica",IFERROR(VLOOKUP(J374,Listas!$A$220:$D$224,4,FALSE),"Alerta: Seleccione la celda en la comumna B con el nombre del proyecto")))</f>
        <v>FONT1114</v>
      </c>
      <c r="AR374" s="633" t="s">
        <v>198</v>
      </c>
      <c r="AS374" s="634" t="str">
        <f>IFERROR(VLOOKUP(AU374,Listas!$E$85:$L$105,7,FALSE),"Alerta: Seleccione la celda en la comumna AI con el concepto de gasto")</f>
        <v>01-INFRAESTRUCTURA</v>
      </c>
      <c r="AT374" s="634" t="str">
        <f>IFERROR(VLOOKUP(AU374,Listas!$E$85:$L$105,8,FALSE),"Alerta: Seleccione la celda en la comumna AI con el concepto de gasto")</f>
        <v>01-CONSTRUCCION, ADECUACION Y AMPLIACION DE INFRAESTRUCTURA PROPIA DEL SECTOR</v>
      </c>
      <c r="AU374" s="633" t="s">
        <v>422</v>
      </c>
      <c r="AV374" s="634">
        <f>IFERROR(VLOOKUP(AU374,Listas!$E$85:$F$105,2,FALSE),"Alerta: Seleccione el Concepto de Gasto primero")</f>
        <v>0</v>
      </c>
      <c r="AW374" s="644">
        <v>3000000</v>
      </c>
      <c r="AX374" s="645"/>
      <c r="AY374" s="645"/>
      <c r="AZ374" s="645"/>
      <c r="BA374" s="646">
        <f t="shared" si="123"/>
        <v>3000000</v>
      </c>
      <c r="BB374" s="647"/>
      <c r="BC374" s="648"/>
      <c r="BD374" s="649"/>
      <c r="BE374" s="647"/>
      <c r="BF374" s="644"/>
      <c r="BG374" s="646">
        <f t="shared" si="124"/>
        <v>3000000</v>
      </c>
      <c r="BH374" s="650"/>
      <c r="BI374" s="647"/>
      <c r="BJ374" s="644"/>
      <c r="BK374" s="646">
        <f t="shared" si="125"/>
        <v>0</v>
      </c>
      <c r="BL374" s="651"/>
      <c r="BM374" s="652">
        <f t="shared" si="126"/>
        <v>1</v>
      </c>
      <c r="BN374" s="628"/>
      <c r="BO374" s="670"/>
      <c r="BP374" s="644"/>
      <c r="BQ374" s="644"/>
      <c r="BR374" s="644"/>
      <c r="BS374" s="644"/>
      <c r="BT374" s="644"/>
      <c r="BU374" s="644"/>
      <c r="BV374" s="644"/>
      <c r="BW374" s="644"/>
      <c r="BX374" s="644"/>
      <c r="BY374" s="644"/>
      <c r="BZ374" s="644"/>
      <c r="CA374" s="644"/>
      <c r="CB374" s="646">
        <f t="shared" si="127"/>
        <v>0</v>
      </c>
      <c r="CC374" s="646">
        <f t="shared" si="128"/>
        <v>0</v>
      </c>
      <c r="CD374" s="614"/>
      <c r="CG374" s="561" t="s">
        <v>589</v>
      </c>
    </row>
    <row r="375" spans="1:85" s="561" customFormat="1" ht="61.5" customHeight="1">
      <c r="A375" s="625" t="str">
        <f t="shared" si="110"/>
        <v xml:space="preserve">1114-140-FONT1114-01-01-0525-Bienes de Interés Cultural de tipo inmueble intervenidos </v>
      </c>
      <c r="B375" s="626" t="str">
        <f t="shared" si="111"/>
        <v>1114-140-FONT1114-01-01-0525</v>
      </c>
      <c r="C375" s="626" t="str">
        <f t="shared" si="112"/>
        <v xml:space="preserve">1114-140-FONT1114-Bienes de Interés Cultural de tipo inmueble intervenidos </v>
      </c>
      <c r="D375" s="626" t="str">
        <f t="shared" si="113"/>
        <v>1114-140-12-Otros Distrito-01-01-0525</v>
      </c>
      <c r="E375" s="626" t="str">
        <f t="shared" si="114"/>
        <v>Bienes de Interés Cultural de tipo inmueble intervenidos -12-Otros Distrito-0525-Recuperación y aprovechamiento de bienes de interés cultural</v>
      </c>
      <c r="F375" s="627">
        <v>323</v>
      </c>
      <c r="G375" s="628">
        <f t="shared" si="115"/>
        <v>323</v>
      </c>
      <c r="H375" s="629" t="b">
        <f t="shared" si="116"/>
        <v>0</v>
      </c>
      <c r="I375" s="630" t="s">
        <v>594</v>
      </c>
      <c r="J375" s="627" t="s">
        <v>180</v>
      </c>
      <c r="K375" s="631" t="str">
        <f>+IFERROR(VLOOKUP(J375,Listas!$A$108:$B$114,2,FALSE),"Alerta: Seleccione la celda en la comumna B con el nombre del proyecto")</f>
        <v>3-3-1-15-02-17-1114-140</v>
      </c>
      <c r="L375" s="632" t="s">
        <v>895</v>
      </c>
      <c r="M375" s="633" t="s">
        <v>904</v>
      </c>
      <c r="N375" s="634" t="str">
        <f t="shared" si="117"/>
        <v>(Cód. 323) Realizar la interventoría integral de la obra cuyo objeto es: "Ejecutar bajo la modalidad de precios unitarios la obra de intervención de la del inmueble ubicado en la Calle 12 B N° 2-91 denominado Casa Tito."</v>
      </c>
      <c r="O375" s="635">
        <v>43617</v>
      </c>
      <c r="P375" s="636">
        <f>IFERROR(VLOOKUP(W375,'Estimación CRP'!$D$21:$E$30,2,FALSE),0)</f>
        <v>45</v>
      </c>
      <c r="Q375" s="637">
        <f>IF(O375="No aplica","No aplica",WORKDAY.INTL(O375,P375,1,'Estimación CRP'!A561:A577))</f>
        <v>43679</v>
      </c>
      <c r="R375" s="636">
        <f t="shared" si="118"/>
        <v>8</v>
      </c>
      <c r="S375" s="636">
        <f t="shared" si="119"/>
        <v>6</v>
      </c>
      <c r="T375" s="636">
        <f t="shared" si="120"/>
        <v>6</v>
      </c>
      <c r="U375" s="712">
        <v>7</v>
      </c>
      <c r="V375" s="638">
        <v>1</v>
      </c>
      <c r="W375" s="639" t="s">
        <v>350</v>
      </c>
      <c r="X375" s="640" t="str">
        <f>IFERROR(VLOOKUP(W375,Listas!$A$60:$B$73,2,FALSE),"Alerta: Seleccione primero Modalidad de selección")</f>
        <v>CCE-04</v>
      </c>
      <c r="Y375" s="641">
        <v>0</v>
      </c>
      <c r="Z375" s="641" t="s">
        <v>346</v>
      </c>
      <c r="AA375" s="641" t="s">
        <v>1332</v>
      </c>
      <c r="AB375" s="642">
        <f t="shared" si="121"/>
        <v>66100000</v>
      </c>
      <c r="AC375" s="642">
        <f t="shared" si="122"/>
        <v>66100000</v>
      </c>
      <c r="AD375" s="641">
        <v>0</v>
      </c>
      <c r="AE375" s="643">
        <v>0</v>
      </c>
      <c r="AF375" s="639" t="s">
        <v>276</v>
      </c>
      <c r="AG375" s="639" t="s">
        <v>277</v>
      </c>
      <c r="AH375" s="639" t="s">
        <v>573</v>
      </c>
      <c r="AI375" s="626" t="str">
        <f>IFERROR(VLOOKUP(AH375,Listas!$A$77:$C$83,2,FALSE),"Alerta: Seleccione primero el responsable")</f>
        <v>3550800</v>
      </c>
      <c r="AJ375" s="640" t="str">
        <f>IFERROR(VLOOKUP(AH375,Listas!$A$77:$C$83,3,FALSE),"Alerta: Seleccione primero el responsable")</f>
        <v>carolina.fernandez@idpc.gov.co</v>
      </c>
      <c r="AK375" s="640" t="str">
        <f>IF(J375="Funcionamiento Gastos Generales","No aplica",IF(J375="Funcionamiento Servicios Personales indirectos","No aplica",IFERROR(VLOOKUP(J375,Listas!$A$127:$E$139,3,FALSE),"Alerta: Seleccione la celda en la comumna B con el nombre del proyecto")))</f>
        <v>ME20181114</v>
      </c>
      <c r="AL375" s="640" t="str">
        <f>IF(J375="Funcionamiento Gastos Generales","No aplica",IF(J375="Funcionamiento Servicios Personales","No aplica",IFERROR(VLOOKUP(J375,Listas!$A$220:$D$224,2,FALSE),"Alerta: Seleccione la celda en la comumna B con el nombre del proyecto")))</f>
        <v>COMP1114</v>
      </c>
      <c r="AM375" s="640" t="str">
        <f>IF(J375="Funcionamiento Gastos Generales","No aplica",IF(J375="Funcionamiento Servicios Personales","No aplica",IFERROR(VLOOKUP(J375,Listas!$A$220:$D$224,3,FALSE),"Alerta: Seleccione la celda en la comumna B con el nombre del proyecto")))</f>
        <v>CONC1114</v>
      </c>
      <c r="AN375" s="633" t="s">
        <v>1054</v>
      </c>
      <c r="AO375" s="633" t="s">
        <v>62</v>
      </c>
      <c r="AP375" s="634" t="str">
        <f>IFERROR(VLOOKUP(J375,Listas!$A$182:$E$215,5,FALSE),"Alerta: Seleccione la celda en la comumna B con el nombre del proyecto")</f>
        <v>4. Obras de Intervención en Bienes muebles - inmuebles y sectores que conforman el patrimonio cultural del D.C.</v>
      </c>
      <c r="AQ375" s="634" t="str">
        <f>IF(J375="Funcionamiento Gastos Generales","No aplica",IF(J375="Funcionamiento Servicios Personales","No aplica",IFERROR(VLOOKUP(J375,Listas!$A$220:$D$224,4,FALSE),"Alerta: Seleccione la celda en la comumna B con el nombre del proyecto")))</f>
        <v>FONT1114</v>
      </c>
      <c r="AR375" s="633" t="s">
        <v>198</v>
      </c>
      <c r="AS375" s="634" t="str">
        <f>IFERROR(VLOOKUP(AU375,Listas!$E$85:$L$105,7,FALSE),"Alerta: Seleccione la celda en la comumna AI con el concepto de gasto")</f>
        <v>01-INFRAESTRUCTURA</v>
      </c>
      <c r="AT375" s="634" t="str">
        <f>IFERROR(VLOOKUP(AU375,Listas!$E$85:$L$105,8,FALSE),"Alerta: Seleccione la celda en la comumna AI con el concepto de gasto")</f>
        <v>01-CONSTRUCCION, ADECUACION Y AMPLIACION DE INFRAESTRUCTURA PROPIA DEL SECTOR</v>
      </c>
      <c r="AU375" s="633" t="s">
        <v>422</v>
      </c>
      <c r="AV375" s="634">
        <f>IFERROR(VLOOKUP(AU375,Listas!$E$85:$F$105,2,FALSE),"Alerta: Seleccione el Concepto de Gasto primero")</f>
        <v>0</v>
      </c>
      <c r="AW375" s="644">
        <v>66100000</v>
      </c>
      <c r="AX375" s="645"/>
      <c r="AY375" s="645"/>
      <c r="AZ375" s="645"/>
      <c r="BA375" s="646">
        <f t="shared" si="123"/>
        <v>66100000</v>
      </c>
      <c r="BB375" s="647"/>
      <c r="BC375" s="648"/>
      <c r="BD375" s="649"/>
      <c r="BE375" s="647"/>
      <c r="BF375" s="644"/>
      <c r="BG375" s="646">
        <f t="shared" si="124"/>
        <v>66100000</v>
      </c>
      <c r="BH375" s="650"/>
      <c r="BI375" s="647"/>
      <c r="BJ375" s="644"/>
      <c r="BK375" s="646">
        <f t="shared" si="125"/>
        <v>0</v>
      </c>
      <c r="BL375" s="651"/>
      <c r="BM375" s="652">
        <f t="shared" si="126"/>
        <v>1</v>
      </c>
      <c r="BN375" s="628"/>
      <c r="BO375" s="670"/>
      <c r="BP375" s="644"/>
      <c r="BQ375" s="644"/>
      <c r="BR375" s="644"/>
      <c r="BS375" s="644"/>
      <c r="BT375" s="644"/>
      <c r="BU375" s="644"/>
      <c r="BV375" s="644"/>
      <c r="BW375" s="644"/>
      <c r="BX375" s="644"/>
      <c r="BY375" s="644"/>
      <c r="BZ375" s="644"/>
      <c r="CA375" s="644"/>
      <c r="CB375" s="646">
        <f t="shared" si="127"/>
        <v>0</v>
      </c>
      <c r="CC375" s="646">
        <f t="shared" si="128"/>
        <v>0</v>
      </c>
      <c r="CD375" s="614"/>
      <c r="CG375" s="561" t="s">
        <v>589</v>
      </c>
    </row>
    <row r="376" spans="1:85" s="561" customFormat="1" ht="61.5" customHeight="1">
      <c r="A376" s="625" t="str">
        <f t="shared" si="110"/>
        <v>1114-140-FONT1114-01-03-0103-Monumentos en espacios públicos a intervenir</v>
      </c>
      <c r="B376" s="626" t="str">
        <f t="shared" si="111"/>
        <v>1114-140-FONT1114-01-03-0103</v>
      </c>
      <c r="C376" s="626" t="str">
        <f t="shared" si="112"/>
        <v>1114-140-FONT1114-Monumentos en espacios públicos a intervenir</v>
      </c>
      <c r="D376" s="626" t="str">
        <f t="shared" si="113"/>
        <v>1114-140-12-Otros Distrito-01-03-0103</v>
      </c>
      <c r="E376" s="626" t="str">
        <f t="shared" si="114"/>
        <v>Monumentos en espacios públicos a intervenir-12-Otros Distrito-0103-Administración, mantenimiento y mejoramiento de los bienes muebles e inmuebles ubicados en el espacio público del Distrito Capital</v>
      </c>
      <c r="F376" s="627">
        <v>324</v>
      </c>
      <c r="G376" s="628">
        <f t="shared" si="115"/>
        <v>324</v>
      </c>
      <c r="H376" s="629" t="b">
        <f t="shared" si="116"/>
        <v>0</v>
      </c>
      <c r="I376" s="630" t="s">
        <v>594</v>
      </c>
      <c r="J376" s="627" t="s">
        <v>180</v>
      </c>
      <c r="K376" s="631" t="str">
        <f>+IFERROR(VLOOKUP(J376,Listas!$A$108:$B$114,2,FALSE),"Alerta: Seleccione la celda en la comumna B con el nombre del proyecto")</f>
        <v>3-3-1-15-02-17-1114-140</v>
      </c>
      <c r="L376" s="632" t="s">
        <v>905</v>
      </c>
      <c r="M376" s="633" t="s">
        <v>906</v>
      </c>
      <c r="N376" s="634" t="str">
        <f t="shared" si="117"/>
        <v>(Cód. 324) Realizar los estudios y diseños para la intervención integral de bienes muebles-inmuebles en el espacio público de la ciudad de Bogotá, D.C.</v>
      </c>
      <c r="O376" s="635">
        <v>43516</v>
      </c>
      <c r="P376" s="636">
        <f>IFERROR(VLOOKUP(W376,'Estimación CRP'!$D$21:$E$30,2,FALSE),0)</f>
        <v>45</v>
      </c>
      <c r="Q376" s="637">
        <f>IF(O376="No aplica","No aplica",WORKDAY.INTL(O376,P376,1,'Estimación CRP'!A562:A578))</f>
        <v>43579</v>
      </c>
      <c r="R376" s="636">
        <f t="shared" si="118"/>
        <v>4</v>
      </c>
      <c r="S376" s="636">
        <f t="shared" si="119"/>
        <v>2</v>
      </c>
      <c r="T376" s="636">
        <f t="shared" si="120"/>
        <v>2</v>
      </c>
      <c r="U376" s="712">
        <v>4</v>
      </c>
      <c r="V376" s="638">
        <v>1</v>
      </c>
      <c r="W376" s="639" t="s">
        <v>350</v>
      </c>
      <c r="X376" s="640" t="str">
        <f>IFERROR(VLOOKUP(W376,Listas!$A$60:$B$73,2,FALSE),"Alerta: Seleccione primero Modalidad de selección")</f>
        <v>CCE-04</v>
      </c>
      <c r="Y376" s="641">
        <v>0</v>
      </c>
      <c r="Z376" s="641" t="s">
        <v>346</v>
      </c>
      <c r="AA376" s="641" t="s">
        <v>1333</v>
      </c>
      <c r="AB376" s="642">
        <f t="shared" si="121"/>
        <v>100000000</v>
      </c>
      <c r="AC376" s="642">
        <f t="shared" si="122"/>
        <v>100000000</v>
      </c>
      <c r="AD376" s="641">
        <v>0</v>
      </c>
      <c r="AE376" s="643">
        <v>0</v>
      </c>
      <c r="AF376" s="639" t="s">
        <v>276</v>
      </c>
      <c r="AG376" s="639" t="s">
        <v>277</v>
      </c>
      <c r="AH376" s="639" t="s">
        <v>573</v>
      </c>
      <c r="AI376" s="626" t="str">
        <f>IFERROR(VLOOKUP(AH376,Listas!$A$77:$C$83,2,FALSE),"Alerta: Seleccione primero el responsable")</f>
        <v>3550800</v>
      </c>
      <c r="AJ376" s="640" t="str">
        <f>IFERROR(VLOOKUP(AH376,Listas!$A$77:$C$83,3,FALSE),"Alerta: Seleccione primero el responsable")</f>
        <v>carolina.fernandez@idpc.gov.co</v>
      </c>
      <c r="AK376" s="640" t="str">
        <f>IF(J376="Funcionamiento Gastos Generales","No aplica",IF(J376="Funcionamiento Servicios Personales indirectos","No aplica",IFERROR(VLOOKUP(J376,Listas!$A$127:$E$139,3,FALSE),"Alerta: Seleccione la celda en la comumna B con el nombre del proyecto")))</f>
        <v>ME20181114</v>
      </c>
      <c r="AL376" s="640" t="str">
        <f>IF(J376="Funcionamiento Gastos Generales","No aplica",IF(J376="Funcionamiento Servicios Personales","No aplica",IFERROR(VLOOKUP(J376,Listas!$A$220:$D$224,2,FALSE),"Alerta: Seleccione la celda en la comumna B con el nombre del proyecto")))</f>
        <v>COMP1114</v>
      </c>
      <c r="AM376" s="640" t="str">
        <f>IF(J376="Funcionamiento Gastos Generales","No aplica",IF(J376="Funcionamiento Servicios Personales","No aplica",IFERROR(VLOOKUP(J376,Listas!$A$220:$D$224,3,FALSE),"Alerta: Seleccione la celda en la comumna B con el nombre del proyecto")))</f>
        <v>CONC1114</v>
      </c>
      <c r="AN376" s="633" t="s">
        <v>1054</v>
      </c>
      <c r="AO376" s="633" t="s">
        <v>312</v>
      </c>
      <c r="AP376" s="634" t="str">
        <f>IFERROR(VLOOKUP(J376,Listas!$A$182:$E$215,5,FALSE),"Alerta: Seleccione la celda en la comumna B con el nombre del proyecto")</f>
        <v>4. Obras de Intervención en Bienes muebles - inmuebles y sectores que conforman el patrimonio cultural del D.C.</v>
      </c>
      <c r="AQ376" s="634" t="str">
        <f>IF(J376="Funcionamiento Gastos Generales","No aplica",IF(J376="Funcionamiento Servicios Personales","No aplica",IFERROR(VLOOKUP(J376,Listas!$A$220:$D$224,4,FALSE),"Alerta: Seleccione la celda en la comumna B con el nombre del proyecto")))</f>
        <v>FONT1114</v>
      </c>
      <c r="AR376" s="633" t="s">
        <v>198</v>
      </c>
      <c r="AS376" s="634" t="str">
        <f>IFERROR(VLOOKUP(AU376,Listas!$E$85:$L$105,7,FALSE),"Alerta: Seleccione la celda en la comumna AI con el concepto de gasto")</f>
        <v>01-INFRAESTRUCTURA</v>
      </c>
      <c r="AT376" s="634" t="str">
        <f>IFERROR(VLOOKUP(AU376,Listas!$E$85:$L$105,8,FALSE),"Alerta: Seleccione la celda en la comumna AI con el concepto de gasto")</f>
        <v>03-MEJORAMIENTO Y MANTENIMIENTO DE INFRAESTRUCTURA PROPIA DEL SECTOR</v>
      </c>
      <c r="AU376" s="633" t="s">
        <v>225</v>
      </c>
      <c r="AV376" s="634">
        <f>IFERROR(VLOOKUP(AU376,Listas!$E$85:$F$105,2,FALSE),"Alerta: Seleccione el Concepto de Gasto primero")</f>
        <v>1</v>
      </c>
      <c r="AW376" s="644">
        <v>100000000</v>
      </c>
      <c r="AX376" s="645"/>
      <c r="AY376" s="645"/>
      <c r="AZ376" s="645"/>
      <c r="BA376" s="646">
        <f t="shared" si="123"/>
        <v>100000000</v>
      </c>
      <c r="BB376" s="647"/>
      <c r="BC376" s="648"/>
      <c r="BD376" s="649"/>
      <c r="BE376" s="647"/>
      <c r="BF376" s="644"/>
      <c r="BG376" s="646">
        <f t="shared" si="124"/>
        <v>100000000</v>
      </c>
      <c r="BH376" s="650"/>
      <c r="BI376" s="647"/>
      <c r="BJ376" s="644"/>
      <c r="BK376" s="646">
        <f t="shared" si="125"/>
        <v>0</v>
      </c>
      <c r="BL376" s="651"/>
      <c r="BM376" s="652">
        <f t="shared" si="126"/>
        <v>1</v>
      </c>
      <c r="BN376" s="628"/>
      <c r="BO376" s="670"/>
      <c r="BP376" s="644"/>
      <c r="BQ376" s="644"/>
      <c r="BR376" s="644"/>
      <c r="BS376" s="644"/>
      <c r="BT376" s="644"/>
      <c r="BU376" s="644"/>
      <c r="BV376" s="644"/>
      <c r="BW376" s="644"/>
      <c r="BX376" s="644"/>
      <c r="BY376" s="644"/>
      <c r="BZ376" s="644"/>
      <c r="CA376" s="644"/>
      <c r="CB376" s="646">
        <f t="shared" si="127"/>
        <v>0</v>
      </c>
      <c r="CC376" s="646">
        <f t="shared" si="128"/>
        <v>0</v>
      </c>
      <c r="CD376" s="614"/>
    </row>
    <row r="377" spans="1:85" s="561" customFormat="1" ht="61.5" customHeight="1">
      <c r="A377" s="625" t="str">
        <f t="shared" si="110"/>
        <v xml:space="preserve">1114-140-FONT1114-01-01-0525-Bienes de Interés Cultural de tipo inmueble intervenidos </v>
      </c>
      <c r="B377" s="626" t="str">
        <f t="shared" si="111"/>
        <v>1114-140-FONT1114-01-01-0525</v>
      </c>
      <c r="C377" s="626" t="str">
        <f t="shared" si="112"/>
        <v xml:space="preserve">1114-140-FONT1114-Bienes de Interés Cultural de tipo inmueble intervenidos </v>
      </c>
      <c r="D377" s="626" t="str">
        <f t="shared" si="113"/>
        <v>1114-140-12-Otros Distrito-01-01-0525</v>
      </c>
      <c r="E377" s="626" t="str">
        <f t="shared" si="114"/>
        <v>Bienes de Interés Cultural de tipo inmueble intervenidos -12-Otros Distrito-0525-Recuperación y aprovechamiento de bienes de interés cultural</v>
      </c>
      <c r="F377" s="627">
        <v>325</v>
      </c>
      <c r="G377" s="628">
        <f t="shared" si="115"/>
        <v>325</v>
      </c>
      <c r="H377" s="629" t="b">
        <f t="shared" si="116"/>
        <v>0</v>
      </c>
      <c r="I377" s="630" t="s">
        <v>594</v>
      </c>
      <c r="J377" s="627" t="s">
        <v>180</v>
      </c>
      <c r="K377" s="631" t="str">
        <f>+IFERROR(VLOOKUP(J377,Listas!$A$108:$B$114,2,FALSE),"Alerta: Seleccione la celda en la comumna B con el nombre del proyecto")</f>
        <v>3-3-1-15-02-17-1114-140</v>
      </c>
      <c r="L377" s="632" t="s">
        <v>907</v>
      </c>
      <c r="M377" s="633" t="s">
        <v>908</v>
      </c>
      <c r="N377" s="634" t="str">
        <f t="shared" si="117"/>
        <v>(Cód. 325) Realizar la consultoría para elaborar los estudios técnicos, jurídicos, financieros y diseños definitivos para la construcción de las Galerías comerciales del edificio Liévano primera planta colindante con la carrera 8 entre calle 10 y calle 11.</v>
      </c>
      <c r="O377" s="635">
        <v>43570</v>
      </c>
      <c r="P377" s="636">
        <f>IFERROR(VLOOKUP(W377,'Estimación CRP'!$D$21:$E$30,2,FALSE),0)</f>
        <v>45</v>
      </c>
      <c r="Q377" s="637">
        <f>IF(O377="No aplica","No aplica",WORKDAY.INTL(O377,P377,1,'Estimación CRP'!A563:A579))</f>
        <v>43633</v>
      </c>
      <c r="R377" s="636">
        <f t="shared" si="118"/>
        <v>6</v>
      </c>
      <c r="S377" s="636">
        <f t="shared" si="119"/>
        <v>4</v>
      </c>
      <c r="T377" s="636">
        <f t="shared" si="120"/>
        <v>4</v>
      </c>
      <c r="U377" s="712">
        <v>5</v>
      </c>
      <c r="V377" s="638">
        <v>1</v>
      </c>
      <c r="W377" s="639" t="s">
        <v>350</v>
      </c>
      <c r="X377" s="640" t="str">
        <f>IFERROR(VLOOKUP(W377,Listas!$A$60:$B$73,2,FALSE),"Alerta: Seleccione primero Modalidad de selección")</f>
        <v>CCE-04</v>
      </c>
      <c r="Y377" s="641">
        <v>0</v>
      </c>
      <c r="Z377" s="641" t="s">
        <v>346</v>
      </c>
      <c r="AA377" s="641" t="s">
        <v>1334</v>
      </c>
      <c r="AB377" s="642">
        <f t="shared" si="121"/>
        <v>350000000</v>
      </c>
      <c r="AC377" s="642">
        <f t="shared" si="122"/>
        <v>350000000</v>
      </c>
      <c r="AD377" s="641">
        <v>0</v>
      </c>
      <c r="AE377" s="643">
        <v>0</v>
      </c>
      <c r="AF377" s="639" t="s">
        <v>276</v>
      </c>
      <c r="AG377" s="639" t="s">
        <v>277</v>
      </c>
      <c r="AH377" s="639" t="s">
        <v>573</v>
      </c>
      <c r="AI377" s="626" t="str">
        <f>IFERROR(VLOOKUP(AH377,Listas!$A$77:$C$83,2,FALSE),"Alerta: Seleccione primero el responsable")</f>
        <v>3550800</v>
      </c>
      <c r="AJ377" s="640" t="str">
        <f>IFERROR(VLOOKUP(AH377,Listas!$A$77:$C$83,3,FALSE),"Alerta: Seleccione primero el responsable")</f>
        <v>carolina.fernandez@idpc.gov.co</v>
      </c>
      <c r="AK377" s="640" t="str">
        <f>IF(J377="Funcionamiento Gastos Generales","No aplica",IF(J377="Funcionamiento Servicios Personales indirectos","No aplica",IFERROR(VLOOKUP(J377,Listas!$A$127:$E$139,3,FALSE),"Alerta: Seleccione la celda en la comumna B con el nombre del proyecto")))</f>
        <v>ME20181114</v>
      </c>
      <c r="AL377" s="640" t="str">
        <f>IF(J377="Funcionamiento Gastos Generales","No aplica",IF(J377="Funcionamiento Servicios Personales","No aplica",IFERROR(VLOOKUP(J377,Listas!$A$220:$D$224,2,FALSE),"Alerta: Seleccione la celda en la comumna B con el nombre del proyecto")))</f>
        <v>COMP1114</v>
      </c>
      <c r="AM377" s="640" t="str">
        <f>IF(J377="Funcionamiento Gastos Generales","No aplica",IF(J377="Funcionamiento Servicios Personales","No aplica",IFERROR(VLOOKUP(J377,Listas!$A$220:$D$224,3,FALSE),"Alerta: Seleccione la celda en la comumna B con el nombre del proyecto")))</f>
        <v>CONC1114</v>
      </c>
      <c r="AN377" s="633" t="s">
        <v>1054</v>
      </c>
      <c r="AO377" s="633" t="s">
        <v>62</v>
      </c>
      <c r="AP377" s="634" t="str">
        <f>IFERROR(VLOOKUP(J377,Listas!$A$182:$E$215,5,FALSE),"Alerta: Seleccione la celda en la comumna B con el nombre del proyecto")</f>
        <v>4. Obras de Intervención en Bienes muebles - inmuebles y sectores que conforman el patrimonio cultural del D.C.</v>
      </c>
      <c r="AQ377" s="634" t="str">
        <f>IF(J377="Funcionamiento Gastos Generales","No aplica",IF(J377="Funcionamiento Servicios Personales","No aplica",IFERROR(VLOOKUP(J377,Listas!$A$220:$D$224,4,FALSE),"Alerta: Seleccione la celda en la comumna B con el nombre del proyecto")))</f>
        <v>FONT1114</v>
      </c>
      <c r="AR377" s="633" t="s">
        <v>198</v>
      </c>
      <c r="AS377" s="634" t="str">
        <f>IFERROR(VLOOKUP(AU377,Listas!$E$85:$L$105,7,FALSE),"Alerta: Seleccione la celda en la comumna AI con el concepto de gasto")</f>
        <v>01-INFRAESTRUCTURA</v>
      </c>
      <c r="AT377" s="634" t="str">
        <f>IFERROR(VLOOKUP(AU377,Listas!$E$85:$L$105,8,FALSE),"Alerta: Seleccione la celda en la comumna AI con el concepto de gasto")</f>
        <v>01-CONSTRUCCION, ADECUACION Y AMPLIACION DE INFRAESTRUCTURA PROPIA DEL SECTOR</v>
      </c>
      <c r="AU377" s="633" t="s">
        <v>422</v>
      </c>
      <c r="AV377" s="634">
        <f>IFERROR(VLOOKUP(AU377,Listas!$E$85:$F$105,2,FALSE),"Alerta: Seleccione el Concepto de Gasto primero")</f>
        <v>0</v>
      </c>
      <c r="AW377" s="644">
        <v>350000000</v>
      </c>
      <c r="AX377" s="645"/>
      <c r="AY377" s="645"/>
      <c r="AZ377" s="645"/>
      <c r="BA377" s="646">
        <f t="shared" si="123"/>
        <v>350000000</v>
      </c>
      <c r="BB377" s="647"/>
      <c r="BC377" s="648"/>
      <c r="BD377" s="649"/>
      <c r="BE377" s="647"/>
      <c r="BF377" s="644"/>
      <c r="BG377" s="646">
        <f t="shared" si="124"/>
        <v>350000000</v>
      </c>
      <c r="BH377" s="650"/>
      <c r="BI377" s="647"/>
      <c r="BJ377" s="644"/>
      <c r="BK377" s="646">
        <f t="shared" si="125"/>
        <v>0</v>
      </c>
      <c r="BL377" s="651"/>
      <c r="BM377" s="652">
        <f t="shared" si="126"/>
        <v>1</v>
      </c>
      <c r="BN377" s="628"/>
      <c r="BO377" s="670"/>
      <c r="BP377" s="644"/>
      <c r="BQ377" s="644"/>
      <c r="BR377" s="644"/>
      <c r="BS377" s="644"/>
      <c r="BT377" s="644"/>
      <c r="BU377" s="644"/>
      <c r="BV377" s="644"/>
      <c r="BW377" s="644"/>
      <c r="BX377" s="644"/>
      <c r="BY377" s="644"/>
      <c r="BZ377" s="644"/>
      <c r="CA377" s="644"/>
      <c r="CB377" s="646">
        <f t="shared" si="127"/>
        <v>0</v>
      </c>
      <c r="CC377" s="646">
        <f t="shared" si="128"/>
        <v>0</v>
      </c>
      <c r="CD377" s="614"/>
    </row>
    <row r="378" spans="1:85" s="561" customFormat="1" ht="61.5" customHeight="1">
      <c r="A378" s="625" t="str">
        <f t="shared" si="110"/>
        <v>1114-140-FONT1114-01-01-0525-Programa Fachadas</v>
      </c>
      <c r="B378" s="626" t="str">
        <f t="shared" si="111"/>
        <v>1114-140-FONT1114-01-01-0525</v>
      </c>
      <c r="C378" s="626" t="str">
        <f t="shared" si="112"/>
        <v>1114-140-FONT1114-Programa Fachadas</v>
      </c>
      <c r="D378" s="626" t="str">
        <f t="shared" si="113"/>
        <v>1114-140-12-Otros Distrito-01-01-0525</v>
      </c>
      <c r="E378" s="626" t="str">
        <f t="shared" si="114"/>
        <v>Programa Fachadas-12-Otros Distrito-0525-Recuperación y aprovechamiento de bienes de interés cultural</v>
      </c>
      <c r="F378" s="627">
        <v>326</v>
      </c>
      <c r="G378" s="628">
        <f t="shared" si="115"/>
        <v>326</v>
      </c>
      <c r="H378" s="629" t="b">
        <f t="shared" si="116"/>
        <v>0</v>
      </c>
      <c r="I378" s="630" t="s">
        <v>594</v>
      </c>
      <c r="J378" s="627" t="s">
        <v>180</v>
      </c>
      <c r="K378" s="631" t="str">
        <f>+IFERROR(VLOOKUP(J378,Listas!$A$108:$B$114,2,FALSE),"Alerta: Seleccione la celda en la comumna B con el nombre del proyecto")</f>
        <v>3-3-1-15-02-17-1114-140</v>
      </c>
      <c r="L378" s="632" t="s">
        <v>899</v>
      </c>
      <c r="M378" s="633" t="s">
        <v>909</v>
      </c>
      <c r="N378" s="634" t="str">
        <f t="shared" si="117"/>
        <v>(Cód. 326) Realizar la intervención y mantenimiento de las Fachadas de las Iglesias Sanfrancisco, Egipto y Candelaria en la ciudad de Bogotá.</v>
      </c>
      <c r="O378" s="635">
        <v>43586</v>
      </c>
      <c r="P378" s="636">
        <f>IFERROR(VLOOKUP(W378,'Estimación CRP'!$D$21:$E$30,2,FALSE),0)</f>
        <v>50</v>
      </c>
      <c r="Q378" s="637">
        <f>IF(O378="No aplica","No aplica",WORKDAY.INTL(O378,P378,1,'Estimación CRP'!A564:A580))</f>
        <v>43656</v>
      </c>
      <c r="R378" s="636">
        <f t="shared" si="118"/>
        <v>7</v>
      </c>
      <c r="S378" s="636">
        <f t="shared" si="119"/>
        <v>5</v>
      </c>
      <c r="T378" s="636">
        <f t="shared" si="120"/>
        <v>5</v>
      </c>
      <c r="U378" s="712">
        <v>7</v>
      </c>
      <c r="V378" s="638">
        <v>1</v>
      </c>
      <c r="W378" s="639" t="s">
        <v>258</v>
      </c>
      <c r="X378" s="640" t="str">
        <f>IFERROR(VLOOKUP(W378,Listas!$A$60:$B$73,2,FALSE),"Alerta: Seleccione primero Modalidad de selección")</f>
        <v>CCE-02</v>
      </c>
      <c r="Y378" s="641">
        <v>0</v>
      </c>
      <c r="Z378" s="641" t="s">
        <v>346</v>
      </c>
      <c r="AA378" s="641" t="s">
        <v>1335</v>
      </c>
      <c r="AB378" s="642">
        <f t="shared" si="121"/>
        <v>600000000</v>
      </c>
      <c r="AC378" s="642">
        <f t="shared" si="122"/>
        <v>600000000</v>
      </c>
      <c r="AD378" s="641">
        <v>0</v>
      </c>
      <c r="AE378" s="643">
        <v>0</v>
      </c>
      <c r="AF378" s="639" t="s">
        <v>276</v>
      </c>
      <c r="AG378" s="639" t="s">
        <v>277</v>
      </c>
      <c r="AH378" s="639" t="s">
        <v>573</v>
      </c>
      <c r="AI378" s="626" t="str">
        <f>IFERROR(VLOOKUP(AH378,Listas!$A$77:$C$83,2,FALSE),"Alerta: Seleccione primero el responsable")</f>
        <v>3550800</v>
      </c>
      <c r="AJ378" s="640" t="str">
        <f>IFERROR(VLOOKUP(AH378,Listas!$A$77:$C$83,3,FALSE),"Alerta: Seleccione primero el responsable")</f>
        <v>carolina.fernandez@idpc.gov.co</v>
      </c>
      <c r="AK378" s="640" t="str">
        <f>IF(J378="Funcionamiento Gastos Generales","No aplica",IF(J378="Funcionamiento Servicios Personales indirectos","No aplica",IFERROR(VLOOKUP(J378,Listas!$A$127:$E$139,3,FALSE),"Alerta: Seleccione la celda en la comumna B con el nombre del proyecto")))</f>
        <v>ME20181114</v>
      </c>
      <c r="AL378" s="640" t="str">
        <f>IF(J378="Funcionamiento Gastos Generales","No aplica",IF(J378="Funcionamiento Servicios Personales","No aplica",IFERROR(VLOOKUP(J378,Listas!$A$220:$D$224,2,FALSE),"Alerta: Seleccione la celda en la comumna B con el nombre del proyecto")))</f>
        <v>COMP1114</v>
      </c>
      <c r="AM378" s="640" t="str">
        <f>IF(J378="Funcionamiento Gastos Generales","No aplica",IF(J378="Funcionamiento Servicios Personales","No aplica",IFERROR(VLOOKUP(J378,Listas!$A$220:$D$224,3,FALSE),"Alerta: Seleccione la celda en la comumna B con el nombre del proyecto")))</f>
        <v>CONC1114</v>
      </c>
      <c r="AN378" s="633" t="s">
        <v>1054</v>
      </c>
      <c r="AO378" s="633" t="s">
        <v>392</v>
      </c>
      <c r="AP378" s="634" t="str">
        <f>IFERROR(VLOOKUP(J378,Listas!$A$182:$E$215,5,FALSE),"Alerta: Seleccione la celda en la comumna B con el nombre del proyecto")</f>
        <v>4. Obras de Intervención en Bienes muebles - inmuebles y sectores que conforman el patrimonio cultural del D.C.</v>
      </c>
      <c r="AQ378" s="634" t="str">
        <f>IF(J378="Funcionamiento Gastos Generales","No aplica",IF(J378="Funcionamiento Servicios Personales","No aplica",IFERROR(VLOOKUP(J378,Listas!$A$220:$D$224,4,FALSE),"Alerta: Seleccione la celda en la comumna B con el nombre del proyecto")))</f>
        <v>FONT1114</v>
      </c>
      <c r="AR378" s="633" t="s">
        <v>198</v>
      </c>
      <c r="AS378" s="634" t="str">
        <f>IFERROR(VLOOKUP(AU378,Listas!$E$85:$L$105,7,FALSE),"Alerta: Seleccione la celda en la comumna AI con el concepto de gasto")</f>
        <v>01-INFRAESTRUCTURA</v>
      </c>
      <c r="AT378" s="634" t="str">
        <f>IFERROR(VLOOKUP(AU378,Listas!$E$85:$L$105,8,FALSE),"Alerta: Seleccione la celda en la comumna AI con el concepto de gasto")</f>
        <v>01-CONSTRUCCION, ADECUACION Y AMPLIACION DE INFRAESTRUCTURA PROPIA DEL SECTOR</v>
      </c>
      <c r="AU378" s="633" t="s">
        <v>422</v>
      </c>
      <c r="AV378" s="634">
        <f>IFERROR(VLOOKUP(AU378,Listas!$E$85:$F$105,2,FALSE),"Alerta: Seleccione el Concepto de Gasto primero")</f>
        <v>0</v>
      </c>
      <c r="AW378" s="644">
        <v>600000000</v>
      </c>
      <c r="AX378" s="645"/>
      <c r="AY378" s="645"/>
      <c r="AZ378" s="645"/>
      <c r="BA378" s="646">
        <f t="shared" si="123"/>
        <v>600000000</v>
      </c>
      <c r="BB378" s="647"/>
      <c r="BC378" s="648"/>
      <c r="BD378" s="649"/>
      <c r="BE378" s="647"/>
      <c r="BF378" s="644"/>
      <c r="BG378" s="646">
        <f t="shared" si="124"/>
        <v>600000000</v>
      </c>
      <c r="BH378" s="650"/>
      <c r="BI378" s="647"/>
      <c r="BJ378" s="644"/>
      <c r="BK378" s="646">
        <f t="shared" si="125"/>
        <v>0</v>
      </c>
      <c r="BL378" s="651"/>
      <c r="BM378" s="652">
        <f t="shared" si="126"/>
        <v>1</v>
      </c>
      <c r="BN378" s="628"/>
      <c r="BO378" s="670"/>
      <c r="BP378" s="644"/>
      <c r="BQ378" s="644"/>
      <c r="BR378" s="644"/>
      <c r="BS378" s="644"/>
      <c r="BT378" s="644"/>
      <c r="BU378" s="644"/>
      <c r="BV378" s="644"/>
      <c r="BW378" s="644"/>
      <c r="BX378" s="644"/>
      <c r="BY378" s="644"/>
      <c r="BZ378" s="644"/>
      <c r="CA378" s="644"/>
      <c r="CB378" s="646">
        <f t="shared" si="127"/>
        <v>0</v>
      </c>
      <c r="CC378" s="646">
        <f t="shared" si="128"/>
        <v>0</v>
      </c>
      <c r="CD378" s="614"/>
    </row>
    <row r="379" spans="1:85" s="561" customFormat="1" ht="61.5" customHeight="1">
      <c r="A379" s="625" t="str">
        <f t="shared" si="110"/>
        <v>1114-140-FONT1114-01-01-0525-Programa Fachadas</v>
      </c>
      <c r="B379" s="626" t="str">
        <f t="shared" si="111"/>
        <v>1114-140-FONT1114-01-01-0525</v>
      </c>
      <c r="C379" s="626" t="str">
        <f t="shared" si="112"/>
        <v>1114-140-FONT1114-Programa Fachadas</v>
      </c>
      <c r="D379" s="626" t="str">
        <f t="shared" si="113"/>
        <v>1114-140-12-Otros Distrito-01-01-0525</v>
      </c>
      <c r="E379" s="626" t="str">
        <f t="shared" si="114"/>
        <v>Programa Fachadas-12-Otros Distrito-0525-Recuperación y aprovechamiento de bienes de interés cultural</v>
      </c>
      <c r="F379" s="627">
        <v>327</v>
      </c>
      <c r="G379" s="628">
        <f t="shared" si="115"/>
        <v>327</v>
      </c>
      <c r="H379" s="629" t="b">
        <f t="shared" si="116"/>
        <v>0</v>
      </c>
      <c r="I379" s="630" t="s">
        <v>594</v>
      </c>
      <c r="J379" s="627" t="s">
        <v>180</v>
      </c>
      <c r="K379" s="631" t="str">
        <f>+IFERROR(VLOOKUP(J379,Listas!$A$108:$B$114,2,FALSE),"Alerta: Seleccione la celda en la comumna B con el nombre del proyecto")</f>
        <v>3-3-1-15-02-17-1114-140</v>
      </c>
      <c r="L379" s="632" t="s">
        <v>895</v>
      </c>
      <c r="M379" s="633" t="s">
        <v>910</v>
      </c>
      <c r="N379" s="634" t="str">
        <f t="shared" si="117"/>
        <v>(Cód. 327) Realizar la interventoría integral para la intervención y mantenimiento de las Fachadas de las Iglesias Sanfrancisco, Egipto y Candelaria en la ciudad de Bogotá.</v>
      </c>
      <c r="O379" s="635">
        <v>43586</v>
      </c>
      <c r="P379" s="636">
        <f>IFERROR(VLOOKUP(W379,'Estimación CRP'!$D$21:$E$30,2,FALSE),0)</f>
        <v>45</v>
      </c>
      <c r="Q379" s="637">
        <f>IF(O379="No aplica","No aplica",WORKDAY.INTL(O379,P379,1,'Estimación CRP'!A565:A581))</f>
        <v>43649</v>
      </c>
      <c r="R379" s="636">
        <f t="shared" si="118"/>
        <v>7</v>
      </c>
      <c r="S379" s="636">
        <f t="shared" si="119"/>
        <v>5</v>
      </c>
      <c r="T379" s="636">
        <f t="shared" si="120"/>
        <v>5</v>
      </c>
      <c r="U379" s="712">
        <v>8</v>
      </c>
      <c r="V379" s="638">
        <v>1</v>
      </c>
      <c r="W379" s="639" t="s">
        <v>350</v>
      </c>
      <c r="X379" s="640" t="str">
        <f>IFERROR(VLOOKUP(W379,Listas!$A$60:$B$73,2,FALSE),"Alerta: Seleccione primero Modalidad de selección")</f>
        <v>CCE-04</v>
      </c>
      <c r="Y379" s="641">
        <v>0</v>
      </c>
      <c r="Z379" s="641" t="s">
        <v>346</v>
      </c>
      <c r="AA379" s="641" t="s">
        <v>1335</v>
      </c>
      <c r="AB379" s="642">
        <f t="shared" si="121"/>
        <v>160000000</v>
      </c>
      <c r="AC379" s="642">
        <f t="shared" si="122"/>
        <v>160000000</v>
      </c>
      <c r="AD379" s="641">
        <v>0</v>
      </c>
      <c r="AE379" s="643">
        <v>0</v>
      </c>
      <c r="AF379" s="639" t="s">
        <v>276</v>
      </c>
      <c r="AG379" s="639" t="s">
        <v>277</v>
      </c>
      <c r="AH379" s="639" t="s">
        <v>573</v>
      </c>
      <c r="AI379" s="626" t="str">
        <f>IFERROR(VLOOKUP(AH379,Listas!$A$77:$C$83,2,FALSE),"Alerta: Seleccione primero el responsable")</f>
        <v>3550800</v>
      </c>
      <c r="AJ379" s="640" t="str">
        <f>IFERROR(VLOOKUP(AH379,Listas!$A$77:$C$83,3,FALSE),"Alerta: Seleccione primero el responsable")</f>
        <v>carolina.fernandez@idpc.gov.co</v>
      </c>
      <c r="AK379" s="640" t="str">
        <f>IF(J379="Funcionamiento Gastos Generales","No aplica",IF(J379="Funcionamiento Servicios Personales indirectos","No aplica",IFERROR(VLOOKUP(J379,Listas!$A$127:$E$139,3,FALSE),"Alerta: Seleccione la celda en la comumna B con el nombre del proyecto")))</f>
        <v>ME20181114</v>
      </c>
      <c r="AL379" s="640" t="str">
        <f>IF(J379="Funcionamiento Gastos Generales","No aplica",IF(J379="Funcionamiento Servicios Personales","No aplica",IFERROR(VLOOKUP(J379,Listas!$A$220:$D$224,2,FALSE),"Alerta: Seleccione la celda en la comumna B con el nombre del proyecto")))</f>
        <v>COMP1114</v>
      </c>
      <c r="AM379" s="640" t="str">
        <f>IF(J379="Funcionamiento Gastos Generales","No aplica",IF(J379="Funcionamiento Servicios Personales","No aplica",IFERROR(VLOOKUP(J379,Listas!$A$220:$D$224,3,FALSE),"Alerta: Seleccione la celda en la comumna B con el nombre del proyecto")))</f>
        <v>CONC1114</v>
      </c>
      <c r="AN379" s="633" t="s">
        <v>1054</v>
      </c>
      <c r="AO379" s="633" t="s">
        <v>392</v>
      </c>
      <c r="AP379" s="634" t="str">
        <f>IFERROR(VLOOKUP(J379,Listas!$A$182:$E$215,5,FALSE),"Alerta: Seleccione la celda en la comumna B con el nombre del proyecto")</f>
        <v>4. Obras de Intervención en Bienes muebles - inmuebles y sectores que conforman el patrimonio cultural del D.C.</v>
      </c>
      <c r="AQ379" s="634" t="str">
        <f>IF(J379="Funcionamiento Gastos Generales","No aplica",IF(J379="Funcionamiento Servicios Personales","No aplica",IFERROR(VLOOKUP(J379,Listas!$A$220:$D$224,4,FALSE),"Alerta: Seleccione la celda en la comumna B con el nombre del proyecto")))</f>
        <v>FONT1114</v>
      </c>
      <c r="AR379" s="633" t="s">
        <v>198</v>
      </c>
      <c r="AS379" s="634" t="str">
        <f>IFERROR(VLOOKUP(AU379,Listas!$E$85:$L$105,7,FALSE),"Alerta: Seleccione la celda en la comumna AI con el concepto de gasto")</f>
        <v>01-INFRAESTRUCTURA</v>
      </c>
      <c r="AT379" s="634" t="str">
        <f>IFERROR(VLOOKUP(AU379,Listas!$E$85:$L$105,8,FALSE),"Alerta: Seleccione la celda en la comumna AI con el concepto de gasto")</f>
        <v>01-CONSTRUCCION, ADECUACION Y AMPLIACION DE INFRAESTRUCTURA PROPIA DEL SECTOR</v>
      </c>
      <c r="AU379" s="633" t="s">
        <v>422</v>
      </c>
      <c r="AV379" s="634">
        <f>IFERROR(VLOOKUP(AU379,Listas!$E$85:$F$105,2,FALSE),"Alerta: Seleccione el Concepto de Gasto primero")</f>
        <v>0</v>
      </c>
      <c r="AW379" s="644">
        <v>160000000</v>
      </c>
      <c r="AX379" s="645"/>
      <c r="AY379" s="645"/>
      <c r="AZ379" s="645"/>
      <c r="BA379" s="646">
        <f t="shared" si="123"/>
        <v>160000000</v>
      </c>
      <c r="BB379" s="647"/>
      <c r="BC379" s="648"/>
      <c r="BD379" s="649"/>
      <c r="BE379" s="647"/>
      <c r="BF379" s="644"/>
      <c r="BG379" s="646">
        <f t="shared" si="124"/>
        <v>160000000</v>
      </c>
      <c r="BH379" s="650"/>
      <c r="BI379" s="647"/>
      <c r="BJ379" s="644"/>
      <c r="BK379" s="646">
        <f t="shared" si="125"/>
        <v>0</v>
      </c>
      <c r="BL379" s="651"/>
      <c r="BM379" s="652">
        <f t="shared" si="126"/>
        <v>1</v>
      </c>
      <c r="BN379" s="628"/>
      <c r="BO379" s="670"/>
      <c r="BP379" s="644"/>
      <c r="BQ379" s="644"/>
      <c r="BR379" s="644"/>
      <c r="BS379" s="644"/>
      <c r="BT379" s="644"/>
      <c r="BU379" s="644"/>
      <c r="BV379" s="644"/>
      <c r="BW379" s="644"/>
      <c r="BX379" s="644"/>
      <c r="BY379" s="644"/>
      <c r="BZ379" s="644"/>
      <c r="CA379" s="644"/>
      <c r="CB379" s="646">
        <f t="shared" si="127"/>
        <v>0</v>
      </c>
      <c r="CC379" s="646">
        <f t="shared" si="128"/>
        <v>0</v>
      </c>
      <c r="CD379" s="614"/>
    </row>
    <row r="380" spans="1:85" s="561" customFormat="1" ht="61.5" customHeight="1">
      <c r="A380" s="625" t="str">
        <f t="shared" si="110"/>
        <v>1114-140-FONT1114-01-01-0525-Programa Fachadas</v>
      </c>
      <c r="B380" s="626" t="str">
        <f t="shared" si="111"/>
        <v>1114-140-FONT1114-01-01-0525</v>
      </c>
      <c r="C380" s="626" t="str">
        <f t="shared" si="112"/>
        <v>1114-140-FONT1114-Programa Fachadas</v>
      </c>
      <c r="D380" s="626" t="str">
        <f t="shared" si="113"/>
        <v>1114-140-12-Otros Distrito-01-01-0525</v>
      </c>
      <c r="E380" s="626" t="str">
        <f t="shared" si="114"/>
        <v>Programa Fachadas-12-Otros Distrito-0525-Recuperación y aprovechamiento de bienes de interés cultural</v>
      </c>
      <c r="F380" s="627">
        <v>328</v>
      </c>
      <c r="G380" s="628">
        <f t="shared" si="115"/>
        <v>328</v>
      </c>
      <c r="H380" s="629" t="b">
        <f t="shared" si="116"/>
        <v>0</v>
      </c>
      <c r="I380" s="630" t="s">
        <v>594</v>
      </c>
      <c r="J380" s="627" t="s">
        <v>180</v>
      </c>
      <c r="K380" s="631" t="str">
        <f>+IFERROR(VLOOKUP(J380,Listas!$A$108:$B$114,2,FALSE),"Alerta: Seleccione la celda en la comumna B con el nombre del proyecto")</f>
        <v>3-3-1-15-02-17-1114-140</v>
      </c>
      <c r="L380" s="632" t="s">
        <v>911</v>
      </c>
      <c r="M380" s="633" t="s">
        <v>912</v>
      </c>
      <c r="N380" s="634" t="str">
        <f t="shared" si="117"/>
        <v>(Cód. 328) Contratar el servicio de transporte terrestre de carga con conductor y combustible, para transportar insumos, materiales, herramientas y equipos que requiera el Instituto Distrital de Patrimonio Cultural dentro del perímetro urbano de la ciudad de Bogotá D.C.</v>
      </c>
      <c r="O380" s="635">
        <v>43511</v>
      </c>
      <c r="P380" s="636">
        <f>IFERROR(VLOOKUP(W380,'Estimación CRP'!$D$21:$E$30,2,FALSE),0)</f>
        <v>45</v>
      </c>
      <c r="Q380" s="637">
        <f>IF(O380="No aplica","No aplica",WORKDAY.INTL(O380,P380,1,'Estimación CRP'!A566:A582))</f>
        <v>43574</v>
      </c>
      <c r="R380" s="636">
        <f t="shared" si="118"/>
        <v>4</v>
      </c>
      <c r="S380" s="636">
        <f t="shared" si="119"/>
        <v>2</v>
      </c>
      <c r="T380" s="636">
        <f t="shared" si="120"/>
        <v>2</v>
      </c>
      <c r="U380" s="712">
        <v>9</v>
      </c>
      <c r="V380" s="638">
        <v>1</v>
      </c>
      <c r="W380" s="639" t="s">
        <v>347</v>
      </c>
      <c r="X380" s="640" t="str">
        <f>IFERROR(VLOOKUP(W380,Listas!$A$60:$B$73,2,FALSE),"Alerta: Seleccione primero Modalidad de selección")</f>
        <v>CCE-07</v>
      </c>
      <c r="Y380" s="641">
        <v>0</v>
      </c>
      <c r="Z380" s="641" t="s">
        <v>1336</v>
      </c>
      <c r="AA380" s="641" t="s">
        <v>1337</v>
      </c>
      <c r="AB380" s="642">
        <f t="shared" si="121"/>
        <v>30000000</v>
      </c>
      <c r="AC380" s="642">
        <f t="shared" si="122"/>
        <v>30000000</v>
      </c>
      <c r="AD380" s="641">
        <v>0</v>
      </c>
      <c r="AE380" s="643">
        <v>0</v>
      </c>
      <c r="AF380" s="639" t="s">
        <v>276</v>
      </c>
      <c r="AG380" s="639" t="s">
        <v>277</v>
      </c>
      <c r="AH380" s="639" t="s">
        <v>573</v>
      </c>
      <c r="AI380" s="626" t="str">
        <f>IFERROR(VLOOKUP(AH380,Listas!$A$77:$C$83,2,FALSE),"Alerta: Seleccione primero el responsable")</f>
        <v>3550800</v>
      </c>
      <c r="AJ380" s="640" t="str">
        <f>IFERROR(VLOOKUP(AH380,Listas!$A$77:$C$83,3,FALSE),"Alerta: Seleccione primero el responsable")</f>
        <v>carolina.fernandez@idpc.gov.co</v>
      </c>
      <c r="AK380" s="640" t="str">
        <f>IF(J380="Funcionamiento Gastos Generales","No aplica",IF(J380="Funcionamiento Servicios Personales indirectos","No aplica",IFERROR(VLOOKUP(J380,Listas!$A$127:$E$139,3,FALSE),"Alerta: Seleccione la celda en la comumna B con el nombre del proyecto")))</f>
        <v>ME20181114</v>
      </c>
      <c r="AL380" s="640" t="str">
        <f>IF(J380="Funcionamiento Gastos Generales","No aplica",IF(J380="Funcionamiento Servicios Personales","No aplica",IFERROR(VLOOKUP(J380,Listas!$A$220:$D$224,2,FALSE),"Alerta: Seleccione la celda en la comumna B con el nombre del proyecto")))</f>
        <v>COMP1114</v>
      </c>
      <c r="AM380" s="640" t="str">
        <f>IF(J380="Funcionamiento Gastos Generales","No aplica",IF(J380="Funcionamiento Servicios Personales","No aplica",IFERROR(VLOOKUP(J380,Listas!$A$220:$D$224,3,FALSE),"Alerta: Seleccione la celda en la comumna B con el nombre del proyecto")))</f>
        <v>CONC1114</v>
      </c>
      <c r="AN380" s="633" t="s">
        <v>1054</v>
      </c>
      <c r="AO380" s="633" t="s">
        <v>392</v>
      </c>
      <c r="AP380" s="634" t="str">
        <f>IFERROR(VLOOKUP(J380,Listas!$A$182:$E$215,5,FALSE),"Alerta: Seleccione la celda en la comumna B con el nombre del proyecto")</f>
        <v>4. Obras de Intervención en Bienes muebles - inmuebles y sectores que conforman el patrimonio cultural del D.C.</v>
      </c>
      <c r="AQ380" s="634" t="str">
        <f>IF(J380="Funcionamiento Gastos Generales","No aplica",IF(J380="Funcionamiento Servicios Personales","No aplica",IFERROR(VLOOKUP(J380,Listas!$A$220:$D$224,4,FALSE),"Alerta: Seleccione la celda en la comumna B con el nombre del proyecto")))</f>
        <v>FONT1114</v>
      </c>
      <c r="AR380" s="633" t="s">
        <v>198</v>
      </c>
      <c r="AS380" s="634" t="str">
        <f>IFERROR(VLOOKUP(AU380,Listas!$E$85:$L$105,7,FALSE),"Alerta: Seleccione la celda en la comumna AI con el concepto de gasto")</f>
        <v>01-INFRAESTRUCTURA</v>
      </c>
      <c r="AT380" s="634" t="str">
        <f>IFERROR(VLOOKUP(AU380,Listas!$E$85:$L$105,8,FALSE),"Alerta: Seleccione la celda en la comumna AI con el concepto de gasto")</f>
        <v>01-CONSTRUCCION, ADECUACION Y AMPLIACION DE INFRAESTRUCTURA PROPIA DEL SECTOR</v>
      </c>
      <c r="AU380" s="633" t="s">
        <v>422</v>
      </c>
      <c r="AV380" s="634">
        <f>IFERROR(VLOOKUP(AU380,Listas!$E$85:$F$105,2,FALSE),"Alerta: Seleccione el Concepto de Gasto primero")</f>
        <v>0</v>
      </c>
      <c r="AW380" s="644">
        <v>30000000</v>
      </c>
      <c r="AX380" s="645"/>
      <c r="AY380" s="645"/>
      <c r="AZ380" s="645"/>
      <c r="BA380" s="646">
        <f t="shared" si="123"/>
        <v>30000000</v>
      </c>
      <c r="BB380" s="647"/>
      <c r="BC380" s="648"/>
      <c r="BD380" s="649"/>
      <c r="BE380" s="647"/>
      <c r="BF380" s="644"/>
      <c r="BG380" s="646">
        <f t="shared" si="124"/>
        <v>30000000</v>
      </c>
      <c r="BH380" s="650"/>
      <c r="BI380" s="647"/>
      <c r="BJ380" s="644"/>
      <c r="BK380" s="646">
        <f t="shared" si="125"/>
        <v>0</v>
      </c>
      <c r="BL380" s="651"/>
      <c r="BM380" s="652">
        <f t="shared" si="126"/>
        <v>1</v>
      </c>
      <c r="BN380" s="628"/>
      <c r="BO380" s="670"/>
      <c r="BP380" s="644"/>
      <c r="BQ380" s="644"/>
      <c r="BR380" s="644"/>
      <c r="BS380" s="644"/>
      <c r="BT380" s="644"/>
      <c r="BU380" s="644"/>
      <c r="BV380" s="644"/>
      <c r="BW380" s="644"/>
      <c r="BX380" s="644"/>
      <c r="BY380" s="644"/>
      <c r="BZ380" s="644"/>
      <c r="CA380" s="644"/>
      <c r="CB380" s="646">
        <f t="shared" si="127"/>
        <v>0</v>
      </c>
      <c r="CC380" s="646">
        <f t="shared" si="128"/>
        <v>0</v>
      </c>
      <c r="CD380" s="614"/>
      <c r="CG380" s="561" t="s">
        <v>589</v>
      </c>
    </row>
    <row r="381" spans="1:85" s="561" customFormat="1" ht="61.5" customHeight="1">
      <c r="A381" s="625" t="str">
        <f t="shared" si="110"/>
        <v>1114-140-FONT1114-01-01-0525-Programa Fachadas</v>
      </c>
      <c r="B381" s="626" t="str">
        <f t="shared" si="111"/>
        <v>1114-140-FONT1114-01-01-0525</v>
      </c>
      <c r="C381" s="626" t="str">
        <f t="shared" si="112"/>
        <v>1114-140-FONT1114-Programa Fachadas</v>
      </c>
      <c r="D381" s="626" t="str">
        <f t="shared" si="113"/>
        <v>1114-140-12-Otros Distrito-01-01-0525</v>
      </c>
      <c r="E381" s="626" t="str">
        <f t="shared" si="114"/>
        <v>Programa Fachadas-12-Otros Distrito-0525-Recuperación y aprovechamiento de bienes de interés cultural</v>
      </c>
      <c r="F381" s="627">
        <v>329</v>
      </c>
      <c r="G381" s="628">
        <f t="shared" si="115"/>
        <v>329</v>
      </c>
      <c r="H381" s="629" t="b">
        <f t="shared" si="116"/>
        <v>0</v>
      </c>
      <c r="I381" s="630" t="s">
        <v>594</v>
      </c>
      <c r="J381" s="627" t="s">
        <v>180</v>
      </c>
      <c r="K381" s="631" t="str">
        <f>+IFERROR(VLOOKUP(J381,Listas!$A$108:$B$114,2,FALSE),"Alerta: Seleccione la celda en la comumna B con el nombre del proyecto")</f>
        <v>3-3-1-15-02-17-1114-140</v>
      </c>
      <c r="L381" s="632" t="s">
        <v>913</v>
      </c>
      <c r="M381" s="633" t="s">
        <v>652</v>
      </c>
      <c r="N381" s="634" t="str">
        <f t="shared" si="117"/>
        <v>(Cód. 329) Contratar insumos de ferretería, materiales y herramientas requeridas para la ejecución de intervenciones técnicas necesarias para el enlucimiento de fachadas, limpieza y mantenimiento de los Bienes de Interés Cultural muebles en espacio público e instalaciones que se utilizan para la prestación del servicio del Instituto Distrital de Patrimonio Cultural, en la ciudad de Bogotá D.C.</v>
      </c>
      <c r="O381" s="635">
        <v>43511</v>
      </c>
      <c r="P381" s="636">
        <f>IFERROR(VLOOKUP(W381,'Estimación CRP'!$D$21:$E$30,2,FALSE),0)</f>
        <v>45</v>
      </c>
      <c r="Q381" s="637">
        <f>IF(O381="No aplica","No aplica",WORKDAY.INTL(O381,P381,1,'Estimación CRP'!A567:A583))</f>
        <v>43574</v>
      </c>
      <c r="R381" s="636">
        <f t="shared" si="118"/>
        <v>4</v>
      </c>
      <c r="S381" s="636">
        <f t="shared" si="119"/>
        <v>2</v>
      </c>
      <c r="T381" s="636">
        <f t="shared" si="120"/>
        <v>2</v>
      </c>
      <c r="U381" s="712">
        <v>9</v>
      </c>
      <c r="V381" s="638">
        <v>1</v>
      </c>
      <c r="W381" s="639" t="s">
        <v>347</v>
      </c>
      <c r="X381" s="640" t="str">
        <f>IFERROR(VLOOKUP(W381,Listas!$A$60:$B$73,2,FALSE),"Alerta: Seleccione primero Modalidad de selección")</f>
        <v>CCE-07</v>
      </c>
      <c r="Y381" s="641">
        <v>0</v>
      </c>
      <c r="Z381" s="641" t="s">
        <v>1122</v>
      </c>
      <c r="AA381" s="641" t="s">
        <v>1337</v>
      </c>
      <c r="AB381" s="642">
        <f t="shared" si="121"/>
        <v>170048947</v>
      </c>
      <c r="AC381" s="642">
        <f t="shared" si="122"/>
        <v>170048947</v>
      </c>
      <c r="AD381" s="641">
        <v>0</v>
      </c>
      <c r="AE381" s="643">
        <v>0</v>
      </c>
      <c r="AF381" s="639" t="s">
        <v>276</v>
      </c>
      <c r="AG381" s="639" t="s">
        <v>277</v>
      </c>
      <c r="AH381" s="639" t="s">
        <v>573</v>
      </c>
      <c r="AI381" s="626" t="str">
        <f>IFERROR(VLOOKUP(AH381,Listas!$A$77:$C$83,2,FALSE),"Alerta: Seleccione primero el responsable")</f>
        <v>3550800</v>
      </c>
      <c r="AJ381" s="640" t="str">
        <f>IFERROR(VLOOKUP(AH381,Listas!$A$77:$C$83,3,FALSE),"Alerta: Seleccione primero el responsable")</f>
        <v>carolina.fernandez@idpc.gov.co</v>
      </c>
      <c r="AK381" s="640" t="str">
        <f>IF(J381="Funcionamiento Gastos Generales","No aplica",IF(J381="Funcionamiento Servicios Personales indirectos","No aplica",IFERROR(VLOOKUP(J381,Listas!$A$127:$E$139,3,FALSE),"Alerta: Seleccione la celda en la comumna B con el nombre del proyecto")))</f>
        <v>ME20181114</v>
      </c>
      <c r="AL381" s="640" t="str">
        <f>IF(J381="Funcionamiento Gastos Generales","No aplica",IF(J381="Funcionamiento Servicios Personales","No aplica",IFERROR(VLOOKUP(J381,Listas!$A$220:$D$224,2,FALSE),"Alerta: Seleccione la celda en la comumna B con el nombre del proyecto")))</f>
        <v>COMP1114</v>
      </c>
      <c r="AM381" s="640" t="str">
        <f>IF(J381="Funcionamiento Gastos Generales","No aplica",IF(J381="Funcionamiento Servicios Personales","No aplica",IFERROR(VLOOKUP(J381,Listas!$A$220:$D$224,3,FALSE),"Alerta: Seleccione la celda en la comumna B con el nombre del proyecto")))</f>
        <v>CONC1114</v>
      </c>
      <c r="AN381" s="633" t="s">
        <v>1054</v>
      </c>
      <c r="AO381" s="633" t="s">
        <v>392</v>
      </c>
      <c r="AP381" s="634" t="str">
        <f>IFERROR(VLOOKUP(J381,Listas!$A$182:$E$215,5,FALSE),"Alerta: Seleccione la celda en la comumna B con el nombre del proyecto")</f>
        <v>4. Obras de Intervención en Bienes muebles - inmuebles y sectores que conforman el patrimonio cultural del D.C.</v>
      </c>
      <c r="AQ381" s="634" t="str">
        <f>IF(J381="Funcionamiento Gastos Generales","No aplica",IF(J381="Funcionamiento Servicios Personales","No aplica",IFERROR(VLOOKUP(J381,Listas!$A$220:$D$224,4,FALSE),"Alerta: Seleccione la celda en la comumna B con el nombre del proyecto")))</f>
        <v>FONT1114</v>
      </c>
      <c r="AR381" s="633" t="s">
        <v>198</v>
      </c>
      <c r="AS381" s="634" t="str">
        <f>IFERROR(VLOOKUP(AU381,Listas!$E$85:$L$105,7,FALSE),"Alerta: Seleccione la celda en la comumna AI con el concepto de gasto")</f>
        <v>01-INFRAESTRUCTURA</v>
      </c>
      <c r="AT381" s="634" t="str">
        <f>IFERROR(VLOOKUP(AU381,Listas!$E$85:$L$105,8,FALSE),"Alerta: Seleccione la celda en la comumna AI con el concepto de gasto")</f>
        <v>01-CONSTRUCCION, ADECUACION Y AMPLIACION DE INFRAESTRUCTURA PROPIA DEL SECTOR</v>
      </c>
      <c r="AU381" s="633" t="s">
        <v>422</v>
      </c>
      <c r="AV381" s="634">
        <f>IFERROR(VLOOKUP(AU381,Listas!$E$85:$F$105,2,FALSE),"Alerta: Seleccione el Concepto de Gasto primero")</f>
        <v>0</v>
      </c>
      <c r="AW381" s="644">
        <v>170048947</v>
      </c>
      <c r="AX381" s="645"/>
      <c r="AY381" s="645"/>
      <c r="AZ381" s="645"/>
      <c r="BA381" s="646">
        <f t="shared" si="123"/>
        <v>170048947</v>
      </c>
      <c r="BB381" s="647"/>
      <c r="BC381" s="648"/>
      <c r="BD381" s="649"/>
      <c r="BE381" s="647"/>
      <c r="BF381" s="644"/>
      <c r="BG381" s="646">
        <f t="shared" si="124"/>
        <v>170048947</v>
      </c>
      <c r="BH381" s="650"/>
      <c r="BI381" s="647"/>
      <c r="BJ381" s="644"/>
      <c r="BK381" s="646">
        <f t="shared" si="125"/>
        <v>0</v>
      </c>
      <c r="BL381" s="651"/>
      <c r="BM381" s="652">
        <f t="shared" si="126"/>
        <v>1</v>
      </c>
      <c r="BN381" s="628"/>
      <c r="BO381" s="670"/>
      <c r="BP381" s="644"/>
      <c r="BQ381" s="644"/>
      <c r="BR381" s="644"/>
      <c r="BS381" s="644"/>
      <c r="BT381" s="644"/>
      <c r="BU381" s="644"/>
      <c r="BV381" s="644"/>
      <c r="BW381" s="644"/>
      <c r="BX381" s="644"/>
      <c r="BY381" s="644"/>
      <c r="BZ381" s="644"/>
      <c r="CA381" s="644"/>
      <c r="CB381" s="646">
        <f t="shared" si="127"/>
        <v>0</v>
      </c>
      <c r="CC381" s="646">
        <f t="shared" si="128"/>
        <v>0</v>
      </c>
      <c r="CD381" s="614"/>
      <c r="CG381" s="561" t="s">
        <v>589</v>
      </c>
    </row>
    <row r="382" spans="1:85" s="561" customFormat="1" ht="61.5" customHeight="1">
      <c r="A382" s="625" t="str">
        <f t="shared" si="110"/>
        <v>1114-140-FONT1114-01-01-0525-Programa Fachadas</v>
      </c>
      <c r="B382" s="626" t="str">
        <f t="shared" si="111"/>
        <v>1114-140-FONT1114-01-01-0525</v>
      </c>
      <c r="C382" s="626" t="str">
        <f t="shared" si="112"/>
        <v>1114-140-FONT1114-Programa Fachadas</v>
      </c>
      <c r="D382" s="626" t="str">
        <f t="shared" si="113"/>
        <v>1114-140-12-Otros Distrito-01-01-0525</v>
      </c>
      <c r="E382" s="626" t="str">
        <f t="shared" si="114"/>
        <v>Programa Fachadas-12-Otros Distrito-0525-Recuperación y aprovechamiento de bienes de interés cultural</v>
      </c>
      <c r="F382" s="627">
        <v>330</v>
      </c>
      <c r="G382" s="628">
        <f t="shared" si="115"/>
        <v>330</v>
      </c>
      <c r="H382" s="629" t="b">
        <f t="shared" si="116"/>
        <v>0</v>
      </c>
      <c r="I382" s="630" t="s">
        <v>594</v>
      </c>
      <c r="J382" s="627" t="s">
        <v>180</v>
      </c>
      <c r="K382" s="631" t="str">
        <f>+IFERROR(VLOOKUP(J382,Listas!$A$108:$B$114,2,FALSE),"Alerta: Seleccione la celda en la comumna B con el nombre del proyecto")</f>
        <v>3-3-1-15-02-17-1114-140</v>
      </c>
      <c r="L382" s="632" t="s">
        <v>914</v>
      </c>
      <c r="M382" s="633" t="s">
        <v>915</v>
      </c>
      <c r="N382" s="634" t="str">
        <f t="shared" si="117"/>
        <v xml:space="preserve">(Cód. 330) Prestar servicios de apoyo a la gestión al Instituto Distrital de Patrimonio Cultural en áreas de seguridad industrial y acompañamiento en las labores de campo adelantadas por la Subdirección de Intervención. </v>
      </c>
      <c r="O382" s="635">
        <v>43480</v>
      </c>
      <c r="P382" s="636">
        <f>IFERROR(VLOOKUP(W382,'Estimación CRP'!$D$21:$E$30,2,FALSE),0)</f>
        <v>10</v>
      </c>
      <c r="Q382" s="637">
        <f>IF(O382="No aplica","No aplica",WORKDAY.INTL(O382,P382,1,'Estimación CRP'!A568:A584))</f>
        <v>43494</v>
      </c>
      <c r="R382" s="636">
        <f t="shared" si="118"/>
        <v>1</v>
      </c>
      <c r="S382" s="636">
        <f t="shared" si="119"/>
        <v>1</v>
      </c>
      <c r="T382" s="636">
        <f t="shared" si="120"/>
        <v>1</v>
      </c>
      <c r="U382" s="712">
        <v>11</v>
      </c>
      <c r="V382" s="638">
        <v>1</v>
      </c>
      <c r="W382" s="639" t="s">
        <v>274</v>
      </c>
      <c r="X382" s="640" t="str">
        <f>IFERROR(VLOOKUP(W382,Listas!$A$60:$B$73,2,FALSE),"Alerta: Seleccione primero Modalidad de selección")</f>
        <v>CCE-16</v>
      </c>
      <c r="Y382" s="641">
        <v>0</v>
      </c>
      <c r="Z382" s="641" t="s">
        <v>346</v>
      </c>
      <c r="AA382" s="641" t="s">
        <v>1337</v>
      </c>
      <c r="AB382" s="642">
        <f t="shared" si="121"/>
        <v>35640000</v>
      </c>
      <c r="AC382" s="642">
        <f t="shared" si="122"/>
        <v>35640000</v>
      </c>
      <c r="AD382" s="641">
        <v>0</v>
      </c>
      <c r="AE382" s="643">
        <v>0</v>
      </c>
      <c r="AF382" s="639" t="s">
        <v>276</v>
      </c>
      <c r="AG382" s="639" t="s">
        <v>277</v>
      </c>
      <c r="AH382" s="639" t="s">
        <v>573</v>
      </c>
      <c r="AI382" s="626" t="str">
        <f>IFERROR(VLOOKUP(AH382,Listas!$A$77:$C$83,2,FALSE),"Alerta: Seleccione primero el responsable")</f>
        <v>3550800</v>
      </c>
      <c r="AJ382" s="640" t="str">
        <f>IFERROR(VLOOKUP(AH382,Listas!$A$77:$C$83,3,FALSE),"Alerta: Seleccione primero el responsable")</f>
        <v>carolina.fernandez@idpc.gov.co</v>
      </c>
      <c r="AK382" s="640" t="str">
        <f>IF(J382="Funcionamiento Gastos Generales","No aplica",IF(J382="Funcionamiento Servicios Personales indirectos","No aplica",IFERROR(VLOOKUP(J382,Listas!$A$127:$E$139,3,FALSE),"Alerta: Seleccione la celda en la comumna B con el nombre del proyecto")))</f>
        <v>ME20181114</v>
      </c>
      <c r="AL382" s="640" t="str">
        <f>IF(J382="Funcionamiento Gastos Generales","No aplica",IF(J382="Funcionamiento Servicios Personales","No aplica",IFERROR(VLOOKUP(J382,Listas!$A$220:$D$224,2,FALSE),"Alerta: Seleccione la celda en la comumna B con el nombre del proyecto")))</f>
        <v>COMP1114</v>
      </c>
      <c r="AM382" s="640" t="str">
        <f>IF(J382="Funcionamiento Gastos Generales","No aplica",IF(J382="Funcionamiento Servicios Personales","No aplica",IFERROR(VLOOKUP(J382,Listas!$A$220:$D$224,3,FALSE),"Alerta: Seleccione la celda en la comumna B con el nombre del proyecto")))</f>
        <v>CONC1114</v>
      </c>
      <c r="AN382" s="633" t="s">
        <v>1054</v>
      </c>
      <c r="AO382" s="633" t="s">
        <v>392</v>
      </c>
      <c r="AP382" s="634" t="str">
        <f>IFERROR(VLOOKUP(J382,Listas!$A$182:$E$215,5,FALSE),"Alerta: Seleccione la celda en la comumna B con el nombre del proyecto")</f>
        <v>4. Obras de Intervención en Bienes muebles - inmuebles y sectores que conforman el patrimonio cultural del D.C.</v>
      </c>
      <c r="AQ382" s="634" t="str">
        <f>IF(J382="Funcionamiento Gastos Generales","No aplica",IF(J382="Funcionamiento Servicios Personales","No aplica",IFERROR(VLOOKUP(J382,Listas!$A$220:$D$224,4,FALSE),"Alerta: Seleccione la celda en la comumna B con el nombre del proyecto")))</f>
        <v>FONT1114</v>
      </c>
      <c r="AR382" s="633" t="s">
        <v>198</v>
      </c>
      <c r="AS382" s="634" t="str">
        <f>IFERROR(VLOOKUP(AU382,Listas!$E$85:$L$105,7,FALSE),"Alerta: Seleccione la celda en la comumna AI con el concepto de gasto")</f>
        <v>01-INFRAESTRUCTURA</v>
      </c>
      <c r="AT382" s="634" t="str">
        <f>IFERROR(VLOOKUP(AU382,Listas!$E$85:$L$105,8,FALSE),"Alerta: Seleccione la celda en la comumna AI con el concepto de gasto")</f>
        <v>01-CONSTRUCCION, ADECUACION Y AMPLIACION DE INFRAESTRUCTURA PROPIA DEL SECTOR</v>
      </c>
      <c r="AU382" s="633" t="s">
        <v>422</v>
      </c>
      <c r="AV382" s="634">
        <f>IFERROR(VLOOKUP(AU382,Listas!$E$85:$F$105,2,FALSE),"Alerta: Seleccione el Concepto de Gasto primero")</f>
        <v>0</v>
      </c>
      <c r="AW382" s="644">
        <v>35640000</v>
      </c>
      <c r="AX382" s="645"/>
      <c r="AY382" s="645"/>
      <c r="AZ382" s="645"/>
      <c r="BA382" s="646">
        <f t="shared" si="123"/>
        <v>35640000</v>
      </c>
      <c r="BB382" s="647"/>
      <c r="BC382" s="648"/>
      <c r="BD382" s="649"/>
      <c r="BE382" s="647"/>
      <c r="BF382" s="644"/>
      <c r="BG382" s="646">
        <f t="shared" si="124"/>
        <v>35640000</v>
      </c>
      <c r="BH382" s="650"/>
      <c r="BI382" s="647"/>
      <c r="BJ382" s="644"/>
      <c r="BK382" s="646">
        <f t="shared" si="125"/>
        <v>0</v>
      </c>
      <c r="BL382" s="651"/>
      <c r="BM382" s="652">
        <f t="shared" si="126"/>
        <v>1</v>
      </c>
      <c r="BN382" s="628"/>
      <c r="BO382" s="670"/>
      <c r="BP382" s="644"/>
      <c r="BQ382" s="644"/>
      <c r="BR382" s="644"/>
      <c r="BS382" s="644"/>
      <c r="BT382" s="644"/>
      <c r="BU382" s="644"/>
      <c r="BV382" s="644"/>
      <c r="BW382" s="644"/>
      <c r="BX382" s="644"/>
      <c r="BY382" s="644"/>
      <c r="BZ382" s="644"/>
      <c r="CA382" s="644"/>
      <c r="CB382" s="646">
        <f t="shared" si="127"/>
        <v>0</v>
      </c>
      <c r="CC382" s="646">
        <f t="shared" si="128"/>
        <v>0</v>
      </c>
      <c r="CD382" s="614"/>
    </row>
    <row r="383" spans="1:85" s="561" customFormat="1" ht="61.5" customHeight="1">
      <c r="A383" s="625" t="str">
        <f t="shared" si="110"/>
        <v>1114-140-FONT1114-01-01-0525-Programa Fachadas</v>
      </c>
      <c r="B383" s="626" t="str">
        <f t="shared" si="111"/>
        <v>1114-140-FONT1114-01-01-0525</v>
      </c>
      <c r="C383" s="626" t="str">
        <f t="shared" si="112"/>
        <v>1114-140-FONT1114-Programa Fachadas</v>
      </c>
      <c r="D383" s="626" t="str">
        <f t="shared" si="113"/>
        <v>1114-140-12-Otros Distrito-01-01-0525</v>
      </c>
      <c r="E383" s="626" t="str">
        <f t="shared" si="114"/>
        <v>Programa Fachadas-12-Otros Distrito-0525-Recuperación y aprovechamiento de bienes de interés cultural</v>
      </c>
      <c r="F383" s="627">
        <v>331</v>
      </c>
      <c r="G383" s="628">
        <f t="shared" si="115"/>
        <v>331</v>
      </c>
      <c r="H383" s="629" t="b">
        <f t="shared" si="116"/>
        <v>0</v>
      </c>
      <c r="I383" s="630" t="s">
        <v>594</v>
      </c>
      <c r="J383" s="627" t="s">
        <v>180</v>
      </c>
      <c r="K383" s="631" t="str">
        <f>+IFERROR(VLOOKUP(J383,Listas!$A$108:$B$114,2,FALSE),"Alerta: Seleccione la celda en la comumna B con el nombre del proyecto")</f>
        <v>3-3-1-15-02-17-1114-140</v>
      </c>
      <c r="L383" s="632" t="s">
        <v>916</v>
      </c>
      <c r="M383" s="633" t="s">
        <v>917</v>
      </c>
      <c r="N383" s="634" t="str">
        <f t="shared" si="117"/>
        <v xml:space="preserve">(Cód. 331) Prestar servicios de apoyo a la gestión al Instituto Distrital de Patrimonio Cultural en la administración, el recibo y/o entrega de materiales, herramienta y equipos, control de inventarios y el buen uso de los mismos; en el marco de las acciones del Programa de Enlucimiento de Fachadas. </v>
      </c>
      <c r="O383" s="635">
        <v>43480</v>
      </c>
      <c r="P383" s="636">
        <f>IFERROR(VLOOKUP(W383,'Estimación CRP'!$D$21:$E$30,2,FALSE),0)</f>
        <v>10</v>
      </c>
      <c r="Q383" s="637">
        <f>IF(O383="No aplica","No aplica",WORKDAY.INTL(O383,P383,1,'Estimación CRP'!A569:A585))</f>
        <v>43494</v>
      </c>
      <c r="R383" s="636">
        <f t="shared" si="118"/>
        <v>1</v>
      </c>
      <c r="S383" s="636">
        <f t="shared" si="119"/>
        <v>1</v>
      </c>
      <c r="T383" s="636">
        <f t="shared" si="120"/>
        <v>1</v>
      </c>
      <c r="U383" s="712">
        <v>11</v>
      </c>
      <c r="V383" s="638">
        <v>1</v>
      </c>
      <c r="W383" s="639" t="s">
        <v>274</v>
      </c>
      <c r="X383" s="640" t="str">
        <f>IFERROR(VLOOKUP(W383,Listas!$A$60:$B$73,2,FALSE),"Alerta: Seleccione primero Modalidad de selección")</f>
        <v>CCE-16</v>
      </c>
      <c r="Y383" s="641">
        <v>0</v>
      </c>
      <c r="Z383" s="641" t="s">
        <v>346</v>
      </c>
      <c r="AA383" s="641" t="s">
        <v>1337</v>
      </c>
      <c r="AB383" s="642">
        <f t="shared" si="121"/>
        <v>32120000</v>
      </c>
      <c r="AC383" s="642">
        <f t="shared" si="122"/>
        <v>32120000</v>
      </c>
      <c r="AD383" s="641">
        <v>0</v>
      </c>
      <c r="AE383" s="643">
        <v>0</v>
      </c>
      <c r="AF383" s="639" t="s">
        <v>276</v>
      </c>
      <c r="AG383" s="639" t="s">
        <v>277</v>
      </c>
      <c r="AH383" s="639" t="s">
        <v>573</v>
      </c>
      <c r="AI383" s="626" t="str">
        <f>IFERROR(VLOOKUP(AH383,Listas!$A$77:$C$83,2,FALSE),"Alerta: Seleccione primero el responsable")</f>
        <v>3550800</v>
      </c>
      <c r="AJ383" s="640" t="str">
        <f>IFERROR(VLOOKUP(AH383,Listas!$A$77:$C$83,3,FALSE),"Alerta: Seleccione primero el responsable")</f>
        <v>carolina.fernandez@idpc.gov.co</v>
      </c>
      <c r="AK383" s="640" t="str">
        <f>IF(J383="Funcionamiento Gastos Generales","No aplica",IF(J383="Funcionamiento Servicios Personales indirectos","No aplica",IFERROR(VLOOKUP(J383,Listas!$A$127:$E$139,3,FALSE),"Alerta: Seleccione la celda en la comumna B con el nombre del proyecto")))</f>
        <v>ME20181114</v>
      </c>
      <c r="AL383" s="640" t="str">
        <f>IF(J383="Funcionamiento Gastos Generales","No aplica",IF(J383="Funcionamiento Servicios Personales","No aplica",IFERROR(VLOOKUP(J383,Listas!$A$220:$D$224,2,FALSE),"Alerta: Seleccione la celda en la comumna B con el nombre del proyecto")))</f>
        <v>COMP1114</v>
      </c>
      <c r="AM383" s="640" t="str">
        <f>IF(J383="Funcionamiento Gastos Generales","No aplica",IF(J383="Funcionamiento Servicios Personales","No aplica",IFERROR(VLOOKUP(J383,Listas!$A$220:$D$224,3,FALSE),"Alerta: Seleccione la celda en la comumna B con el nombre del proyecto")))</f>
        <v>CONC1114</v>
      </c>
      <c r="AN383" s="633" t="s">
        <v>1054</v>
      </c>
      <c r="AO383" s="633" t="s">
        <v>392</v>
      </c>
      <c r="AP383" s="634" t="str">
        <f>IFERROR(VLOOKUP(J383,Listas!$A$182:$E$215,5,FALSE),"Alerta: Seleccione la celda en la comumna B con el nombre del proyecto")</f>
        <v>4. Obras de Intervención en Bienes muebles - inmuebles y sectores que conforman el patrimonio cultural del D.C.</v>
      </c>
      <c r="AQ383" s="634" t="str">
        <f>IF(J383="Funcionamiento Gastos Generales","No aplica",IF(J383="Funcionamiento Servicios Personales","No aplica",IFERROR(VLOOKUP(J383,Listas!$A$220:$D$224,4,FALSE),"Alerta: Seleccione la celda en la comumna B con el nombre del proyecto")))</f>
        <v>FONT1114</v>
      </c>
      <c r="AR383" s="633" t="s">
        <v>198</v>
      </c>
      <c r="AS383" s="634" t="str">
        <f>IFERROR(VLOOKUP(AU383,Listas!$E$85:$L$105,7,FALSE),"Alerta: Seleccione la celda en la comumna AI con el concepto de gasto")</f>
        <v>01-INFRAESTRUCTURA</v>
      </c>
      <c r="AT383" s="634" t="str">
        <f>IFERROR(VLOOKUP(AU383,Listas!$E$85:$L$105,8,FALSE),"Alerta: Seleccione la celda en la comumna AI con el concepto de gasto")</f>
        <v>01-CONSTRUCCION, ADECUACION Y AMPLIACION DE INFRAESTRUCTURA PROPIA DEL SECTOR</v>
      </c>
      <c r="AU383" s="633" t="s">
        <v>422</v>
      </c>
      <c r="AV383" s="634">
        <f>IFERROR(VLOOKUP(AU383,Listas!$E$85:$F$105,2,FALSE),"Alerta: Seleccione el Concepto de Gasto primero")</f>
        <v>0</v>
      </c>
      <c r="AW383" s="644">
        <v>32120000</v>
      </c>
      <c r="AX383" s="645"/>
      <c r="AY383" s="645"/>
      <c r="AZ383" s="645"/>
      <c r="BA383" s="646">
        <f t="shared" si="123"/>
        <v>32120000</v>
      </c>
      <c r="BB383" s="647"/>
      <c r="BC383" s="648"/>
      <c r="BD383" s="649"/>
      <c r="BE383" s="647"/>
      <c r="BF383" s="644"/>
      <c r="BG383" s="646">
        <f t="shared" si="124"/>
        <v>32120000</v>
      </c>
      <c r="BH383" s="650"/>
      <c r="BI383" s="647"/>
      <c r="BJ383" s="644"/>
      <c r="BK383" s="646">
        <f t="shared" si="125"/>
        <v>0</v>
      </c>
      <c r="BL383" s="651"/>
      <c r="BM383" s="652">
        <f t="shared" si="126"/>
        <v>1</v>
      </c>
      <c r="BN383" s="628"/>
      <c r="BO383" s="670"/>
      <c r="BP383" s="644"/>
      <c r="BQ383" s="644"/>
      <c r="BR383" s="644"/>
      <c r="BS383" s="644"/>
      <c r="BT383" s="644"/>
      <c r="BU383" s="644"/>
      <c r="BV383" s="644"/>
      <c r="BW383" s="644"/>
      <c r="BX383" s="644"/>
      <c r="BY383" s="644"/>
      <c r="BZ383" s="644"/>
      <c r="CA383" s="644"/>
      <c r="CB383" s="646">
        <f t="shared" si="127"/>
        <v>0</v>
      </c>
      <c r="CC383" s="646">
        <f t="shared" si="128"/>
        <v>0</v>
      </c>
      <c r="CD383" s="614"/>
    </row>
    <row r="384" spans="1:85" s="561" customFormat="1" ht="61.5" customHeight="1">
      <c r="A384" s="625" t="str">
        <f t="shared" si="110"/>
        <v>1114-140-FONT1114-01-01-0525-Programa Fachadas</v>
      </c>
      <c r="B384" s="626" t="str">
        <f t="shared" si="111"/>
        <v>1114-140-FONT1114-01-01-0525</v>
      </c>
      <c r="C384" s="626" t="str">
        <f t="shared" si="112"/>
        <v>1114-140-FONT1114-Programa Fachadas</v>
      </c>
      <c r="D384" s="626" t="str">
        <f t="shared" si="113"/>
        <v>1114-140-12-Otros Distrito-01-01-0525</v>
      </c>
      <c r="E384" s="626" t="str">
        <f t="shared" si="114"/>
        <v>Programa Fachadas-12-Otros Distrito-0525-Recuperación y aprovechamiento de bienes de interés cultural</v>
      </c>
      <c r="F384" s="627">
        <v>332</v>
      </c>
      <c r="G384" s="628">
        <f t="shared" si="115"/>
        <v>332</v>
      </c>
      <c r="H384" s="629" t="b">
        <f t="shared" si="116"/>
        <v>0</v>
      </c>
      <c r="I384" s="630" t="s">
        <v>594</v>
      </c>
      <c r="J384" s="627" t="s">
        <v>180</v>
      </c>
      <c r="K384" s="631" t="str">
        <f>+IFERROR(VLOOKUP(J384,Listas!$A$108:$B$114,2,FALSE),"Alerta: Seleccione la celda en la comumna B con el nombre del proyecto")</f>
        <v>3-3-1-15-02-17-1114-140</v>
      </c>
      <c r="L384" s="632" t="s">
        <v>918</v>
      </c>
      <c r="M384" s="633" t="s">
        <v>919</v>
      </c>
      <c r="N384" s="634" t="str">
        <f t="shared" si="117"/>
        <v>(Cód. 332) Prestar servicios de apoyo a la gestión al Instituto Distrital de Patrimonio Cultural para el monitoreo de las acciones de intervención adelantadas en el marco del Programa de enlucimiento de fachadas "El Patrimonio se Luce", de acuerdo con la programación establecida.</v>
      </c>
      <c r="O384" s="635">
        <v>43480</v>
      </c>
      <c r="P384" s="636">
        <f>IFERROR(VLOOKUP(W384,'Estimación CRP'!$D$21:$E$30,2,FALSE),0)</f>
        <v>10</v>
      </c>
      <c r="Q384" s="637">
        <f>IF(O384="No aplica","No aplica",WORKDAY.INTL(O384,P384,1,'Estimación CRP'!A570:A586))</f>
        <v>43494</v>
      </c>
      <c r="R384" s="636">
        <f t="shared" si="118"/>
        <v>1</v>
      </c>
      <c r="S384" s="636">
        <f t="shared" si="119"/>
        <v>1</v>
      </c>
      <c r="T384" s="636">
        <f t="shared" si="120"/>
        <v>1</v>
      </c>
      <c r="U384" s="712">
        <v>11</v>
      </c>
      <c r="V384" s="638">
        <v>1</v>
      </c>
      <c r="W384" s="639" t="s">
        <v>274</v>
      </c>
      <c r="X384" s="640" t="str">
        <f>IFERROR(VLOOKUP(W384,Listas!$A$60:$B$73,2,FALSE),"Alerta: Seleccione primero Modalidad de selección")</f>
        <v>CCE-16</v>
      </c>
      <c r="Y384" s="641">
        <v>0</v>
      </c>
      <c r="Z384" s="641" t="s">
        <v>346</v>
      </c>
      <c r="AA384" s="641" t="s">
        <v>1337</v>
      </c>
      <c r="AB384" s="642">
        <f t="shared" si="121"/>
        <v>28930000</v>
      </c>
      <c r="AC384" s="642">
        <f t="shared" si="122"/>
        <v>28930000</v>
      </c>
      <c r="AD384" s="641">
        <v>0</v>
      </c>
      <c r="AE384" s="643">
        <v>0</v>
      </c>
      <c r="AF384" s="639" t="s">
        <v>276</v>
      </c>
      <c r="AG384" s="639" t="s">
        <v>277</v>
      </c>
      <c r="AH384" s="639" t="s">
        <v>573</v>
      </c>
      <c r="AI384" s="626" t="str">
        <f>IFERROR(VLOOKUP(AH384,Listas!$A$77:$C$83,2,FALSE),"Alerta: Seleccione primero el responsable")</f>
        <v>3550800</v>
      </c>
      <c r="AJ384" s="640" t="str">
        <f>IFERROR(VLOOKUP(AH384,Listas!$A$77:$C$83,3,FALSE),"Alerta: Seleccione primero el responsable")</f>
        <v>carolina.fernandez@idpc.gov.co</v>
      </c>
      <c r="AK384" s="640" t="str">
        <f>IF(J384="Funcionamiento Gastos Generales","No aplica",IF(J384="Funcionamiento Servicios Personales indirectos","No aplica",IFERROR(VLOOKUP(J384,Listas!$A$127:$E$139,3,FALSE),"Alerta: Seleccione la celda en la comumna B con el nombre del proyecto")))</f>
        <v>ME20181114</v>
      </c>
      <c r="AL384" s="640" t="str">
        <f>IF(J384="Funcionamiento Gastos Generales","No aplica",IF(J384="Funcionamiento Servicios Personales","No aplica",IFERROR(VLOOKUP(J384,Listas!$A$220:$D$224,2,FALSE),"Alerta: Seleccione la celda en la comumna B con el nombre del proyecto")))</f>
        <v>COMP1114</v>
      </c>
      <c r="AM384" s="640" t="str">
        <f>IF(J384="Funcionamiento Gastos Generales","No aplica",IF(J384="Funcionamiento Servicios Personales","No aplica",IFERROR(VLOOKUP(J384,Listas!$A$220:$D$224,3,FALSE),"Alerta: Seleccione la celda en la comumna B con el nombre del proyecto")))</f>
        <v>CONC1114</v>
      </c>
      <c r="AN384" s="633" t="s">
        <v>1054</v>
      </c>
      <c r="AO384" s="633" t="s">
        <v>392</v>
      </c>
      <c r="AP384" s="634" t="str">
        <f>IFERROR(VLOOKUP(J384,Listas!$A$182:$E$215,5,FALSE),"Alerta: Seleccione la celda en la comumna B con el nombre del proyecto")</f>
        <v>4. Obras de Intervención en Bienes muebles - inmuebles y sectores que conforman el patrimonio cultural del D.C.</v>
      </c>
      <c r="AQ384" s="634" t="str">
        <f>IF(J384="Funcionamiento Gastos Generales","No aplica",IF(J384="Funcionamiento Servicios Personales","No aplica",IFERROR(VLOOKUP(J384,Listas!$A$220:$D$224,4,FALSE),"Alerta: Seleccione la celda en la comumna B con el nombre del proyecto")))</f>
        <v>FONT1114</v>
      </c>
      <c r="AR384" s="633" t="s">
        <v>198</v>
      </c>
      <c r="AS384" s="634" t="str">
        <f>IFERROR(VLOOKUP(AU384,Listas!$E$85:$L$105,7,FALSE),"Alerta: Seleccione la celda en la comumna AI con el concepto de gasto")</f>
        <v>01-INFRAESTRUCTURA</v>
      </c>
      <c r="AT384" s="634" t="str">
        <f>IFERROR(VLOOKUP(AU384,Listas!$E$85:$L$105,8,FALSE),"Alerta: Seleccione la celda en la comumna AI con el concepto de gasto")</f>
        <v>01-CONSTRUCCION, ADECUACION Y AMPLIACION DE INFRAESTRUCTURA PROPIA DEL SECTOR</v>
      </c>
      <c r="AU384" s="633" t="s">
        <v>422</v>
      </c>
      <c r="AV384" s="634">
        <f>IFERROR(VLOOKUP(AU384,Listas!$E$85:$F$105,2,FALSE),"Alerta: Seleccione el Concepto de Gasto primero")</f>
        <v>0</v>
      </c>
      <c r="AW384" s="644">
        <v>28930000</v>
      </c>
      <c r="AX384" s="645"/>
      <c r="AY384" s="645"/>
      <c r="AZ384" s="645"/>
      <c r="BA384" s="646">
        <f t="shared" si="123"/>
        <v>28930000</v>
      </c>
      <c r="BB384" s="647"/>
      <c r="BC384" s="648"/>
      <c r="BD384" s="649"/>
      <c r="BE384" s="647"/>
      <c r="BF384" s="644"/>
      <c r="BG384" s="646">
        <f t="shared" si="124"/>
        <v>28930000</v>
      </c>
      <c r="BH384" s="650"/>
      <c r="BI384" s="647"/>
      <c r="BJ384" s="644"/>
      <c r="BK384" s="646">
        <f t="shared" si="125"/>
        <v>0</v>
      </c>
      <c r="BL384" s="651"/>
      <c r="BM384" s="652">
        <f t="shared" si="126"/>
        <v>1</v>
      </c>
      <c r="BN384" s="628"/>
      <c r="BO384" s="670"/>
      <c r="BP384" s="644"/>
      <c r="BQ384" s="644"/>
      <c r="BR384" s="644"/>
      <c r="BS384" s="644"/>
      <c r="BT384" s="644"/>
      <c r="BU384" s="644"/>
      <c r="BV384" s="644"/>
      <c r="BW384" s="644"/>
      <c r="BX384" s="644"/>
      <c r="BY384" s="644"/>
      <c r="BZ384" s="644"/>
      <c r="CA384" s="644"/>
      <c r="CB384" s="646">
        <f t="shared" si="127"/>
        <v>0</v>
      </c>
      <c r="CC384" s="646">
        <f t="shared" si="128"/>
        <v>0</v>
      </c>
      <c r="CD384" s="614"/>
      <c r="CG384" s="561" t="s">
        <v>589</v>
      </c>
    </row>
    <row r="385" spans="1:82" s="561" customFormat="1" ht="61.5" customHeight="1">
      <c r="A385" s="625" t="str">
        <f t="shared" si="110"/>
        <v>1114-140-FONT1114-01-01-0525-Programa Fachadas</v>
      </c>
      <c r="B385" s="626" t="str">
        <f t="shared" si="111"/>
        <v>1114-140-FONT1114-01-01-0525</v>
      </c>
      <c r="C385" s="626" t="str">
        <f t="shared" si="112"/>
        <v>1114-140-FONT1114-Programa Fachadas</v>
      </c>
      <c r="D385" s="626" t="str">
        <f t="shared" si="113"/>
        <v>1114-140-12-Otros Distrito-01-01-0525</v>
      </c>
      <c r="E385" s="626" t="str">
        <f t="shared" si="114"/>
        <v>Programa Fachadas-12-Otros Distrito-0525-Recuperación y aprovechamiento de bienes de interés cultural</v>
      </c>
      <c r="F385" s="627">
        <v>333</v>
      </c>
      <c r="G385" s="628">
        <f t="shared" si="115"/>
        <v>333</v>
      </c>
      <c r="H385" s="629" t="b">
        <f t="shared" si="116"/>
        <v>0</v>
      </c>
      <c r="I385" s="630" t="s">
        <v>594</v>
      </c>
      <c r="J385" s="627" t="s">
        <v>180</v>
      </c>
      <c r="K385" s="631" t="str">
        <f>+IFERROR(VLOOKUP(J385,Listas!$A$108:$B$114,2,FALSE),"Alerta: Seleccione la celda en la comumna B con el nombre del proyecto")</f>
        <v>3-3-1-15-02-17-1114-140</v>
      </c>
      <c r="L385" s="632" t="s">
        <v>918</v>
      </c>
      <c r="M385" s="633" t="s">
        <v>919</v>
      </c>
      <c r="N385" s="634" t="str">
        <f t="shared" si="117"/>
        <v>(Cód. 333) Prestar servicios de apoyo a la gestión al Instituto Distrital de Patrimonio Cultural para el monitoreo de las acciones de intervención adelantadas en el marco del Programa de enlucimiento de fachadas "El Patrimonio se Luce", de acuerdo con la programación establecida.</v>
      </c>
      <c r="O385" s="635">
        <v>43480</v>
      </c>
      <c r="P385" s="636">
        <f>IFERROR(VLOOKUP(W385,'Estimación CRP'!$D$21:$E$30,2,FALSE),0)</f>
        <v>10</v>
      </c>
      <c r="Q385" s="637">
        <f>IF(O385="No aplica","No aplica",WORKDAY.INTL(O385,P385,1,'Estimación CRP'!A571:A587))</f>
        <v>43494</v>
      </c>
      <c r="R385" s="636">
        <f t="shared" si="118"/>
        <v>1</v>
      </c>
      <c r="S385" s="636">
        <f t="shared" si="119"/>
        <v>1</v>
      </c>
      <c r="T385" s="636">
        <f t="shared" si="120"/>
        <v>1</v>
      </c>
      <c r="U385" s="712">
        <v>11</v>
      </c>
      <c r="V385" s="638">
        <v>1</v>
      </c>
      <c r="W385" s="639" t="s">
        <v>274</v>
      </c>
      <c r="X385" s="640" t="str">
        <f>IFERROR(VLOOKUP(W385,Listas!$A$60:$B$73,2,FALSE),"Alerta: Seleccione primero Modalidad de selección")</f>
        <v>CCE-16</v>
      </c>
      <c r="Y385" s="641">
        <v>0</v>
      </c>
      <c r="Z385" s="641" t="s">
        <v>346</v>
      </c>
      <c r="AA385" s="641" t="s">
        <v>1337</v>
      </c>
      <c r="AB385" s="642">
        <f t="shared" si="121"/>
        <v>28930000</v>
      </c>
      <c r="AC385" s="642">
        <f t="shared" si="122"/>
        <v>28930000</v>
      </c>
      <c r="AD385" s="641">
        <v>0</v>
      </c>
      <c r="AE385" s="643">
        <v>0</v>
      </c>
      <c r="AF385" s="639" t="s">
        <v>276</v>
      </c>
      <c r="AG385" s="639" t="s">
        <v>277</v>
      </c>
      <c r="AH385" s="639" t="s">
        <v>573</v>
      </c>
      <c r="AI385" s="626" t="str">
        <f>IFERROR(VLOOKUP(AH385,Listas!$A$77:$C$83,2,FALSE),"Alerta: Seleccione primero el responsable")</f>
        <v>3550800</v>
      </c>
      <c r="AJ385" s="640" t="str">
        <f>IFERROR(VLOOKUP(AH385,Listas!$A$77:$C$83,3,FALSE),"Alerta: Seleccione primero el responsable")</f>
        <v>carolina.fernandez@idpc.gov.co</v>
      </c>
      <c r="AK385" s="640" t="str">
        <f>IF(J385="Funcionamiento Gastos Generales","No aplica",IF(J385="Funcionamiento Servicios Personales indirectos","No aplica",IFERROR(VLOOKUP(J385,Listas!$A$127:$E$139,3,FALSE),"Alerta: Seleccione la celda en la comumna B con el nombre del proyecto")))</f>
        <v>ME20181114</v>
      </c>
      <c r="AL385" s="640" t="str">
        <f>IF(J385="Funcionamiento Gastos Generales","No aplica",IF(J385="Funcionamiento Servicios Personales","No aplica",IFERROR(VLOOKUP(J385,Listas!$A$220:$D$224,2,FALSE),"Alerta: Seleccione la celda en la comumna B con el nombre del proyecto")))</f>
        <v>COMP1114</v>
      </c>
      <c r="AM385" s="640" t="str">
        <f>IF(J385="Funcionamiento Gastos Generales","No aplica",IF(J385="Funcionamiento Servicios Personales","No aplica",IFERROR(VLOOKUP(J385,Listas!$A$220:$D$224,3,FALSE),"Alerta: Seleccione la celda en la comumna B con el nombre del proyecto")))</f>
        <v>CONC1114</v>
      </c>
      <c r="AN385" s="633" t="s">
        <v>1054</v>
      </c>
      <c r="AO385" s="633" t="s">
        <v>392</v>
      </c>
      <c r="AP385" s="634" t="str">
        <f>IFERROR(VLOOKUP(J385,Listas!$A$182:$E$215,5,FALSE),"Alerta: Seleccione la celda en la comumna B con el nombre del proyecto")</f>
        <v>4. Obras de Intervención en Bienes muebles - inmuebles y sectores que conforman el patrimonio cultural del D.C.</v>
      </c>
      <c r="AQ385" s="634" t="str">
        <f>IF(J385="Funcionamiento Gastos Generales","No aplica",IF(J385="Funcionamiento Servicios Personales","No aplica",IFERROR(VLOOKUP(J385,Listas!$A$220:$D$224,4,FALSE),"Alerta: Seleccione la celda en la comumna B con el nombre del proyecto")))</f>
        <v>FONT1114</v>
      </c>
      <c r="AR385" s="633" t="s">
        <v>198</v>
      </c>
      <c r="AS385" s="634" t="str">
        <f>IFERROR(VLOOKUP(AU385,Listas!$E$85:$L$105,7,FALSE),"Alerta: Seleccione la celda en la comumna AI con el concepto de gasto")</f>
        <v>01-INFRAESTRUCTURA</v>
      </c>
      <c r="AT385" s="634" t="str">
        <f>IFERROR(VLOOKUP(AU385,Listas!$E$85:$L$105,8,FALSE),"Alerta: Seleccione la celda en la comumna AI con el concepto de gasto")</f>
        <v>01-CONSTRUCCION, ADECUACION Y AMPLIACION DE INFRAESTRUCTURA PROPIA DEL SECTOR</v>
      </c>
      <c r="AU385" s="633" t="s">
        <v>422</v>
      </c>
      <c r="AV385" s="634">
        <f>IFERROR(VLOOKUP(AU385,Listas!$E$85:$F$105,2,FALSE),"Alerta: Seleccione el Concepto de Gasto primero")</f>
        <v>0</v>
      </c>
      <c r="AW385" s="644">
        <v>28930000</v>
      </c>
      <c r="AX385" s="645"/>
      <c r="AY385" s="645"/>
      <c r="AZ385" s="645"/>
      <c r="BA385" s="646">
        <f t="shared" si="123"/>
        <v>28930000</v>
      </c>
      <c r="BB385" s="647"/>
      <c r="BC385" s="648"/>
      <c r="BD385" s="649"/>
      <c r="BE385" s="647"/>
      <c r="BF385" s="644"/>
      <c r="BG385" s="646">
        <f t="shared" si="124"/>
        <v>28930000</v>
      </c>
      <c r="BH385" s="650"/>
      <c r="BI385" s="647"/>
      <c r="BJ385" s="644"/>
      <c r="BK385" s="646">
        <f t="shared" si="125"/>
        <v>0</v>
      </c>
      <c r="BL385" s="651"/>
      <c r="BM385" s="652">
        <f t="shared" si="126"/>
        <v>1</v>
      </c>
      <c r="BN385" s="628"/>
      <c r="BO385" s="670"/>
      <c r="BP385" s="644"/>
      <c r="BQ385" s="644"/>
      <c r="BR385" s="644"/>
      <c r="BS385" s="644"/>
      <c r="BT385" s="644"/>
      <c r="BU385" s="644"/>
      <c r="BV385" s="644"/>
      <c r="BW385" s="644"/>
      <c r="BX385" s="644"/>
      <c r="BY385" s="644"/>
      <c r="BZ385" s="644"/>
      <c r="CA385" s="644"/>
      <c r="CB385" s="646">
        <f t="shared" si="127"/>
        <v>0</v>
      </c>
      <c r="CC385" s="646">
        <f t="shared" si="128"/>
        <v>0</v>
      </c>
      <c r="CD385" s="614"/>
    </row>
    <row r="386" spans="1:82" s="561" customFormat="1" ht="61.5" customHeight="1">
      <c r="A386" s="625" t="str">
        <f t="shared" si="110"/>
        <v>1114-140-FONT1114-01-01-0525-Programa Fachadas</v>
      </c>
      <c r="B386" s="626" t="str">
        <f t="shared" si="111"/>
        <v>1114-140-FONT1114-01-01-0525</v>
      </c>
      <c r="C386" s="626" t="str">
        <f t="shared" si="112"/>
        <v>1114-140-FONT1114-Programa Fachadas</v>
      </c>
      <c r="D386" s="626" t="str">
        <f t="shared" si="113"/>
        <v>1114-140-12-Otros Distrito-01-01-0525</v>
      </c>
      <c r="E386" s="626" t="str">
        <f t="shared" si="114"/>
        <v>Programa Fachadas-12-Otros Distrito-0525-Recuperación y aprovechamiento de bienes de interés cultural</v>
      </c>
      <c r="F386" s="627">
        <v>334</v>
      </c>
      <c r="G386" s="628">
        <f t="shared" si="115"/>
        <v>334</v>
      </c>
      <c r="H386" s="629" t="b">
        <f t="shared" si="116"/>
        <v>0</v>
      </c>
      <c r="I386" s="630" t="s">
        <v>594</v>
      </c>
      <c r="J386" s="627" t="s">
        <v>180</v>
      </c>
      <c r="K386" s="631" t="str">
        <f>+IFERROR(VLOOKUP(J386,Listas!$A$108:$B$114,2,FALSE),"Alerta: Seleccione la celda en la comumna B con el nombre del proyecto")</f>
        <v>3-3-1-15-02-17-1114-140</v>
      </c>
      <c r="L386" s="632" t="s">
        <v>918</v>
      </c>
      <c r="M386" s="633" t="s">
        <v>920</v>
      </c>
      <c r="N386" s="634" t="str">
        <f t="shared" si="117"/>
        <v>(Cód. 334) Prestar servicios de apoyo a la gestión al Instituto Distrital de Patrimonio Cultural para la correcta ejecución de las intervenciones adelantadas por el Programa de enlucimiento de fachadas "El Patrimonio se Luce", de acuerdo con la programación establecida.</v>
      </c>
      <c r="O386" s="635">
        <v>43483</v>
      </c>
      <c r="P386" s="636">
        <f>IFERROR(VLOOKUP(W386,'Estimación CRP'!$D$21:$E$30,2,FALSE),0)</f>
        <v>10</v>
      </c>
      <c r="Q386" s="637">
        <f>IF(O386="No aplica","No aplica",WORKDAY.INTL(O386,P386,1,'Estimación CRP'!A572:A588))</f>
        <v>43497</v>
      </c>
      <c r="R386" s="636">
        <f t="shared" si="118"/>
        <v>2</v>
      </c>
      <c r="S386" s="636">
        <f t="shared" si="119"/>
        <v>1</v>
      </c>
      <c r="T386" s="636">
        <f t="shared" si="120"/>
        <v>1</v>
      </c>
      <c r="U386" s="712">
        <v>11</v>
      </c>
      <c r="V386" s="638">
        <v>1</v>
      </c>
      <c r="W386" s="639" t="s">
        <v>274</v>
      </c>
      <c r="X386" s="640" t="str">
        <f>IFERROR(VLOOKUP(W386,Listas!$A$60:$B$73,2,FALSE),"Alerta: Seleccione primero Modalidad de selección")</f>
        <v>CCE-16</v>
      </c>
      <c r="Y386" s="641">
        <v>0</v>
      </c>
      <c r="Z386" s="641" t="s">
        <v>346</v>
      </c>
      <c r="AA386" s="641" t="s">
        <v>1337</v>
      </c>
      <c r="AB386" s="642">
        <f t="shared" si="121"/>
        <v>21670000</v>
      </c>
      <c r="AC386" s="642">
        <f t="shared" si="122"/>
        <v>21670000</v>
      </c>
      <c r="AD386" s="641">
        <v>0</v>
      </c>
      <c r="AE386" s="643">
        <v>0</v>
      </c>
      <c r="AF386" s="639" t="s">
        <v>276</v>
      </c>
      <c r="AG386" s="639" t="s">
        <v>277</v>
      </c>
      <c r="AH386" s="639" t="s">
        <v>573</v>
      </c>
      <c r="AI386" s="626" t="str">
        <f>IFERROR(VLOOKUP(AH386,Listas!$A$77:$C$83,2,FALSE),"Alerta: Seleccione primero el responsable")</f>
        <v>3550800</v>
      </c>
      <c r="AJ386" s="640" t="str">
        <f>IFERROR(VLOOKUP(AH386,Listas!$A$77:$C$83,3,FALSE),"Alerta: Seleccione primero el responsable")</f>
        <v>carolina.fernandez@idpc.gov.co</v>
      </c>
      <c r="AK386" s="640" t="str">
        <f>IF(J386="Funcionamiento Gastos Generales","No aplica",IF(J386="Funcionamiento Servicios Personales indirectos","No aplica",IFERROR(VLOOKUP(J386,Listas!$A$127:$E$139,3,FALSE),"Alerta: Seleccione la celda en la comumna B con el nombre del proyecto")))</f>
        <v>ME20181114</v>
      </c>
      <c r="AL386" s="640" t="str">
        <f>IF(J386="Funcionamiento Gastos Generales","No aplica",IF(J386="Funcionamiento Servicios Personales","No aplica",IFERROR(VLOOKUP(J386,Listas!$A$220:$D$224,2,FALSE),"Alerta: Seleccione la celda en la comumna B con el nombre del proyecto")))</f>
        <v>COMP1114</v>
      </c>
      <c r="AM386" s="640" t="str">
        <f>IF(J386="Funcionamiento Gastos Generales","No aplica",IF(J386="Funcionamiento Servicios Personales","No aplica",IFERROR(VLOOKUP(J386,Listas!$A$220:$D$224,3,FALSE),"Alerta: Seleccione la celda en la comumna B con el nombre del proyecto")))</f>
        <v>CONC1114</v>
      </c>
      <c r="AN386" s="633" t="s">
        <v>1054</v>
      </c>
      <c r="AO386" s="633" t="s">
        <v>392</v>
      </c>
      <c r="AP386" s="634" t="str">
        <f>IFERROR(VLOOKUP(J386,Listas!$A$182:$E$215,5,FALSE),"Alerta: Seleccione la celda en la comumna B con el nombre del proyecto")</f>
        <v>4. Obras de Intervención en Bienes muebles - inmuebles y sectores que conforman el patrimonio cultural del D.C.</v>
      </c>
      <c r="AQ386" s="634" t="str">
        <f>IF(J386="Funcionamiento Gastos Generales","No aplica",IF(J386="Funcionamiento Servicios Personales","No aplica",IFERROR(VLOOKUP(J386,Listas!$A$220:$D$224,4,FALSE),"Alerta: Seleccione la celda en la comumna B con el nombre del proyecto")))</f>
        <v>FONT1114</v>
      </c>
      <c r="AR386" s="633" t="s">
        <v>198</v>
      </c>
      <c r="AS386" s="634" t="str">
        <f>IFERROR(VLOOKUP(AU386,Listas!$E$85:$L$105,7,FALSE),"Alerta: Seleccione la celda en la comumna AI con el concepto de gasto")</f>
        <v>01-INFRAESTRUCTURA</v>
      </c>
      <c r="AT386" s="634" t="str">
        <f>IFERROR(VLOOKUP(AU386,Listas!$E$85:$L$105,8,FALSE),"Alerta: Seleccione la celda en la comumna AI con el concepto de gasto")</f>
        <v>01-CONSTRUCCION, ADECUACION Y AMPLIACION DE INFRAESTRUCTURA PROPIA DEL SECTOR</v>
      </c>
      <c r="AU386" s="633" t="s">
        <v>422</v>
      </c>
      <c r="AV386" s="634">
        <f>IFERROR(VLOOKUP(AU386,Listas!$E$85:$F$105,2,FALSE),"Alerta: Seleccione el Concepto de Gasto primero")</f>
        <v>0</v>
      </c>
      <c r="AW386" s="644">
        <v>21670000</v>
      </c>
      <c r="AX386" s="645"/>
      <c r="AY386" s="645"/>
      <c r="AZ386" s="645"/>
      <c r="BA386" s="646">
        <f t="shared" si="123"/>
        <v>21670000</v>
      </c>
      <c r="BB386" s="647"/>
      <c r="BC386" s="648"/>
      <c r="BD386" s="649"/>
      <c r="BE386" s="647"/>
      <c r="BF386" s="644"/>
      <c r="BG386" s="646">
        <f t="shared" si="124"/>
        <v>21670000</v>
      </c>
      <c r="BH386" s="650"/>
      <c r="BI386" s="647"/>
      <c r="BJ386" s="644"/>
      <c r="BK386" s="646">
        <f t="shared" si="125"/>
        <v>0</v>
      </c>
      <c r="BL386" s="651"/>
      <c r="BM386" s="652">
        <f t="shared" si="126"/>
        <v>1</v>
      </c>
      <c r="BN386" s="628"/>
      <c r="BO386" s="670"/>
      <c r="BP386" s="644"/>
      <c r="BQ386" s="644"/>
      <c r="BR386" s="644"/>
      <c r="BS386" s="644"/>
      <c r="BT386" s="644"/>
      <c r="BU386" s="644"/>
      <c r="BV386" s="644"/>
      <c r="BW386" s="644"/>
      <c r="BX386" s="644"/>
      <c r="BY386" s="644"/>
      <c r="BZ386" s="644"/>
      <c r="CA386" s="644"/>
      <c r="CB386" s="646">
        <f t="shared" si="127"/>
        <v>0</v>
      </c>
      <c r="CC386" s="646">
        <f t="shared" si="128"/>
        <v>0</v>
      </c>
      <c r="CD386" s="614"/>
    </row>
    <row r="387" spans="1:82" s="561" customFormat="1" ht="61.5" customHeight="1">
      <c r="A387" s="625" t="str">
        <f t="shared" si="110"/>
        <v>1114-140-FONT1114-01-01-0525-Programa Fachadas</v>
      </c>
      <c r="B387" s="626" t="str">
        <f t="shared" si="111"/>
        <v>1114-140-FONT1114-01-01-0525</v>
      </c>
      <c r="C387" s="626" t="str">
        <f t="shared" si="112"/>
        <v>1114-140-FONT1114-Programa Fachadas</v>
      </c>
      <c r="D387" s="626" t="str">
        <f t="shared" si="113"/>
        <v>1114-140-12-Otros Distrito-01-01-0525</v>
      </c>
      <c r="E387" s="626" t="str">
        <f t="shared" si="114"/>
        <v>Programa Fachadas-12-Otros Distrito-0525-Recuperación y aprovechamiento de bienes de interés cultural</v>
      </c>
      <c r="F387" s="627">
        <v>335</v>
      </c>
      <c r="G387" s="628">
        <f t="shared" si="115"/>
        <v>335</v>
      </c>
      <c r="H387" s="629" t="b">
        <f t="shared" si="116"/>
        <v>0</v>
      </c>
      <c r="I387" s="630" t="s">
        <v>594</v>
      </c>
      <c r="J387" s="627" t="s">
        <v>180</v>
      </c>
      <c r="K387" s="631" t="str">
        <f>+IFERROR(VLOOKUP(J387,Listas!$A$108:$B$114,2,FALSE),"Alerta: Seleccione la celda en la comumna B con el nombre del proyecto")</f>
        <v>3-3-1-15-02-17-1114-140</v>
      </c>
      <c r="L387" s="632" t="s">
        <v>918</v>
      </c>
      <c r="M387" s="633" t="s">
        <v>920</v>
      </c>
      <c r="N387" s="634" t="str">
        <f t="shared" si="117"/>
        <v>(Cód. 335) Prestar servicios de apoyo a la gestión al Instituto Distrital de Patrimonio Cultural para la correcta ejecución de las intervenciones adelantadas por el Programa de enlucimiento de fachadas "El Patrimonio se Luce", de acuerdo con la programación establecida.</v>
      </c>
      <c r="O387" s="635">
        <v>43484</v>
      </c>
      <c r="P387" s="636">
        <f>IFERROR(VLOOKUP(W387,'Estimación CRP'!$D$21:$E$30,2,FALSE),0)</f>
        <v>10</v>
      </c>
      <c r="Q387" s="637">
        <f>IF(O387="No aplica","No aplica",WORKDAY.INTL(O387,P387,1,'Estimación CRP'!A573:A589))</f>
        <v>43497</v>
      </c>
      <c r="R387" s="636">
        <f t="shared" si="118"/>
        <v>2</v>
      </c>
      <c r="S387" s="636">
        <f t="shared" si="119"/>
        <v>1</v>
      </c>
      <c r="T387" s="636">
        <f t="shared" si="120"/>
        <v>1</v>
      </c>
      <c r="U387" s="712">
        <v>11</v>
      </c>
      <c r="V387" s="638">
        <v>1</v>
      </c>
      <c r="W387" s="639" t="s">
        <v>274</v>
      </c>
      <c r="X387" s="640" t="str">
        <f>IFERROR(VLOOKUP(W387,Listas!$A$60:$B$73,2,FALSE),"Alerta: Seleccione primero Modalidad de selección")</f>
        <v>CCE-16</v>
      </c>
      <c r="Y387" s="641">
        <v>0</v>
      </c>
      <c r="Z387" s="641" t="s">
        <v>346</v>
      </c>
      <c r="AA387" s="641" t="s">
        <v>1337</v>
      </c>
      <c r="AB387" s="642">
        <f t="shared" si="121"/>
        <v>21670000</v>
      </c>
      <c r="AC387" s="642">
        <f t="shared" si="122"/>
        <v>21670000</v>
      </c>
      <c r="AD387" s="641">
        <v>0</v>
      </c>
      <c r="AE387" s="643">
        <v>0</v>
      </c>
      <c r="AF387" s="639" t="s">
        <v>276</v>
      </c>
      <c r="AG387" s="639" t="s">
        <v>277</v>
      </c>
      <c r="AH387" s="639" t="s">
        <v>573</v>
      </c>
      <c r="AI387" s="626" t="str">
        <f>IFERROR(VLOOKUP(AH387,Listas!$A$77:$C$83,2,FALSE),"Alerta: Seleccione primero el responsable")</f>
        <v>3550800</v>
      </c>
      <c r="AJ387" s="640" t="str">
        <f>IFERROR(VLOOKUP(AH387,Listas!$A$77:$C$83,3,FALSE),"Alerta: Seleccione primero el responsable")</f>
        <v>carolina.fernandez@idpc.gov.co</v>
      </c>
      <c r="AK387" s="640" t="str">
        <f>IF(J387="Funcionamiento Gastos Generales","No aplica",IF(J387="Funcionamiento Servicios Personales indirectos","No aplica",IFERROR(VLOOKUP(J387,Listas!$A$127:$E$139,3,FALSE),"Alerta: Seleccione la celda en la comumna B con el nombre del proyecto")))</f>
        <v>ME20181114</v>
      </c>
      <c r="AL387" s="640" t="str">
        <f>IF(J387="Funcionamiento Gastos Generales","No aplica",IF(J387="Funcionamiento Servicios Personales","No aplica",IFERROR(VLOOKUP(J387,Listas!$A$220:$D$224,2,FALSE),"Alerta: Seleccione la celda en la comumna B con el nombre del proyecto")))</f>
        <v>COMP1114</v>
      </c>
      <c r="AM387" s="640" t="str">
        <f>IF(J387="Funcionamiento Gastos Generales","No aplica",IF(J387="Funcionamiento Servicios Personales","No aplica",IFERROR(VLOOKUP(J387,Listas!$A$220:$D$224,3,FALSE),"Alerta: Seleccione la celda en la comumna B con el nombre del proyecto")))</f>
        <v>CONC1114</v>
      </c>
      <c r="AN387" s="633" t="s">
        <v>1054</v>
      </c>
      <c r="AO387" s="633" t="s">
        <v>392</v>
      </c>
      <c r="AP387" s="634" t="str">
        <f>IFERROR(VLOOKUP(J387,Listas!$A$182:$E$215,5,FALSE),"Alerta: Seleccione la celda en la comumna B con el nombre del proyecto")</f>
        <v>4. Obras de Intervención en Bienes muebles - inmuebles y sectores que conforman el patrimonio cultural del D.C.</v>
      </c>
      <c r="AQ387" s="634" t="str">
        <f>IF(J387="Funcionamiento Gastos Generales","No aplica",IF(J387="Funcionamiento Servicios Personales","No aplica",IFERROR(VLOOKUP(J387,Listas!$A$220:$D$224,4,FALSE),"Alerta: Seleccione la celda en la comumna B con el nombre del proyecto")))</f>
        <v>FONT1114</v>
      </c>
      <c r="AR387" s="633" t="s">
        <v>198</v>
      </c>
      <c r="AS387" s="634" t="str">
        <f>IFERROR(VLOOKUP(AU387,Listas!$E$85:$L$105,7,FALSE),"Alerta: Seleccione la celda en la comumna AI con el concepto de gasto")</f>
        <v>01-INFRAESTRUCTURA</v>
      </c>
      <c r="AT387" s="634" t="str">
        <f>IFERROR(VLOOKUP(AU387,Listas!$E$85:$L$105,8,FALSE),"Alerta: Seleccione la celda en la comumna AI con el concepto de gasto")</f>
        <v>01-CONSTRUCCION, ADECUACION Y AMPLIACION DE INFRAESTRUCTURA PROPIA DEL SECTOR</v>
      </c>
      <c r="AU387" s="633" t="s">
        <v>422</v>
      </c>
      <c r="AV387" s="634">
        <f>IFERROR(VLOOKUP(AU387,Listas!$E$85:$F$105,2,FALSE),"Alerta: Seleccione el Concepto de Gasto primero")</f>
        <v>0</v>
      </c>
      <c r="AW387" s="644">
        <v>21670000</v>
      </c>
      <c r="AX387" s="645"/>
      <c r="AY387" s="645"/>
      <c r="AZ387" s="645"/>
      <c r="BA387" s="646">
        <f t="shared" si="123"/>
        <v>21670000</v>
      </c>
      <c r="BB387" s="647"/>
      <c r="BC387" s="648"/>
      <c r="BD387" s="649"/>
      <c r="BE387" s="647"/>
      <c r="BF387" s="644"/>
      <c r="BG387" s="646">
        <f t="shared" si="124"/>
        <v>21670000</v>
      </c>
      <c r="BH387" s="650"/>
      <c r="BI387" s="647"/>
      <c r="BJ387" s="644"/>
      <c r="BK387" s="646">
        <f t="shared" si="125"/>
        <v>0</v>
      </c>
      <c r="BL387" s="651"/>
      <c r="BM387" s="652">
        <f t="shared" si="126"/>
        <v>1</v>
      </c>
      <c r="BN387" s="628"/>
      <c r="BO387" s="670"/>
      <c r="BP387" s="644"/>
      <c r="BQ387" s="644"/>
      <c r="BR387" s="644"/>
      <c r="BS387" s="644"/>
      <c r="BT387" s="644"/>
      <c r="BU387" s="644"/>
      <c r="BV387" s="644"/>
      <c r="BW387" s="644"/>
      <c r="BX387" s="644"/>
      <c r="BY387" s="644"/>
      <c r="BZ387" s="644"/>
      <c r="CA387" s="644"/>
      <c r="CB387" s="646">
        <f t="shared" si="127"/>
        <v>0</v>
      </c>
      <c r="CC387" s="646">
        <f t="shared" si="128"/>
        <v>0</v>
      </c>
      <c r="CD387" s="614"/>
    </row>
    <row r="388" spans="1:82" s="653" customFormat="1" ht="61.5" customHeight="1">
      <c r="A388" s="625" t="str">
        <f t="shared" si="110"/>
        <v>1114-140-FONT1114-01-01-0525-Programa Fachadas</v>
      </c>
      <c r="B388" s="626" t="str">
        <f t="shared" si="111"/>
        <v>1114-140-FONT1114-01-01-0525</v>
      </c>
      <c r="C388" s="626" t="str">
        <f t="shared" si="112"/>
        <v>1114-140-FONT1114-Programa Fachadas</v>
      </c>
      <c r="D388" s="626" t="str">
        <f t="shared" si="113"/>
        <v>1114-140-12-Otros Distrito-01-01-0525</v>
      </c>
      <c r="E388" s="626" t="str">
        <f t="shared" si="114"/>
        <v>Programa Fachadas-12-Otros Distrito-0525-Recuperación y aprovechamiento de bienes de interés cultural</v>
      </c>
      <c r="F388" s="627">
        <v>336</v>
      </c>
      <c r="G388" s="628">
        <f t="shared" si="115"/>
        <v>336</v>
      </c>
      <c r="H388" s="629" t="b">
        <f t="shared" si="116"/>
        <v>0</v>
      </c>
      <c r="I388" s="630" t="s">
        <v>594</v>
      </c>
      <c r="J388" s="627" t="s">
        <v>180</v>
      </c>
      <c r="K388" s="631" t="str">
        <f>+IFERROR(VLOOKUP(J388,Listas!$A$108:$B$114,2,FALSE),"Alerta: Seleccione la celda en la comumna B con el nombre del proyecto")</f>
        <v>3-3-1-15-02-17-1114-140</v>
      </c>
      <c r="L388" s="632" t="s">
        <v>918</v>
      </c>
      <c r="M388" s="633" t="s">
        <v>920</v>
      </c>
      <c r="N388" s="634" t="str">
        <f t="shared" si="117"/>
        <v>(Cód. 336) Prestar servicios de apoyo a la gestión al Instituto Distrital de Patrimonio Cultural para la correcta ejecución de las intervenciones adelantadas por el Programa de enlucimiento de fachadas "El Patrimonio se Luce", de acuerdo con la programación establecida.</v>
      </c>
      <c r="O388" s="635">
        <v>43485</v>
      </c>
      <c r="P388" s="636">
        <f>IFERROR(VLOOKUP(W388,'Estimación CRP'!$D$21:$E$30,2,FALSE),0)</f>
        <v>10</v>
      </c>
      <c r="Q388" s="637">
        <f>IF(O388="No aplica","No aplica",WORKDAY.INTL(O388,P388,1,'Estimación CRP'!A574:A590))</f>
        <v>43497</v>
      </c>
      <c r="R388" s="636">
        <f t="shared" si="118"/>
        <v>2</v>
      </c>
      <c r="S388" s="636">
        <f t="shared" si="119"/>
        <v>1</v>
      </c>
      <c r="T388" s="636">
        <f t="shared" si="120"/>
        <v>1</v>
      </c>
      <c r="U388" s="712">
        <v>11</v>
      </c>
      <c r="V388" s="638">
        <v>1</v>
      </c>
      <c r="W388" s="639" t="s">
        <v>274</v>
      </c>
      <c r="X388" s="640" t="str">
        <f>IFERROR(VLOOKUP(W388,Listas!$A$60:$B$73,2,FALSE),"Alerta: Seleccione primero Modalidad de selección")</f>
        <v>CCE-16</v>
      </c>
      <c r="Y388" s="641">
        <v>0</v>
      </c>
      <c r="Z388" s="641" t="s">
        <v>346</v>
      </c>
      <c r="AA388" s="641" t="s">
        <v>1337</v>
      </c>
      <c r="AB388" s="642">
        <f t="shared" si="121"/>
        <v>21670000</v>
      </c>
      <c r="AC388" s="642">
        <f t="shared" si="122"/>
        <v>21670000</v>
      </c>
      <c r="AD388" s="641">
        <v>0</v>
      </c>
      <c r="AE388" s="643">
        <v>0</v>
      </c>
      <c r="AF388" s="639" t="s">
        <v>276</v>
      </c>
      <c r="AG388" s="639" t="s">
        <v>277</v>
      </c>
      <c r="AH388" s="639" t="s">
        <v>573</v>
      </c>
      <c r="AI388" s="626" t="str">
        <f>IFERROR(VLOOKUP(AH388,Listas!$A$77:$C$83,2,FALSE),"Alerta: Seleccione primero el responsable")</f>
        <v>3550800</v>
      </c>
      <c r="AJ388" s="640" t="str">
        <f>IFERROR(VLOOKUP(AH388,Listas!$A$77:$C$83,3,FALSE),"Alerta: Seleccione primero el responsable")</f>
        <v>carolina.fernandez@idpc.gov.co</v>
      </c>
      <c r="AK388" s="640" t="str">
        <f>IF(J388="Funcionamiento Gastos Generales","No aplica",IF(J388="Funcionamiento Servicios Personales indirectos","No aplica",IFERROR(VLOOKUP(J388,Listas!$A$127:$E$139,3,FALSE),"Alerta: Seleccione la celda en la comumna B con el nombre del proyecto")))</f>
        <v>ME20181114</v>
      </c>
      <c r="AL388" s="640" t="str">
        <f>IF(J388="Funcionamiento Gastos Generales","No aplica",IF(J388="Funcionamiento Servicios Personales","No aplica",IFERROR(VLOOKUP(J388,Listas!$A$220:$D$224,2,FALSE),"Alerta: Seleccione la celda en la comumna B con el nombre del proyecto")))</f>
        <v>COMP1114</v>
      </c>
      <c r="AM388" s="640" t="str">
        <f>IF(J388="Funcionamiento Gastos Generales","No aplica",IF(J388="Funcionamiento Servicios Personales","No aplica",IFERROR(VLOOKUP(J388,Listas!$A$220:$D$224,3,FALSE),"Alerta: Seleccione la celda en la comumna B con el nombre del proyecto")))</f>
        <v>CONC1114</v>
      </c>
      <c r="AN388" s="633" t="s">
        <v>1054</v>
      </c>
      <c r="AO388" s="633" t="s">
        <v>392</v>
      </c>
      <c r="AP388" s="634" t="str">
        <f>IFERROR(VLOOKUP(J388,Listas!$A$182:$E$215,5,FALSE),"Alerta: Seleccione la celda en la comumna B con el nombre del proyecto")</f>
        <v>4. Obras de Intervención en Bienes muebles - inmuebles y sectores que conforman el patrimonio cultural del D.C.</v>
      </c>
      <c r="AQ388" s="634" t="str">
        <f>IF(J388="Funcionamiento Gastos Generales","No aplica",IF(J388="Funcionamiento Servicios Personales","No aplica",IFERROR(VLOOKUP(J388,Listas!$A$220:$D$224,4,FALSE),"Alerta: Seleccione la celda en la comumna B con el nombre del proyecto")))</f>
        <v>FONT1114</v>
      </c>
      <c r="AR388" s="633" t="s">
        <v>198</v>
      </c>
      <c r="AS388" s="634" t="str">
        <f>IFERROR(VLOOKUP(AU388,Listas!$E$85:$L$105,7,FALSE),"Alerta: Seleccione la celda en la comumna AI con el concepto de gasto")</f>
        <v>01-INFRAESTRUCTURA</v>
      </c>
      <c r="AT388" s="634" t="str">
        <f>IFERROR(VLOOKUP(AU388,Listas!$E$85:$L$105,8,FALSE),"Alerta: Seleccione la celda en la comumna AI con el concepto de gasto")</f>
        <v>01-CONSTRUCCION, ADECUACION Y AMPLIACION DE INFRAESTRUCTURA PROPIA DEL SECTOR</v>
      </c>
      <c r="AU388" s="633" t="s">
        <v>422</v>
      </c>
      <c r="AV388" s="634">
        <f>IFERROR(VLOOKUP(AU388,Listas!$E$85:$F$105,2,FALSE),"Alerta: Seleccione el Concepto de Gasto primero")</f>
        <v>0</v>
      </c>
      <c r="AW388" s="644">
        <v>21670000</v>
      </c>
      <c r="AX388" s="645"/>
      <c r="AY388" s="645"/>
      <c r="AZ388" s="645"/>
      <c r="BA388" s="646">
        <f t="shared" si="123"/>
        <v>21670000</v>
      </c>
      <c r="BB388" s="647"/>
      <c r="BC388" s="648"/>
      <c r="BD388" s="649"/>
      <c r="BE388" s="647"/>
      <c r="BF388" s="644"/>
      <c r="BG388" s="646">
        <f t="shared" si="124"/>
        <v>21670000</v>
      </c>
      <c r="BH388" s="650"/>
      <c r="BI388" s="647"/>
      <c r="BJ388" s="644"/>
      <c r="BK388" s="646">
        <f t="shared" si="125"/>
        <v>0</v>
      </c>
      <c r="BL388" s="651"/>
      <c r="BM388" s="652">
        <f t="shared" si="126"/>
        <v>1</v>
      </c>
      <c r="BN388" s="628"/>
      <c r="BO388" s="670"/>
      <c r="BP388" s="644"/>
      <c r="BQ388" s="644"/>
      <c r="BR388" s="644"/>
      <c r="BS388" s="644"/>
      <c r="BT388" s="644"/>
      <c r="BU388" s="644"/>
      <c r="BV388" s="644"/>
      <c r="BW388" s="644"/>
      <c r="BX388" s="644"/>
      <c r="BY388" s="644"/>
      <c r="BZ388" s="644"/>
      <c r="CA388" s="644"/>
      <c r="CB388" s="646">
        <f t="shared" si="127"/>
        <v>0</v>
      </c>
      <c r="CC388" s="646">
        <f t="shared" si="128"/>
        <v>0</v>
      </c>
      <c r="CD388" s="614"/>
    </row>
    <row r="389" spans="1:82" s="561" customFormat="1" ht="61.5" customHeight="1">
      <c r="A389" s="625" t="str">
        <f t="shared" si="110"/>
        <v>1114-140-FONT1114-01-01-0525-Programa Fachadas</v>
      </c>
      <c r="B389" s="626" t="str">
        <f t="shared" si="111"/>
        <v>1114-140-FONT1114-01-01-0525</v>
      </c>
      <c r="C389" s="626" t="str">
        <f t="shared" si="112"/>
        <v>1114-140-FONT1114-Programa Fachadas</v>
      </c>
      <c r="D389" s="626" t="str">
        <f t="shared" si="113"/>
        <v>1114-140-12-Otros Distrito-01-01-0525</v>
      </c>
      <c r="E389" s="626" t="str">
        <f t="shared" si="114"/>
        <v>Programa Fachadas-12-Otros Distrito-0525-Recuperación y aprovechamiento de bienes de interés cultural</v>
      </c>
      <c r="F389" s="627">
        <v>337</v>
      </c>
      <c r="G389" s="628">
        <f t="shared" si="115"/>
        <v>337</v>
      </c>
      <c r="H389" s="629" t="b">
        <f t="shared" si="116"/>
        <v>0</v>
      </c>
      <c r="I389" s="630" t="s">
        <v>594</v>
      </c>
      <c r="J389" s="627" t="s">
        <v>180</v>
      </c>
      <c r="K389" s="631" t="str">
        <f>+IFERROR(VLOOKUP(J389,Listas!$A$108:$B$114,2,FALSE),"Alerta: Seleccione la celda en la comumna B con el nombre del proyecto")</f>
        <v>3-3-1-15-02-17-1114-140</v>
      </c>
      <c r="L389" s="632" t="s">
        <v>918</v>
      </c>
      <c r="M389" s="633" t="s">
        <v>920</v>
      </c>
      <c r="N389" s="634" t="str">
        <f t="shared" si="117"/>
        <v>(Cód. 337) Prestar servicios de apoyo a la gestión al Instituto Distrital de Patrimonio Cultural para la correcta ejecución de las intervenciones adelantadas por el Programa de enlucimiento de fachadas "El Patrimonio se Luce", de acuerdo con la programación establecida.</v>
      </c>
      <c r="O389" s="635">
        <v>43485</v>
      </c>
      <c r="P389" s="636">
        <f>IFERROR(VLOOKUP(W389,'Estimación CRP'!$D$21:$E$30,2,FALSE),0)</f>
        <v>10</v>
      </c>
      <c r="Q389" s="637">
        <f>IF(O389="No aplica","No aplica",WORKDAY.INTL(O389,P389,1,'Estimación CRP'!A575:A591))</f>
        <v>43497</v>
      </c>
      <c r="R389" s="636">
        <f t="shared" si="118"/>
        <v>2</v>
      </c>
      <c r="S389" s="636">
        <f t="shared" si="119"/>
        <v>1</v>
      </c>
      <c r="T389" s="636">
        <f t="shared" si="120"/>
        <v>1</v>
      </c>
      <c r="U389" s="712">
        <v>11</v>
      </c>
      <c r="V389" s="638">
        <v>1</v>
      </c>
      <c r="W389" s="639" t="s">
        <v>274</v>
      </c>
      <c r="X389" s="640" t="str">
        <f>IFERROR(VLOOKUP(W389,Listas!$A$60:$B$73,2,FALSE),"Alerta: Seleccione primero Modalidad de selección")</f>
        <v>CCE-16</v>
      </c>
      <c r="Y389" s="641">
        <v>0</v>
      </c>
      <c r="Z389" s="641" t="s">
        <v>346</v>
      </c>
      <c r="AA389" s="641" t="s">
        <v>1337</v>
      </c>
      <c r="AB389" s="642">
        <f t="shared" si="121"/>
        <v>21670000</v>
      </c>
      <c r="AC389" s="642">
        <f t="shared" si="122"/>
        <v>21670000</v>
      </c>
      <c r="AD389" s="641">
        <v>0</v>
      </c>
      <c r="AE389" s="643">
        <v>0</v>
      </c>
      <c r="AF389" s="639" t="s">
        <v>276</v>
      </c>
      <c r="AG389" s="639" t="s">
        <v>277</v>
      </c>
      <c r="AH389" s="639" t="s">
        <v>573</v>
      </c>
      <c r="AI389" s="626" t="str">
        <f>IFERROR(VLOOKUP(AH389,Listas!$A$77:$C$83,2,FALSE),"Alerta: Seleccione primero el responsable")</f>
        <v>3550800</v>
      </c>
      <c r="AJ389" s="640" t="str">
        <f>IFERROR(VLOOKUP(AH389,Listas!$A$77:$C$83,3,FALSE),"Alerta: Seleccione primero el responsable")</f>
        <v>carolina.fernandez@idpc.gov.co</v>
      </c>
      <c r="AK389" s="640" t="str">
        <f>IF(J389="Funcionamiento Gastos Generales","No aplica",IF(J389="Funcionamiento Servicios Personales indirectos","No aplica",IFERROR(VLOOKUP(J389,Listas!$A$127:$E$139,3,FALSE),"Alerta: Seleccione la celda en la comumna B con el nombre del proyecto")))</f>
        <v>ME20181114</v>
      </c>
      <c r="AL389" s="640" t="str">
        <f>IF(J389="Funcionamiento Gastos Generales","No aplica",IF(J389="Funcionamiento Servicios Personales","No aplica",IFERROR(VLOOKUP(J389,Listas!$A$220:$D$224,2,FALSE),"Alerta: Seleccione la celda en la comumna B con el nombre del proyecto")))</f>
        <v>COMP1114</v>
      </c>
      <c r="AM389" s="640" t="str">
        <f>IF(J389="Funcionamiento Gastos Generales","No aplica",IF(J389="Funcionamiento Servicios Personales","No aplica",IFERROR(VLOOKUP(J389,Listas!$A$220:$D$224,3,FALSE),"Alerta: Seleccione la celda en la comumna B con el nombre del proyecto")))</f>
        <v>CONC1114</v>
      </c>
      <c r="AN389" s="633" t="s">
        <v>1054</v>
      </c>
      <c r="AO389" s="633" t="s">
        <v>392</v>
      </c>
      <c r="AP389" s="634" t="str">
        <f>IFERROR(VLOOKUP(J389,Listas!$A$182:$E$215,5,FALSE),"Alerta: Seleccione la celda en la comumna B con el nombre del proyecto")</f>
        <v>4. Obras de Intervención en Bienes muebles - inmuebles y sectores que conforman el patrimonio cultural del D.C.</v>
      </c>
      <c r="AQ389" s="634" t="str">
        <f>IF(J389="Funcionamiento Gastos Generales","No aplica",IF(J389="Funcionamiento Servicios Personales","No aplica",IFERROR(VLOOKUP(J389,Listas!$A$220:$D$224,4,FALSE),"Alerta: Seleccione la celda en la comumna B con el nombre del proyecto")))</f>
        <v>FONT1114</v>
      </c>
      <c r="AR389" s="633" t="s">
        <v>198</v>
      </c>
      <c r="AS389" s="634" t="str">
        <f>IFERROR(VLOOKUP(AU389,Listas!$E$85:$L$105,7,FALSE),"Alerta: Seleccione la celda en la comumna AI con el concepto de gasto")</f>
        <v>01-INFRAESTRUCTURA</v>
      </c>
      <c r="AT389" s="634" t="str">
        <f>IFERROR(VLOOKUP(AU389,Listas!$E$85:$L$105,8,FALSE),"Alerta: Seleccione la celda en la comumna AI con el concepto de gasto")</f>
        <v>01-CONSTRUCCION, ADECUACION Y AMPLIACION DE INFRAESTRUCTURA PROPIA DEL SECTOR</v>
      </c>
      <c r="AU389" s="633" t="s">
        <v>422</v>
      </c>
      <c r="AV389" s="634">
        <f>IFERROR(VLOOKUP(AU389,Listas!$E$85:$F$105,2,FALSE),"Alerta: Seleccione el Concepto de Gasto primero")</f>
        <v>0</v>
      </c>
      <c r="AW389" s="644">
        <v>21670000</v>
      </c>
      <c r="AX389" s="645"/>
      <c r="AY389" s="645"/>
      <c r="AZ389" s="645"/>
      <c r="BA389" s="646">
        <f t="shared" si="123"/>
        <v>21670000</v>
      </c>
      <c r="BB389" s="647"/>
      <c r="BC389" s="648"/>
      <c r="BD389" s="649"/>
      <c r="BE389" s="647"/>
      <c r="BF389" s="644"/>
      <c r="BG389" s="646">
        <f t="shared" si="124"/>
        <v>21670000</v>
      </c>
      <c r="BH389" s="650"/>
      <c r="BI389" s="647"/>
      <c r="BJ389" s="644"/>
      <c r="BK389" s="646">
        <f t="shared" si="125"/>
        <v>0</v>
      </c>
      <c r="BL389" s="651"/>
      <c r="BM389" s="652">
        <f t="shared" si="126"/>
        <v>1</v>
      </c>
      <c r="BN389" s="628"/>
      <c r="BO389" s="670"/>
      <c r="BP389" s="644"/>
      <c r="BQ389" s="644"/>
      <c r="BR389" s="644"/>
      <c r="BS389" s="644"/>
      <c r="BT389" s="644"/>
      <c r="BU389" s="644"/>
      <c r="BV389" s="644"/>
      <c r="BW389" s="644"/>
      <c r="BX389" s="644"/>
      <c r="BY389" s="644"/>
      <c r="BZ389" s="644"/>
      <c r="CA389" s="644"/>
      <c r="CB389" s="646">
        <f t="shared" si="127"/>
        <v>0</v>
      </c>
      <c r="CC389" s="646">
        <f t="shared" si="128"/>
        <v>0</v>
      </c>
      <c r="CD389" s="614"/>
    </row>
    <row r="390" spans="1:82" s="561" customFormat="1" ht="61.5" customHeight="1">
      <c r="A390" s="625" t="str">
        <f t="shared" si="110"/>
        <v>1114-140-FONT1114-01-01-0525-Programa Fachadas</v>
      </c>
      <c r="B390" s="626" t="str">
        <f t="shared" si="111"/>
        <v>1114-140-FONT1114-01-01-0525</v>
      </c>
      <c r="C390" s="626" t="str">
        <f t="shared" si="112"/>
        <v>1114-140-FONT1114-Programa Fachadas</v>
      </c>
      <c r="D390" s="626" t="str">
        <f t="shared" si="113"/>
        <v>1114-140-12-Otros Distrito-01-01-0525</v>
      </c>
      <c r="E390" s="626" t="str">
        <f t="shared" si="114"/>
        <v>Programa Fachadas-12-Otros Distrito-0525-Recuperación y aprovechamiento de bienes de interés cultural</v>
      </c>
      <c r="F390" s="627">
        <v>338</v>
      </c>
      <c r="G390" s="628">
        <f t="shared" si="115"/>
        <v>338</v>
      </c>
      <c r="H390" s="629" t="b">
        <f t="shared" si="116"/>
        <v>0</v>
      </c>
      <c r="I390" s="630" t="s">
        <v>594</v>
      </c>
      <c r="J390" s="627" t="s">
        <v>180</v>
      </c>
      <c r="K390" s="631" t="str">
        <f>+IFERROR(VLOOKUP(J390,Listas!$A$108:$B$114,2,FALSE),"Alerta: Seleccione la celda en la comumna B con el nombre del proyecto")</f>
        <v>3-3-1-15-02-17-1114-140</v>
      </c>
      <c r="L390" s="632" t="s">
        <v>918</v>
      </c>
      <c r="M390" s="633" t="s">
        <v>920</v>
      </c>
      <c r="N390" s="634" t="str">
        <f t="shared" si="117"/>
        <v>(Cód. 338) Prestar servicios de apoyo a la gestión al Instituto Distrital de Patrimonio Cultural para la correcta ejecución de las intervenciones adelantadas por el Programa de enlucimiento de fachadas "El Patrimonio se Luce", de acuerdo con la programación establecida.</v>
      </c>
      <c r="O390" s="635">
        <v>43485</v>
      </c>
      <c r="P390" s="636">
        <f>IFERROR(VLOOKUP(W390,'Estimación CRP'!$D$21:$E$30,2,FALSE),0)</f>
        <v>10</v>
      </c>
      <c r="Q390" s="637">
        <f>IF(O390="No aplica","No aplica",WORKDAY.INTL(O390,P390,1,'Estimación CRP'!A576:A592))</f>
        <v>43497</v>
      </c>
      <c r="R390" s="636">
        <f t="shared" si="118"/>
        <v>2</v>
      </c>
      <c r="S390" s="636">
        <f t="shared" si="119"/>
        <v>1</v>
      </c>
      <c r="T390" s="636">
        <f t="shared" si="120"/>
        <v>1</v>
      </c>
      <c r="U390" s="712">
        <v>11</v>
      </c>
      <c r="V390" s="638">
        <v>1</v>
      </c>
      <c r="W390" s="639" t="s">
        <v>274</v>
      </c>
      <c r="X390" s="640" t="str">
        <f>IFERROR(VLOOKUP(W390,Listas!$A$60:$B$73,2,FALSE),"Alerta: Seleccione primero Modalidad de selección")</f>
        <v>CCE-16</v>
      </c>
      <c r="Y390" s="641">
        <v>0</v>
      </c>
      <c r="Z390" s="641" t="s">
        <v>346</v>
      </c>
      <c r="AA390" s="641" t="s">
        <v>1337</v>
      </c>
      <c r="AB390" s="642">
        <f t="shared" si="121"/>
        <v>21670000</v>
      </c>
      <c r="AC390" s="642">
        <f t="shared" si="122"/>
        <v>21670000</v>
      </c>
      <c r="AD390" s="641">
        <v>0</v>
      </c>
      <c r="AE390" s="643">
        <v>0</v>
      </c>
      <c r="AF390" s="639" t="s">
        <v>276</v>
      </c>
      <c r="AG390" s="639" t="s">
        <v>277</v>
      </c>
      <c r="AH390" s="639" t="s">
        <v>573</v>
      </c>
      <c r="AI390" s="626" t="str">
        <f>IFERROR(VLOOKUP(AH390,Listas!$A$77:$C$83,2,FALSE),"Alerta: Seleccione primero el responsable")</f>
        <v>3550800</v>
      </c>
      <c r="AJ390" s="640" t="str">
        <f>IFERROR(VLOOKUP(AH390,Listas!$A$77:$C$83,3,FALSE),"Alerta: Seleccione primero el responsable")</f>
        <v>carolina.fernandez@idpc.gov.co</v>
      </c>
      <c r="AK390" s="640" t="str">
        <f>IF(J390="Funcionamiento Gastos Generales","No aplica",IF(J390="Funcionamiento Servicios Personales indirectos","No aplica",IFERROR(VLOOKUP(J390,Listas!$A$127:$E$139,3,FALSE),"Alerta: Seleccione la celda en la comumna B con el nombre del proyecto")))</f>
        <v>ME20181114</v>
      </c>
      <c r="AL390" s="640" t="str">
        <f>IF(J390="Funcionamiento Gastos Generales","No aplica",IF(J390="Funcionamiento Servicios Personales","No aplica",IFERROR(VLOOKUP(J390,Listas!$A$220:$D$224,2,FALSE),"Alerta: Seleccione la celda en la comumna B con el nombre del proyecto")))</f>
        <v>COMP1114</v>
      </c>
      <c r="AM390" s="640" t="str">
        <f>IF(J390="Funcionamiento Gastos Generales","No aplica",IF(J390="Funcionamiento Servicios Personales","No aplica",IFERROR(VLOOKUP(J390,Listas!$A$220:$D$224,3,FALSE),"Alerta: Seleccione la celda en la comumna B con el nombre del proyecto")))</f>
        <v>CONC1114</v>
      </c>
      <c r="AN390" s="633" t="s">
        <v>1054</v>
      </c>
      <c r="AO390" s="633" t="s">
        <v>392</v>
      </c>
      <c r="AP390" s="634" t="str">
        <f>IFERROR(VLOOKUP(J390,Listas!$A$182:$E$215,5,FALSE),"Alerta: Seleccione la celda en la comumna B con el nombre del proyecto")</f>
        <v>4. Obras de Intervención en Bienes muebles - inmuebles y sectores que conforman el patrimonio cultural del D.C.</v>
      </c>
      <c r="AQ390" s="634" t="str">
        <f>IF(J390="Funcionamiento Gastos Generales","No aplica",IF(J390="Funcionamiento Servicios Personales","No aplica",IFERROR(VLOOKUP(J390,Listas!$A$220:$D$224,4,FALSE),"Alerta: Seleccione la celda en la comumna B con el nombre del proyecto")))</f>
        <v>FONT1114</v>
      </c>
      <c r="AR390" s="633" t="s">
        <v>198</v>
      </c>
      <c r="AS390" s="634" t="str">
        <f>IFERROR(VLOOKUP(AU390,Listas!$E$85:$L$105,7,FALSE),"Alerta: Seleccione la celda en la comumna AI con el concepto de gasto")</f>
        <v>01-INFRAESTRUCTURA</v>
      </c>
      <c r="AT390" s="634" t="str">
        <f>IFERROR(VLOOKUP(AU390,Listas!$E$85:$L$105,8,FALSE),"Alerta: Seleccione la celda en la comumna AI con el concepto de gasto")</f>
        <v>01-CONSTRUCCION, ADECUACION Y AMPLIACION DE INFRAESTRUCTURA PROPIA DEL SECTOR</v>
      </c>
      <c r="AU390" s="633" t="s">
        <v>422</v>
      </c>
      <c r="AV390" s="634">
        <f>IFERROR(VLOOKUP(AU390,Listas!$E$85:$F$105,2,FALSE),"Alerta: Seleccione el Concepto de Gasto primero")</f>
        <v>0</v>
      </c>
      <c r="AW390" s="644">
        <v>21670000</v>
      </c>
      <c r="AX390" s="645"/>
      <c r="AY390" s="645"/>
      <c r="AZ390" s="645"/>
      <c r="BA390" s="646">
        <f t="shared" si="123"/>
        <v>21670000</v>
      </c>
      <c r="BB390" s="647"/>
      <c r="BC390" s="648"/>
      <c r="BD390" s="649"/>
      <c r="BE390" s="647"/>
      <c r="BF390" s="644"/>
      <c r="BG390" s="646">
        <f t="shared" si="124"/>
        <v>21670000</v>
      </c>
      <c r="BH390" s="650"/>
      <c r="BI390" s="647"/>
      <c r="BJ390" s="644"/>
      <c r="BK390" s="646">
        <f t="shared" si="125"/>
        <v>0</v>
      </c>
      <c r="BL390" s="651"/>
      <c r="BM390" s="652">
        <f t="shared" si="126"/>
        <v>1</v>
      </c>
      <c r="BN390" s="628"/>
      <c r="BO390" s="670"/>
      <c r="BP390" s="644"/>
      <c r="BQ390" s="644"/>
      <c r="BR390" s="644"/>
      <c r="BS390" s="644"/>
      <c r="BT390" s="644"/>
      <c r="BU390" s="644"/>
      <c r="BV390" s="644"/>
      <c r="BW390" s="644"/>
      <c r="BX390" s="644"/>
      <c r="BY390" s="644"/>
      <c r="BZ390" s="644"/>
      <c r="CA390" s="644"/>
      <c r="CB390" s="646">
        <f t="shared" si="127"/>
        <v>0</v>
      </c>
      <c r="CC390" s="646">
        <f t="shared" si="128"/>
        <v>0</v>
      </c>
      <c r="CD390" s="614"/>
    </row>
    <row r="391" spans="1:82" s="561" customFormat="1" ht="61.5" customHeight="1">
      <c r="A391" s="625" t="str">
        <f t="shared" si="110"/>
        <v>1114-140-FONT1114-01-01-0525-Programa Fachadas</v>
      </c>
      <c r="B391" s="626" t="str">
        <f t="shared" si="111"/>
        <v>1114-140-FONT1114-01-01-0525</v>
      </c>
      <c r="C391" s="626" t="str">
        <f t="shared" si="112"/>
        <v>1114-140-FONT1114-Programa Fachadas</v>
      </c>
      <c r="D391" s="626" t="str">
        <f t="shared" si="113"/>
        <v>1114-140-12-Otros Distrito-01-01-0525</v>
      </c>
      <c r="E391" s="626" t="str">
        <f t="shared" si="114"/>
        <v>Programa Fachadas-12-Otros Distrito-0525-Recuperación y aprovechamiento de bienes de interés cultural</v>
      </c>
      <c r="F391" s="627">
        <v>339</v>
      </c>
      <c r="G391" s="628">
        <f t="shared" si="115"/>
        <v>339</v>
      </c>
      <c r="H391" s="629" t="b">
        <f t="shared" si="116"/>
        <v>0</v>
      </c>
      <c r="I391" s="630" t="s">
        <v>594</v>
      </c>
      <c r="J391" s="627" t="s">
        <v>180</v>
      </c>
      <c r="K391" s="631" t="str">
        <f>+IFERROR(VLOOKUP(J391,Listas!$A$108:$B$114,2,FALSE),"Alerta: Seleccione la celda en la comumna B con el nombre del proyecto")</f>
        <v>3-3-1-15-02-17-1114-140</v>
      </c>
      <c r="L391" s="632" t="s">
        <v>918</v>
      </c>
      <c r="M391" s="633" t="s">
        <v>920</v>
      </c>
      <c r="N391" s="634" t="str">
        <f t="shared" si="117"/>
        <v>(Cód. 339) Prestar servicios de apoyo a la gestión al Instituto Distrital de Patrimonio Cultural para la correcta ejecución de las intervenciones adelantadas por el Programa de enlucimiento de fachadas "El Patrimonio se Luce", de acuerdo con la programación establecida.</v>
      </c>
      <c r="O391" s="635">
        <v>43486</v>
      </c>
      <c r="P391" s="636">
        <f>IFERROR(VLOOKUP(W391,'Estimación CRP'!$D$21:$E$30,2,FALSE),0)</f>
        <v>10</v>
      </c>
      <c r="Q391" s="637">
        <f>IF(O391="No aplica","No aplica",WORKDAY.INTL(O391,P391,1,'Estimación CRP'!A577:A593))</f>
        <v>43500</v>
      </c>
      <c r="R391" s="636">
        <f t="shared" si="118"/>
        <v>2</v>
      </c>
      <c r="S391" s="636">
        <f t="shared" si="119"/>
        <v>1</v>
      </c>
      <c r="T391" s="636">
        <f t="shared" si="120"/>
        <v>1</v>
      </c>
      <c r="U391" s="712">
        <v>11</v>
      </c>
      <c r="V391" s="638">
        <v>1</v>
      </c>
      <c r="W391" s="639" t="s">
        <v>274</v>
      </c>
      <c r="X391" s="640" t="str">
        <f>IFERROR(VLOOKUP(W391,Listas!$A$60:$B$73,2,FALSE),"Alerta: Seleccione primero Modalidad de selección")</f>
        <v>CCE-16</v>
      </c>
      <c r="Y391" s="641">
        <v>0</v>
      </c>
      <c r="Z391" s="641" t="s">
        <v>346</v>
      </c>
      <c r="AA391" s="641" t="s">
        <v>1337</v>
      </c>
      <c r="AB391" s="642">
        <f t="shared" si="121"/>
        <v>21670000</v>
      </c>
      <c r="AC391" s="642">
        <f t="shared" si="122"/>
        <v>21670000</v>
      </c>
      <c r="AD391" s="641">
        <v>0</v>
      </c>
      <c r="AE391" s="643">
        <v>0</v>
      </c>
      <c r="AF391" s="639" t="s">
        <v>276</v>
      </c>
      <c r="AG391" s="639" t="s">
        <v>277</v>
      </c>
      <c r="AH391" s="639" t="s">
        <v>573</v>
      </c>
      <c r="AI391" s="626" t="str">
        <f>IFERROR(VLOOKUP(AH391,Listas!$A$77:$C$83,2,FALSE),"Alerta: Seleccione primero el responsable")</f>
        <v>3550800</v>
      </c>
      <c r="AJ391" s="640" t="str">
        <f>IFERROR(VLOOKUP(AH391,Listas!$A$77:$C$83,3,FALSE),"Alerta: Seleccione primero el responsable")</f>
        <v>carolina.fernandez@idpc.gov.co</v>
      </c>
      <c r="AK391" s="640" t="str">
        <f>IF(J391="Funcionamiento Gastos Generales","No aplica",IF(J391="Funcionamiento Servicios Personales indirectos","No aplica",IFERROR(VLOOKUP(J391,Listas!$A$127:$E$139,3,FALSE),"Alerta: Seleccione la celda en la comumna B con el nombre del proyecto")))</f>
        <v>ME20181114</v>
      </c>
      <c r="AL391" s="640" t="str">
        <f>IF(J391="Funcionamiento Gastos Generales","No aplica",IF(J391="Funcionamiento Servicios Personales","No aplica",IFERROR(VLOOKUP(J391,Listas!$A$220:$D$224,2,FALSE),"Alerta: Seleccione la celda en la comumna B con el nombre del proyecto")))</f>
        <v>COMP1114</v>
      </c>
      <c r="AM391" s="640" t="str">
        <f>IF(J391="Funcionamiento Gastos Generales","No aplica",IF(J391="Funcionamiento Servicios Personales","No aplica",IFERROR(VLOOKUP(J391,Listas!$A$220:$D$224,3,FALSE),"Alerta: Seleccione la celda en la comumna B con el nombre del proyecto")))</f>
        <v>CONC1114</v>
      </c>
      <c r="AN391" s="633" t="s">
        <v>1054</v>
      </c>
      <c r="AO391" s="633" t="s">
        <v>392</v>
      </c>
      <c r="AP391" s="634" t="str">
        <f>IFERROR(VLOOKUP(J391,Listas!$A$182:$E$215,5,FALSE),"Alerta: Seleccione la celda en la comumna B con el nombre del proyecto")</f>
        <v>4. Obras de Intervención en Bienes muebles - inmuebles y sectores que conforman el patrimonio cultural del D.C.</v>
      </c>
      <c r="AQ391" s="634" t="str">
        <f>IF(J391="Funcionamiento Gastos Generales","No aplica",IF(J391="Funcionamiento Servicios Personales","No aplica",IFERROR(VLOOKUP(J391,Listas!$A$220:$D$224,4,FALSE),"Alerta: Seleccione la celda en la comumna B con el nombre del proyecto")))</f>
        <v>FONT1114</v>
      </c>
      <c r="AR391" s="633" t="s">
        <v>198</v>
      </c>
      <c r="AS391" s="634" t="str">
        <f>IFERROR(VLOOKUP(AU391,Listas!$E$85:$L$105,7,FALSE),"Alerta: Seleccione la celda en la comumna AI con el concepto de gasto")</f>
        <v>01-INFRAESTRUCTURA</v>
      </c>
      <c r="AT391" s="634" t="str">
        <f>IFERROR(VLOOKUP(AU391,Listas!$E$85:$L$105,8,FALSE),"Alerta: Seleccione la celda en la comumna AI con el concepto de gasto")</f>
        <v>01-CONSTRUCCION, ADECUACION Y AMPLIACION DE INFRAESTRUCTURA PROPIA DEL SECTOR</v>
      </c>
      <c r="AU391" s="633" t="s">
        <v>422</v>
      </c>
      <c r="AV391" s="634">
        <f>IFERROR(VLOOKUP(AU391,Listas!$E$85:$F$105,2,FALSE),"Alerta: Seleccione el Concepto de Gasto primero")</f>
        <v>0</v>
      </c>
      <c r="AW391" s="644">
        <v>21670000</v>
      </c>
      <c r="AX391" s="645"/>
      <c r="AY391" s="645"/>
      <c r="AZ391" s="645"/>
      <c r="BA391" s="646">
        <f t="shared" si="123"/>
        <v>21670000</v>
      </c>
      <c r="BB391" s="647"/>
      <c r="BC391" s="648"/>
      <c r="BD391" s="649"/>
      <c r="BE391" s="647"/>
      <c r="BF391" s="644"/>
      <c r="BG391" s="646">
        <f t="shared" si="124"/>
        <v>21670000</v>
      </c>
      <c r="BH391" s="650"/>
      <c r="BI391" s="647"/>
      <c r="BJ391" s="644"/>
      <c r="BK391" s="646">
        <f t="shared" si="125"/>
        <v>0</v>
      </c>
      <c r="BL391" s="651"/>
      <c r="BM391" s="652">
        <f t="shared" si="126"/>
        <v>1</v>
      </c>
      <c r="BN391" s="628"/>
      <c r="BO391" s="670"/>
      <c r="BP391" s="644"/>
      <c r="BQ391" s="644"/>
      <c r="BR391" s="644"/>
      <c r="BS391" s="644"/>
      <c r="BT391" s="644"/>
      <c r="BU391" s="644"/>
      <c r="BV391" s="644"/>
      <c r="BW391" s="644"/>
      <c r="BX391" s="644"/>
      <c r="BY391" s="644"/>
      <c r="BZ391" s="644"/>
      <c r="CA391" s="644"/>
      <c r="CB391" s="646">
        <f t="shared" si="127"/>
        <v>0</v>
      </c>
      <c r="CC391" s="646">
        <f t="shared" si="128"/>
        <v>0</v>
      </c>
      <c r="CD391" s="614"/>
    </row>
    <row r="392" spans="1:82" s="561" customFormat="1" ht="61.5" customHeight="1">
      <c r="A392" s="625" t="str">
        <f t="shared" si="110"/>
        <v>1114-140-FONT1114-01-01-0525-Programa Fachadas</v>
      </c>
      <c r="B392" s="626" t="str">
        <f t="shared" si="111"/>
        <v>1114-140-FONT1114-01-01-0525</v>
      </c>
      <c r="C392" s="626" t="str">
        <f t="shared" si="112"/>
        <v>1114-140-FONT1114-Programa Fachadas</v>
      </c>
      <c r="D392" s="626" t="str">
        <f t="shared" si="113"/>
        <v>1114-140-12-Otros Distrito-01-01-0525</v>
      </c>
      <c r="E392" s="626" t="str">
        <f t="shared" si="114"/>
        <v>Programa Fachadas-12-Otros Distrito-0525-Recuperación y aprovechamiento de bienes de interés cultural</v>
      </c>
      <c r="F392" s="627">
        <v>340</v>
      </c>
      <c r="G392" s="628">
        <f t="shared" si="115"/>
        <v>340</v>
      </c>
      <c r="H392" s="629" t="b">
        <f t="shared" si="116"/>
        <v>0</v>
      </c>
      <c r="I392" s="630" t="s">
        <v>594</v>
      </c>
      <c r="J392" s="627" t="s">
        <v>180</v>
      </c>
      <c r="K392" s="631" t="str">
        <f>+IFERROR(VLOOKUP(J392,Listas!$A$108:$B$114,2,FALSE),"Alerta: Seleccione la celda en la comumna B con el nombre del proyecto")</f>
        <v>3-3-1-15-02-17-1114-140</v>
      </c>
      <c r="L392" s="632" t="s">
        <v>918</v>
      </c>
      <c r="M392" s="633" t="s">
        <v>920</v>
      </c>
      <c r="N392" s="634" t="str">
        <f t="shared" si="117"/>
        <v>(Cód. 340) Prestar servicios de apoyo a la gestión al Instituto Distrital de Patrimonio Cultural para la correcta ejecución de las intervenciones adelantadas por el Programa de enlucimiento de fachadas "El Patrimonio se Luce", de acuerdo con la programación establecida.</v>
      </c>
      <c r="O392" s="635">
        <v>43487</v>
      </c>
      <c r="P392" s="636">
        <f>IFERROR(VLOOKUP(W392,'Estimación CRP'!$D$21:$E$30,2,FALSE),0)</f>
        <v>10</v>
      </c>
      <c r="Q392" s="637">
        <f>IF(O392="No aplica","No aplica",WORKDAY.INTL(O392,P392,1,'Estimación CRP'!A578:A594))</f>
        <v>43501</v>
      </c>
      <c r="R392" s="636">
        <f t="shared" si="118"/>
        <v>2</v>
      </c>
      <c r="S392" s="636">
        <f t="shared" si="119"/>
        <v>1</v>
      </c>
      <c r="T392" s="636">
        <f t="shared" si="120"/>
        <v>1</v>
      </c>
      <c r="U392" s="712">
        <v>11</v>
      </c>
      <c r="V392" s="638">
        <v>1</v>
      </c>
      <c r="W392" s="639" t="s">
        <v>274</v>
      </c>
      <c r="X392" s="640" t="str">
        <f>IFERROR(VLOOKUP(W392,Listas!$A$60:$B$73,2,FALSE),"Alerta: Seleccione primero Modalidad de selección")</f>
        <v>CCE-16</v>
      </c>
      <c r="Y392" s="641">
        <v>0</v>
      </c>
      <c r="Z392" s="641" t="s">
        <v>346</v>
      </c>
      <c r="AA392" s="641" t="s">
        <v>1337</v>
      </c>
      <c r="AB392" s="642">
        <f t="shared" si="121"/>
        <v>21670000</v>
      </c>
      <c r="AC392" s="642">
        <f t="shared" si="122"/>
        <v>21670000</v>
      </c>
      <c r="AD392" s="641">
        <v>0</v>
      </c>
      <c r="AE392" s="643">
        <v>0</v>
      </c>
      <c r="AF392" s="639" t="s">
        <v>276</v>
      </c>
      <c r="AG392" s="639" t="s">
        <v>277</v>
      </c>
      <c r="AH392" s="639" t="s">
        <v>573</v>
      </c>
      <c r="AI392" s="626" t="str">
        <f>IFERROR(VLOOKUP(AH392,Listas!$A$77:$C$83,2,FALSE),"Alerta: Seleccione primero el responsable")</f>
        <v>3550800</v>
      </c>
      <c r="AJ392" s="640" t="str">
        <f>IFERROR(VLOOKUP(AH392,Listas!$A$77:$C$83,3,FALSE),"Alerta: Seleccione primero el responsable")</f>
        <v>carolina.fernandez@idpc.gov.co</v>
      </c>
      <c r="AK392" s="640" t="str">
        <f>IF(J392="Funcionamiento Gastos Generales","No aplica",IF(J392="Funcionamiento Servicios Personales indirectos","No aplica",IFERROR(VLOOKUP(J392,Listas!$A$127:$E$139,3,FALSE),"Alerta: Seleccione la celda en la comumna B con el nombre del proyecto")))</f>
        <v>ME20181114</v>
      </c>
      <c r="AL392" s="640" t="str">
        <f>IF(J392="Funcionamiento Gastos Generales","No aplica",IF(J392="Funcionamiento Servicios Personales","No aplica",IFERROR(VLOOKUP(J392,Listas!$A$220:$D$224,2,FALSE),"Alerta: Seleccione la celda en la comumna B con el nombre del proyecto")))</f>
        <v>COMP1114</v>
      </c>
      <c r="AM392" s="640" t="str">
        <f>IF(J392="Funcionamiento Gastos Generales","No aplica",IF(J392="Funcionamiento Servicios Personales","No aplica",IFERROR(VLOOKUP(J392,Listas!$A$220:$D$224,3,FALSE),"Alerta: Seleccione la celda en la comumna B con el nombre del proyecto")))</f>
        <v>CONC1114</v>
      </c>
      <c r="AN392" s="633" t="s">
        <v>1054</v>
      </c>
      <c r="AO392" s="633" t="s">
        <v>392</v>
      </c>
      <c r="AP392" s="634" t="str">
        <f>IFERROR(VLOOKUP(J392,Listas!$A$182:$E$215,5,FALSE),"Alerta: Seleccione la celda en la comumna B con el nombre del proyecto")</f>
        <v>4. Obras de Intervención en Bienes muebles - inmuebles y sectores que conforman el patrimonio cultural del D.C.</v>
      </c>
      <c r="AQ392" s="634" t="str">
        <f>IF(J392="Funcionamiento Gastos Generales","No aplica",IF(J392="Funcionamiento Servicios Personales","No aplica",IFERROR(VLOOKUP(J392,Listas!$A$220:$D$224,4,FALSE),"Alerta: Seleccione la celda en la comumna B con el nombre del proyecto")))</f>
        <v>FONT1114</v>
      </c>
      <c r="AR392" s="633" t="s">
        <v>198</v>
      </c>
      <c r="AS392" s="634" t="str">
        <f>IFERROR(VLOOKUP(AU392,Listas!$E$85:$L$105,7,FALSE),"Alerta: Seleccione la celda en la comumna AI con el concepto de gasto")</f>
        <v>01-INFRAESTRUCTURA</v>
      </c>
      <c r="AT392" s="634" t="str">
        <f>IFERROR(VLOOKUP(AU392,Listas!$E$85:$L$105,8,FALSE),"Alerta: Seleccione la celda en la comumna AI con el concepto de gasto")</f>
        <v>01-CONSTRUCCION, ADECUACION Y AMPLIACION DE INFRAESTRUCTURA PROPIA DEL SECTOR</v>
      </c>
      <c r="AU392" s="633" t="s">
        <v>422</v>
      </c>
      <c r="AV392" s="634">
        <f>IFERROR(VLOOKUP(AU392,Listas!$E$85:$F$105,2,FALSE),"Alerta: Seleccione el Concepto de Gasto primero")</f>
        <v>0</v>
      </c>
      <c r="AW392" s="644">
        <v>21670000</v>
      </c>
      <c r="AX392" s="645"/>
      <c r="AY392" s="645"/>
      <c r="AZ392" s="645"/>
      <c r="BA392" s="646">
        <f t="shared" si="123"/>
        <v>21670000</v>
      </c>
      <c r="BB392" s="647"/>
      <c r="BC392" s="648"/>
      <c r="BD392" s="649"/>
      <c r="BE392" s="647"/>
      <c r="BF392" s="644"/>
      <c r="BG392" s="646">
        <f t="shared" si="124"/>
        <v>21670000</v>
      </c>
      <c r="BH392" s="650"/>
      <c r="BI392" s="647"/>
      <c r="BJ392" s="644"/>
      <c r="BK392" s="646">
        <f t="shared" si="125"/>
        <v>0</v>
      </c>
      <c r="BL392" s="651"/>
      <c r="BM392" s="652">
        <f t="shared" si="126"/>
        <v>1</v>
      </c>
      <c r="BN392" s="628"/>
      <c r="BO392" s="670"/>
      <c r="BP392" s="644"/>
      <c r="BQ392" s="644"/>
      <c r="BR392" s="644"/>
      <c r="BS392" s="644"/>
      <c r="BT392" s="644"/>
      <c r="BU392" s="644"/>
      <c r="BV392" s="644"/>
      <c r="BW392" s="644"/>
      <c r="BX392" s="644"/>
      <c r="BY392" s="644"/>
      <c r="BZ392" s="644"/>
      <c r="CA392" s="644"/>
      <c r="CB392" s="646">
        <f t="shared" si="127"/>
        <v>0</v>
      </c>
      <c r="CC392" s="646">
        <f t="shared" si="128"/>
        <v>0</v>
      </c>
      <c r="CD392" s="614"/>
    </row>
    <row r="393" spans="1:82" s="561" customFormat="1" ht="61.5" customHeight="1">
      <c r="A393" s="625" t="str">
        <f t="shared" si="110"/>
        <v>1114-140-FONT1114-01-01-0525-Programa Fachadas</v>
      </c>
      <c r="B393" s="626" t="str">
        <f t="shared" si="111"/>
        <v>1114-140-FONT1114-01-01-0525</v>
      </c>
      <c r="C393" s="626" t="str">
        <f t="shared" si="112"/>
        <v>1114-140-FONT1114-Programa Fachadas</v>
      </c>
      <c r="D393" s="626" t="str">
        <f t="shared" si="113"/>
        <v>1114-140-12-Otros Distrito-01-01-0525</v>
      </c>
      <c r="E393" s="626" t="str">
        <f t="shared" si="114"/>
        <v>Programa Fachadas-12-Otros Distrito-0525-Recuperación y aprovechamiento de bienes de interés cultural</v>
      </c>
      <c r="F393" s="627">
        <v>341</v>
      </c>
      <c r="G393" s="628">
        <f t="shared" si="115"/>
        <v>341</v>
      </c>
      <c r="H393" s="629" t="b">
        <f t="shared" si="116"/>
        <v>0</v>
      </c>
      <c r="I393" s="630" t="s">
        <v>594</v>
      </c>
      <c r="J393" s="627" t="s">
        <v>180</v>
      </c>
      <c r="K393" s="631" t="str">
        <f>+IFERROR(VLOOKUP(J393,Listas!$A$108:$B$114,2,FALSE),"Alerta: Seleccione la celda en la comumna B con el nombre del proyecto")</f>
        <v>3-3-1-15-02-17-1114-140</v>
      </c>
      <c r="L393" s="632" t="s">
        <v>921</v>
      </c>
      <c r="M393" s="633" t="s">
        <v>922</v>
      </c>
      <c r="N393" s="634" t="str">
        <f t="shared" si="117"/>
        <v>(Cód. 341) Prestar servicios profesionales al Instituto Distrital de Patrimonio Cultural  para apoyar las actividades logísticas y técnicas orientadas a la sensibilización y apropiación de la cultura ciudadana como instrumento de gestión social en el marco del programa de enlucimiento de fachadas "El Patrimonio se Luce".</v>
      </c>
      <c r="O393" s="635">
        <v>43480</v>
      </c>
      <c r="P393" s="636">
        <f>IFERROR(VLOOKUP(W393,'Estimación CRP'!$D$21:$E$30,2,FALSE),0)</f>
        <v>10</v>
      </c>
      <c r="Q393" s="637">
        <f>IF(O393="No aplica","No aplica",WORKDAY.INTL(O393,P393,1,'Estimación CRP'!A579:A595))</f>
        <v>43494</v>
      </c>
      <c r="R393" s="636">
        <f t="shared" si="118"/>
        <v>1</v>
      </c>
      <c r="S393" s="636">
        <f t="shared" si="119"/>
        <v>1</v>
      </c>
      <c r="T393" s="636">
        <f t="shared" si="120"/>
        <v>1</v>
      </c>
      <c r="U393" s="712">
        <v>11</v>
      </c>
      <c r="V393" s="638">
        <v>1</v>
      </c>
      <c r="W393" s="639" t="s">
        <v>274</v>
      </c>
      <c r="X393" s="640" t="str">
        <f>IFERROR(VLOOKUP(W393,Listas!$A$60:$B$73,2,FALSE),"Alerta: Seleccione primero Modalidad de selección")</f>
        <v>CCE-16</v>
      </c>
      <c r="Y393" s="641">
        <v>0</v>
      </c>
      <c r="Z393" s="641" t="s">
        <v>346</v>
      </c>
      <c r="AA393" s="641" t="s">
        <v>1337</v>
      </c>
      <c r="AB393" s="642">
        <f t="shared" si="121"/>
        <v>53020000</v>
      </c>
      <c r="AC393" s="642">
        <f t="shared" si="122"/>
        <v>53020000</v>
      </c>
      <c r="AD393" s="641">
        <v>0</v>
      </c>
      <c r="AE393" s="643">
        <v>0</v>
      </c>
      <c r="AF393" s="639" t="s">
        <v>276</v>
      </c>
      <c r="AG393" s="639" t="s">
        <v>277</v>
      </c>
      <c r="AH393" s="639" t="s">
        <v>573</v>
      </c>
      <c r="AI393" s="626" t="str">
        <f>IFERROR(VLOOKUP(AH393,Listas!$A$77:$C$83,2,FALSE),"Alerta: Seleccione primero el responsable")</f>
        <v>3550800</v>
      </c>
      <c r="AJ393" s="640" t="str">
        <f>IFERROR(VLOOKUP(AH393,Listas!$A$77:$C$83,3,FALSE),"Alerta: Seleccione primero el responsable")</f>
        <v>carolina.fernandez@idpc.gov.co</v>
      </c>
      <c r="AK393" s="640" t="str">
        <f>IF(J393="Funcionamiento Gastos Generales","No aplica",IF(J393="Funcionamiento Servicios Personales indirectos","No aplica",IFERROR(VLOOKUP(J393,Listas!$A$127:$E$139,3,FALSE),"Alerta: Seleccione la celda en la comumna B con el nombre del proyecto")))</f>
        <v>ME20181114</v>
      </c>
      <c r="AL393" s="640" t="str">
        <f>IF(J393="Funcionamiento Gastos Generales","No aplica",IF(J393="Funcionamiento Servicios Personales","No aplica",IFERROR(VLOOKUP(J393,Listas!$A$220:$D$224,2,FALSE),"Alerta: Seleccione la celda en la comumna B con el nombre del proyecto")))</f>
        <v>COMP1114</v>
      </c>
      <c r="AM393" s="640" t="str">
        <f>IF(J393="Funcionamiento Gastos Generales","No aplica",IF(J393="Funcionamiento Servicios Personales","No aplica",IFERROR(VLOOKUP(J393,Listas!$A$220:$D$224,3,FALSE),"Alerta: Seleccione la celda en la comumna B con el nombre del proyecto")))</f>
        <v>CONC1114</v>
      </c>
      <c r="AN393" s="633" t="s">
        <v>1054</v>
      </c>
      <c r="AO393" s="633" t="s">
        <v>392</v>
      </c>
      <c r="AP393" s="634" t="str">
        <f>IFERROR(VLOOKUP(J393,Listas!$A$182:$E$215,5,FALSE),"Alerta: Seleccione la celda en la comumna B con el nombre del proyecto")</f>
        <v>4. Obras de Intervención en Bienes muebles - inmuebles y sectores que conforman el patrimonio cultural del D.C.</v>
      </c>
      <c r="AQ393" s="634" t="str">
        <f>IF(J393="Funcionamiento Gastos Generales","No aplica",IF(J393="Funcionamiento Servicios Personales","No aplica",IFERROR(VLOOKUP(J393,Listas!$A$220:$D$224,4,FALSE),"Alerta: Seleccione la celda en la comumna B con el nombre del proyecto")))</f>
        <v>FONT1114</v>
      </c>
      <c r="AR393" s="633" t="s">
        <v>198</v>
      </c>
      <c r="AS393" s="634" t="str">
        <f>IFERROR(VLOOKUP(AU393,Listas!$E$85:$L$105,7,FALSE),"Alerta: Seleccione la celda en la comumna AI con el concepto de gasto")</f>
        <v>01-INFRAESTRUCTURA</v>
      </c>
      <c r="AT393" s="634" t="str">
        <f>IFERROR(VLOOKUP(AU393,Listas!$E$85:$L$105,8,FALSE),"Alerta: Seleccione la celda en la comumna AI con el concepto de gasto")</f>
        <v>01-CONSTRUCCION, ADECUACION Y AMPLIACION DE INFRAESTRUCTURA PROPIA DEL SECTOR</v>
      </c>
      <c r="AU393" s="633" t="s">
        <v>422</v>
      </c>
      <c r="AV393" s="634">
        <f>IFERROR(VLOOKUP(AU393,Listas!$E$85:$F$105,2,FALSE),"Alerta: Seleccione el Concepto de Gasto primero")</f>
        <v>0</v>
      </c>
      <c r="AW393" s="644">
        <v>53020000</v>
      </c>
      <c r="AX393" s="645"/>
      <c r="AY393" s="645"/>
      <c r="AZ393" s="645"/>
      <c r="BA393" s="646">
        <f t="shared" si="123"/>
        <v>53020000</v>
      </c>
      <c r="BB393" s="647"/>
      <c r="BC393" s="648"/>
      <c r="BD393" s="649"/>
      <c r="BE393" s="647"/>
      <c r="BF393" s="644"/>
      <c r="BG393" s="646">
        <f t="shared" si="124"/>
        <v>53020000</v>
      </c>
      <c r="BH393" s="650"/>
      <c r="BI393" s="647"/>
      <c r="BJ393" s="644"/>
      <c r="BK393" s="646">
        <f t="shared" si="125"/>
        <v>0</v>
      </c>
      <c r="BL393" s="651"/>
      <c r="BM393" s="652">
        <f t="shared" si="126"/>
        <v>1</v>
      </c>
      <c r="BN393" s="628"/>
      <c r="BO393" s="670"/>
      <c r="BP393" s="644"/>
      <c r="BQ393" s="644"/>
      <c r="BR393" s="644"/>
      <c r="BS393" s="644"/>
      <c r="BT393" s="644"/>
      <c r="BU393" s="644"/>
      <c r="BV393" s="644"/>
      <c r="BW393" s="644"/>
      <c r="BX393" s="644"/>
      <c r="BY393" s="644"/>
      <c r="BZ393" s="644"/>
      <c r="CA393" s="644"/>
      <c r="CB393" s="646">
        <f t="shared" si="127"/>
        <v>0</v>
      </c>
      <c r="CC393" s="646">
        <f t="shared" si="128"/>
        <v>0</v>
      </c>
      <c r="CD393" s="614"/>
    </row>
    <row r="394" spans="1:82" s="561" customFormat="1" ht="61.5" customHeight="1">
      <c r="A394" s="625" t="str">
        <f t="shared" si="110"/>
        <v>1114-140-FONT1114-01-01-0525-Programa Fachadas</v>
      </c>
      <c r="B394" s="626" t="str">
        <f t="shared" si="111"/>
        <v>1114-140-FONT1114-01-01-0525</v>
      </c>
      <c r="C394" s="626" t="str">
        <f t="shared" si="112"/>
        <v>1114-140-FONT1114-Programa Fachadas</v>
      </c>
      <c r="D394" s="626" t="str">
        <f t="shared" si="113"/>
        <v>1114-140-12-Otros Distrito-01-01-0525</v>
      </c>
      <c r="E394" s="626" t="str">
        <f t="shared" si="114"/>
        <v>Programa Fachadas-12-Otros Distrito-0525-Recuperación y aprovechamiento de bienes de interés cultural</v>
      </c>
      <c r="F394" s="627">
        <v>342</v>
      </c>
      <c r="G394" s="628">
        <f t="shared" si="115"/>
        <v>342</v>
      </c>
      <c r="H394" s="629" t="b">
        <f t="shared" si="116"/>
        <v>0</v>
      </c>
      <c r="I394" s="630" t="s">
        <v>594</v>
      </c>
      <c r="J394" s="627" t="s">
        <v>180</v>
      </c>
      <c r="K394" s="631" t="str">
        <f>+IFERROR(VLOOKUP(J394,Listas!$A$108:$B$114,2,FALSE),"Alerta: Seleccione la celda en la comumna B con el nombre del proyecto")</f>
        <v>3-3-1-15-02-17-1114-140</v>
      </c>
      <c r="L394" s="632" t="s">
        <v>923</v>
      </c>
      <c r="M394" s="633" t="s">
        <v>924</v>
      </c>
      <c r="N394" s="634" t="str">
        <f t="shared" si="117"/>
        <v>(Cód. 342) Prestar servicios profesionales al Instituto Distrital de Patrimonio Cultural para apoyar el seguimiento en obra de las jornadas de enlucimiento que realice el programa de Fachadas y de las acciones de intervención sobre Bienes de Interés Cultural en espacio público.</v>
      </c>
      <c r="O394" s="635">
        <v>43480</v>
      </c>
      <c r="P394" s="636">
        <f>IFERROR(VLOOKUP(W394,'Estimación CRP'!$D$21:$E$30,2,FALSE),0)</f>
        <v>10</v>
      </c>
      <c r="Q394" s="637">
        <f>IF(O394="No aplica","No aplica",WORKDAY.INTL(O394,P394,1,'Estimación CRP'!A580:A596))</f>
        <v>43494</v>
      </c>
      <c r="R394" s="636">
        <f t="shared" si="118"/>
        <v>1</v>
      </c>
      <c r="S394" s="636">
        <f t="shared" si="119"/>
        <v>1</v>
      </c>
      <c r="T394" s="636">
        <f t="shared" si="120"/>
        <v>1</v>
      </c>
      <c r="U394" s="712">
        <v>11</v>
      </c>
      <c r="V394" s="638">
        <v>1</v>
      </c>
      <c r="W394" s="639" t="s">
        <v>274</v>
      </c>
      <c r="X394" s="640" t="str">
        <f>IFERROR(VLOOKUP(W394,Listas!$A$60:$B$73,2,FALSE),"Alerta: Seleccione primero Modalidad de selección")</f>
        <v>CCE-16</v>
      </c>
      <c r="Y394" s="641">
        <v>0</v>
      </c>
      <c r="Z394" s="641" t="s">
        <v>346</v>
      </c>
      <c r="AA394" s="641" t="s">
        <v>1337</v>
      </c>
      <c r="AB394" s="642">
        <f t="shared" si="121"/>
        <v>59180000</v>
      </c>
      <c r="AC394" s="642">
        <f t="shared" si="122"/>
        <v>59180000</v>
      </c>
      <c r="AD394" s="641">
        <v>0</v>
      </c>
      <c r="AE394" s="643">
        <v>0</v>
      </c>
      <c r="AF394" s="639" t="s">
        <v>276</v>
      </c>
      <c r="AG394" s="639" t="s">
        <v>277</v>
      </c>
      <c r="AH394" s="639" t="s">
        <v>573</v>
      </c>
      <c r="AI394" s="626" t="str">
        <f>IFERROR(VLOOKUP(AH394,Listas!$A$77:$C$83,2,FALSE),"Alerta: Seleccione primero el responsable")</f>
        <v>3550800</v>
      </c>
      <c r="AJ394" s="640" t="str">
        <f>IFERROR(VLOOKUP(AH394,Listas!$A$77:$C$83,3,FALSE),"Alerta: Seleccione primero el responsable")</f>
        <v>carolina.fernandez@idpc.gov.co</v>
      </c>
      <c r="AK394" s="640" t="str">
        <f>IF(J394="Funcionamiento Gastos Generales","No aplica",IF(J394="Funcionamiento Servicios Personales indirectos","No aplica",IFERROR(VLOOKUP(J394,Listas!$A$127:$E$139,3,FALSE),"Alerta: Seleccione la celda en la comumna B con el nombre del proyecto")))</f>
        <v>ME20181114</v>
      </c>
      <c r="AL394" s="640" t="str">
        <f>IF(J394="Funcionamiento Gastos Generales","No aplica",IF(J394="Funcionamiento Servicios Personales","No aplica",IFERROR(VLOOKUP(J394,Listas!$A$220:$D$224,2,FALSE),"Alerta: Seleccione la celda en la comumna B con el nombre del proyecto")))</f>
        <v>COMP1114</v>
      </c>
      <c r="AM394" s="640" t="str">
        <f>IF(J394="Funcionamiento Gastos Generales","No aplica",IF(J394="Funcionamiento Servicios Personales","No aplica",IFERROR(VLOOKUP(J394,Listas!$A$220:$D$224,3,FALSE),"Alerta: Seleccione la celda en la comumna B con el nombre del proyecto")))</f>
        <v>CONC1114</v>
      </c>
      <c r="AN394" s="633" t="s">
        <v>1054</v>
      </c>
      <c r="AO394" s="633" t="s">
        <v>392</v>
      </c>
      <c r="AP394" s="634" t="str">
        <f>IFERROR(VLOOKUP(J394,Listas!$A$182:$E$215,5,FALSE),"Alerta: Seleccione la celda en la comumna B con el nombre del proyecto")</f>
        <v>4. Obras de Intervención en Bienes muebles - inmuebles y sectores que conforman el patrimonio cultural del D.C.</v>
      </c>
      <c r="AQ394" s="634" t="str">
        <f>IF(J394="Funcionamiento Gastos Generales","No aplica",IF(J394="Funcionamiento Servicios Personales","No aplica",IFERROR(VLOOKUP(J394,Listas!$A$220:$D$224,4,FALSE),"Alerta: Seleccione la celda en la comumna B con el nombre del proyecto")))</f>
        <v>FONT1114</v>
      </c>
      <c r="AR394" s="633" t="s">
        <v>198</v>
      </c>
      <c r="AS394" s="634" t="str">
        <f>IFERROR(VLOOKUP(AU394,Listas!$E$85:$L$105,7,FALSE),"Alerta: Seleccione la celda en la comumna AI con el concepto de gasto")</f>
        <v>01-INFRAESTRUCTURA</v>
      </c>
      <c r="AT394" s="634" t="str">
        <f>IFERROR(VLOOKUP(AU394,Listas!$E$85:$L$105,8,FALSE),"Alerta: Seleccione la celda en la comumna AI con el concepto de gasto")</f>
        <v>01-CONSTRUCCION, ADECUACION Y AMPLIACION DE INFRAESTRUCTURA PROPIA DEL SECTOR</v>
      </c>
      <c r="AU394" s="633" t="s">
        <v>422</v>
      </c>
      <c r="AV394" s="634">
        <f>IFERROR(VLOOKUP(AU394,Listas!$E$85:$F$105,2,FALSE),"Alerta: Seleccione el Concepto de Gasto primero")</f>
        <v>0</v>
      </c>
      <c r="AW394" s="644">
        <v>59180000</v>
      </c>
      <c r="AX394" s="645"/>
      <c r="AY394" s="645"/>
      <c r="AZ394" s="645"/>
      <c r="BA394" s="646">
        <f t="shared" si="123"/>
        <v>59180000</v>
      </c>
      <c r="BB394" s="647"/>
      <c r="BC394" s="648"/>
      <c r="BD394" s="649"/>
      <c r="BE394" s="647"/>
      <c r="BF394" s="644"/>
      <c r="BG394" s="646">
        <f t="shared" si="124"/>
        <v>59180000</v>
      </c>
      <c r="BH394" s="650"/>
      <c r="BI394" s="647"/>
      <c r="BJ394" s="644"/>
      <c r="BK394" s="646">
        <f t="shared" si="125"/>
        <v>0</v>
      </c>
      <c r="BL394" s="651"/>
      <c r="BM394" s="652">
        <f t="shared" si="126"/>
        <v>1</v>
      </c>
      <c r="BN394" s="628"/>
      <c r="BO394" s="670"/>
      <c r="BP394" s="644"/>
      <c r="BQ394" s="644"/>
      <c r="BR394" s="644"/>
      <c r="BS394" s="644"/>
      <c r="BT394" s="644"/>
      <c r="BU394" s="644"/>
      <c r="BV394" s="644"/>
      <c r="BW394" s="644"/>
      <c r="BX394" s="644"/>
      <c r="BY394" s="644"/>
      <c r="BZ394" s="644"/>
      <c r="CA394" s="644"/>
      <c r="CB394" s="646">
        <f t="shared" si="127"/>
        <v>0</v>
      </c>
      <c r="CC394" s="646">
        <f t="shared" si="128"/>
        <v>0</v>
      </c>
      <c r="CD394" s="614"/>
    </row>
    <row r="395" spans="1:82" s="561" customFormat="1" ht="61.5" customHeight="1">
      <c r="A395" s="625" t="str">
        <f t="shared" si="110"/>
        <v>1114-140-FONT1114-01-01-0525-Programa Fachadas</v>
      </c>
      <c r="B395" s="626" t="str">
        <f t="shared" si="111"/>
        <v>1114-140-FONT1114-01-01-0525</v>
      </c>
      <c r="C395" s="626" t="str">
        <f t="shared" si="112"/>
        <v>1114-140-FONT1114-Programa Fachadas</v>
      </c>
      <c r="D395" s="626" t="str">
        <f t="shared" si="113"/>
        <v>1114-140-12-Otros Distrito-01-01-0525</v>
      </c>
      <c r="E395" s="626" t="str">
        <f t="shared" si="114"/>
        <v>Programa Fachadas-12-Otros Distrito-0525-Recuperación y aprovechamiento de bienes de interés cultural</v>
      </c>
      <c r="F395" s="627">
        <v>343</v>
      </c>
      <c r="G395" s="628">
        <f t="shared" si="115"/>
        <v>343</v>
      </c>
      <c r="H395" s="629" t="b">
        <f t="shared" si="116"/>
        <v>0</v>
      </c>
      <c r="I395" s="630" t="s">
        <v>594</v>
      </c>
      <c r="J395" s="627" t="s">
        <v>180</v>
      </c>
      <c r="K395" s="631" t="str">
        <f>+IFERROR(VLOOKUP(J395,Listas!$A$108:$B$114,2,FALSE),"Alerta: Seleccione la celda en la comumna B con el nombre del proyecto")</f>
        <v>3-3-1-15-02-17-1114-140</v>
      </c>
      <c r="L395" s="632" t="s">
        <v>914</v>
      </c>
      <c r="M395" s="633" t="s">
        <v>925</v>
      </c>
      <c r="N395" s="634" t="str">
        <f t="shared" si="117"/>
        <v>(Cód. 343) Prestar servicios profesionales al Instituto Distrital de Patrimonio Cultural para apoyar el seguimiento técnico y administrativo en sitio de las intervenciones adelantadas por el Programa de Enlucimiento de Fachadas.</v>
      </c>
      <c r="O395" s="635">
        <v>43480</v>
      </c>
      <c r="P395" s="636">
        <f>IFERROR(VLOOKUP(W395,'Estimación CRP'!$D$21:$E$30,2,FALSE),0)</f>
        <v>10</v>
      </c>
      <c r="Q395" s="637">
        <f>IF(O395="No aplica","No aplica",WORKDAY.INTL(O395,P395,1,'Estimación CRP'!A581:A597))</f>
        <v>43494</v>
      </c>
      <c r="R395" s="636">
        <f t="shared" si="118"/>
        <v>1</v>
      </c>
      <c r="S395" s="636">
        <f t="shared" si="119"/>
        <v>1</v>
      </c>
      <c r="T395" s="636">
        <f t="shared" si="120"/>
        <v>1</v>
      </c>
      <c r="U395" s="712">
        <v>11</v>
      </c>
      <c r="V395" s="638">
        <v>1</v>
      </c>
      <c r="W395" s="639" t="s">
        <v>274</v>
      </c>
      <c r="X395" s="640" t="str">
        <f>IFERROR(VLOOKUP(W395,Listas!$A$60:$B$73,2,FALSE),"Alerta: Seleccione primero Modalidad de selección")</f>
        <v>CCE-16</v>
      </c>
      <c r="Y395" s="641">
        <v>0</v>
      </c>
      <c r="Z395" s="641" t="s">
        <v>346</v>
      </c>
      <c r="AA395" s="641" t="s">
        <v>1337</v>
      </c>
      <c r="AB395" s="642">
        <f t="shared" si="121"/>
        <v>52800000</v>
      </c>
      <c r="AC395" s="642">
        <f t="shared" si="122"/>
        <v>52800000</v>
      </c>
      <c r="AD395" s="641">
        <v>0</v>
      </c>
      <c r="AE395" s="643">
        <v>0</v>
      </c>
      <c r="AF395" s="639" t="s">
        <v>276</v>
      </c>
      <c r="AG395" s="639" t="s">
        <v>277</v>
      </c>
      <c r="AH395" s="639" t="s">
        <v>573</v>
      </c>
      <c r="AI395" s="626" t="str">
        <f>IFERROR(VLOOKUP(AH395,Listas!$A$77:$C$83,2,FALSE),"Alerta: Seleccione primero el responsable")</f>
        <v>3550800</v>
      </c>
      <c r="AJ395" s="640" t="str">
        <f>IFERROR(VLOOKUP(AH395,Listas!$A$77:$C$83,3,FALSE),"Alerta: Seleccione primero el responsable")</f>
        <v>carolina.fernandez@idpc.gov.co</v>
      </c>
      <c r="AK395" s="640" t="str">
        <f>IF(J395="Funcionamiento Gastos Generales","No aplica",IF(J395="Funcionamiento Servicios Personales indirectos","No aplica",IFERROR(VLOOKUP(J395,Listas!$A$127:$E$139,3,FALSE),"Alerta: Seleccione la celda en la comumna B con el nombre del proyecto")))</f>
        <v>ME20181114</v>
      </c>
      <c r="AL395" s="640" t="str">
        <f>IF(J395="Funcionamiento Gastos Generales","No aplica",IF(J395="Funcionamiento Servicios Personales","No aplica",IFERROR(VLOOKUP(J395,Listas!$A$220:$D$224,2,FALSE),"Alerta: Seleccione la celda en la comumna B con el nombre del proyecto")))</f>
        <v>COMP1114</v>
      </c>
      <c r="AM395" s="640" t="str">
        <f>IF(J395="Funcionamiento Gastos Generales","No aplica",IF(J395="Funcionamiento Servicios Personales","No aplica",IFERROR(VLOOKUP(J395,Listas!$A$220:$D$224,3,FALSE),"Alerta: Seleccione la celda en la comumna B con el nombre del proyecto")))</f>
        <v>CONC1114</v>
      </c>
      <c r="AN395" s="633" t="s">
        <v>1054</v>
      </c>
      <c r="AO395" s="633" t="s">
        <v>392</v>
      </c>
      <c r="AP395" s="634" t="str">
        <f>IFERROR(VLOOKUP(J395,Listas!$A$182:$E$215,5,FALSE),"Alerta: Seleccione la celda en la comumna B con el nombre del proyecto")</f>
        <v>4. Obras de Intervención en Bienes muebles - inmuebles y sectores que conforman el patrimonio cultural del D.C.</v>
      </c>
      <c r="AQ395" s="634" t="str">
        <f>IF(J395="Funcionamiento Gastos Generales","No aplica",IF(J395="Funcionamiento Servicios Personales","No aplica",IFERROR(VLOOKUP(J395,Listas!$A$220:$D$224,4,FALSE),"Alerta: Seleccione la celda en la comumna B con el nombre del proyecto")))</f>
        <v>FONT1114</v>
      </c>
      <c r="AR395" s="633" t="s">
        <v>198</v>
      </c>
      <c r="AS395" s="634" t="str">
        <f>IFERROR(VLOOKUP(AU395,Listas!$E$85:$L$105,7,FALSE),"Alerta: Seleccione la celda en la comumna AI con el concepto de gasto")</f>
        <v>01-INFRAESTRUCTURA</v>
      </c>
      <c r="AT395" s="634" t="str">
        <f>IFERROR(VLOOKUP(AU395,Listas!$E$85:$L$105,8,FALSE),"Alerta: Seleccione la celda en la comumna AI con el concepto de gasto")</f>
        <v>01-CONSTRUCCION, ADECUACION Y AMPLIACION DE INFRAESTRUCTURA PROPIA DEL SECTOR</v>
      </c>
      <c r="AU395" s="633" t="s">
        <v>422</v>
      </c>
      <c r="AV395" s="634">
        <f>IFERROR(VLOOKUP(AU395,Listas!$E$85:$F$105,2,FALSE),"Alerta: Seleccione el Concepto de Gasto primero")</f>
        <v>0</v>
      </c>
      <c r="AW395" s="644">
        <v>52800000</v>
      </c>
      <c r="AX395" s="645"/>
      <c r="AY395" s="645"/>
      <c r="AZ395" s="645"/>
      <c r="BA395" s="646">
        <f t="shared" si="123"/>
        <v>52800000</v>
      </c>
      <c r="BB395" s="647"/>
      <c r="BC395" s="648"/>
      <c r="BD395" s="649"/>
      <c r="BE395" s="647"/>
      <c r="BF395" s="644"/>
      <c r="BG395" s="646">
        <f t="shared" si="124"/>
        <v>52800000</v>
      </c>
      <c r="BH395" s="650"/>
      <c r="BI395" s="647"/>
      <c r="BJ395" s="644"/>
      <c r="BK395" s="646">
        <f t="shared" si="125"/>
        <v>0</v>
      </c>
      <c r="BL395" s="651"/>
      <c r="BM395" s="652">
        <f t="shared" si="126"/>
        <v>1</v>
      </c>
      <c r="BN395" s="628"/>
      <c r="BO395" s="670"/>
      <c r="BP395" s="644"/>
      <c r="BQ395" s="644"/>
      <c r="BR395" s="644"/>
      <c r="BS395" s="644"/>
      <c r="BT395" s="644"/>
      <c r="BU395" s="644"/>
      <c r="BV395" s="644"/>
      <c r="BW395" s="644"/>
      <c r="BX395" s="644"/>
      <c r="BY395" s="644"/>
      <c r="BZ395" s="644"/>
      <c r="CA395" s="644"/>
      <c r="CB395" s="646">
        <f t="shared" si="127"/>
        <v>0</v>
      </c>
      <c r="CC395" s="646">
        <f t="shared" si="128"/>
        <v>0</v>
      </c>
      <c r="CD395" s="614"/>
    </row>
    <row r="396" spans="1:82" s="561" customFormat="1" ht="61.5" customHeight="1">
      <c r="A396" s="625" t="str">
        <f t="shared" si="110"/>
        <v>1114-140-FONT1114-01-01-0525-Programa Fachadas</v>
      </c>
      <c r="B396" s="626" t="str">
        <f t="shared" si="111"/>
        <v>1114-140-FONT1114-01-01-0525</v>
      </c>
      <c r="C396" s="626" t="str">
        <f t="shared" si="112"/>
        <v>1114-140-FONT1114-Programa Fachadas</v>
      </c>
      <c r="D396" s="626" t="str">
        <f t="shared" si="113"/>
        <v>1114-140-12-Otros Distrito-01-01-0525</v>
      </c>
      <c r="E396" s="626" t="str">
        <f t="shared" si="114"/>
        <v>Programa Fachadas-12-Otros Distrito-0525-Recuperación y aprovechamiento de bienes de interés cultural</v>
      </c>
      <c r="F396" s="627">
        <v>344</v>
      </c>
      <c r="G396" s="628">
        <f t="shared" si="115"/>
        <v>344</v>
      </c>
      <c r="H396" s="629" t="b">
        <f t="shared" si="116"/>
        <v>0</v>
      </c>
      <c r="I396" s="630" t="s">
        <v>594</v>
      </c>
      <c r="J396" s="627" t="s">
        <v>180</v>
      </c>
      <c r="K396" s="631" t="str">
        <f>+IFERROR(VLOOKUP(J396,Listas!$A$108:$B$114,2,FALSE),"Alerta: Seleccione la celda en la comumna B con el nombre del proyecto")</f>
        <v>3-3-1-15-02-17-1114-140</v>
      </c>
      <c r="L396" s="632" t="s">
        <v>926</v>
      </c>
      <c r="M396" s="633" t="s">
        <v>927</v>
      </c>
      <c r="N396" s="634" t="str">
        <f t="shared" si="117"/>
        <v>(Cód. 344) Prestar servicios profesionales al Instituto Distrital de Patrimonio Cultural para apoyar la gestión y seguimiento administrativo de las acciones de intevención en espacio público y fachadas que se adelantan en el marco del Programa Enlucimiento de Fachadas.</v>
      </c>
      <c r="O396" s="635">
        <v>43480</v>
      </c>
      <c r="P396" s="636">
        <f>IFERROR(VLOOKUP(W396,'Estimación CRP'!$D$21:$E$30,2,FALSE),0)</f>
        <v>10</v>
      </c>
      <c r="Q396" s="637">
        <f>IF(O396="No aplica","No aplica",WORKDAY.INTL(O396,P396,1,'Estimación CRP'!A582:A598))</f>
        <v>43494</v>
      </c>
      <c r="R396" s="636">
        <f t="shared" si="118"/>
        <v>1</v>
      </c>
      <c r="S396" s="636">
        <f t="shared" si="119"/>
        <v>1</v>
      </c>
      <c r="T396" s="636">
        <f t="shared" si="120"/>
        <v>1</v>
      </c>
      <c r="U396" s="712">
        <v>11</v>
      </c>
      <c r="V396" s="638">
        <v>1</v>
      </c>
      <c r="W396" s="639" t="s">
        <v>274</v>
      </c>
      <c r="X396" s="640" t="str">
        <f>IFERROR(VLOOKUP(W396,Listas!$A$60:$B$73,2,FALSE),"Alerta: Seleccione primero Modalidad de selección")</f>
        <v>CCE-16</v>
      </c>
      <c r="Y396" s="641">
        <v>0</v>
      </c>
      <c r="Z396" s="641" t="s">
        <v>346</v>
      </c>
      <c r="AA396" s="641" t="s">
        <v>1337</v>
      </c>
      <c r="AB396" s="642">
        <f t="shared" si="121"/>
        <v>49830000</v>
      </c>
      <c r="AC396" s="642">
        <f t="shared" si="122"/>
        <v>49830000</v>
      </c>
      <c r="AD396" s="641">
        <v>0</v>
      </c>
      <c r="AE396" s="643">
        <v>0</v>
      </c>
      <c r="AF396" s="639" t="s">
        <v>276</v>
      </c>
      <c r="AG396" s="639" t="s">
        <v>277</v>
      </c>
      <c r="AH396" s="639" t="s">
        <v>573</v>
      </c>
      <c r="AI396" s="626" t="str">
        <f>IFERROR(VLOOKUP(AH396,Listas!$A$77:$C$83,2,FALSE),"Alerta: Seleccione primero el responsable")</f>
        <v>3550800</v>
      </c>
      <c r="AJ396" s="640" t="str">
        <f>IFERROR(VLOOKUP(AH396,Listas!$A$77:$C$83,3,FALSE),"Alerta: Seleccione primero el responsable")</f>
        <v>carolina.fernandez@idpc.gov.co</v>
      </c>
      <c r="AK396" s="640" t="str">
        <f>IF(J396="Funcionamiento Gastos Generales","No aplica",IF(J396="Funcionamiento Servicios Personales indirectos","No aplica",IFERROR(VLOOKUP(J396,Listas!$A$127:$E$139,3,FALSE),"Alerta: Seleccione la celda en la comumna B con el nombre del proyecto")))</f>
        <v>ME20181114</v>
      </c>
      <c r="AL396" s="640" t="str">
        <f>IF(J396="Funcionamiento Gastos Generales","No aplica",IF(J396="Funcionamiento Servicios Personales","No aplica",IFERROR(VLOOKUP(J396,Listas!$A$220:$D$224,2,FALSE),"Alerta: Seleccione la celda en la comumna B con el nombre del proyecto")))</f>
        <v>COMP1114</v>
      </c>
      <c r="AM396" s="640" t="str">
        <f>IF(J396="Funcionamiento Gastos Generales","No aplica",IF(J396="Funcionamiento Servicios Personales","No aplica",IFERROR(VLOOKUP(J396,Listas!$A$220:$D$224,3,FALSE),"Alerta: Seleccione la celda en la comumna B con el nombre del proyecto")))</f>
        <v>CONC1114</v>
      </c>
      <c r="AN396" s="633" t="s">
        <v>1054</v>
      </c>
      <c r="AO396" s="633" t="s">
        <v>392</v>
      </c>
      <c r="AP396" s="634" t="str">
        <f>IFERROR(VLOOKUP(J396,Listas!$A$182:$E$215,5,FALSE),"Alerta: Seleccione la celda en la comumna B con el nombre del proyecto")</f>
        <v>4. Obras de Intervención en Bienes muebles - inmuebles y sectores que conforman el patrimonio cultural del D.C.</v>
      </c>
      <c r="AQ396" s="634" t="str">
        <f>IF(J396="Funcionamiento Gastos Generales","No aplica",IF(J396="Funcionamiento Servicios Personales","No aplica",IFERROR(VLOOKUP(J396,Listas!$A$220:$D$224,4,FALSE),"Alerta: Seleccione la celda en la comumna B con el nombre del proyecto")))</f>
        <v>FONT1114</v>
      </c>
      <c r="AR396" s="633" t="s">
        <v>198</v>
      </c>
      <c r="AS396" s="634" t="str">
        <f>IFERROR(VLOOKUP(AU396,Listas!$E$85:$L$105,7,FALSE),"Alerta: Seleccione la celda en la comumna AI con el concepto de gasto")</f>
        <v>01-INFRAESTRUCTURA</v>
      </c>
      <c r="AT396" s="634" t="str">
        <f>IFERROR(VLOOKUP(AU396,Listas!$E$85:$L$105,8,FALSE),"Alerta: Seleccione la celda en la comumna AI con el concepto de gasto")</f>
        <v>01-CONSTRUCCION, ADECUACION Y AMPLIACION DE INFRAESTRUCTURA PROPIA DEL SECTOR</v>
      </c>
      <c r="AU396" s="633" t="s">
        <v>422</v>
      </c>
      <c r="AV396" s="634">
        <f>IFERROR(VLOOKUP(AU396,Listas!$E$85:$F$105,2,FALSE),"Alerta: Seleccione el Concepto de Gasto primero")</f>
        <v>0</v>
      </c>
      <c r="AW396" s="644">
        <v>49830000</v>
      </c>
      <c r="AX396" s="645"/>
      <c r="AY396" s="645"/>
      <c r="AZ396" s="645"/>
      <c r="BA396" s="646">
        <f t="shared" si="123"/>
        <v>49830000</v>
      </c>
      <c r="BB396" s="647"/>
      <c r="BC396" s="648"/>
      <c r="BD396" s="649"/>
      <c r="BE396" s="647"/>
      <c r="BF396" s="644"/>
      <c r="BG396" s="646">
        <f t="shared" si="124"/>
        <v>49830000</v>
      </c>
      <c r="BH396" s="650"/>
      <c r="BI396" s="647"/>
      <c r="BJ396" s="644"/>
      <c r="BK396" s="646">
        <f t="shared" si="125"/>
        <v>0</v>
      </c>
      <c r="BL396" s="651"/>
      <c r="BM396" s="652">
        <f t="shared" si="126"/>
        <v>1</v>
      </c>
      <c r="BN396" s="628"/>
      <c r="BO396" s="670"/>
      <c r="BP396" s="644"/>
      <c r="BQ396" s="644"/>
      <c r="BR396" s="644"/>
      <c r="BS396" s="644"/>
      <c r="BT396" s="644"/>
      <c r="BU396" s="644"/>
      <c r="BV396" s="644"/>
      <c r="BW396" s="644"/>
      <c r="BX396" s="644"/>
      <c r="BY396" s="644"/>
      <c r="BZ396" s="644"/>
      <c r="CA396" s="644"/>
      <c r="CB396" s="646">
        <f t="shared" si="127"/>
        <v>0</v>
      </c>
      <c r="CC396" s="646">
        <f t="shared" si="128"/>
        <v>0</v>
      </c>
      <c r="CD396" s="614"/>
    </row>
    <row r="397" spans="1:82" s="561" customFormat="1" ht="61.5" customHeight="1">
      <c r="A397" s="625" t="str">
        <f t="shared" si="110"/>
        <v>1114-140-FONT1114-01-01-0525-Programa Fachadas</v>
      </c>
      <c r="B397" s="626" t="str">
        <f t="shared" si="111"/>
        <v>1114-140-FONT1114-01-01-0525</v>
      </c>
      <c r="C397" s="626" t="str">
        <f t="shared" si="112"/>
        <v>1114-140-FONT1114-Programa Fachadas</v>
      </c>
      <c r="D397" s="626" t="str">
        <f t="shared" si="113"/>
        <v>1114-140-12-Otros Distrito-01-01-0525</v>
      </c>
      <c r="E397" s="626" t="str">
        <f t="shared" si="114"/>
        <v>Programa Fachadas-12-Otros Distrito-0525-Recuperación y aprovechamiento de bienes de interés cultural</v>
      </c>
      <c r="F397" s="627">
        <v>345</v>
      </c>
      <c r="G397" s="628">
        <f t="shared" si="115"/>
        <v>345</v>
      </c>
      <c r="H397" s="629" t="b">
        <f t="shared" si="116"/>
        <v>0</v>
      </c>
      <c r="I397" s="630" t="s">
        <v>594</v>
      </c>
      <c r="J397" s="627" t="s">
        <v>180</v>
      </c>
      <c r="K397" s="631" t="str">
        <f>+IFERROR(VLOOKUP(J397,Listas!$A$108:$B$114,2,FALSE),"Alerta: Seleccione la celda en la comumna B con el nombre del proyecto")</f>
        <v>3-3-1-15-02-17-1114-140</v>
      </c>
      <c r="L397" s="632" t="s">
        <v>923</v>
      </c>
      <c r="M397" s="633" t="s">
        <v>928</v>
      </c>
      <c r="N397" s="634" t="str">
        <f t="shared" si="117"/>
        <v>(Cód. 345) Prestar servicios profesionales al Instituto Distrital de Patrimonio Cultural para apoyar las acciones de intervención sobre fachadas y espacio público.</v>
      </c>
      <c r="O397" s="635">
        <v>43480</v>
      </c>
      <c r="P397" s="636">
        <f>IFERROR(VLOOKUP(W397,'Estimación CRP'!$D$21:$E$30,2,FALSE),0)</f>
        <v>10</v>
      </c>
      <c r="Q397" s="637">
        <f>IF(O397="No aplica","No aplica",WORKDAY.INTL(O397,P397,1,'Estimación CRP'!A583:A599))</f>
        <v>43494</v>
      </c>
      <c r="R397" s="636">
        <f t="shared" si="118"/>
        <v>1</v>
      </c>
      <c r="S397" s="636">
        <f t="shared" si="119"/>
        <v>1</v>
      </c>
      <c r="T397" s="636">
        <f t="shared" si="120"/>
        <v>1</v>
      </c>
      <c r="U397" s="712">
        <v>11</v>
      </c>
      <c r="V397" s="638">
        <v>1</v>
      </c>
      <c r="W397" s="639" t="s">
        <v>274</v>
      </c>
      <c r="X397" s="640" t="str">
        <f>IFERROR(VLOOKUP(W397,Listas!$A$60:$B$73,2,FALSE),"Alerta: Seleccione primero Modalidad de selección")</f>
        <v>CCE-16</v>
      </c>
      <c r="Y397" s="641">
        <v>0</v>
      </c>
      <c r="Z397" s="641" t="s">
        <v>346</v>
      </c>
      <c r="AA397" s="641" t="s">
        <v>1337</v>
      </c>
      <c r="AB397" s="642">
        <f t="shared" si="121"/>
        <v>49830000</v>
      </c>
      <c r="AC397" s="642">
        <f t="shared" si="122"/>
        <v>49830000</v>
      </c>
      <c r="AD397" s="641">
        <v>0</v>
      </c>
      <c r="AE397" s="643">
        <v>0</v>
      </c>
      <c r="AF397" s="639" t="s">
        <v>276</v>
      </c>
      <c r="AG397" s="639" t="s">
        <v>277</v>
      </c>
      <c r="AH397" s="639" t="s">
        <v>573</v>
      </c>
      <c r="AI397" s="626" t="str">
        <f>IFERROR(VLOOKUP(AH397,Listas!$A$77:$C$83,2,FALSE),"Alerta: Seleccione primero el responsable")</f>
        <v>3550800</v>
      </c>
      <c r="AJ397" s="640" t="str">
        <f>IFERROR(VLOOKUP(AH397,Listas!$A$77:$C$83,3,FALSE),"Alerta: Seleccione primero el responsable")</f>
        <v>carolina.fernandez@idpc.gov.co</v>
      </c>
      <c r="AK397" s="640" t="str">
        <f>IF(J397="Funcionamiento Gastos Generales","No aplica",IF(J397="Funcionamiento Servicios Personales indirectos","No aplica",IFERROR(VLOOKUP(J397,Listas!$A$127:$E$139,3,FALSE),"Alerta: Seleccione la celda en la comumna B con el nombre del proyecto")))</f>
        <v>ME20181114</v>
      </c>
      <c r="AL397" s="640" t="str">
        <f>IF(J397="Funcionamiento Gastos Generales","No aplica",IF(J397="Funcionamiento Servicios Personales","No aplica",IFERROR(VLOOKUP(J397,Listas!$A$220:$D$224,2,FALSE),"Alerta: Seleccione la celda en la comumna B con el nombre del proyecto")))</f>
        <v>COMP1114</v>
      </c>
      <c r="AM397" s="640" t="str">
        <f>IF(J397="Funcionamiento Gastos Generales","No aplica",IF(J397="Funcionamiento Servicios Personales","No aplica",IFERROR(VLOOKUP(J397,Listas!$A$220:$D$224,3,FALSE),"Alerta: Seleccione la celda en la comumna B con el nombre del proyecto")))</f>
        <v>CONC1114</v>
      </c>
      <c r="AN397" s="633" t="s">
        <v>1054</v>
      </c>
      <c r="AO397" s="633" t="s">
        <v>392</v>
      </c>
      <c r="AP397" s="634" t="str">
        <f>IFERROR(VLOOKUP(J397,Listas!$A$182:$E$215,5,FALSE),"Alerta: Seleccione la celda en la comumna B con el nombre del proyecto")</f>
        <v>4. Obras de Intervención en Bienes muebles - inmuebles y sectores que conforman el patrimonio cultural del D.C.</v>
      </c>
      <c r="AQ397" s="634" t="str">
        <f>IF(J397="Funcionamiento Gastos Generales","No aplica",IF(J397="Funcionamiento Servicios Personales","No aplica",IFERROR(VLOOKUP(J397,Listas!$A$220:$D$224,4,FALSE),"Alerta: Seleccione la celda en la comumna B con el nombre del proyecto")))</f>
        <v>FONT1114</v>
      </c>
      <c r="AR397" s="633" t="s">
        <v>198</v>
      </c>
      <c r="AS397" s="634" t="str">
        <f>IFERROR(VLOOKUP(AU397,Listas!$E$85:$L$105,7,FALSE),"Alerta: Seleccione la celda en la comumna AI con el concepto de gasto")</f>
        <v>01-INFRAESTRUCTURA</v>
      </c>
      <c r="AT397" s="634" t="str">
        <f>IFERROR(VLOOKUP(AU397,Listas!$E$85:$L$105,8,FALSE),"Alerta: Seleccione la celda en la comumna AI con el concepto de gasto")</f>
        <v>01-CONSTRUCCION, ADECUACION Y AMPLIACION DE INFRAESTRUCTURA PROPIA DEL SECTOR</v>
      </c>
      <c r="AU397" s="633" t="s">
        <v>422</v>
      </c>
      <c r="AV397" s="634">
        <f>IFERROR(VLOOKUP(AU397,Listas!$E$85:$F$105,2,FALSE),"Alerta: Seleccione el Concepto de Gasto primero")</f>
        <v>0</v>
      </c>
      <c r="AW397" s="644">
        <v>49830000</v>
      </c>
      <c r="AX397" s="645"/>
      <c r="AY397" s="645"/>
      <c r="AZ397" s="645"/>
      <c r="BA397" s="646">
        <f t="shared" si="123"/>
        <v>49830000</v>
      </c>
      <c r="BB397" s="647"/>
      <c r="BC397" s="648"/>
      <c r="BD397" s="649"/>
      <c r="BE397" s="647"/>
      <c r="BF397" s="644"/>
      <c r="BG397" s="646">
        <f t="shared" si="124"/>
        <v>49830000</v>
      </c>
      <c r="BH397" s="650"/>
      <c r="BI397" s="647"/>
      <c r="BJ397" s="644"/>
      <c r="BK397" s="646">
        <f t="shared" si="125"/>
        <v>0</v>
      </c>
      <c r="BL397" s="651"/>
      <c r="BM397" s="652">
        <f t="shared" si="126"/>
        <v>1</v>
      </c>
      <c r="BN397" s="628"/>
      <c r="BO397" s="670"/>
      <c r="BP397" s="644"/>
      <c r="BQ397" s="644"/>
      <c r="BR397" s="644"/>
      <c r="BS397" s="644"/>
      <c r="BT397" s="644"/>
      <c r="BU397" s="644"/>
      <c r="BV397" s="644"/>
      <c r="BW397" s="644"/>
      <c r="BX397" s="644"/>
      <c r="BY397" s="644"/>
      <c r="BZ397" s="644"/>
      <c r="CA397" s="644"/>
      <c r="CB397" s="646">
        <f t="shared" si="127"/>
        <v>0</v>
      </c>
      <c r="CC397" s="646">
        <f t="shared" si="128"/>
        <v>0</v>
      </c>
      <c r="CD397" s="614"/>
    </row>
    <row r="398" spans="1:82" s="653" customFormat="1" ht="61.5" customHeight="1">
      <c r="A398" s="625" t="str">
        <f t="shared" si="110"/>
        <v>1114-140-FONT1114-01-01-0525-Programa Fachadas</v>
      </c>
      <c r="B398" s="626" t="str">
        <f t="shared" si="111"/>
        <v>1114-140-FONT1114-01-01-0525</v>
      </c>
      <c r="C398" s="626" t="str">
        <f t="shared" si="112"/>
        <v>1114-140-FONT1114-Programa Fachadas</v>
      </c>
      <c r="D398" s="626" t="str">
        <f t="shared" si="113"/>
        <v>1114-140-12-Otros Distrito-01-01-0525</v>
      </c>
      <c r="E398" s="626" t="str">
        <f t="shared" si="114"/>
        <v>Programa Fachadas-12-Otros Distrito-0525-Recuperación y aprovechamiento de bienes de interés cultural</v>
      </c>
      <c r="F398" s="627">
        <v>346</v>
      </c>
      <c r="G398" s="628">
        <f t="shared" si="115"/>
        <v>346</v>
      </c>
      <c r="H398" s="629" t="b">
        <f t="shared" si="116"/>
        <v>0</v>
      </c>
      <c r="I398" s="630" t="s">
        <v>594</v>
      </c>
      <c r="J398" s="627" t="s">
        <v>180</v>
      </c>
      <c r="K398" s="631" t="str">
        <f>+IFERROR(VLOOKUP(J398,Listas!$A$108:$B$114,2,FALSE),"Alerta: Seleccione la celda en la comumna B con el nombre del proyecto")</f>
        <v>3-3-1-15-02-17-1114-140</v>
      </c>
      <c r="L398" s="632" t="s">
        <v>923</v>
      </c>
      <c r="M398" s="633" t="s">
        <v>929</v>
      </c>
      <c r="N398" s="634" t="str">
        <f t="shared" si="117"/>
        <v>(Cód. 346) Prestar servicios profesionales al Instituto Distrital de Patrimonio Cultural para orientar y verificar la implementación de las acciones de intervención y protección del Programa El Patrimonio se Luce.</v>
      </c>
      <c r="O398" s="635">
        <v>43480</v>
      </c>
      <c r="P398" s="636">
        <f>IFERROR(VLOOKUP(W398,'Estimación CRP'!$D$21:$E$30,2,FALSE),0)</f>
        <v>10</v>
      </c>
      <c r="Q398" s="637">
        <f>IF(O398="No aplica","No aplica",WORKDAY.INTL(O398,P398,1,'Estimación CRP'!A584:A600))</f>
        <v>43494</v>
      </c>
      <c r="R398" s="636">
        <f t="shared" si="118"/>
        <v>1</v>
      </c>
      <c r="S398" s="636">
        <f t="shared" si="119"/>
        <v>1</v>
      </c>
      <c r="T398" s="636">
        <f t="shared" si="120"/>
        <v>1</v>
      </c>
      <c r="U398" s="712">
        <v>11</v>
      </c>
      <c r="V398" s="638">
        <v>1</v>
      </c>
      <c r="W398" s="639" t="s">
        <v>274</v>
      </c>
      <c r="X398" s="640" t="str">
        <f>IFERROR(VLOOKUP(W398,Listas!$A$60:$B$73,2,FALSE),"Alerta: Seleccione primero Modalidad de selección")</f>
        <v>CCE-16</v>
      </c>
      <c r="Y398" s="641">
        <v>0</v>
      </c>
      <c r="Z398" s="641" t="s">
        <v>346</v>
      </c>
      <c r="AA398" s="641" t="s">
        <v>1337</v>
      </c>
      <c r="AB398" s="642">
        <f t="shared" si="121"/>
        <v>72600000</v>
      </c>
      <c r="AC398" s="642">
        <f t="shared" si="122"/>
        <v>72600000</v>
      </c>
      <c r="AD398" s="641">
        <v>0</v>
      </c>
      <c r="AE398" s="643">
        <v>0</v>
      </c>
      <c r="AF398" s="639" t="s">
        <v>276</v>
      </c>
      <c r="AG398" s="639" t="s">
        <v>277</v>
      </c>
      <c r="AH398" s="639" t="s">
        <v>573</v>
      </c>
      <c r="AI398" s="626" t="str">
        <f>IFERROR(VLOOKUP(AH398,Listas!$A$77:$C$83,2,FALSE),"Alerta: Seleccione primero el responsable")</f>
        <v>3550800</v>
      </c>
      <c r="AJ398" s="640" t="str">
        <f>IFERROR(VLOOKUP(AH398,Listas!$A$77:$C$83,3,FALSE),"Alerta: Seleccione primero el responsable")</f>
        <v>carolina.fernandez@idpc.gov.co</v>
      </c>
      <c r="AK398" s="640" t="str">
        <f>IF(J398="Funcionamiento Gastos Generales","No aplica",IF(J398="Funcionamiento Servicios Personales indirectos","No aplica",IFERROR(VLOOKUP(J398,Listas!$A$127:$E$139,3,FALSE),"Alerta: Seleccione la celda en la comumna B con el nombre del proyecto")))</f>
        <v>ME20181114</v>
      </c>
      <c r="AL398" s="640" t="str">
        <f>IF(J398="Funcionamiento Gastos Generales","No aplica",IF(J398="Funcionamiento Servicios Personales","No aplica",IFERROR(VLOOKUP(J398,Listas!$A$220:$D$224,2,FALSE),"Alerta: Seleccione la celda en la comumna B con el nombre del proyecto")))</f>
        <v>COMP1114</v>
      </c>
      <c r="AM398" s="640" t="str">
        <f>IF(J398="Funcionamiento Gastos Generales","No aplica",IF(J398="Funcionamiento Servicios Personales","No aplica",IFERROR(VLOOKUP(J398,Listas!$A$220:$D$224,3,FALSE),"Alerta: Seleccione la celda en la comumna B con el nombre del proyecto")))</f>
        <v>CONC1114</v>
      </c>
      <c r="AN398" s="633" t="s">
        <v>1054</v>
      </c>
      <c r="AO398" s="633" t="s">
        <v>392</v>
      </c>
      <c r="AP398" s="634" t="str">
        <f>IFERROR(VLOOKUP(J398,Listas!$A$182:$E$215,5,FALSE),"Alerta: Seleccione la celda en la comumna B con el nombre del proyecto")</f>
        <v>4. Obras de Intervención en Bienes muebles - inmuebles y sectores que conforman el patrimonio cultural del D.C.</v>
      </c>
      <c r="AQ398" s="634" t="str">
        <f>IF(J398="Funcionamiento Gastos Generales","No aplica",IF(J398="Funcionamiento Servicios Personales","No aplica",IFERROR(VLOOKUP(J398,Listas!$A$220:$D$224,4,FALSE),"Alerta: Seleccione la celda en la comumna B con el nombre del proyecto")))</f>
        <v>FONT1114</v>
      </c>
      <c r="AR398" s="633" t="s">
        <v>198</v>
      </c>
      <c r="AS398" s="634" t="str">
        <f>IFERROR(VLOOKUP(AU398,Listas!$E$85:$L$105,7,FALSE),"Alerta: Seleccione la celda en la comumna AI con el concepto de gasto")</f>
        <v>01-INFRAESTRUCTURA</v>
      </c>
      <c r="AT398" s="634" t="str">
        <f>IFERROR(VLOOKUP(AU398,Listas!$E$85:$L$105,8,FALSE),"Alerta: Seleccione la celda en la comumna AI con el concepto de gasto")</f>
        <v>01-CONSTRUCCION, ADECUACION Y AMPLIACION DE INFRAESTRUCTURA PROPIA DEL SECTOR</v>
      </c>
      <c r="AU398" s="633" t="s">
        <v>422</v>
      </c>
      <c r="AV398" s="634">
        <f>IFERROR(VLOOKUP(AU398,Listas!$E$85:$F$105,2,FALSE),"Alerta: Seleccione el Concepto de Gasto primero")</f>
        <v>0</v>
      </c>
      <c r="AW398" s="644">
        <v>72600000</v>
      </c>
      <c r="AX398" s="645"/>
      <c r="AY398" s="645"/>
      <c r="AZ398" s="645"/>
      <c r="BA398" s="646">
        <f t="shared" si="123"/>
        <v>72600000</v>
      </c>
      <c r="BB398" s="647"/>
      <c r="BC398" s="648"/>
      <c r="BD398" s="649"/>
      <c r="BE398" s="647"/>
      <c r="BF398" s="644"/>
      <c r="BG398" s="646">
        <f t="shared" si="124"/>
        <v>72600000</v>
      </c>
      <c r="BH398" s="650"/>
      <c r="BI398" s="647"/>
      <c r="BJ398" s="644"/>
      <c r="BK398" s="646">
        <f t="shared" si="125"/>
        <v>0</v>
      </c>
      <c r="BL398" s="651"/>
      <c r="BM398" s="652">
        <f t="shared" si="126"/>
        <v>1</v>
      </c>
      <c r="BN398" s="628"/>
      <c r="BO398" s="670"/>
      <c r="BP398" s="644"/>
      <c r="BQ398" s="644"/>
      <c r="BR398" s="644"/>
      <c r="BS398" s="644"/>
      <c r="BT398" s="644"/>
      <c r="BU398" s="644"/>
      <c r="BV398" s="644"/>
      <c r="BW398" s="644"/>
      <c r="BX398" s="644"/>
      <c r="BY398" s="644"/>
      <c r="BZ398" s="644"/>
      <c r="CA398" s="644"/>
      <c r="CB398" s="646">
        <f t="shared" si="127"/>
        <v>0</v>
      </c>
      <c r="CC398" s="646">
        <f t="shared" si="128"/>
        <v>0</v>
      </c>
      <c r="CD398" s="614"/>
    </row>
    <row r="399" spans="1:82" s="561" customFormat="1" ht="61.5" customHeight="1">
      <c r="A399" s="625" t="str">
        <f t="shared" si="110"/>
        <v>1114-140-FONT1114-01-01-0525-Programa Fachadas</v>
      </c>
      <c r="B399" s="626" t="str">
        <f t="shared" si="111"/>
        <v>1114-140-FONT1114-01-01-0525</v>
      </c>
      <c r="C399" s="626" t="str">
        <f t="shared" si="112"/>
        <v>1114-140-FONT1114-Programa Fachadas</v>
      </c>
      <c r="D399" s="626" t="str">
        <f t="shared" si="113"/>
        <v>1114-140-12-Otros Distrito-01-01-0525</v>
      </c>
      <c r="E399" s="626" t="str">
        <f t="shared" si="114"/>
        <v>Programa Fachadas-12-Otros Distrito-0525-Recuperación y aprovechamiento de bienes de interés cultural</v>
      </c>
      <c r="F399" s="627">
        <v>347</v>
      </c>
      <c r="G399" s="628">
        <f t="shared" si="115"/>
        <v>347</v>
      </c>
      <c r="H399" s="629" t="b">
        <f t="shared" si="116"/>
        <v>0</v>
      </c>
      <c r="I399" s="630" t="s">
        <v>594</v>
      </c>
      <c r="J399" s="627" t="s">
        <v>180</v>
      </c>
      <c r="K399" s="631" t="str">
        <f>+IFERROR(VLOOKUP(J399,Listas!$A$108:$B$114,2,FALSE),"Alerta: Seleccione la celda en la comumna B con el nombre del proyecto")</f>
        <v>3-3-1-15-02-17-1114-140</v>
      </c>
      <c r="L399" s="632" t="s">
        <v>923</v>
      </c>
      <c r="M399" s="633" t="s">
        <v>930</v>
      </c>
      <c r="N399" s="634" t="str">
        <f t="shared" si="117"/>
        <v>(Cód. 347) Prestar servicios profesionales al Instituto Distrital de Patrimonio Cultural, apoyando las actividades preliminares de campo, en el marco de las acciones de intevención en espacio público y fachadas.</v>
      </c>
      <c r="O399" s="635">
        <v>43480</v>
      </c>
      <c r="P399" s="636">
        <f>IFERROR(VLOOKUP(W399,'Estimación CRP'!$D$21:$E$30,2,FALSE),0)</f>
        <v>10</v>
      </c>
      <c r="Q399" s="637">
        <f>IF(O399="No aplica","No aplica",WORKDAY.INTL(O399,P399,1,'Estimación CRP'!A585:A601))</f>
        <v>43494</v>
      </c>
      <c r="R399" s="636">
        <f t="shared" si="118"/>
        <v>1</v>
      </c>
      <c r="S399" s="636">
        <f t="shared" si="119"/>
        <v>1</v>
      </c>
      <c r="T399" s="636">
        <f t="shared" si="120"/>
        <v>1</v>
      </c>
      <c r="U399" s="712">
        <v>11</v>
      </c>
      <c r="V399" s="638">
        <v>1</v>
      </c>
      <c r="W399" s="639" t="s">
        <v>274</v>
      </c>
      <c r="X399" s="640" t="str">
        <f>IFERROR(VLOOKUP(W399,Listas!$A$60:$B$73,2,FALSE),"Alerta: Seleccione primero Modalidad de selección")</f>
        <v>CCE-16</v>
      </c>
      <c r="Y399" s="641">
        <v>0</v>
      </c>
      <c r="Z399" s="641" t="s">
        <v>346</v>
      </c>
      <c r="AA399" s="641" t="s">
        <v>1337</v>
      </c>
      <c r="AB399" s="642">
        <f t="shared" si="121"/>
        <v>44550000</v>
      </c>
      <c r="AC399" s="642">
        <f t="shared" si="122"/>
        <v>44550000</v>
      </c>
      <c r="AD399" s="641">
        <v>0</v>
      </c>
      <c r="AE399" s="643">
        <v>0</v>
      </c>
      <c r="AF399" s="639" t="s">
        <v>276</v>
      </c>
      <c r="AG399" s="639" t="s">
        <v>277</v>
      </c>
      <c r="AH399" s="639" t="s">
        <v>573</v>
      </c>
      <c r="AI399" s="626" t="str">
        <f>IFERROR(VLOOKUP(AH399,Listas!$A$77:$C$83,2,FALSE),"Alerta: Seleccione primero el responsable")</f>
        <v>3550800</v>
      </c>
      <c r="AJ399" s="640" t="str">
        <f>IFERROR(VLOOKUP(AH399,Listas!$A$77:$C$83,3,FALSE),"Alerta: Seleccione primero el responsable")</f>
        <v>carolina.fernandez@idpc.gov.co</v>
      </c>
      <c r="AK399" s="640" t="str">
        <f>IF(J399="Funcionamiento Gastos Generales","No aplica",IF(J399="Funcionamiento Servicios Personales indirectos","No aplica",IFERROR(VLOOKUP(J399,Listas!$A$127:$E$139,3,FALSE),"Alerta: Seleccione la celda en la comumna B con el nombre del proyecto")))</f>
        <v>ME20181114</v>
      </c>
      <c r="AL399" s="640" t="str">
        <f>IF(J399="Funcionamiento Gastos Generales","No aplica",IF(J399="Funcionamiento Servicios Personales","No aplica",IFERROR(VLOOKUP(J399,Listas!$A$220:$D$224,2,FALSE),"Alerta: Seleccione la celda en la comumna B con el nombre del proyecto")))</f>
        <v>COMP1114</v>
      </c>
      <c r="AM399" s="640" t="str">
        <f>IF(J399="Funcionamiento Gastos Generales","No aplica",IF(J399="Funcionamiento Servicios Personales","No aplica",IFERROR(VLOOKUP(J399,Listas!$A$220:$D$224,3,FALSE),"Alerta: Seleccione la celda en la comumna B con el nombre del proyecto")))</f>
        <v>CONC1114</v>
      </c>
      <c r="AN399" s="633" t="s">
        <v>1054</v>
      </c>
      <c r="AO399" s="633" t="s">
        <v>392</v>
      </c>
      <c r="AP399" s="634" t="str">
        <f>IFERROR(VLOOKUP(J399,Listas!$A$182:$E$215,5,FALSE),"Alerta: Seleccione la celda en la comumna B con el nombre del proyecto")</f>
        <v>4. Obras de Intervención en Bienes muebles - inmuebles y sectores que conforman el patrimonio cultural del D.C.</v>
      </c>
      <c r="AQ399" s="634" t="str">
        <f>IF(J399="Funcionamiento Gastos Generales","No aplica",IF(J399="Funcionamiento Servicios Personales","No aplica",IFERROR(VLOOKUP(J399,Listas!$A$220:$D$224,4,FALSE),"Alerta: Seleccione la celda en la comumna B con el nombre del proyecto")))</f>
        <v>FONT1114</v>
      </c>
      <c r="AR399" s="633" t="s">
        <v>198</v>
      </c>
      <c r="AS399" s="634" t="str">
        <f>IFERROR(VLOOKUP(AU399,Listas!$E$85:$L$105,7,FALSE),"Alerta: Seleccione la celda en la comumna AI con el concepto de gasto")</f>
        <v>01-INFRAESTRUCTURA</v>
      </c>
      <c r="AT399" s="634" t="str">
        <f>IFERROR(VLOOKUP(AU399,Listas!$E$85:$L$105,8,FALSE),"Alerta: Seleccione la celda en la comumna AI con el concepto de gasto")</f>
        <v>01-CONSTRUCCION, ADECUACION Y AMPLIACION DE INFRAESTRUCTURA PROPIA DEL SECTOR</v>
      </c>
      <c r="AU399" s="633" t="s">
        <v>422</v>
      </c>
      <c r="AV399" s="634">
        <f>IFERROR(VLOOKUP(AU399,Listas!$E$85:$F$105,2,FALSE),"Alerta: Seleccione el Concepto de Gasto primero")</f>
        <v>0</v>
      </c>
      <c r="AW399" s="644">
        <v>44550000</v>
      </c>
      <c r="AX399" s="645"/>
      <c r="AY399" s="645"/>
      <c r="AZ399" s="645"/>
      <c r="BA399" s="646">
        <f t="shared" si="123"/>
        <v>44550000</v>
      </c>
      <c r="BB399" s="647"/>
      <c r="BC399" s="648"/>
      <c r="BD399" s="649"/>
      <c r="BE399" s="647"/>
      <c r="BF399" s="644"/>
      <c r="BG399" s="646">
        <f t="shared" si="124"/>
        <v>44550000</v>
      </c>
      <c r="BH399" s="650"/>
      <c r="BI399" s="647"/>
      <c r="BJ399" s="644"/>
      <c r="BK399" s="646">
        <f t="shared" si="125"/>
        <v>0</v>
      </c>
      <c r="BL399" s="651"/>
      <c r="BM399" s="652">
        <f t="shared" si="126"/>
        <v>1</v>
      </c>
      <c r="BN399" s="628"/>
      <c r="BO399" s="670"/>
      <c r="BP399" s="644"/>
      <c r="BQ399" s="644"/>
      <c r="BR399" s="644"/>
      <c r="BS399" s="644"/>
      <c r="BT399" s="644"/>
      <c r="BU399" s="644"/>
      <c r="BV399" s="644"/>
      <c r="BW399" s="644"/>
      <c r="BX399" s="644"/>
      <c r="BY399" s="644"/>
      <c r="BZ399" s="644"/>
      <c r="CA399" s="644"/>
      <c r="CB399" s="646">
        <f t="shared" si="127"/>
        <v>0</v>
      </c>
      <c r="CC399" s="646">
        <f t="shared" si="128"/>
        <v>0</v>
      </c>
      <c r="CD399" s="614"/>
    </row>
    <row r="400" spans="1:82" s="561" customFormat="1" ht="61.5" customHeight="1">
      <c r="A400" s="625" t="str">
        <f t="shared" si="110"/>
        <v>1114-140-FONT1114-01-01-0525-Programa Fachadas</v>
      </c>
      <c r="B400" s="626" t="str">
        <f t="shared" si="111"/>
        <v>1114-140-FONT1114-01-01-0525</v>
      </c>
      <c r="C400" s="626" t="str">
        <f t="shared" si="112"/>
        <v>1114-140-FONT1114-Programa Fachadas</v>
      </c>
      <c r="D400" s="626" t="str">
        <f t="shared" si="113"/>
        <v>1114-140-12-Otros Distrito-01-01-0525</v>
      </c>
      <c r="E400" s="626" t="str">
        <f t="shared" si="114"/>
        <v>Programa Fachadas-12-Otros Distrito-0525-Recuperación y aprovechamiento de bienes de interés cultural</v>
      </c>
      <c r="F400" s="627">
        <v>348</v>
      </c>
      <c r="G400" s="628">
        <f t="shared" si="115"/>
        <v>348</v>
      </c>
      <c r="H400" s="629" t="b">
        <f t="shared" si="116"/>
        <v>0</v>
      </c>
      <c r="I400" s="630" t="s">
        <v>594</v>
      </c>
      <c r="J400" s="627" t="s">
        <v>180</v>
      </c>
      <c r="K400" s="631" t="str">
        <f>+IFERROR(VLOOKUP(J400,Listas!$A$108:$B$114,2,FALSE),"Alerta: Seleccione la celda en la comumna B con el nombre del proyecto")</f>
        <v>3-3-1-15-02-17-1114-140</v>
      </c>
      <c r="L400" s="632" t="s">
        <v>923</v>
      </c>
      <c r="M400" s="633" t="s">
        <v>930</v>
      </c>
      <c r="N400" s="634" t="str">
        <f t="shared" si="117"/>
        <v>(Cód. 348) Prestar servicios profesionales al Instituto Distrital de Patrimonio Cultural, apoyando las actividades preliminares de campo, en el marco de las acciones de intevención en espacio público y fachadas.</v>
      </c>
      <c r="O400" s="635">
        <v>43480</v>
      </c>
      <c r="P400" s="636">
        <f>IFERROR(VLOOKUP(W400,'Estimación CRP'!$D$21:$E$30,2,FALSE),0)</f>
        <v>10</v>
      </c>
      <c r="Q400" s="637">
        <f>IF(O400="No aplica","No aplica",WORKDAY.INTL(O400,P400,1,'Estimación CRP'!A586:A602))</f>
        <v>43494</v>
      </c>
      <c r="R400" s="636">
        <f t="shared" si="118"/>
        <v>1</v>
      </c>
      <c r="S400" s="636">
        <f t="shared" si="119"/>
        <v>1</v>
      </c>
      <c r="T400" s="636">
        <f t="shared" si="120"/>
        <v>1</v>
      </c>
      <c r="U400" s="712">
        <v>11</v>
      </c>
      <c r="V400" s="638">
        <v>1</v>
      </c>
      <c r="W400" s="639" t="s">
        <v>274</v>
      </c>
      <c r="X400" s="640" t="str">
        <f>IFERROR(VLOOKUP(W400,Listas!$A$60:$B$73,2,FALSE),"Alerta: Seleccione primero Modalidad de selección")</f>
        <v>CCE-16</v>
      </c>
      <c r="Y400" s="641">
        <v>0</v>
      </c>
      <c r="Z400" s="641" t="s">
        <v>346</v>
      </c>
      <c r="AA400" s="641" t="s">
        <v>1337</v>
      </c>
      <c r="AB400" s="642">
        <f t="shared" si="121"/>
        <v>44550000</v>
      </c>
      <c r="AC400" s="642">
        <f t="shared" si="122"/>
        <v>44550000</v>
      </c>
      <c r="AD400" s="641">
        <v>0</v>
      </c>
      <c r="AE400" s="643">
        <v>0</v>
      </c>
      <c r="AF400" s="639" t="s">
        <v>276</v>
      </c>
      <c r="AG400" s="639" t="s">
        <v>277</v>
      </c>
      <c r="AH400" s="639" t="s">
        <v>573</v>
      </c>
      <c r="AI400" s="626" t="str">
        <f>IFERROR(VLOOKUP(AH400,Listas!$A$77:$C$83,2,FALSE),"Alerta: Seleccione primero el responsable")</f>
        <v>3550800</v>
      </c>
      <c r="AJ400" s="640" t="str">
        <f>IFERROR(VLOOKUP(AH400,Listas!$A$77:$C$83,3,FALSE),"Alerta: Seleccione primero el responsable")</f>
        <v>carolina.fernandez@idpc.gov.co</v>
      </c>
      <c r="AK400" s="640" t="str">
        <f>IF(J400="Funcionamiento Gastos Generales","No aplica",IF(J400="Funcionamiento Servicios Personales indirectos","No aplica",IFERROR(VLOOKUP(J400,Listas!$A$127:$E$139,3,FALSE),"Alerta: Seleccione la celda en la comumna B con el nombre del proyecto")))</f>
        <v>ME20181114</v>
      </c>
      <c r="AL400" s="640" t="str">
        <f>IF(J400="Funcionamiento Gastos Generales","No aplica",IF(J400="Funcionamiento Servicios Personales","No aplica",IFERROR(VLOOKUP(J400,Listas!$A$220:$D$224,2,FALSE),"Alerta: Seleccione la celda en la comumna B con el nombre del proyecto")))</f>
        <v>COMP1114</v>
      </c>
      <c r="AM400" s="640" t="str">
        <f>IF(J400="Funcionamiento Gastos Generales","No aplica",IF(J400="Funcionamiento Servicios Personales","No aplica",IFERROR(VLOOKUP(J400,Listas!$A$220:$D$224,3,FALSE),"Alerta: Seleccione la celda en la comumna B con el nombre del proyecto")))</f>
        <v>CONC1114</v>
      </c>
      <c r="AN400" s="633" t="s">
        <v>1054</v>
      </c>
      <c r="AO400" s="633" t="s">
        <v>392</v>
      </c>
      <c r="AP400" s="634" t="str">
        <f>IFERROR(VLOOKUP(J400,Listas!$A$182:$E$215,5,FALSE),"Alerta: Seleccione la celda en la comumna B con el nombre del proyecto")</f>
        <v>4. Obras de Intervención en Bienes muebles - inmuebles y sectores que conforman el patrimonio cultural del D.C.</v>
      </c>
      <c r="AQ400" s="634" t="str">
        <f>IF(J400="Funcionamiento Gastos Generales","No aplica",IF(J400="Funcionamiento Servicios Personales","No aplica",IFERROR(VLOOKUP(J400,Listas!$A$220:$D$224,4,FALSE),"Alerta: Seleccione la celda en la comumna B con el nombre del proyecto")))</f>
        <v>FONT1114</v>
      </c>
      <c r="AR400" s="633" t="s">
        <v>198</v>
      </c>
      <c r="AS400" s="634" t="str">
        <f>IFERROR(VLOOKUP(AU400,Listas!$E$85:$L$105,7,FALSE),"Alerta: Seleccione la celda en la comumna AI con el concepto de gasto")</f>
        <v>01-INFRAESTRUCTURA</v>
      </c>
      <c r="AT400" s="634" t="str">
        <f>IFERROR(VLOOKUP(AU400,Listas!$E$85:$L$105,8,FALSE),"Alerta: Seleccione la celda en la comumna AI con el concepto de gasto")</f>
        <v>01-CONSTRUCCION, ADECUACION Y AMPLIACION DE INFRAESTRUCTURA PROPIA DEL SECTOR</v>
      </c>
      <c r="AU400" s="633" t="s">
        <v>422</v>
      </c>
      <c r="AV400" s="634">
        <f>IFERROR(VLOOKUP(AU400,Listas!$E$85:$F$105,2,FALSE),"Alerta: Seleccione el Concepto de Gasto primero")</f>
        <v>0</v>
      </c>
      <c r="AW400" s="644">
        <v>44550000</v>
      </c>
      <c r="AX400" s="645"/>
      <c r="AY400" s="645"/>
      <c r="AZ400" s="645"/>
      <c r="BA400" s="646">
        <f t="shared" si="123"/>
        <v>44550000</v>
      </c>
      <c r="BB400" s="647"/>
      <c r="BC400" s="648"/>
      <c r="BD400" s="649"/>
      <c r="BE400" s="647"/>
      <c r="BF400" s="644"/>
      <c r="BG400" s="646">
        <f t="shared" si="124"/>
        <v>44550000</v>
      </c>
      <c r="BH400" s="650"/>
      <c r="BI400" s="647"/>
      <c r="BJ400" s="644"/>
      <c r="BK400" s="646">
        <f t="shared" si="125"/>
        <v>0</v>
      </c>
      <c r="BL400" s="651"/>
      <c r="BM400" s="652">
        <f t="shared" si="126"/>
        <v>1</v>
      </c>
      <c r="BN400" s="628"/>
      <c r="BO400" s="670"/>
      <c r="BP400" s="644"/>
      <c r="BQ400" s="644"/>
      <c r="BR400" s="644"/>
      <c r="BS400" s="644"/>
      <c r="BT400" s="644"/>
      <c r="BU400" s="644"/>
      <c r="BV400" s="644"/>
      <c r="BW400" s="644"/>
      <c r="BX400" s="644"/>
      <c r="BY400" s="644"/>
      <c r="BZ400" s="644"/>
      <c r="CA400" s="644"/>
      <c r="CB400" s="646">
        <f t="shared" si="127"/>
        <v>0</v>
      </c>
      <c r="CC400" s="646">
        <f t="shared" si="128"/>
        <v>0</v>
      </c>
      <c r="CD400" s="614"/>
    </row>
    <row r="401" spans="1:85" s="561" customFormat="1" ht="61.5" customHeight="1">
      <c r="A401" s="625" t="str">
        <f t="shared" si="110"/>
        <v>1114-140-FONT1114-01-01-0525-Programa Fachadas</v>
      </c>
      <c r="B401" s="626" t="str">
        <f t="shared" si="111"/>
        <v>1114-140-FONT1114-01-01-0525</v>
      </c>
      <c r="C401" s="626" t="str">
        <f t="shared" si="112"/>
        <v>1114-140-FONT1114-Programa Fachadas</v>
      </c>
      <c r="D401" s="626" t="str">
        <f t="shared" si="113"/>
        <v>1114-140-12-Otros Distrito-01-01-0525</v>
      </c>
      <c r="E401" s="626" t="str">
        <f t="shared" si="114"/>
        <v>Programa Fachadas-12-Otros Distrito-0525-Recuperación y aprovechamiento de bienes de interés cultural</v>
      </c>
      <c r="F401" s="627" t="s">
        <v>346</v>
      </c>
      <c r="G401" s="628" t="str">
        <f t="shared" si="115"/>
        <v>N.A.</v>
      </c>
      <c r="H401" s="629" t="b">
        <f t="shared" si="116"/>
        <v>0</v>
      </c>
      <c r="I401" s="630" t="s">
        <v>595</v>
      </c>
      <c r="J401" s="627" t="s">
        <v>180</v>
      </c>
      <c r="K401" s="631" t="str">
        <f>+IFERROR(VLOOKUP(J401,Listas!$A$108:$B$114,2,FALSE),"Alerta: Seleccione la celda en la comumna B con el nombre del proyecto")</f>
        <v>3-3-1-15-02-17-1114-140</v>
      </c>
      <c r="L401" s="632" t="s">
        <v>351</v>
      </c>
      <c r="M401" s="633" t="s">
        <v>931</v>
      </c>
      <c r="N401" s="634" t="str">
        <f t="shared" si="117"/>
        <v>(Cód. N.A.) Valor dirigido para reconocer la afiliación de riesgos laborales Nivel 5 de los contratistas de la Subdirección de Intervención.</v>
      </c>
      <c r="O401" s="635" t="s">
        <v>351</v>
      </c>
      <c r="P401" s="636">
        <f>IFERROR(VLOOKUP(W401,'Estimación CRP'!$D$21:$E$30,2,FALSE),0)</f>
        <v>10</v>
      </c>
      <c r="Q401" s="637" t="str">
        <f>IF(O401="No aplica","No aplica",WORKDAY.INTL(O401,P401,1,'Estimación CRP'!A587:A603))</f>
        <v>No aplica</v>
      </c>
      <c r="R401" s="636" t="str">
        <f t="shared" si="118"/>
        <v>No aplica</v>
      </c>
      <c r="S401" s="636" t="str">
        <f t="shared" si="119"/>
        <v>No aplica</v>
      </c>
      <c r="T401" s="636" t="str">
        <f t="shared" si="120"/>
        <v>No aplica</v>
      </c>
      <c r="U401" s="638">
        <v>11</v>
      </c>
      <c r="V401" s="638">
        <v>1</v>
      </c>
      <c r="W401" s="639" t="s">
        <v>274</v>
      </c>
      <c r="X401" s="640" t="str">
        <f>IFERROR(VLOOKUP(W401,Listas!$A$60:$B$73,2,FALSE),"Alerta: Seleccione primero Modalidad de selección")</f>
        <v>CCE-16</v>
      </c>
      <c r="Y401" s="641">
        <v>0</v>
      </c>
      <c r="Z401" s="641" t="s">
        <v>1066</v>
      </c>
      <c r="AA401" s="641" t="s">
        <v>1337</v>
      </c>
      <c r="AB401" s="642">
        <f t="shared" si="121"/>
        <v>8281053</v>
      </c>
      <c r="AC401" s="642">
        <f t="shared" si="122"/>
        <v>8281053</v>
      </c>
      <c r="AD401" s="641">
        <v>0</v>
      </c>
      <c r="AE401" s="643">
        <v>0</v>
      </c>
      <c r="AF401" s="639" t="s">
        <v>276</v>
      </c>
      <c r="AG401" s="639" t="s">
        <v>277</v>
      </c>
      <c r="AH401" s="639" t="s">
        <v>573</v>
      </c>
      <c r="AI401" s="626" t="str">
        <f>IFERROR(VLOOKUP(AH401,Listas!$A$77:$C$83,2,FALSE),"Alerta: Seleccione primero el responsable")</f>
        <v>3550800</v>
      </c>
      <c r="AJ401" s="640" t="str">
        <f>IFERROR(VLOOKUP(AH401,Listas!$A$77:$C$83,3,FALSE),"Alerta: Seleccione primero el responsable")</f>
        <v>carolina.fernandez@idpc.gov.co</v>
      </c>
      <c r="AK401" s="640" t="str">
        <f>IF(J401="Funcionamiento Gastos Generales","No aplica",IF(J401="Funcionamiento Servicios Personales indirectos","No aplica",IFERROR(VLOOKUP(J401,Listas!$A$127:$E$139,3,FALSE),"Alerta: Seleccione la celda en la comumna B con el nombre del proyecto")))</f>
        <v>ME20181114</v>
      </c>
      <c r="AL401" s="640" t="str">
        <f>IF(J401="Funcionamiento Gastos Generales","No aplica",IF(J401="Funcionamiento Servicios Personales","No aplica",IFERROR(VLOOKUP(J401,Listas!$A$220:$D$224,2,FALSE),"Alerta: Seleccione la celda en la comumna B con el nombre del proyecto")))</f>
        <v>COMP1114</v>
      </c>
      <c r="AM401" s="640" t="str">
        <f>IF(J401="Funcionamiento Gastos Generales","No aplica",IF(J401="Funcionamiento Servicios Personales","No aplica",IFERROR(VLOOKUP(J401,Listas!$A$220:$D$224,3,FALSE),"Alerta: Seleccione la celda en la comumna B con el nombre del proyecto")))</f>
        <v>CONC1114</v>
      </c>
      <c r="AN401" s="633" t="s">
        <v>1054</v>
      </c>
      <c r="AO401" s="633" t="s">
        <v>392</v>
      </c>
      <c r="AP401" s="634" t="str">
        <f>IFERROR(VLOOKUP(J401,Listas!$A$182:$E$215,5,FALSE),"Alerta: Seleccione la celda en la comumna B con el nombre del proyecto")</f>
        <v>4. Obras de Intervención en Bienes muebles - inmuebles y sectores que conforman el patrimonio cultural del D.C.</v>
      </c>
      <c r="AQ401" s="634" t="str">
        <f>IF(J401="Funcionamiento Gastos Generales","No aplica",IF(J401="Funcionamiento Servicios Personales","No aplica",IFERROR(VLOOKUP(J401,Listas!$A$220:$D$224,4,FALSE),"Alerta: Seleccione la celda en la comumna B con el nombre del proyecto")))</f>
        <v>FONT1114</v>
      </c>
      <c r="AR401" s="633" t="s">
        <v>198</v>
      </c>
      <c r="AS401" s="634" t="str">
        <f>IFERROR(VLOOKUP(AU401,Listas!$E$85:$L$105,7,FALSE),"Alerta: Seleccione la celda en la comumna AI con el concepto de gasto")</f>
        <v>01-INFRAESTRUCTURA</v>
      </c>
      <c r="AT401" s="634" t="str">
        <f>IFERROR(VLOOKUP(AU401,Listas!$E$85:$L$105,8,FALSE),"Alerta: Seleccione la celda en la comumna AI con el concepto de gasto")</f>
        <v>01-CONSTRUCCION, ADECUACION Y AMPLIACION DE INFRAESTRUCTURA PROPIA DEL SECTOR</v>
      </c>
      <c r="AU401" s="633" t="s">
        <v>422</v>
      </c>
      <c r="AV401" s="634">
        <f>IFERROR(VLOOKUP(AU401,Listas!$E$85:$F$105,2,FALSE),"Alerta: Seleccione el Concepto de Gasto primero")</f>
        <v>0</v>
      </c>
      <c r="AW401" s="644">
        <v>8281053</v>
      </c>
      <c r="AX401" s="645"/>
      <c r="AY401" s="645"/>
      <c r="AZ401" s="645"/>
      <c r="BA401" s="646">
        <f t="shared" si="123"/>
        <v>8281053</v>
      </c>
      <c r="BB401" s="647"/>
      <c r="BC401" s="648"/>
      <c r="BD401" s="649"/>
      <c r="BE401" s="647"/>
      <c r="BF401" s="644"/>
      <c r="BG401" s="646">
        <f t="shared" si="124"/>
        <v>8281053</v>
      </c>
      <c r="BH401" s="650"/>
      <c r="BI401" s="647"/>
      <c r="BJ401" s="644"/>
      <c r="BK401" s="646">
        <f t="shared" si="125"/>
        <v>0</v>
      </c>
      <c r="BL401" s="651"/>
      <c r="BM401" s="652">
        <f t="shared" si="126"/>
        <v>1</v>
      </c>
      <c r="BN401" s="628"/>
      <c r="BO401" s="670"/>
      <c r="BP401" s="644"/>
      <c r="BQ401" s="644"/>
      <c r="BR401" s="644"/>
      <c r="BS401" s="644"/>
      <c r="BT401" s="644"/>
      <c r="BU401" s="644"/>
      <c r="BV401" s="644"/>
      <c r="BW401" s="644"/>
      <c r="BX401" s="644"/>
      <c r="BY401" s="644"/>
      <c r="BZ401" s="644"/>
      <c r="CA401" s="644"/>
      <c r="CB401" s="646">
        <f t="shared" si="127"/>
        <v>0</v>
      </c>
      <c r="CC401" s="646">
        <f t="shared" si="128"/>
        <v>0</v>
      </c>
      <c r="CD401" s="614"/>
    </row>
    <row r="402" spans="1:85" s="561" customFormat="1" ht="61.5" customHeight="1">
      <c r="A402" s="625" t="str">
        <f t="shared" si="110"/>
        <v>1114-140-FONT1114-01-03-0103-Monumentos en espacios públicos a intervenir</v>
      </c>
      <c r="B402" s="626" t="str">
        <f t="shared" si="111"/>
        <v>1114-140-FONT1114-01-03-0103</v>
      </c>
      <c r="C402" s="626" t="str">
        <f t="shared" si="112"/>
        <v>1114-140-FONT1114-Monumentos en espacios públicos a intervenir</v>
      </c>
      <c r="D402" s="626" t="str">
        <f t="shared" si="113"/>
        <v>1114-140-12-Otros Distrito-01-03-0103</v>
      </c>
      <c r="E402" s="626" t="str">
        <f t="shared" si="114"/>
        <v>Monumentos en espacios públicos a intervenir-12-Otros Distrito-0103-Administración, mantenimiento y mejoramiento de los bienes muebles e inmuebles ubicados en el espacio público del Distrito Capital</v>
      </c>
      <c r="F402" s="627">
        <v>328</v>
      </c>
      <c r="G402" s="628">
        <f t="shared" si="115"/>
        <v>328</v>
      </c>
      <c r="H402" s="629" t="b">
        <f t="shared" si="116"/>
        <v>0</v>
      </c>
      <c r="I402" s="630" t="s">
        <v>594</v>
      </c>
      <c r="J402" s="627" t="s">
        <v>180</v>
      </c>
      <c r="K402" s="631" t="str">
        <f>+IFERROR(VLOOKUP(J402,Listas!$A$108:$B$114,2,FALSE),"Alerta: Seleccione la celda en la comumna B con el nombre del proyecto")</f>
        <v>3-3-1-15-02-17-1114-140</v>
      </c>
      <c r="L402" s="632" t="s">
        <v>911</v>
      </c>
      <c r="M402" s="633" t="s">
        <v>912</v>
      </c>
      <c r="N402" s="634" t="str">
        <f t="shared" si="117"/>
        <v>(Cód. 328) Contratar el servicio de transporte terrestre de carga con conductor y combustible, para transportar insumos, materiales, herramientas y equipos que requiera el Instituto Distrital de Patrimonio Cultural dentro del perímetro urbano de la ciudad de Bogotá D.C.</v>
      </c>
      <c r="O402" s="635">
        <v>43511</v>
      </c>
      <c r="P402" s="636">
        <f>IFERROR(VLOOKUP(W402,'Estimación CRP'!$D$21:$E$30,2,FALSE),0)</f>
        <v>45</v>
      </c>
      <c r="Q402" s="637">
        <f>IF(O402="No aplica","No aplica",WORKDAY.INTL(O402,P402,1,'Estimación CRP'!A588:A604))</f>
        <v>43574</v>
      </c>
      <c r="R402" s="636">
        <f t="shared" si="118"/>
        <v>4</v>
      </c>
      <c r="S402" s="636">
        <f t="shared" si="119"/>
        <v>2</v>
      </c>
      <c r="T402" s="636">
        <f t="shared" si="120"/>
        <v>2</v>
      </c>
      <c r="U402" s="712">
        <v>8</v>
      </c>
      <c r="V402" s="638">
        <v>1</v>
      </c>
      <c r="W402" s="639" t="s">
        <v>347</v>
      </c>
      <c r="X402" s="640" t="str">
        <f>IFERROR(VLOOKUP(W402,Listas!$A$60:$B$73,2,FALSE),"Alerta: Seleccione primero Modalidad de selección")</f>
        <v>CCE-07</v>
      </c>
      <c r="Y402" s="641">
        <v>0</v>
      </c>
      <c r="Z402" s="641" t="s">
        <v>1336</v>
      </c>
      <c r="AA402" s="641" t="s">
        <v>1338</v>
      </c>
      <c r="AB402" s="642">
        <f t="shared" si="121"/>
        <v>83309800</v>
      </c>
      <c r="AC402" s="642">
        <f t="shared" si="122"/>
        <v>83309800</v>
      </c>
      <c r="AD402" s="641">
        <v>0</v>
      </c>
      <c r="AE402" s="643">
        <v>0</v>
      </c>
      <c r="AF402" s="639" t="s">
        <v>276</v>
      </c>
      <c r="AG402" s="639" t="s">
        <v>277</v>
      </c>
      <c r="AH402" s="639" t="s">
        <v>573</v>
      </c>
      <c r="AI402" s="626" t="str">
        <f>IFERROR(VLOOKUP(AH402,Listas!$A$77:$C$83,2,FALSE),"Alerta: Seleccione primero el responsable")</f>
        <v>3550800</v>
      </c>
      <c r="AJ402" s="640" t="str">
        <f>IFERROR(VLOOKUP(AH402,Listas!$A$77:$C$83,3,FALSE),"Alerta: Seleccione primero el responsable")</f>
        <v>carolina.fernandez@idpc.gov.co</v>
      </c>
      <c r="AK402" s="640" t="str">
        <f>IF(J402="Funcionamiento Gastos Generales","No aplica",IF(J402="Funcionamiento Servicios Personales indirectos","No aplica",IFERROR(VLOOKUP(J402,Listas!$A$127:$E$139,3,FALSE),"Alerta: Seleccione la celda en la comumna B con el nombre del proyecto")))</f>
        <v>ME20181114</v>
      </c>
      <c r="AL402" s="640" t="str">
        <f>IF(J402="Funcionamiento Gastos Generales","No aplica",IF(J402="Funcionamiento Servicios Personales","No aplica",IFERROR(VLOOKUP(J402,Listas!$A$220:$D$224,2,FALSE),"Alerta: Seleccione la celda en la comumna B con el nombre del proyecto")))</f>
        <v>COMP1114</v>
      </c>
      <c r="AM402" s="640" t="str">
        <f>IF(J402="Funcionamiento Gastos Generales","No aplica",IF(J402="Funcionamiento Servicios Personales","No aplica",IFERROR(VLOOKUP(J402,Listas!$A$220:$D$224,3,FALSE),"Alerta: Seleccione la celda en la comumna B con el nombre del proyecto")))</f>
        <v>CONC1114</v>
      </c>
      <c r="AN402" s="633" t="s">
        <v>1054</v>
      </c>
      <c r="AO402" s="633" t="s">
        <v>312</v>
      </c>
      <c r="AP402" s="634" t="str">
        <f>IFERROR(VLOOKUP(J402,Listas!$A$182:$E$215,5,FALSE),"Alerta: Seleccione la celda en la comumna B con el nombre del proyecto")</f>
        <v>4. Obras de Intervención en Bienes muebles - inmuebles y sectores que conforman el patrimonio cultural del D.C.</v>
      </c>
      <c r="AQ402" s="634" t="str">
        <f>IF(J402="Funcionamiento Gastos Generales","No aplica",IF(J402="Funcionamiento Servicios Personales","No aplica",IFERROR(VLOOKUP(J402,Listas!$A$220:$D$224,4,FALSE),"Alerta: Seleccione la celda en la comumna B con el nombre del proyecto")))</f>
        <v>FONT1114</v>
      </c>
      <c r="AR402" s="633" t="s">
        <v>198</v>
      </c>
      <c r="AS402" s="634" t="str">
        <f>IFERROR(VLOOKUP(AU402,Listas!$E$85:$L$105,7,FALSE),"Alerta: Seleccione la celda en la comumna AI con el concepto de gasto")</f>
        <v>01-INFRAESTRUCTURA</v>
      </c>
      <c r="AT402" s="634" t="str">
        <f>IFERROR(VLOOKUP(AU402,Listas!$E$85:$L$105,8,FALSE),"Alerta: Seleccione la celda en la comumna AI con el concepto de gasto")</f>
        <v>03-MEJORAMIENTO Y MANTENIMIENTO DE INFRAESTRUCTURA PROPIA DEL SECTOR</v>
      </c>
      <c r="AU402" s="633" t="s">
        <v>225</v>
      </c>
      <c r="AV402" s="634">
        <f>IFERROR(VLOOKUP(AU402,Listas!$E$85:$F$105,2,FALSE),"Alerta: Seleccione el Concepto de Gasto primero")</f>
        <v>1</v>
      </c>
      <c r="AW402" s="644">
        <v>83309800</v>
      </c>
      <c r="AX402" s="645"/>
      <c r="AY402" s="645"/>
      <c r="AZ402" s="645"/>
      <c r="BA402" s="646">
        <f t="shared" si="123"/>
        <v>83309800</v>
      </c>
      <c r="BB402" s="647"/>
      <c r="BC402" s="648"/>
      <c r="BD402" s="649"/>
      <c r="BE402" s="647"/>
      <c r="BF402" s="644"/>
      <c r="BG402" s="646">
        <f t="shared" si="124"/>
        <v>83309800</v>
      </c>
      <c r="BH402" s="650"/>
      <c r="BI402" s="647"/>
      <c r="BJ402" s="644"/>
      <c r="BK402" s="646">
        <f t="shared" si="125"/>
        <v>0</v>
      </c>
      <c r="BL402" s="651"/>
      <c r="BM402" s="652">
        <f t="shared" si="126"/>
        <v>1</v>
      </c>
      <c r="BN402" s="628"/>
      <c r="BO402" s="670"/>
      <c r="BP402" s="644"/>
      <c r="BQ402" s="644"/>
      <c r="BR402" s="644"/>
      <c r="BS402" s="644"/>
      <c r="BT402" s="644"/>
      <c r="BU402" s="644"/>
      <c r="BV402" s="644"/>
      <c r="BW402" s="644"/>
      <c r="BX402" s="644"/>
      <c r="BY402" s="644"/>
      <c r="BZ402" s="644"/>
      <c r="CA402" s="644"/>
      <c r="CB402" s="646">
        <f t="shared" si="127"/>
        <v>0</v>
      </c>
      <c r="CC402" s="646">
        <f t="shared" si="128"/>
        <v>0</v>
      </c>
      <c r="CD402" s="614"/>
    </row>
    <row r="403" spans="1:85" s="561" customFormat="1" ht="61.5" customHeight="1">
      <c r="A403" s="625" t="str">
        <f t="shared" si="110"/>
        <v>1114-140-FONT1114-01-03-0103-Monumentos en espacios públicos a intervenir</v>
      </c>
      <c r="B403" s="626" t="str">
        <f t="shared" si="111"/>
        <v>1114-140-FONT1114-01-03-0103</v>
      </c>
      <c r="C403" s="626" t="str">
        <f t="shared" si="112"/>
        <v>1114-140-FONT1114-Monumentos en espacios públicos a intervenir</v>
      </c>
      <c r="D403" s="626" t="str">
        <f t="shared" si="113"/>
        <v>1114-140-12-Otros Distrito-01-03-0103</v>
      </c>
      <c r="E403" s="626" t="str">
        <f t="shared" si="114"/>
        <v>Monumentos en espacios públicos a intervenir-12-Otros Distrito-0103-Administración, mantenimiento y mejoramiento de los bienes muebles e inmuebles ubicados en el espacio público del Distrito Capital</v>
      </c>
      <c r="F403" s="627">
        <v>329</v>
      </c>
      <c r="G403" s="628">
        <f t="shared" si="115"/>
        <v>329</v>
      </c>
      <c r="H403" s="629" t="b">
        <f t="shared" si="116"/>
        <v>0</v>
      </c>
      <c r="I403" s="630" t="s">
        <v>594</v>
      </c>
      <c r="J403" s="627" t="s">
        <v>180</v>
      </c>
      <c r="K403" s="631" t="str">
        <f>+IFERROR(VLOOKUP(J403,Listas!$A$108:$B$114,2,FALSE),"Alerta: Seleccione la celda en la comumna B con el nombre del proyecto")</f>
        <v>3-3-1-15-02-17-1114-140</v>
      </c>
      <c r="L403" s="632" t="s">
        <v>913</v>
      </c>
      <c r="M403" s="633" t="s">
        <v>652</v>
      </c>
      <c r="N403" s="634" t="str">
        <f t="shared" si="117"/>
        <v>(Cód. 329) Contratar insumos de ferretería, materiales y herramientas requeridas para la ejecución de intervenciones técnicas necesarias para el enlucimiento de fachadas, limpieza y mantenimiento de los Bienes de Interés Cultural muebles en espacio público e instalaciones que se utilizan para la prestación del servicio del Instituto Distrital de Patrimonio Cultural, en la ciudad de Bogotá D.C.</v>
      </c>
      <c r="O403" s="635">
        <v>43511</v>
      </c>
      <c r="P403" s="636">
        <f>IFERROR(VLOOKUP(W403,'Estimación CRP'!$D$21:$E$30,2,FALSE),0)</f>
        <v>45</v>
      </c>
      <c r="Q403" s="637">
        <f>IF(O403="No aplica","No aplica",WORKDAY.INTL(O403,P403,1,'Estimación CRP'!A589:A605))</f>
        <v>43574</v>
      </c>
      <c r="R403" s="636">
        <f t="shared" si="118"/>
        <v>4</v>
      </c>
      <c r="S403" s="636">
        <f t="shared" si="119"/>
        <v>2</v>
      </c>
      <c r="T403" s="636">
        <f t="shared" si="120"/>
        <v>2</v>
      </c>
      <c r="U403" s="712">
        <v>9</v>
      </c>
      <c r="V403" s="638">
        <v>1</v>
      </c>
      <c r="W403" s="639" t="s">
        <v>347</v>
      </c>
      <c r="X403" s="640" t="str">
        <f>IFERROR(VLOOKUP(W403,Listas!$A$60:$B$73,2,FALSE),"Alerta: Seleccione primero Modalidad de selección")</f>
        <v>CCE-07</v>
      </c>
      <c r="Y403" s="641">
        <v>0</v>
      </c>
      <c r="Z403" s="641" t="s">
        <v>1122</v>
      </c>
      <c r="AA403" s="641" t="s">
        <v>1338</v>
      </c>
      <c r="AB403" s="642">
        <f t="shared" si="121"/>
        <v>211081567</v>
      </c>
      <c r="AC403" s="642">
        <f t="shared" si="122"/>
        <v>211081567</v>
      </c>
      <c r="AD403" s="641">
        <v>0</v>
      </c>
      <c r="AE403" s="643">
        <v>0</v>
      </c>
      <c r="AF403" s="639" t="s">
        <v>276</v>
      </c>
      <c r="AG403" s="639" t="s">
        <v>277</v>
      </c>
      <c r="AH403" s="639" t="s">
        <v>573</v>
      </c>
      <c r="AI403" s="626" t="str">
        <f>IFERROR(VLOOKUP(AH403,Listas!$A$77:$C$83,2,FALSE),"Alerta: Seleccione primero el responsable")</f>
        <v>3550800</v>
      </c>
      <c r="AJ403" s="640" t="str">
        <f>IFERROR(VLOOKUP(AH403,Listas!$A$77:$C$83,3,FALSE),"Alerta: Seleccione primero el responsable")</f>
        <v>carolina.fernandez@idpc.gov.co</v>
      </c>
      <c r="AK403" s="640" t="str">
        <f>IF(J403="Funcionamiento Gastos Generales","No aplica",IF(J403="Funcionamiento Servicios Personales indirectos","No aplica",IFERROR(VLOOKUP(J403,Listas!$A$127:$E$139,3,FALSE),"Alerta: Seleccione la celda en la comumna B con el nombre del proyecto")))</f>
        <v>ME20181114</v>
      </c>
      <c r="AL403" s="640" t="str">
        <f>IF(J403="Funcionamiento Gastos Generales","No aplica",IF(J403="Funcionamiento Servicios Personales","No aplica",IFERROR(VLOOKUP(J403,Listas!$A$220:$D$224,2,FALSE),"Alerta: Seleccione la celda en la comumna B con el nombre del proyecto")))</f>
        <v>COMP1114</v>
      </c>
      <c r="AM403" s="640" t="str">
        <f>IF(J403="Funcionamiento Gastos Generales","No aplica",IF(J403="Funcionamiento Servicios Personales","No aplica",IFERROR(VLOOKUP(J403,Listas!$A$220:$D$224,3,FALSE),"Alerta: Seleccione la celda en la comumna B con el nombre del proyecto")))</f>
        <v>CONC1114</v>
      </c>
      <c r="AN403" s="633" t="s">
        <v>1054</v>
      </c>
      <c r="AO403" s="633" t="s">
        <v>312</v>
      </c>
      <c r="AP403" s="634" t="str">
        <f>IFERROR(VLOOKUP(J403,Listas!$A$182:$E$215,5,FALSE),"Alerta: Seleccione la celda en la comumna B con el nombre del proyecto")</f>
        <v>4. Obras de Intervención en Bienes muebles - inmuebles y sectores que conforman el patrimonio cultural del D.C.</v>
      </c>
      <c r="AQ403" s="634" t="str">
        <f>IF(J403="Funcionamiento Gastos Generales","No aplica",IF(J403="Funcionamiento Servicios Personales","No aplica",IFERROR(VLOOKUP(J403,Listas!$A$220:$D$224,4,FALSE),"Alerta: Seleccione la celda en la comumna B con el nombre del proyecto")))</f>
        <v>FONT1114</v>
      </c>
      <c r="AR403" s="633" t="s">
        <v>198</v>
      </c>
      <c r="AS403" s="634" t="str">
        <f>IFERROR(VLOOKUP(AU403,Listas!$E$85:$L$105,7,FALSE),"Alerta: Seleccione la celda en la comumna AI con el concepto de gasto")</f>
        <v>01-INFRAESTRUCTURA</v>
      </c>
      <c r="AT403" s="634" t="str">
        <f>IFERROR(VLOOKUP(AU403,Listas!$E$85:$L$105,8,FALSE),"Alerta: Seleccione la celda en la comumna AI con el concepto de gasto")</f>
        <v>03-MEJORAMIENTO Y MANTENIMIENTO DE INFRAESTRUCTURA PROPIA DEL SECTOR</v>
      </c>
      <c r="AU403" s="633" t="s">
        <v>225</v>
      </c>
      <c r="AV403" s="634">
        <f>IFERROR(VLOOKUP(AU403,Listas!$E$85:$F$105,2,FALSE),"Alerta: Seleccione el Concepto de Gasto primero")</f>
        <v>1</v>
      </c>
      <c r="AW403" s="644">
        <v>211081567</v>
      </c>
      <c r="AX403" s="645"/>
      <c r="AY403" s="645"/>
      <c r="AZ403" s="645"/>
      <c r="BA403" s="646">
        <f t="shared" si="123"/>
        <v>211081567</v>
      </c>
      <c r="BB403" s="647"/>
      <c r="BC403" s="648"/>
      <c r="BD403" s="649"/>
      <c r="BE403" s="647"/>
      <c r="BF403" s="644"/>
      <c r="BG403" s="646">
        <f t="shared" si="124"/>
        <v>211081567</v>
      </c>
      <c r="BH403" s="650"/>
      <c r="BI403" s="647"/>
      <c r="BJ403" s="644"/>
      <c r="BK403" s="646">
        <f t="shared" si="125"/>
        <v>0</v>
      </c>
      <c r="BL403" s="651"/>
      <c r="BM403" s="652">
        <f t="shared" si="126"/>
        <v>1</v>
      </c>
      <c r="BN403" s="628"/>
      <c r="BO403" s="670"/>
      <c r="BP403" s="644"/>
      <c r="BQ403" s="644"/>
      <c r="BR403" s="644"/>
      <c r="BS403" s="644"/>
      <c r="BT403" s="644"/>
      <c r="BU403" s="644"/>
      <c r="BV403" s="644"/>
      <c r="BW403" s="644"/>
      <c r="BX403" s="644"/>
      <c r="BY403" s="644"/>
      <c r="BZ403" s="644"/>
      <c r="CA403" s="644"/>
      <c r="CB403" s="646">
        <f t="shared" si="127"/>
        <v>0</v>
      </c>
      <c r="CC403" s="646">
        <f t="shared" si="128"/>
        <v>0</v>
      </c>
      <c r="CD403" s="614"/>
    </row>
    <row r="404" spans="1:85" s="561" customFormat="1" ht="61.5" customHeight="1">
      <c r="A404" s="625" t="str">
        <f t="shared" si="110"/>
        <v>1114-140-FONT1114-01-03-0103-Monumentos en espacios públicos a intervenir</v>
      </c>
      <c r="B404" s="626" t="str">
        <f t="shared" si="111"/>
        <v>1114-140-FONT1114-01-03-0103</v>
      </c>
      <c r="C404" s="626" t="str">
        <f t="shared" si="112"/>
        <v>1114-140-FONT1114-Monumentos en espacios públicos a intervenir</v>
      </c>
      <c r="D404" s="626" t="str">
        <f t="shared" si="113"/>
        <v>1114-140-12-Otros Distrito-01-03-0103</v>
      </c>
      <c r="E404" s="626" t="str">
        <f t="shared" si="114"/>
        <v>Monumentos en espacios públicos a intervenir-12-Otros Distrito-0103-Administración, mantenimiento y mejoramiento de los bienes muebles e inmuebles ubicados en el espacio público del Distrito Capital</v>
      </c>
      <c r="F404" s="627">
        <v>349</v>
      </c>
      <c r="G404" s="628">
        <f t="shared" si="115"/>
        <v>349</v>
      </c>
      <c r="H404" s="629" t="b">
        <f t="shared" si="116"/>
        <v>0</v>
      </c>
      <c r="I404" s="630" t="s">
        <v>594</v>
      </c>
      <c r="J404" s="627" t="s">
        <v>180</v>
      </c>
      <c r="K404" s="631" t="str">
        <f>+IFERROR(VLOOKUP(J404,Listas!$A$108:$B$114,2,FALSE),"Alerta: Seleccione la celda en la comumna B con el nombre del proyecto")</f>
        <v>3-3-1-15-02-17-1114-140</v>
      </c>
      <c r="L404" s="632" t="s">
        <v>932</v>
      </c>
      <c r="M404" s="633" t="s">
        <v>933</v>
      </c>
      <c r="N404" s="634" t="str">
        <f t="shared" si="117"/>
        <v>(Cód. 349) Prestar servicios de apoyo a la gestión al Instituto Distrital de Patrimonio Cultural para la correcta ejecución de las intervenciones adelantadas sobre bienes muebles en espacio público, de acuerdo con la programación establecida.</v>
      </c>
      <c r="O404" s="635">
        <v>43480</v>
      </c>
      <c r="P404" s="636">
        <f>IFERROR(VLOOKUP(W404,'Estimación CRP'!$D$21:$E$30,2,FALSE),0)</f>
        <v>10</v>
      </c>
      <c r="Q404" s="637">
        <f>IF(O404="No aplica","No aplica",WORKDAY.INTL(O404,P404,1,'Estimación CRP'!A590:A606))</f>
        <v>43494</v>
      </c>
      <c r="R404" s="636">
        <f t="shared" si="118"/>
        <v>1</v>
      </c>
      <c r="S404" s="636">
        <f t="shared" si="119"/>
        <v>1</v>
      </c>
      <c r="T404" s="636">
        <f t="shared" si="120"/>
        <v>1</v>
      </c>
      <c r="U404" s="712">
        <v>10</v>
      </c>
      <c r="V404" s="638">
        <v>1</v>
      </c>
      <c r="W404" s="639" t="s">
        <v>274</v>
      </c>
      <c r="X404" s="640" t="str">
        <f>IFERROR(VLOOKUP(W404,Listas!$A$60:$B$73,2,FALSE),"Alerta: Seleccione primero Modalidad de selección")</f>
        <v>CCE-16</v>
      </c>
      <c r="Y404" s="641">
        <v>0</v>
      </c>
      <c r="Z404" s="641" t="s">
        <v>346</v>
      </c>
      <c r="AA404" s="641" t="s">
        <v>1338</v>
      </c>
      <c r="AB404" s="642">
        <f t="shared" si="121"/>
        <v>26300000</v>
      </c>
      <c r="AC404" s="642">
        <f t="shared" si="122"/>
        <v>26300000</v>
      </c>
      <c r="AD404" s="641">
        <v>0</v>
      </c>
      <c r="AE404" s="643">
        <v>0</v>
      </c>
      <c r="AF404" s="639" t="s">
        <v>276</v>
      </c>
      <c r="AG404" s="639" t="s">
        <v>277</v>
      </c>
      <c r="AH404" s="639" t="s">
        <v>573</v>
      </c>
      <c r="AI404" s="626" t="str">
        <f>IFERROR(VLOOKUP(AH404,Listas!$A$77:$C$83,2,FALSE),"Alerta: Seleccione primero el responsable")</f>
        <v>3550800</v>
      </c>
      <c r="AJ404" s="640" t="str">
        <f>IFERROR(VLOOKUP(AH404,Listas!$A$77:$C$83,3,FALSE),"Alerta: Seleccione primero el responsable")</f>
        <v>carolina.fernandez@idpc.gov.co</v>
      </c>
      <c r="AK404" s="640" t="str">
        <f>IF(J404="Funcionamiento Gastos Generales","No aplica",IF(J404="Funcionamiento Servicios Personales indirectos","No aplica",IFERROR(VLOOKUP(J404,Listas!$A$127:$E$139,3,FALSE),"Alerta: Seleccione la celda en la comumna B con el nombre del proyecto")))</f>
        <v>ME20181114</v>
      </c>
      <c r="AL404" s="640" t="str">
        <f>IF(J404="Funcionamiento Gastos Generales","No aplica",IF(J404="Funcionamiento Servicios Personales","No aplica",IFERROR(VLOOKUP(J404,Listas!$A$220:$D$224,2,FALSE),"Alerta: Seleccione la celda en la comumna B con el nombre del proyecto")))</f>
        <v>COMP1114</v>
      </c>
      <c r="AM404" s="640" t="str">
        <f>IF(J404="Funcionamiento Gastos Generales","No aplica",IF(J404="Funcionamiento Servicios Personales","No aplica",IFERROR(VLOOKUP(J404,Listas!$A$220:$D$224,3,FALSE),"Alerta: Seleccione la celda en la comumna B con el nombre del proyecto")))</f>
        <v>CONC1114</v>
      </c>
      <c r="AN404" s="633" t="s">
        <v>1054</v>
      </c>
      <c r="AO404" s="633" t="s">
        <v>312</v>
      </c>
      <c r="AP404" s="634" t="str">
        <f>IFERROR(VLOOKUP(J404,Listas!$A$182:$E$215,5,FALSE),"Alerta: Seleccione la celda en la comumna B con el nombre del proyecto")</f>
        <v>4. Obras de Intervención en Bienes muebles - inmuebles y sectores que conforman el patrimonio cultural del D.C.</v>
      </c>
      <c r="AQ404" s="634" t="str">
        <f>IF(J404="Funcionamiento Gastos Generales","No aplica",IF(J404="Funcionamiento Servicios Personales","No aplica",IFERROR(VLOOKUP(J404,Listas!$A$220:$D$224,4,FALSE),"Alerta: Seleccione la celda en la comumna B con el nombre del proyecto")))</f>
        <v>FONT1114</v>
      </c>
      <c r="AR404" s="633" t="s">
        <v>198</v>
      </c>
      <c r="AS404" s="634" t="str">
        <f>IFERROR(VLOOKUP(AU404,Listas!$E$85:$L$105,7,FALSE),"Alerta: Seleccione la celda en la comumna AI con el concepto de gasto")</f>
        <v>01-INFRAESTRUCTURA</v>
      </c>
      <c r="AT404" s="634" t="str">
        <f>IFERROR(VLOOKUP(AU404,Listas!$E$85:$L$105,8,FALSE),"Alerta: Seleccione la celda en la comumna AI con el concepto de gasto")</f>
        <v>03-MEJORAMIENTO Y MANTENIMIENTO DE INFRAESTRUCTURA PROPIA DEL SECTOR</v>
      </c>
      <c r="AU404" s="633" t="s">
        <v>225</v>
      </c>
      <c r="AV404" s="634">
        <f>IFERROR(VLOOKUP(AU404,Listas!$E$85:$F$105,2,FALSE),"Alerta: Seleccione el Concepto de Gasto primero")</f>
        <v>1</v>
      </c>
      <c r="AW404" s="644">
        <v>26300000</v>
      </c>
      <c r="AX404" s="645"/>
      <c r="AY404" s="645"/>
      <c r="AZ404" s="645"/>
      <c r="BA404" s="646">
        <f t="shared" si="123"/>
        <v>26300000</v>
      </c>
      <c r="BB404" s="647"/>
      <c r="BC404" s="648"/>
      <c r="BD404" s="649"/>
      <c r="BE404" s="647"/>
      <c r="BF404" s="644"/>
      <c r="BG404" s="646">
        <f t="shared" si="124"/>
        <v>26300000</v>
      </c>
      <c r="BH404" s="650"/>
      <c r="BI404" s="647"/>
      <c r="BJ404" s="644"/>
      <c r="BK404" s="646">
        <f t="shared" si="125"/>
        <v>0</v>
      </c>
      <c r="BL404" s="651"/>
      <c r="BM404" s="652">
        <f t="shared" si="126"/>
        <v>1</v>
      </c>
      <c r="BN404" s="628"/>
      <c r="BO404" s="670"/>
      <c r="BP404" s="644"/>
      <c r="BQ404" s="644"/>
      <c r="BR404" s="644"/>
      <c r="BS404" s="644"/>
      <c r="BT404" s="644"/>
      <c r="BU404" s="644"/>
      <c r="BV404" s="644"/>
      <c r="BW404" s="644"/>
      <c r="BX404" s="644"/>
      <c r="BY404" s="644"/>
      <c r="BZ404" s="644"/>
      <c r="CA404" s="644"/>
      <c r="CB404" s="646">
        <f t="shared" si="127"/>
        <v>0</v>
      </c>
      <c r="CC404" s="646">
        <f t="shared" si="128"/>
        <v>0</v>
      </c>
      <c r="CD404" s="614"/>
    </row>
    <row r="405" spans="1:85" s="561" customFormat="1" ht="61.5" customHeight="1">
      <c r="A405" s="625" t="str">
        <f t="shared" si="110"/>
        <v>1114-140-FONT1114-01-03-0103-Monumentos en espacios públicos a intervenir</v>
      </c>
      <c r="B405" s="626" t="str">
        <f t="shared" si="111"/>
        <v>1114-140-FONT1114-01-03-0103</v>
      </c>
      <c r="C405" s="626" t="str">
        <f t="shared" si="112"/>
        <v>1114-140-FONT1114-Monumentos en espacios públicos a intervenir</v>
      </c>
      <c r="D405" s="626" t="str">
        <f t="shared" si="113"/>
        <v>1114-140-12-Otros Distrito-01-03-0103</v>
      </c>
      <c r="E405" s="626" t="str">
        <f t="shared" si="114"/>
        <v>Monumentos en espacios públicos a intervenir-12-Otros Distrito-0103-Administración, mantenimiento y mejoramiento de los bienes muebles e inmuebles ubicados en el espacio público del Distrito Capital</v>
      </c>
      <c r="F405" s="627">
        <v>350</v>
      </c>
      <c r="G405" s="628">
        <f t="shared" si="115"/>
        <v>350</v>
      </c>
      <c r="H405" s="629" t="b">
        <f t="shared" si="116"/>
        <v>0</v>
      </c>
      <c r="I405" s="630" t="s">
        <v>594</v>
      </c>
      <c r="J405" s="627" t="s">
        <v>180</v>
      </c>
      <c r="K405" s="631" t="str">
        <f>+IFERROR(VLOOKUP(J405,Listas!$A$108:$B$114,2,FALSE),"Alerta: Seleccione la celda en la comumna B con el nombre del proyecto")</f>
        <v>3-3-1-15-02-17-1114-140</v>
      </c>
      <c r="L405" s="632" t="s">
        <v>932</v>
      </c>
      <c r="M405" s="633" t="s">
        <v>934</v>
      </c>
      <c r="N405" s="634" t="str">
        <f t="shared" si="117"/>
        <v>(Cód. 350) Prestar servicios de apoyo a la gestión al Instituto Distrital de Patrimonio Cultural para la correcta ejecución de las intervenciones de mantenimiento y conservación que se adelantan sobre bienes muebles en espacio público, de acuerdo con la programación establecida.</v>
      </c>
      <c r="O405" s="635">
        <v>43480</v>
      </c>
      <c r="P405" s="636">
        <f>IFERROR(VLOOKUP(W405,'Estimación CRP'!$D$21:$E$30,2,FALSE),0)</f>
        <v>10</v>
      </c>
      <c r="Q405" s="637">
        <f>IF(O405="No aplica","No aplica",WORKDAY.INTL(O405,P405,1,'Estimación CRP'!A591:A607))</f>
        <v>43494</v>
      </c>
      <c r="R405" s="636">
        <f t="shared" si="118"/>
        <v>1</v>
      </c>
      <c r="S405" s="636">
        <f t="shared" si="119"/>
        <v>1</v>
      </c>
      <c r="T405" s="636">
        <f t="shared" si="120"/>
        <v>1</v>
      </c>
      <c r="U405" s="712">
        <v>10</v>
      </c>
      <c r="V405" s="638">
        <v>1</v>
      </c>
      <c r="W405" s="639" t="s">
        <v>274</v>
      </c>
      <c r="X405" s="640" t="str">
        <f>IFERROR(VLOOKUP(W405,Listas!$A$60:$B$73,2,FALSE),"Alerta: Seleccione primero Modalidad de selección")</f>
        <v>CCE-16</v>
      </c>
      <c r="Y405" s="641">
        <v>0</v>
      </c>
      <c r="Z405" s="641" t="s">
        <v>346</v>
      </c>
      <c r="AA405" s="641" t="s">
        <v>1338</v>
      </c>
      <c r="AB405" s="642">
        <f t="shared" si="121"/>
        <v>26300000</v>
      </c>
      <c r="AC405" s="642">
        <f t="shared" si="122"/>
        <v>26300000</v>
      </c>
      <c r="AD405" s="641">
        <v>0</v>
      </c>
      <c r="AE405" s="643">
        <v>0</v>
      </c>
      <c r="AF405" s="639" t="s">
        <v>276</v>
      </c>
      <c r="AG405" s="639" t="s">
        <v>277</v>
      </c>
      <c r="AH405" s="639" t="s">
        <v>573</v>
      </c>
      <c r="AI405" s="626" t="str">
        <f>IFERROR(VLOOKUP(AH405,Listas!$A$77:$C$83,2,FALSE),"Alerta: Seleccione primero el responsable")</f>
        <v>3550800</v>
      </c>
      <c r="AJ405" s="640" t="str">
        <f>IFERROR(VLOOKUP(AH405,Listas!$A$77:$C$83,3,FALSE),"Alerta: Seleccione primero el responsable")</f>
        <v>carolina.fernandez@idpc.gov.co</v>
      </c>
      <c r="AK405" s="640" t="str">
        <f>IF(J405="Funcionamiento Gastos Generales","No aplica",IF(J405="Funcionamiento Servicios Personales indirectos","No aplica",IFERROR(VLOOKUP(J405,Listas!$A$127:$E$139,3,FALSE),"Alerta: Seleccione la celda en la comumna B con el nombre del proyecto")))</f>
        <v>ME20181114</v>
      </c>
      <c r="AL405" s="640" t="str">
        <f>IF(J405="Funcionamiento Gastos Generales","No aplica",IF(J405="Funcionamiento Servicios Personales","No aplica",IFERROR(VLOOKUP(J405,Listas!$A$220:$D$224,2,FALSE),"Alerta: Seleccione la celda en la comumna B con el nombre del proyecto")))</f>
        <v>COMP1114</v>
      </c>
      <c r="AM405" s="640" t="str">
        <f>IF(J405="Funcionamiento Gastos Generales","No aplica",IF(J405="Funcionamiento Servicios Personales","No aplica",IFERROR(VLOOKUP(J405,Listas!$A$220:$D$224,3,FALSE),"Alerta: Seleccione la celda en la comumna B con el nombre del proyecto")))</f>
        <v>CONC1114</v>
      </c>
      <c r="AN405" s="633" t="s">
        <v>1054</v>
      </c>
      <c r="AO405" s="633" t="s">
        <v>312</v>
      </c>
      <c r="AP405" s="634" t="str">
        <f>IFERROR(VLOOKUP(J405,Listas!$A$182:$E$215,5,FALSE),"Alerta: Seleccione la celda en la comumna B con el nombre del proyecto")</f>
        <v>4. Obras de Intervención en Bienes muebles - inmuebles y sectores que conforman el patrimonio cultural del D.C.</v>
      </c>
      <c r="AQ405" s="634" t="str">
        <f>IF(J405="Funcionamiento Gastos Generales","No aplica",IF(J405="Funcionamiento Servicios Personales","No aplica",IFERROR(VLOOKUP(J405,Listas!$A$220:$D$224,4,FALSE),"Alerta: Seleccione la celda en la comumna B con el nombre del proyecto")))</f>
        <v>FONT1114</v>
      </c>
      <c r="AR405" s="633" t="s">
        <v>198</v>
      </c>
      <c r="AS405" s="634" t="str">
        <f>IFERROR(VLOOKUP(AU405,Listas!$E$85:$L$105,7,FALSE),"Alerta: Seleccione la celda en la comumna AI con el concepto de gasto")</f>
        <v>01-INFRAESTRUCTURA</v>
      </c>
      <c r="AT405" s="634" t="str">
        <f>IFERROR(VLOOKUP(AU405,Listas!$E$85:$L$105,8,FALSE),"Alerta: Seleccione la celda en la comumna AI con el concepto de gasto")</f>
        <v>03-MEJORAMIENTO Y MANTENIMIENTO DE INFRAESTRUCTURA PROPIA DEL SECTOR</v>
      </c>
      <c r="AU405" s="633" t="s">
        <v>225</v>
      </c>
      <c r="AV405" s="634">
        <f>IFERROR(VLOOKUP(AU405,Listas!$E$85:$F$105,2,FALSE),"Alerta: Seleccione el Concepto de Gasto primero")</f>
        <v>1</v>
      </c>
      <c r="AW405" s="644">
        <v>26300000</v>
      </c>
      <c r="AX405" s="645"/>
      <c r="AY405" s="645"/>
      <c r="AZ405" s="645"/>
      <c r="BA405" s="646">
        <f t="shared" si="123"/>
        <v>26300000</v>
      </c>
      <c r="BB405" s="647"/>
      <c r="BC405" s="648"/>
      <c r="BD405" s="649"/>
      <c r="BE405" s="647"/>
      <c r="BF405" s="644"/>
      <c r="BG405" s="646">
        <f t="shared" si="124"/>
        <v>26300000</v>
      </c>
      <c r="BH405" s="650"/>
      <c r="BI405" s="647"/>
      <c r="BJ405" s="644"/>
      <c r="BK405" s="646">
        <f t="shared" si="125"/>
        <v>0</v>
      </c>
      <c r="BL405" s="651"/>
      <c r="BM405" s="652">
        <f t="shared" si="126"/>
        <v>1</v>
      </c>
      <c r="BN405" s="628"/>
      <c r="BO405" s="670"/>
      <c r="BP405" s="644"/>
      <c r="BQ405" s="644"/>
      <c r="BR405" s="644"/>
      <c r="BS405" s="644"/>
      <c r="BT405" s="644"/>
      <c r="BU405" s="644"/>
      <c r="BV405" s="644"/>
      <c r="BW405" s="644"/>
      <c r="BX405" s="644"/>
      <c r="BY405" s="644"/>
      <c r="BZ405" s="644"/>
      <c r="CA405" s="644"/>
      <c r="CB405" s="646">
        <f t="shared" si="127"/>
        <v>0</v>
      </c>
      <c r="CC405" s="646">
        <f t="shared" si="128"/>
        <v>0</v>
      </c>
      <c r="CD405" s="614"/>
    </row>
    <row r="406" spans="1:85" s="561" customFormat="1" ht="61.5" customHeight="1">
      <c r="A406" s="625" t="str">
        <f t="shared" si="110"/>
        <v>1114-140-FONT1114-01-03-0103-Monumentos en espacios públicos a intervenir</v>
      </c>
      <c r="B406" s="626" t="str">
        <f t="shared" si="111"/>
        <v>1114-140-FONT1114-01-03-0103</v>
      </c>
      <c r="C406" s="626" t="str">
        <f t="shared" si="112"/>
        <v>1114-140-FONT1114-Monumentos en espacios públicos a intervenir</v>
      </c>
      <c r="D406" s="626" t="str">
        <f t="shared" si="113"/>
        <v>1114-140-12-Otros Distrito-01-03-0103</v>
      </c>
      <c r="E406" s="626" t="str">
        <f t="shared" si="114"/>
        <v>Monumentos en espacios públicos a intervenir-12-Otros Distrito-0103-Administración, mantenimiento y mejoramiento de los bienes muebles e inmuebles ubicados en el espacio público del Distrito Capital</v>
      </c>
      <c r="F406" s="627">
        <v>351</v>
      </c>
      <c r="G406" s="628">
        <f t="shared" si="115"/>
        <v>351</v>
      </c>
      <c r="H406" s="629" t="b">
        <f t="shared" si="116"/>
        <v>0</v>
      </c>
      <c r="I406" s="630" t="s">
        <v>594</v>
      </c>
      <c r="J406" s="627" t="s">
        <v>180</v>
      </c>
      <c r="K406" s="631" t="str">
        <f>+IFERROR(VLOOKUP(J406,Listas!$A$108:$B$114,2,FALSE),"Alerta: Seleccione la celda en la comumna B con el nombre del proyecto")</f>
        <v>3-3-1-15-02-17-1114-140</v>
      </c>
      <c r="L406" s="632" t="s">
        <v>932</v>
      </c>
      <c r="M406" s="633" t="s">
        <v>934</v>
      </c>
      <c r="N406" s="634" t="str">
        <f t="shared" si="117"/>
        <v>(Cód. 351) Prestar servicios de apoyo a la gestión al Instituto Distrital de Patrimonio Cultural para la correcta ejecución de las intervenciones de mantenimiento y conservación que se adelantan sobre bienes muebles en espacio público, de acuerdo con la programación establecida.</v>
      </c>
      <c r="O406" s="635">
        <v>43480</v>
      </c>
      <c r="P406" s="636">
        <f>IFERROR(VLOOKUP(W406,'Estimación CRP'!$D$21:$E$30,2,FALSE),0)</f>
        <v>10</v>
      </c>
      <c r="Q406" s="637">
        <f>IF(O406="No aplica","No aplica",WORKDAY.INTL(O406,P406,1,'Estimación CRP'!A592:A608))</f>
        <v>43494</v>
      </c>
      <c r="R406" s="636">
        <f t="shared" si="118"/>
        <v>1</v>
      </c>
      <c r="S406" s="636">
        <f t="shared" si="119"/>
        <v>1</v>
      </c>
      <c r="T406" s="636">
        <f t="shared" si="120"/>
        <v>1</v>
      </c>
      <c r="U406" s="712">
        <v>10</v>
      </c>
      <c r="V406" s="638">
        <v>1</v>
      </c>
      <c r="W406" s="639" t="s">
        <v>274</v>
      </c>
      <c r="X406" s="640" t="str">
        <f>IFERROR(VLOOKUP(W406,Listas!$A$60:$B$73,2,FALSE),"Alerta: Seleccione primero Modalidad de selección")</f>
        <v>CCE-16</v>
      </c>
      <c r="Y406" s="641">
        <v>0</v>
      </c>
      <c r="Z406" s="641" t="s">
        <v>346</v>
      </c>
      <c r="AA406" s="641" t="s">
        <v>1338</v>
      </c>
      <c r="AB406" s="642">
        <f t="shared" si="121"/>
        <v>26300000</v>
      </c>
      <c r="AC406" s="642">
        <f t="shared" si="122"/>
        <v>26300000</v>
      </c>
      <c r="AD406" s="641">
        <v>0</v>
      </c>
      <c r="AE406" s="643">
        <v>0</v>
      </c>
      <c r="AF406" s="639" t="s">
        <v>276</v>
      </c>
      <c r="AG406" s="639" t="s">
        <v>277</v>
      </c>
      <c r="AH406" s="639" t="s">
        <v>573</v>
      </c>
      <c r="AI406" s="626" t="str">
        <f>IFERROR(VLOOKUP(AH406,Listas!$A$77:$C$83,2,FALSE),"Alerta: Seleccione primero el responsable")</f>
        <v>3550800</v>
      </c>
      <c r="AJ406" s="640" t="str">
        <f>IFERROR(VLOOKUP(AH406,Listas!$A$77:$C$83,3,FALSE),"Alerta: Seleccione primero el responsable")</f>
        <v>carolina.fernandez@idpc.gov.co</v>
      </c>
      <c r="AK406" s="640" t="str">
        <f>IF(J406="Funcionamiento Gastos Generales","No aplica",IF(J406="Funcionamiento Servicios Personales indirectos","No aplica",IFERROR(VLOOKUP(J406,Listas!$A$127:$E$139,3,FALSE),"Alerta: Seleccione la celda en la comumna B con el nombre del proyecto")))</f>
        <v>ME20181114</v>
      </c>
      <c r="AL406" s="640" t="str">
        <f>IF(J406="Funcionamiento Gastos Generales","No aplica",IF(J406="Funcionamiento Servicios Personales","No aplica",IFERROR(VLOOKUP(J406,Listas!$A$220:$D$224,2,FALSE),"Alerta: Seleccione la celda en la comumna B con el nombre del proyecto")))</f>
        <v>COMP1114</v>
      </c>
      <c r="AM406" s="640" t="str">
        <f>IF(J406="Funcionamiento Gastos Generales","No aplica",IF(J406="Funcionamiento Servicios Personales","No aplica",IFERROR(VLOOKUP(J406,Listas!$A$220:$D$224,3,FALSE),"Alerta: Seleccione la celda en la comumna B con el nombre del proyecto")))</f>
        <v>CONC1114</v>
      </c>
      <c r="AN406" s="633" t="s">
        <v>1054</v>
      </c>
      <c r="AO406" s="633" t="s">
        <v>312</v>
      </c>
      <c r="AP406" s="634" t="str">
        <f>IFERROR(VLOOKUP(J406,Listas!$A$182:$E$215,5,FALSE),"Alerta: Seleccione la celda en la comumna B con el nombre del proyecto")</f>
        <v>4. Obras de Intervención en Bienes muebles - inmuebles y sectores que conforman el patrimonio cultural del D.C.</v>
      </c>
      <c r="AQ406" s="634" t="str">
        <f>IF(J406="Funcionamiento Gastos Generales","No aplica",IF(J406="Funcionamiento Servicios Personales","No aplica",IFERROR(VLOOKUP(J406,Listas!$A$220:$D$224,4,FALSE),"Alerta: Seleccione la celda en la comumna B con el nombre del proyecto")))</f>
        <v>FONT1114</v>
      </c>
      <c r="AR406" s="633" t="s">
        <v>198</v>
      </c>
      <c r="AS406" s="634" t="str">
        <f>IFERROR(VLOOKUP(AU406,Listas!$E$85:$L$105,7,FALSE),"Alerta: Seleccione la celda en la comumna AI con el concepto de gasto")</f>
        <v>01-INFRAESTRUCTURA</v>
      </c>
      <c r="AT406" s="634" t="str">
        <f>IFERROR(VLOOKUP(AU406,Listas!$E$85:$L$105,8,FALSE),"Alerta: Seleccione la celda en la comumna AI con el concepto de gasto")</f>
        <v>03-MEJORAMIENTO Y MANTENIMIENTO DE INFRAESTRUCTURA PROPIA DEL SECTOR</v>
      </c>
      <c r="AU406" s="633" t="s">
        <v>225</v>
      </c>
      <c r="AV406" s="634">
        <f>IFERROR(VLOOKUP(AU406,Listas!$E$85:$F$105,2,FALSE),"Alerta: Seleccione el Concepto de Gasto primero")</f>
        <v>1</v>
      </c>
      <c r="AW406" s="644">
        <v>26300000</v>
      </c>
      <c r="AX406" s="645"/>
      <c r="AY406" s="645"/>
      <c r="AZ406" s="645"/>
      <c r="BA406" s="646">
        <f t="shared" si="123"/>
        <v>26300000</v>
      </c>
      <c r="BB406" s="647"/>
      <c r="BC406" s="648"/>
      <c r="BD406" s="649"/>
      <c r="BE406" s="647"/>
      <c r="BF406" s="644"/>
      <c r="BG406" s="646">
        <f t="shared" si="124"/>
        <v>26300000</v>
      </c>
      <c r="BH406" s="650"/>
      <c r="BI406" s="647"/>
      <c r="BJ406" s="644"/>
      <c r="BK406" s="646">
        <f t="shared" si="125"/>
        <v>0</v>
      </c>
      <c r="BL406" s="651"/>
      <c r="BM406" s="652">
        <f t="shared" si="126"/>
        <v>1</v>
      </c>
      <c r="BN406" s="628"/>
      <c r="BO406" s="670"/>
      <c r="BP406" s="644"/>
      <c r="BQ406" s="644"/>
      <c r="BR406" s="644"/>
      <c r="BS406" s="644"/>
      <c r="BT406" s="644"/>
      <c r="BU406" s="644"/>
      <c r="BV406" s="644"/>
      <c r="BW406" s="644"/>
      <c r="BX406" s="644"/>
      <c r="BY406" s="644"/>
      <c r="BZ406" s="644"/>
      <c r="CA406" s="644"/>
      <c r="CB406" s="646">
        <f t="shared" si="127"/>
        <v>0</v>
      </c>
      <c r="CC406" s="646">
        <f t="shared" si="128"/>
        <v>0</v>
      </c>
      <c r="CD406" s="614"/>
    </row>
    <row r="407" spans="1:85" s="561" customFormat="1" ht="61.5" customHeight="1">
      <c r="A407" s="625" t="str">
        <f t="shared" si="110"/>
        <v>1114-140-FONT1114-01-03-0103-Monumentos en espacios públicos a intervenir</v>
      </c>
      <c r="B407" s="626" t="str">
        <f t="shared" si="111"/>
        <v>1114-140-FONT1114-01-03-0103</v>
      </c>
      <c r="C407" s="626" t="str">
        <f t="shared" si="112"/>
        <v>1114-140-FONT1114-Monumentos en espacios públicos a intervenir</v>
      </c>
      <c r="D407" s="626" t="str">
        <f t="shared" si="113"/>
        <v>1114-140-12-Otros Distrito-01-03-0103</v>
      </c>
      <c r="E407" s="626" t="str">
        <f t="shared" si="114"/>
        <v>Monumentos en espacios públicos a intervenir-12-Otros Distrito-0103-Administración, mantenimiento y mejoramiento de los bienes muebles e inmuebles ubicados en el espacio público del Distrito Capital</v>
      </c>
      <c r="F407" s="627">
        <v>352</v>
      </c>
      <c r="G407" s="628">
        <f t="shared" si="115"/>
        <v>352</v>
      </c>
      <c r="H407" s="629" t="b">
        <f t="shared" si="116"/>
        <v>0</v>
      </c>
      <c r="I407" s="630" t="s">
        <v>594</v>
      </c>
      <c r="J407" s="627" t="s">
        <v>180</v>
      </c>
      <c r="K407" s="631" t="str">
        <f>+IFERROR(VLOOKUP(J407,Listas!$A$108:$B$114,2,FALSE),"Alerta: Seleccione la celda en la comumna B con el nombre del proyecto")</f>
        <v>3-3-1-15-02-17-1114-140</v>
      </c>
      <c r="L407" s="632" t="s">
        <v>932</v>
      </c>
      <c r="M407" s="633" t="s">
        <v>934</v>
      </c>
      <c r="N407" s="634" t="str">
        <f t="shared" si="117"/>
        <v>(Cód. 352) Prestar servicios de apoyo a la gestión al Instituto Distrital de Patrimonio Cultural para la correcta ejecución de las intervenciones de mantenimiento y conservación que se adelantan sobre bienes muebles en espacio público, de acuerdo con la programación establecida.</v>
      </c>
      <c r="O407" s="635">
        <v>43480</v>
      </c>
      <c r="P407" s="636">
        <f>IFERROR(VLOOKUP(W407,'Estimación CRP'!$D$21:$E$30,2,FALSE),0)</f>
        <v>10</v>
      </c>
      <c r="Q407" s="637">
        <f>IF(O407="No aplica","No aplica",WORKDAY.INTL(O407,P407,1,'Estimación CRP'!A593:A609))</f>
        <v>43494</v>
      </c>
      <c r="R407" s="636">
        <f t="shared" si="118"/>
        <v>1</v>
      </c>
      <c r="S407" s="636">
        <f t="shared" si="119"/>
        <v>1</v>
      </c>
      <c r="T407" s="636">
        <f t="shared" si="120"/>
        <v>1</v>
      </c>
      <c r="U407" s="712">
        <v>10</v>
      </c>
      <c r="V407" s="638">
        <v>1</v>
      </c>
      <c r="W407" s="639" t="s">
        <v>274</v>
      </c>
      <c r="X407" s="640" t="str">
        <f>IFERROR(VLOOKUP(W407,Listas!$A$60:$B$73,2,FALSE),"Alerta: Seleccione primero Modalidad de selección")</f>
        <v>CCE-16</v>
      </c>
      <c r="Y407" s="641">
        <v>0</v>
      </c>
      <c r="Z407" s="641" t="s">
        <v>346</v>
      </c>
      <c r="AA407" s="641" t="s">
        <v>1338</v>
      </c>
      <c r="AB407" s="642">
        <f t="shared" si="121"/>
        <v>26300000</v>
      </c>
      <c r="AC407" s="642">
        <f t="shared" si="122"/>
        <v>26300000</v>
      </c>
      <c r="AD407" s="641">
        <v>0</v>
      </c>
      <c r="AE407" s="643">
        <v>0</v>
      </c>
      <c r="AF407" s="639" t="s">
        <v>276</v>
      </c>
      <c r="AG407" s="639" t="s">
        <v>277</v>
      </c>
      <c r="AH407" s="639" t="s">
        <v>573</v>
      </c>
      <c r="AI407" s="626" t="str">
        <f>IFERROR(VLOOKUP(AH407,Listas!$A$77:$C$83,2,FALSE),"Alerta: Seleccione primero el responsable")</f>
        <v>3550800</v>
      </c>
      <c r="AJ407" s="640" t="str">
        <f>IFERROR(VLOOKUP(AH407,Listas!$A$77:$C$83,3,FALSE),"Alerta: Seleccione primero el responsable")</f>
        <v>carolina.fernandez@idpc.gov.co</v>
      </c>
      <c r="AK407" s="640" t="str">
        <f>IF(J407="Funcionamiento Gastos Generales","No aplica",IF(J407="Funcionamiento Servicios Personales indirectos","No aplica",IFERROR(VLOOKUP(J407,Listas!$A$127:$E$139,3,FALSE),"Alerta: Seleccione la celda en la comumna B con el nombre del proyecto")))</f>
        <v>ME20181114</v>
      </c>
      <c r="AL407" s="640" t="str">
        <f>IF(J407="Funcionamiento Gastos Generales","No aplica",IF(J407="Funcionamiento Servicios Personales","No aplica",IFERROR(VLOOKUP(J407,Listas!$A$220:$D$224,2,FALSE),"Alerta: Seleccione la celda en la comumna B con el nombre del proyecto")))</f>
        <v>COMP1114</v>
      </c>
      <c r="AM407" s="640" t="str">
        <f>IF(J407="Funcionamiento Gastos Generales","No aplica",IF(J407="Funcionamiento Servicios Personales","No aplica",IFERROR(VLOOKUP(J407,Listas!$A$220:$D$224,3,FALSE),"Alerta: Seleccione la celda en la comumna B con el nombre del proyecto")))</f>
        <v>CONC1114</v>
      </c>
      <c r="AN407" s="633" t="s">
        <v>1054</v>
      </c>
      <c r="AO407" s="633" t="s">
        <v>312</v>
      </c>
      <c r="AP407" s="634" t="str">
        <f>IFERROR(VLOOKUP(J407,Listas!$A$182:$E$215,5,FALSE),"Alerta: Seleccione la celda en la comumna B con el nombre del proyecto")</f>
        <v>4. Obras de Intervención en Bienes muebles - inmuebles y sectores que conforman el patrimonio cultural del D.C.</v>
      </c>
      <c r="AQ407" s="634" t="str">
        <f>IF(J407="Funcionamiento Gastos Generales","No aplica",IF(J407="Funcionamiento Servicios Personales","No aplica",IFERROR(VLOOKUP(J407,Listas!$A$220:$D$224,4,FALSE),"Alerta: Seleccione la celda en la comumna B con el nombre del proyecto")))</f>
        <v>FONT1114</v>
      </c>
      <c r="AR407" s="633" t="s">
        <v>198</v>
      </c>
      <c r="AS407" s="634" t="str">
        <f>IFERROR(VLOOKUP(AU407,Listas!$E$85:$L$105,7,FALSE),"Alerta: Seleccione la celda en la comumna AI con el concepto de gasto")</f>
        <v>01-INFRAESTRUCTURA</v>
      </c>
      <c r="AT407" s="634" t="str">
        <f>IFERROR(VLOOKUP(AU407,Listas!$E$85:$L$105,8,FALSE),"Alerta: Seleccione la celda en la comumna AI con el concepto de gasto")</f>
        <v>03-MEJORAMIENTO Y MANTENIMIENTO DE INFRAESTRUCTURA PROPIA DEL SECTOR</v>
      </c>
      <c r="AU407" s="633" t="s">
        <v>225</v>
      </c>
      <c r="AV407" s="634">
        <f>IFERROR(VLOOKUP(AU407,Listas!$E$85:$F$105,2,FALSE),"Alerta: Seleccione el Concepto de Gasto primero")</f>
        <v>1</v>
      </c>
      <c r="AW407" s="644">
        <v>26300000</v>
      </c>
      <c r="AX407" s="645"/>
      <c r="AY407" s="645"/>
      <c r="AZ407" s="645"/>
      <c r="BA407" s="646">
        <f t="shared" si="123"/>
        <v>26300000</v>
      </c>
      <c r="BB407" s="647"/>
      <c r="BC407" s="648"/>
      <c r="BD407" s="649"/>
      <c r="BE407" s="647"/>
      <c r="BF407" s="644"/>
      <c r="BG407" s="646">
        <f t="shared" si="124"/>
        <v>26300000</v>
      </c>
      <c r="BH407" s="650"/>
      <c r="BI407" s="647"/>
      <c r="BJ407" s="644"/>
      <c r="BK407" s="646">
        <f t="shared" si="125"/>
        <v>0</v>
      </c>
      <c r="BL407" s="651"/>
      <c r="BM407" s="652">
        <f t="shared" si="126"/>
        <v>1</v>
      </c>
      <c r="BN407" s="628"/>
      <c r="BO407" s="670"/>
      <c r="BP407" s="644"/>
      <c r="BQ407" s="644"/>
      <c r="BR407" s="644"/>
      <c r="BS407" s="644"/>
      <c r="BT407" s="644"/>
      <c r="BU407" s="644"/>
      <c r="BV407" s="644"/>
      <c r="BW407" s="644"/>
      <c r="BX407" s="644"/>
      <c r="BY407" s="644"/>
      <c r="BZ407" s="644"/>
      <c r="CA407" s="644"/>
      <c r="CB407" s="646">
        <f t="shared" si="127"/>
        <v>0</v>
      </c>
      <c r="CC407" s="646">
        <f t="shared" si="128"/>
        <v>0</v>
      </c>
      <c r="CD407" s="614"/>
      <c r="CG407" s="561" t="s">
        <v>589</v>
      </c>
    </row>
    <row r="408" spans="1:85" s="653" customFormat="1" ht="61.5" customHeight="1">
      <c r="A408" s="625" t="str">
        <f t="shared" si="110"/>
        <v>1114-140-FONT1114-01-03-0103-Monumentos en espacios públicos a intervenir</v>
      </c>
      <c r="B408" s="626" t="str">
        <f t="shared" si="111"/>
        <v>1114-140-FONT1114-01-03-0103</v>
      </c>
      <c r="C408" s="626" t="str">
        <f t="shared" si="112"/>
        <v>1114-140-FONT1114-Monumentos en espacios públicos a intervenir</v>
      </c>
      <c r="D408" s="626" t="str">
        <f t="shared" si="113"/>
        <v>1114-140-12-Otros Distrito-01-03-0103</v>
      </c>
      <c r="E408" s="626" t="str">
        <f t="shared" si="114"/>
        <v>Monumentos en espacios públicos a intervenir-12-Otros Distrito-0103-Administración, mantenimiento y mejoramiento de los bienes muebles e inmuebles ubicados en el espacio público del Distrito Capital</v>
      </c>
      <c r="F408" s="627">
        <v>353</v>
      </c>
      <c r="G408" s="628">
        <f t="shared" si="115"/>
        <v>353</v>
      </c>
      <c r="H408" s="629" t="b">
        <f t="shared" si="116"/>
        <v>0</v>
      </c>
      <c r="I408" s="630" t="s">
        <v>594</v>
      </c>
      <c r="J408" s="627" t="s">
        <v>180</v>
      </c>
      <c r="K408" s="631" t="str">
        <f>+IFERROR(VLOOKUP(J408,Listas!$A$108:$B$114,2,FALSE),"Alerta: Seleccione la celda en la comumna B con el nombre del proyecto")</f>
        <v>3-3-1-15-02-17-1114-140</v>
      </c>
      <c r="L408" s="632" t="s">
        <v>932</v>
      </c>
      <c r="M408" s="633" t="s">
        <v>934</v>
      </c>
      <c r="N408" s="634" t="str">
        <f t="shared" si="117"/>
        <v>(Cód. 353) Prestar servicios de apoyo a la gestión al Instituto Distrital de Patrimonio Cultural para la correcta ejecución de las intervenciones de mantenimiento y conservación que se adelantan sobre bienes muebles en espacio público, de acuerdo con la programación establecida.</v>
      </c>
      <c r="O408" s="635">
        <v>43480</v>
      </c>
      <c r="P408" s="636">
        <f>IFERROR(VLOOKUP(W408,'Estimación CRP'!$D$21:$E$30,2,FALSE),0)</f>
        <v>10</v>
      </c>
      <c r="Q408" s="637">
        <f>IF(O408="No aplica","No aplica",WORKDAY.INTL(O408,P408,1,'Estimación CRP'!A594:A610))</f>
        <v>43494</v>
      </c>
      <c r="R408" s="636">
        <f t="shared" si="118"/>
        <v>1</v>
      </c>
      <c r="S408" s="636">
        <f t="shared" si="119"/>
        <v>1</v>
      </c>
      <c r="T408" s="636">
        <f t="shared" si="120"/>
        <v>1</v>
      </c>
      <c r="U408" s="712">
        <v>10</v>
      </c>
      <c r="V408" s="638">
        <v>1</v>
      </c>
      <c r="W408" s="639" t="s">
        <v>274</v>
      </c>
      <c r="X408" s="640" t="str">
        <f>IFERROR(VLOOKUP(W408,Listas!$A$60:$B$73,2,FALSE),"Alerta: Seleccione primero Modalidad de selección")</f>
        <v>CCE-16</v>
      </c>
      <c r="Y408" s="641">
        <v>0</v>
      </c>
      <c r="Z408" s="641" t="s">
        <v>346</v>
      </c>
      <c r="AA408" s="641" t="s">
        <v>1338</v>
      </c>
      <c r="AB408" s="642">
        <f t="shared" si="121"/>
        <v>26300000</v>
      </c>
      <c r="AC408" s="642">
        <f t="shared" si="122"/>
        <v>26300000</v>
      </c>
      <c r="AD408" s="641">
        <v>0</v>
      </c>
      <c r="AE408" s="643">
        <v>0</v>
      </c>
      <c r="AF408" s="639" t="s">
        <v>276</v>
      </c>
      <c r="AG408" s="639" t="s">
        <v>277</v>
      </c>
      <c r="AH408" s="639" t="s">
        <v>573</v>
      </c>
      <c r="AI408" s="626" t="str">
        <f>IFERROR(VLOOKUP(AH408,Listas!$A$77:$C$83,2,FALSE),"Alerta: Seleccione primero el responsable")</f>
        <v>3550800</v>
      </c>
      <c r="AJ408" s="640" t="str">
        <f>IFERROR(VLOOKUP(AH408,Listas!$A$77:$C$83,3,FALSE),"Alerta: Seleccione primero el responsable")</f>
        <v>carolina.fernandez@idpc.gov.co</v>
      </c>
      <c r="AK408" s="640" t="str">
        <f>IF(J408="Funcionamiento Gastos Generales","No aplica",IF(J408="Funcionamiento Servicios Personales indirectos","No aplica",IFERROR(VLOOKUP(J408,Listas!$A$127:$E$139,3,FALSE),"Alerta: Seleccione la celda en la comumna B con el nombre del proyecto")))</f>
        <v>ME20181114</v>
      </c>
      <c r="AL408" s="640" t="str">
        <f>IF(J408="Funcionamiento Gastos Generales","No aplica",IF(J408="Funcionamiento Servicios Personales","No aplica",IFERROR(VLOOKUP(J408,Listas!$A$220:$D$224,2,FALSE),"Alerta: Seleccione la celda en la comumna B con el nombre del proyecto")))</f>
        <v>COMP1114</v>
      </c>
      <c r="AM408" s="640" t="str">
        <f>IF(J408="Funcionamiento Gastos Generales","No aplica",IF(J408="Funcionamiento Servicios Personales","No aplica",IFERROR(VLOOKUP(J408,Listas!$A$220:$D$224,3,FALSE),"Alerta: Seleccione la celda en la comumna B con el nombre del proyecto")))</f>
        <v>CONC1114</v>
      </c>
      <c r="AN408" s="633" t="s">
        <v>1054</v>
      </c>
      <c r="AO408" s="633" t="s">
        <v>312</v>
      </c>
      <c r="AP408" s="634" t="str">
        <f>IFERROR(VLOOKUP(J408,Listas!$A$182:$E$215,5,FALSE),"Alerta: Seleccione la celda en la comumna B con el nombre del proyecto")</f>
        <v>4. Obras de Intervención en Bienes muebles - inmuebles y sectores que conforman el patrimonio cultural del D.C.</v>
      </c>
      <c r="AQ408" s="634" t="str">
        <f>IF(J408="Funcionamiento Gastos Generales","No aplica",IF(J408="Funcionamiento Servicios Personales","No aplica",IFERROR(VLOOKUP(J408,Listas!$A$220:$D$224,4,FALSE),"Alerta: Seleccione la celda en la comumna B con el nombre del proyecto")))</f>
        <v>FONT1114</v>
      </c>
      <c r="AR408" s="633" t="s">
        <v>198</v>
      </c>
      <c r="AS408" s="634" t="str">
        <f>IFERROR(VLOOKUP(AU408,Listas!$E$85:$L$105,7,FALSE),"Alerta: Seleccione la celda en la comumna AI con el concepto de gasto")</f>
        <v>01-INFRAESTRUCTURA</v>
      </c>
      <c r="AT408" s="634" t="str">
        <f>IFERROR(VLOOKUP(AU408,Listas!$E$85:$L$105,8,FALSE),"Alerta: Seleccione la celda en la comumna AI con el concepto de gasto")</f>
        <v>03-MEJORAMIENTO Y MANTENIMIENTO DE INFRAESTRUCTURA PROPIA DEL SECTOR</v>
      </c>
      <c r="AU408" s="633" t="s">
        <v>225</v>
      </c>
      <c r="AV408" s="634">
        <f>IFERROR(VLOOKUP(AU408,Listas!$E$85:$F$105,2,FALSE),"Alerta: Seleccione el Concepto de Gasto primero")</f>
        <v>1</v>
      </c>
      <c r="AW408" s="644">
        <v>26300000</v>
      </c>
      <c r="AX408" s="645"/>
      <c r="AY408" s="645"/>
      <c r="AZ408" s="645"/>
      <c r="BA408" s="646">
        <f t="shared" si="123"/>
        <v>26300000</v>
      </c>
      <c r="BB408" s="647"/>
      <c r="BC408" s="648"/>
      <c r="BD408" s="649"/>
      <c r="BE408" s="647"/>
      <c r="BF408" s="644"/>
      <c r="BG408" s="646">
        <f t="shared" si="124"/>
        <v>26300000</v>
      </c>
      <c r="BH408" s="650"/>
      <c r="BI408" s="647"/>
      <c r="BJ408" s="644"/>
      <c r="BK408" s="646">
        <f t="shared" si="125"/>
        <v>0</v>
      </c>
      <c r="BL408" s="651"/>
      <c r="BM408" s="652">
        <f t="shared" si="126"/>
        <v>1</v>
      </c>
      <c r="BN408" s="628"/>
      <c r="BO408" s="670"/>
      <c r="BP408" s="644"/>
      <c r="BQ408" s="644"/>
      <c r="BR408" s="644"/>
      <c r="BS408" s="644"/>
      <c r="BT408" s="644"/>
      <c r="BU408" s="644"/>
      <c r="BV408" s="644"/>
      <c r="BW408" s="644"/>
      <c r="BX408" s="644"/>
      <c r="BY408" s="644"/>
      <c r="BZ408" s="644"/>
      <c r="CA408" s="644"/>
      <c r="CB408" s="646">
        <f t="shared" si="127"/>
        <v>0</v>
      </c>
      <c r="CC408" s="646">
        <f t="shared" si="128"/>
        <v>0</v>
      </c>
      <c r="CD408" s="614"/>
    </row>
    <row r="409" spans="1:85" s="561" customFormat="1" ht="61.5" customHeight="1">
      <c r="A409" s="625" t="str">
        <f t="shared" si="110"/>
        <v>1114-140-FONT1114-01-03-0103-Monumentos en espacios públicos a intervenir</v>
      </c>
      <c r="B409" s="626" t="str">
        <f t="shared" si="111"/>
        <v>1114-140-FONT1114-01-03-0103</v>
      </c>
      <c r="C409" s="626" t="str">
        <f t="shared" si="112"/>
        <v>1114-140-FONT1114-Monumentos en espacios públicos a intervenir</v>
      </c>
      <c r="D409" s="626" t="str">
        <f t="shared" si="113"/>
        <v>1114-140-12-Otros Distrito-01-03-0103</v>
      </c>
      <c r="E409" s="626" t="str">
        <f t="shared" si="114"/>
        <v>Monumentos en espacios públicos a intervenir-12-Otros Distrito-0103-Administración, mantenimiento y mejoramiento de los bienes muebles e inmuebles ubicados en el espacio público del Distrito Capital</v>
      </c>
      <c r="F409" s="627">
        <v>354</v>
      </c>
      <c r="G409" s="628">
        <f t="shared" si="115"/>
        <v>354</v>
      </c>
      <c r="H409" s="629" t="b">
        <f t="shared" si="116"/>
        <v>0</v>
      </c>
      <c r="I409" s="630" t="s">
        <v>594</v>
      </c>
      <c r="J409" s="627" t="s">
        <v>180</v>
      </c>
      <c r="K409" s="631" t="str">
        <f>+IFERROR(VLOOKUP(J409,Listas!$A$108:$B$114,2,FALSE),"Alerta: Seleccione la celda en la comumna B con el nombre del proyecto")</f>
        <v>3-3-1-15-02-17-1114-140</v>
      </c>
      <c r="L409" s="632" t="s">
        <v>932</v>
      </c>
      <c r="M409" s="633" t="s">
        <v>934</v>
      </c>
      <c r="N409" s="634" t="str">
        <f t="shared" si="117"/>
        <v>(Cód. 354) Prestar servicios de apoyo a la gestión al Instituto Distrital de Patrimonio Cultural para la correcta ejecución de las intervenciones de mantenimiento y conservación que se adelantan sobre bienes muebles en espacio público, de acuerdo con la programación establecida.</v>
      </c>
      <c r="O409" s="635">
        <v>43480</v>
      </c>
      <c r="P409" s="636">
        <f>IFERROR(VLOOKUP(W409,'Estimación CRP'!$D$21:$E$30,2,FALSE),0)</f>
        <v>10</v>
      </c>
      <c r="Q409" s="637">
        <f>IF(O409="No aplica","No aplica",WORKDAY.INTL(O409,P409,1,'Estimación CRP'!A595:A611))</f>
        <v>43494</v>
      </c>
      <c r="R409" s="636">
        <f t="shared" si="118"/>
        <v>1</v>
      </c>
      <c r="S409" s="636">
        <f t="shared" si="119"/>
        <v>1</v>
      </c>
      <c r="T409" s="636">
        <f t="shared" si="120"/>
        <v>1</v>
      </c>
      <c r="U409" s="712">
        <v>10</v>
      </c>
      <c r="V409" s="638">
        <v>1</v>
      </c>
      <c r="W409" s="639" t="s">
        <v>274</v>
      </c>
      <c r="X409" s="640" t="str">
        <f>IFERROR(VLOOKUP(W409,Listas!$A$60:$B$73,2,FALSE),"Alerta: Seleccione primero Modalidad de selección")</f>
        <v>CCE-16</v>
      </c>
      <c r="Y409" s="641">
        <v>0</v>
      </c>
      <c r="Z409" s="641" t="s">
        <v>346</v>
      </c>
      <c r="AA409" s="641" t="s">
        <v>1338</v>
      </c>
      <c r="AB409" s="642">
        <f t="shared" si="121"/>
        <v>26300000</v>
      </c>
      <c r="AC409" s="642">
        <f t="shared" si="122"/>
        <v>26300000</v>
      </c>
      <c r="AD409" s="641">
        <v>0</v>
      </c>
      <c r="AE409" s="643">
        <v>0</v>
      </c>
      <c r="AF409" s="639" t="s">
        <v>276</v>
      </c>
      <c r="AG409" s="639" t="s">
        <v>277</v>
      </c>
      <c r="AH409" s="639" t="s">
        <v>573</v>
      </c>
      <c r="AI409" s="626" t="str">
        <f>IFERROR(VLOOKUP(AH409,Listas!$A$77:$C$83,2,FALSE),"Alerta: Seleccione primero el responsable")</f>
        <v>3550800</v>
      </c>
      <c r="AJ409" s="640" t="str">
        <f>IFERROR(VLOOKUP(AH409,Listas!$A$77:$C$83,3,FALSE),"Alerta: Seleccione primero el responsable")</f>
        <v>carolina.fernandez@idpc.gov.co</v>
      </c>
      <c r="AK409" s="640" t="str">
        <f>IF(J409="Funcionamiento Gastos Generales","No aplica",IF(J409="Funcionamiento Servicios Personales indirectos","No aplica",IFERROR(VLOOKUP(J409,Listas!$A$127:$E$139,3,FALSE),"Alerta: Seleccione la celda en la comumna B con el nombre del proyecto")))</f>
        <v>ME20181114</v>
      </c>
      <c r="AL409" s="640" t="str">
        <f>IF(J409="Funcionamiento Gastos Generales","No aplica",IF(J409="Funcionamiento Servicios Personales","No aplica",IFERROR(VLOOKUP(J409,Listas!$A$220:$D$224,2,FALSE),"Alerta: Seleccione la celda en la comumna B con el nombre del proyecto")))</f>
        <v>COMP1114</v>
      </c>
      <c r="AM409" s="640" t="str">
        <f>IF(J409="Funcionamiento Gastos Generales","No aplica",IF(J409="Funcionamiento Servicios Personales","No aplica",IFERROR(VLOOKUP(J409,Listas!$A$220:$D$224,3,FALSE),"Alerta: Seleccione la celda en la comumna B con el nombre del proyecto")))</f>
        <v>CONC1114</v>
      </c>
      <c r="AN409" s="633" t="s">
        <v>1054</v>
      </c>
      <c r="AO409" s="633" t="s">
        <v>312</v>
      </c>
      <c r="AP409" s="634" t="str">
        <f>IFERROR(VLOOKUP(J409,Listas!$A$182:$E$215,5,FALSE),"Alerta: Seleccione la celda en la comumna B con el nombre del proyecto")</f>
        <v>4. Obras de Intervención en Bienes muebles - inmuebles y sectores que conforman el patrimonio cultural del D.C.</v>
      </c>
      <c r="AQ409" s="634" t="str">
        <f>IF(J409="Funcionamiento Gastos Generales","No aplica",IF(J409="Funcionamiento Servicios Personales","No aplica",IFERROR(VLOOKUP(J409,Listas!$A$220:$D$224,4,FALSE),"Alerta: Seleccione la celda en la comumna B con el nombre del proyecto")))</f>
        <v>FONT1114</v>
      </c>
      <c r="AR409" s="633" t="s">
        <v>198</v>
      </c>
      <c r="AS409" s="634" t="str">
        <f>IFERROR(VLOOKUP(AU409,Listas!$E$85:$L$105,7,FALSE),"Alerta: Seleccione la celda en la comumna AI con el concepto de gasto")</f>
        <v>01-INFRAESTRUCTURA</v>
      </c>
      <c r="AT409" s="634" t="str">
        <f>IFERROR(VLOOKUP(AU409,Listas!$E$85:$L$105,8,FALSE),"Alerta: Seleccione la celda en la comumna AI con el concepto de gasto")</f>
        <v>03-MEJORAMIENTO Y MANTENIMIENTO DE INFRAESTRUCTURA PROPIA DEL SECTOR</v>
      </c>
      <c r="AU409" s="633" t="s">
        <v>225</v>
      </c>
      <c r="AV409" s="634">
        <f>IFERROR(VLOOKUP(AU409,Listas!$E$85:$F$105,2,FALSE),"Alerta: Seleccione el Concepto de Gasto primero")</f>
        <v>1</v>
      </c>
      <c r="AW409" s="644">
        <v>26300000</v>
      </c>
      <c r="AX409" s="645"/>
      <c r="AY409" s="645"/>
      <c r="AZ409" s="645"/>
      <c r="BA409" s="646">
        <f t="shared" si="123"/>
        <v>26300000</v>
      </c>
      <c r="BB409" s="647"/>
      <c r="BC409" s="648"/>
      <c r="BD409" s="649"/>
      <c r="BE409" s="647"/>
      <c r="BF409" s="644"/>
      <c r="BG409" s="646">
        <f t="shared" si="124"/>
        <v>26300000</v>
      </c>
      <c r="BH409" s="650"/>
      <c r="BI409" s="647"/>
      <c r="BJ409" s="644"/>
      <c r="BK409" s="646">
        <f t="shared" si="125"/>
        <v>0</v>
      </c>
      <c r="BL409" s="651"/>
      <c r="BM409" s="652">
        <f t="shared" si="126"/>
        <v>1</v>
      </c>
      <c r="BN409" s="628"/>
      <c r="BO409" s="670"/>
      <c r="BP409" s="644"/>
      <c r="BQ409" s="644"/>
      <c r="BR409" s="644"/>
      <c r="BS409" s="644"/>
      <c r="BT409" s="644"/>
      <c r="BU409" s="644"/>
      <c r="BV409" s="644"/>
      <c r="BW409" s="644"/>
      <c r="BX409" s="644"/>
      <c r="BY409" s="644"/>
      <c r="BZ409" s="644"/>
      <c r="CA409" s="644"/>
      <c r="CB409" s="646">
        <f t="shared" si="127"/>
        <v>0</v>
      </c>
      <c r="CC409" s="646">
        <f t="shared" si="128"/>
        <v>0</v>
      </c>
      <c r="CD409" s="614"/>
    </row>
    <row r="410" spans="1:85" s="561" customFormat="1" ht="61.5" customHeight="1">
      <c r="A410" s="625" t="str">
        <f t="shared" si="110"/>
        <v>1114-140-FONT1114-01-03-0103-Monumentos en espacios públicos a intervenir</v>
      </c>
      <c r="B410" s="626" t="str">
        <f t="shared" si="111"/>
        <v>1114-140-FONT1114-01-03-0103</v>
      </c>
      <c r="C410" s="626" t="str">
        <f t="shared" si="112"/>
        <v>1114-140-FONT1114-Monumentos en espacios públicos a intervenir</v>
      </c>
      <c r="D410" s="626" t="str">
        <f t="shared" si="113"/>
        <v>1114-140-12-Otros Distrito-01-03-0103</v>
      </c>
      <c r="E410" s="626" t="str">
        <f t="shared" si="114"/>
        <v>Monumentos en espacios públicos a intervenir-12-Otros Distrito-0103-Administración, mantenimiento y mejoramiento de los bienes muebles e inmuebles ubicados en el espacio público del Distrito Capital</v>
      </c>
      <c r="F410" s="627">
        <v>355</v>
      </c>
      <c r="G410" s="628">
        <f t="shared" si="115"/>
        <v>355</v>
      </c>
      <c r="H410" s="629" t="b">
        <f t="shared" si="116"/>
        <v>0</v>
      </c>
      <c r="I410" s="630" t="s">
        <v>594</v>
      </c>
      <c r="J410" s="627" t="s">
        <v>180</v>
      </c>
      <c r="K410" s="631" t="str">
        <f>+IFERROR(VLOOKUP(J410,Listas!$A$108:$B$114,2,FALSE),"Alerta: Seleccione la celda en la comumna B con el nombre del proyecto")</f>
        <v>3-3-1-15-02-17-1114-140</v>
      </c>
      <c r="L410" s="632" t="s">
        <v>935</v>
      </c>
      <c r="M410" s="633" t="s">
        <v>936</v>
      </c>
      <c r="N410" s="634" t="str">
        <f t="shared" si="117"/>
        <v>(Cód. 355) Prestar servicios profesionales al Instituto Distrital de Patrimonio Cultural para acompañar el seguimiento a las acciones de intervención de los bienes muebles - inmuebles en el espacio público y colecciones públicas de la ciudad de Bogotá. D.C.</v>
      </c>
      <c r="O410" s="635">
        <v>43480</v>
      </c>
      <c r="P410" s="636">
        <f>IFERROR(VLOOKUP(W410,'Estimación CRP'!$D$21:$E$30,2,FALSE),0)</f>
        <v>10</v>
      </c>
      <c r="Q410" s="637">
        <f>IF(O410="No aplica","No aplica",WORKDAY.INTL(O410,P410,1,'Estimación CRP'!A596:A612))</f>
        <v>43494</v>
      </c>
      <c r="R410" s="636">
        <f t="shared" si="118"/>
        <v>1</v>
      </c>
      <c r="S410" s="636">
        <f t="shared" si="119"/>
        <v>1</v>
      </c>
      <c r="T410" s="636">
        <f t="shared" si="120"/>
        <v>1</v>
      </c>
      <c r="U410" s="712">
        <v>10</v>
      </c>
      <c r="V410" s="638">
        <v>1</v>
      </c>
      <c r="W410" s="639" t="s">
        <v>274</v>
      </c>
      <c r="X410" s="640" t="str">
        <f>IFERROR(VLOOKUP(W410,Listas!$A$60:$B$73,2,FALSE),"Alerta: Seleccione primero Modalidad de selección")</f>
        <v>CCE-16</v>
      </c>
      <c r="Y410" s="641">
        <v>0</v>
      </c>
      <c r="Z410" s="641" t="s">
        <v>346</v>
      </c>
      <c r="AA410" s="641" t="s">
        <v>1338</v>
      </c>
      <c r="AB410" s="642">
        <f t="shared" si="121"/>
        <v>48200000</v>
      </c>
      <c r="AC410" s="642">
        <f t="shared" si="122"/>
        <v>48200000</v>
      </c>
      <c r="AD410" s="641">
        <v>0</v>
      </c>
      <c r="AE410" s="643">
        <v>0</v>
      </c>
      <c r="AF410" s="639" t="s">
        <v>276</v>
      </c>
      <c r="AG410" s="639" t="s">
        <v>277</v>
      </c>
      <c r="AH410" s="639" t="s">
        <v>573</v>
      </c>
      <c r="AI410" s="626" t="str">
        <f>IFERROR(VLOOKUP(AH410,Listas!$A$77:$C$83,2,FALSE),"Alerta: Seleccione primero el responsable")</f>
        <v>3550800</v>
      </c>
      <c r="AJ410" s="640" t="str">
        <f>IFERROR(VLOOKUP(AH410,Listas!$A$77:$C$83,3,FALSE),"Alerta: Seleccione primero el responsable")</f>
        <v>carolina.fernandez@idpc.gov.co</v>
      </c>
      <c r="AK410" s="640" t="str">
        <f>IF(J410="Funcionamiento Gastos Generales","No aplica",IF(J410="Funcionamiento Servicios Personales indirectos","No aplica",IFERROR(VLOOKUP(J410,Listas!$A$127:$E$139,3,FALSE),"Alerta: Seleccione la celda en la comumna B con el nombre del proyecto")))</f>
        <v>ME20181114</v>
      </c>
      <c r="AL410" s="640" t="str">
        <f>IF(J410="Funcionamiento Gastos Generales","No aplica",IF(J410="Funcionamiento Servicios Personales","No aplica",IFERROR(VLOOKUP(J410,Listas!$A$220:$D$224,2,FALSE),"Alerta: Seleccione la celda en la comumna B con el nombre del proyecto")))</f>
        <v>COMP1114</v>
      </c>
      <c r="AM410" s="640" t="str">
        <f>IF(J410="Funcionamiento Gastos Generales","No aplica",IF(J410="Funcionamiento Servicios Personales","No aplica",IFERROR(VLOOKUP(J410,Listas!$A$220:$D$224,3,FALSE),"Alerta: Seleccione la celda en la comumna B con el nombre del proyecto")))</f>
        <v>CONC1114</v>
      </c>
      <c r="AN410" s="633" t="s">
        <v>1054</v>
      </c>
      <c r="AO410" s="633" t="s">
        <v>312</v>
      </c>
      <c r="AP410" s="634" t="str">
        <f>IFERROR(VLOOKUP(J410,Listas!$A$182:$E$215,5,FALSE),"Alerta: Seleccione la celda en la comumna B con el nombre del proyecto")</f>
        <v>4. Obras de Intervención en Bienes muebles - inmuebles y sectores que conforman el patrimonio cultural del D.C.</v>
      </c>
      <c r="AQ410" s="634" t="str">
        <f>IF(J410="Funcionamiento Gastos Generales","No aplica",IF(J410="Funcionamiento Servicios Personales","No aplica",IFERROR(VLOOKUP(J410,Listas!$A$220:$D$224,4,FALSE),"Alerta: Seleccione la celda en la comumna B con el nombre del proyecto")))</f>
        <v>FONT1114</v>
      </c>
      <c r="AR410" s="633" t="s">
        <v>198</v>
      </c>
      <c r="AS410" s="634" t="str">
        <f>IFERROR(VLOOKUP(AU410,Listas!$E$85:$L$105,7,FALSE),"Alerta: Seleccione la celda en la comumna AI con el concepto de gasto")</f>
        <v>01-INFRAESTRUCTURA</v>
      </c>
      <c r="AT410" s="634" t="str">
        <f>IFERROR(VLOOKUP(AU410,Listas!$E$85:$L$105,8,FALSE),"Alerta: Seleccione la celda en la comumna AI con el concepto de gasto")</f>
        <v>03-MEJORAMIENTO Y MANTENIMIENTO DE INFRAESTRUCTURA PROPIA DEL SECTOR</v>
      </c>
      <c r="AU410" s="633" t="s">
        <v>225</v>
      </c>
      <c r="AV410" s="634">
        <f>IFERROR(VLOOKUP(AU410,Listas!$E$85:$F$105,2,FALSE),"Alerta: Seleccione el Concepto de Gasto primero")</f>
        <v>1</v>
      </c>
      <c r="AW410" s="644">
        <v>48200000</v>
      </c>
      <c r="AX410" s="645"/>
      <c r="AY410" s="645"/>
      <c r="AZ410" s="645"/>
      <c r="BA410" s="646">
        <f t="shared" si="123"/>
        <v>48200000</v>
      </c>
      <c r="BB410" s="647"/>
      <c r="BC410" s="648"/>
      <c r="BD410" s="649"/>
      <c r="BE410" s="647"/>
      <c r="BF410" s="644"/>
      <c r="BG410" s="646">
        <f t="shared" si="124"/>
        <v>48200000</v>
      </c>
      <c r="BH410" s="650"/>
      <c r="BI410" s="647"/>
      <c r="BJ410" s="644"/>
      <c r="BK410" s="646">
        <f t="shared" si="125"/>
        <v>0</v>
      </c>
      <c r="BL410" s="651"/>
      <c r="BM410" s="652">
        <f t="shared" si="126"/>
        <v>1</v>
      </c>
      <c r="BN410" s="628"/>
      <c r="BO410" s="670"/>
      <c r="BP410" s="644"/>
      <c r="BQ410" s="644"/>
      <c r="BR410" s="644"/>
      <c r="BS410" s="644"/>
      <c r="BT410" s="644"/>
      <c r="BU410" s="644"/>
      <c r="BV410" s="644"/>
      <c r="BW410" s="644"/>
      <c r="BX410" s="644"/>
      <c r="BY410" s="644"/>
      <c r="BZ410" s="644"/>
      <c r="CA410" s="644"/>
      <c r="CB410" s="646">
        <f t="shared" si="127"/>
        <v>0</v>
      </c>
      <c r="CC410" s="646">
        <f t="shared" si="128"/>
        <v>0</v>
      </c>
      <c r="CD410" s="614"/>
    </row>
    <row r="411" spans="1:85" s="561" customFormat="1" ht="61.5" customHeight="1">
      <c r="A411" s="625" t="str">
        <f t="shared" si="110"/>
        <v>1114-140-FONT1114-01-03-0103-Monumentos en espacios públicos a intervenir</v>
      </c>
      <c r="B411" s="626" t="str">
        <f t="shared" si="111"/>
        <v>1114-140-FONT1114-01-03-0103</v>
      </c>
      <c r="C411" s="626" t="str">
        <f t="shared" si="112"/>
        <v>1114-140-FONT1114-Monumentos en espacios públicos a intervenir</v>
      </c>
      <c r="D411" s="626" t="str">
        <f t="shared" si="113"/>
        <v>1114-140-12-Otros Distrito-01-03-0103</v>
      </c>
      <c r="E411" s="626" t="str">
        <f t="shared" si="114"/>
        <v>Monumentos en espacios públicos a intervenir-12-Otros Distrito-0103-Administración, mantenimiento y mejoramiento de los bienes muebles e inmuebles ubicados en el espacio público del Distrito Capital</v>
      </c>
      <c r="F411" s="627">
        <v>356</v>
      </c>
      <c r="G411" s="628">
        <f t="shared" si="115"/>
        <v>356</v>
      </c>
      <c r="H411" s="629" t="b">
        <f t="shared" si="116"/>
        <v>0</v>
      </c>
      <c r="I411" s="630" t="s">
        <v>594</v>
      </c>
      <c r="J411" s="627" t="s">
        <v>180</v>
      </c>
      <c r="K411" s="631" t="str">
        <f>+IFERROR(VLOOKUP(J411,Listas!$A$108:$B$114,2,FALSE),"Alerta: Seleccione la celda en la comumna B con el nombre del proyecto")</f>
        <v>3-3-1-15-02-17-1114-140</v>
      </c>
      <c r="L411" s="632">
        <v>93141707</v>
      </c>
      <c r="M411" s="633" t="s">
        <v>937</v>
      </c>
      <c r="N411" s="634" t="str">
        <f t="shared" si="117"/>
        <v xml:space="preserve">(Cód. 356) Prestar servicios profesionales al Instituto Distrital de Patrimonio Cultural para apoyar el seguimiento desde la disciplina de conservación - restauración a las actividades de mantenimiento, administración y conservación de los bienes muebles - inmuebles en el espacio público de Bogotá D.C. </v>
      </c>
      <c r="O411" s="635">
        <v>43480</v>
      </c>
      <c r="P411" s="636">
        <f>IFERROR(VLOOKUP(W411,'Estimación CRP'!$D$21:$E$30,2,FALSE),0)</f>
        <v>10</v>
      </c>
      <c r="Q411" s="637">
        <f>IF(O411="No aplica","No aplica",WORKDAY.INTL(O411,P411,1,'Estimación CRP'!A597:A613))</f>
        <v>43494</v>
      </c>
      <c r="R411" s="636">
        <f t="shared" si="118"/>
        <v>1</v>
      </c>
      <c r="S411" s="636">
        <f t="shared" si="119"/>
        <v>1</v>
      </c>
      <c r="T411" s="636">
        <f t="shared" si="120"/>
        <v>1</v>
      </c>
      <c r="U411" s="712">
        <v>10</v>
      </c>
      <c r="V411" s="638">
        <v>1</v>
      </c>
      <c r="W411" s="639" t="s">
        <v>274</v>
      </c>
      <c r="X411" s="640" t="str">
        <f>IFERROR(VLOOKUP(W411,Listas!$A$60:$B$73,2,FALSE),"Alerta: Seleccione primero Modalidad de selección")</f>
        <v>CCE-16</v>
      </c>
      <c r="Y411" s="641">
        <v>0</v>
      </c>
      <c r="Z411" s="641" t="s">
        <v>346</v>
      </c>
      <c r="AA411" s="641" t="s">
        <v>1338</v>
      </c>
      <c r="AB411" s="642">
        <f t="shared" si="121"/>
        <v>48200000</v>
      </c>
      <c r="AC411" s="642">
        <f t="shared" si="122"/>
        <v>48200000</v>
      </c>
      <c r="AD411" s="641">
        <v>0</v>
      </c>
      <c r="AE411" s="643">
        <v>0</v>
      </c>
      <c r="AF411" s="639" t="s">
        <v>276</v>
      </c>
      <c r="AG411" s="639" t="s">
        <v>277</v>
      </c>
      <c r="AH411" s="639" t="s">
        <v>573</v>
      </c>
      <c r="AI411" s="626" t="str">
        <f>IFERROR(VLOOKUP(AH411,Listas!$A$77:$C$83,2,FALSE),"Alerta: Seleccione primero el responsable")</f>
        <v>3550800</v>
      </c>
      <c r="AJ411" s="640" t="str">
        <f>IFERROR(VLOOKUP(AH411,Listas!$A$77:$C$83,3,FALSE),"Alerta: Seleccione primero el responsable")</f>
        <v>carolina.fernandez@idpc.gov.co</v>
      </c>
      <c r="AK411" s="640" t="str">
        <f>IF(J411="Funcionamiento Gastos Generales","No aplica",IF(J411="Funcionamiento Servicios Personales indirectos","No aplica",IFERROR(VLOOKUP(J411,Listas!$A$127:$E$139,3,FALSE),"Alerta: Seleccione la celda en la comumna B con el nombre del proyecto")))</f>
        <v>ME20181114</v>
      </c>
      <c r="AL411" s="640" t="str">
        <f>IF(J411="Funcionamiento Gastos Generales","No aplica",IF(J411="Funcionamiento Servicios Personales","No aplica",IFERROR(VLOOKUP(J411,Listas!$A$220:$D$224,2,FALSE),"Alerta: Seleccione la celda en la comumna B con el nombre del proyecto")))</f>
        <v>COMP1114</v>
      </c>
      <c r="AM411" s="640" t="str">
        <f>IF(J411="Funcionamiento Gastos Generales","No aplica",IF(J411="Funcionamiento Servicios Personales","No aplica",IFERROR(VLOOKUP(J411,Listas!$A$220:$D$224,3,FALSE),"Alerta: Seleccione la celda en la comumna B con el nombre del proyecto")))</f>
        <v>CONC1114</v>
      </c>
      <c r="AN411" s="633" t="s">
        <v>1054</v>
      </c>
      <c r="AO411" s="633" t="s">
        <v>312</v>
      </c>
      <c r="AP411" s="634" t="str">
        <f>IFERROR(VLOOKUP(J411,Listas!$A$182:$E$215,5,FALSE),"Alerta: Seleccione la celda en la comumna B con el nombre del proyecto")</f>
        <v>4. Obras de Intervención en Bienes muebles - inmuebles y sectores que conforman el patrimonio cultural del D.C.</v>
      </c>
      <c r="AQ411" s="634" t="str">
        <f>IF(J411="Funcionamiento Gastos Generales","No aplica",IF(J411="Funcionamiento Servicios Personales","No aplica",IFERROR(VLOOKUP(J411,Listas!$A$220:$D$224,4,FALSE),"Alerta: Seleccione la celda en la comumna B con el nombre del proyecto")))</f>
        <v>FONT1114</v>
      </c>
      <c r="AR411" s="633" t="s">
        <v>198</v>
      </c>
      <c r="AS411" s="634" t="str">
        <f>IFERROR(VLOOKUP(AU411,Listas!$E$85:$L$105,7,FALSE),"Alerta: Seleccione la celda en la comumna AI con el concepto de gasto")</f>
        <v>01-INFRAESTRUCTURA</v>
      </c>
      <c r="AT411" s="634" t="str">
        <f>IFERROR(VLOOKUP(AU411,Listas!$E$85:$L$105,8,FALSE),"Alerta: Seleccione la celda en la comumna AI con el concepto de gasto")</f>
        <v>03-MEJORAMIENTO Y MANTENIMIENTO DE INFRAESTRUCTURA PROPIA DEL SECTOR</v>
      </c>
      <c r="AU411" s="633" t="s">
        <v>225</v>
      </c>
      <c r="AV411" s="634">
        <f>IFERROR(VLOOKUP(AU411,Listas!$E$85:$F$105,2,FALSE),"Alerta: Seleccione el Concepto de Gasto primero")</f>
        <v>1</v>
      </c>
      <c r="AW411" s="644">
        <v>48200000</v>
      </c>
      <c r="AX411" s="645"/>
      <c r="AY411" s="645"/>
      <c r="AZ411" s="645"/>
      <c r="BA411" s="646">
        <f t="shared" si="123"/>
        <v>48200000</v>
      </c>
      <c r="BB411" s="647"/>
      <c r="BC411" s="648"/>
      <c r="BD411" s="649"/>
      <c r="BE411" s="647"/>
      <c r="BF411" s="644"/>
      <c r="BG411" s="646">
        <f t="shared" si="124"/>
        <v>48200000</v>
      </c>
      <c r="BH411" s="650"/>
      <c r="BI411" s="647"/>
      <c r="BJ411" s="644"/>
      <c r="BK411" s="646">
        <f t="shared" si="125"/>
        <v>0</v>
      </c>
      <c r="BL411" s="651"/>
      <c r="BM411" s="652">
        <f t="shared" si="126"/>
        <v>1</v>
      </c>
      <c r="BN411" s="628"/>
      <c r="BO411" s="670"/>
      <c r="BP411" s="644"/>
      <c r="BQ411" s="644"/>
      <c r="BR411" s="644"/>
      <c r="BS411" s="644"/>
      <c r="BT411" s="644"/>
      <c r="BU411" s="644"/>
      <c r="BV411" s="644"/>
      <c r="BW411" s="644"/>
      <c r="BX411" s="644"/>
      <c r="BY411" s="644"/>
      <c r="BZ411" s="644"/>
      <c r="CA411" s="644"/>
      <c r="CB411" s="646">
        <f t="shared" si="127"/>
        <v>0</v>
      </c>
      <c r="CC411" s="646">
        <f t="shared" si="128"/>
        <v>0</v>
      </c>
      <c r="CD411" s="614"/>
    </row>
    <row r="412" spans="1:85" s="653" customFormat="1" ht="61.5" customHeight="1">
      <c r="A412" s="625" t="str">
        <f t="shared" si="110"/>
        <v>1114-140-FONT1114-01-03-0103-Monumentos en espacios públicos a intervenir</v>
      </c>
      <c r="B412" s="626" t="str">
        <f t="shared" si="111"/>
        <v>1114-140-FONT1114-01-03-0103</v>
      </c>
      <c r="C412" s="626" t="str">
        <f t="shared" si="112"/>
        <v>1114-140-FONT1114-Monumentos en espacios públicos a intervenir</v>
      </c>
      <c r="D412" s="626" t="str">
        <f t="shared" si="113"/>
        <v>1114-140-12-Otros Distrito-01-03-0103</v>
      </c>
      <c r="E412" s="626" t="str">
        <f t="shared" si="114"/>
        <v>Monumentos en espacios públicos a intervenir-12-Otros Distrito-0103-Administración, mantenimiento y mejoramiento de los bienes muebles e inmuebles ubicados en el espacio público del Distrito Capital</v>
      </c>
      <c r="F412" s="627">
        <v>357</v>
      </c>
      <c r="G412" s="628">
        <f t="shared" si="115"/>
        <v>357</v>
      </c>
      <c r="H412" s="629" t="b">
        <f t="shared" si="116"/>
        <v>0</v>
      </c>
      <c r="I412" s="630" t="s">
        <v>594</v>
      </c>
      <c r="J412" s="627" t="s">
        <v>180</v>
      </c>
      <c r="K412" s="631" t="str">
        <f>+IFERROR(VLOOKUP(J412,Listas!$A$108:$B$114,2,FALSE),"Alerta: Seleccione la celda en la comumna B con el nombre del proyecto")</f>
        <v>3-3-1-15-02-17-1114-140</v>
      </c>
      <c r="L412" s="632">
        <v>93141707</v>
      </c>
      <c r="M412" s="633" t="s">
        <v>937</v>
      </c>
      <c r="N412" s="634" t="str">
        <f t="shared" si="117"/>
        <v xml:space="preserve">(Cód. 357) Prestar servicios profesionales al Instituto Distrital de Patrimonio Cultural para apoyar el seguimiento desde la disciplina de conservación - restauración a las actividades de mantenimiento, administración y conservación de los bienes muebles - inmuebles en el espacio público de Bogotá D.C. </v>
      </c>
      <c r="O412" s="635">
        <v>43480</v>
      </c>
      <c r="P412" s="636">
        <f>IFERROR(VLOOKUP(W412,'Estimación CRP'!$D$21:$E$30,2,FALSE),0)</f>
        <v>10</v>
      </c>
      <c r="Q412" s="637">
        <f>IF(O412="No aplica","No aplica",WORKDAY.INTL(O412,P412,1,'Estimación CRP'!A598:A614))</f>
        <v>43494</v>
      </c>
      <c r="R412" s="636">
        <f t="shared" si="118"/>
        <v>1</v>
      </c>
      <c r="S412" s="636">
        <f t="shared" si="119"/>
        <v>1</v>
      </c>
      <c r="T412" s="636">
        <f t="shared" si="120"/>
        <v>1</v>
      </c>
      <c r="U412" s="712">
        <v>10</v>
      </c>
      <c r="V412" s="638">
        <v>1</v>
      </c>
      <c r="W412" s="639" t="s">
        <v>274</v>
      </c>
      <c r="X412" s="640" t="str">
        <f>IFERROR(VLOOKUP(W412,Listas!$A$60:$B$73,2,FALSE),"Alerta: Seleccione primero Modalidad de selección")</f>
        <v>CCE-16</v>
      </c>
      <c r="Y412" s="641">
        <v>0</v>
      </c>
      <c r="Z412" s="641" t="s">
        <v>346</v>
      </c>
      <c r="AA412" s="641" t="s">
        <v>1338</v>
      </c>
      <c r="AB412" s="642">
        <f t="shared" si="121"/>
        <v>48200000</v>
      </c>
      <c r="AC412" s="642">
        <f t="shared" si="122"/>
        <v>48200000</v>
      </c>
      <c r="AD412" s="641">
        <v>0</v>
      </c>
      <c r="AE412" s="643">
        <v>0</v>
      </c>
      <c r="AF412" s="639" t="s">
        <v>276</v>
      </c>
      <c r="AG412" s="639" t="s">
        <v>277</v>
      </c>
      <c r="AH412" s="639" t="s">
        <v>573</v>
      </c>
      <c r="AI412" s="626" t="str">
        <f>IFERROR(VLOOKUP(AH412,Listas!$A$77:$C$83,2,FALSE),"Alerta: Seleccione primero el responsable")</f>
        <v>3550800</v>
      </c>
      <c r="AJ412" s="640" t="str">
        <f>IFERROR(VLOOKUP(AH412,Listas!$A$77:$C$83,3,FALSE),"Alerta: Seleccione primero el responsable")</f>
        <v>carolina.fernandez@idpc.gov.co</v>
      </c>
      <c r="AK412" s="640" t="str">
        <f>IF(J412="Funcionamiento Gastos Generales","No aplica",IF(J412="Funcionamiento Servicios Personales indirectos","No aplica",IFERROR(VLOOKUP(J412,Listas!$A$127:$E$139,3,FALSE),"Alerta: Seleccione la celda en la comumna B con el nombre del proyecto")))</f>
        <v>ME20181114</v>
      </c>
      <c r="AL412" s="640" t="str">
        <f>IF(J412="Funcionamiento Gastos Generales","No aplica",IF(J412="Funcionamiento Servicios Personales","No aplica",IFERROR(VLOOKUP(J412,Listas!$A$220:$D$224,2,FALSE),"Alerta: Seleccione la celda en la comumna B con el nombre del proyecto")))</f>
        <v>COMP1114</v>
      </c>
      <c r="AM412" s="640" t="str">
        <f>IF(J412="Funcionamiento Gastos Generales","No aplica",IF(J412="Funcionamiento Servicios Personales","No aplica",IFERROR(VLOOKUP(J412,Listas!$A$220:$D$224,3,FALSE),"Alerta: Seleccione la celda en la comumna B con el nombre del proyecto")))</f>
        <v>CONC1114</v>
      </c>
      <c r="AN412" s="633" t="s">
        <v>1054</v>
      </c>
      <c r="AO412" s="633" t="s">
        <v>312</v>
      </c>
      <c r="AP412" s="634" t="str">
        <f>IFERROR(VLOOKUP(J412,Listas!$A$182:$E$215,5,FALSE),"Alerta: Seleccione la celda en la comumna B con el nombre del proyecto")</f>
        <v>4. Obras de Intervención en Bienes muebles - inmuebles y sectores que conforman el patrimonio cultural del D.C.</v>
      </c>
      <c r="AQ412" s="634" t="str">
        <f>IF(J412="Funcionamiento Gastos Generales","No aplica",IF(J412="Funcionamiento Servicios Personales","No aplica",IFERROR(VLOOKUP(J412,Listas!$A$220:$D$224,4,FALSE),"Alerta: Seleccione la celda en la comumna B con el nombre del proyecto")))</f>
        <v>FONT1114</v>
      </c>
      <c r="AR412" s="633" t="s">
        <v>198</v>
      </c>
      <c r="AS412" s="634" t="str">
        <f>IFERROR(VLOOKUP(AU412,Listas!$E$85:$L$105,7,FALSE),"Alerta: Seleccione la celda en la comumna AI con el concepto de gasto")</f>
        <v>01-INFRAESTRUCTURA</v>
      </c>
      <c r="AT412" s="634" t="str">
        <f>IFERROR(VLOOKUP(AU412,Listas!$E$85:$L$105,8,FALSE),"Alerta: Seleccione la celda en la comumna AI con el concepto de gasto")</f>
        <v>03-MEJORAMIENTO Y MANTENIMIENTO DE INFRAESTRUCTURA PROPIA DEL SECTOR</v>
      </c>
      <c r="AU412" s="633" t="s">
        <v>225</v>
      </c>
      <c r="AV412" s="634">
        <f>IFERROR(VLOOKUP(AU412,Listas!$E$85:$F$105,2,FALSE),"Alerta: Seleccione el Concepto de Gasto primero")</f>
        <v>1</v>
      </c>
      <c r="AW412" s="644">
        <v>48200000</v>
      </c>
      <c r="AX412" s="645"/>
      <c r="AY412" s="645"/>
      <c r="AZ412" s="645"/>
      <c r="BA412" s="646">
        <f t="shared" si="123"/>
        <v>48200000</v>
      </c>
      <c r="BB412" s="647"/>
      <c r="BC412" s="648"/>
      <c r="BD412" s="649"/>
      <c r="BE412" s="647"/>
      <c r="BF412" s="644"/>
      <c r="BG412" s="646">
        <f t="shared" si="124"/>
        <v>48200000</v>
      </c>
      <c r="BH412" s="650"/>
      <c r="BI412" s="647"/>
      <c r="BJ412" s="644"/>
      <c r="BK412" s="646">
        <f t="shared" si="125"/>
        <v>0</v>
      </c>
      <c r="BL412" s="651"/>
      <c r="BM412" s="652">
        <f t="shared" si="126"/>
        <v>1</v>
      </c>
      <c r="BN412" s="628"/>
      <c r="BO412" s="670"/>
      <c r="BP412" s="644"/>
      <c r="BQ412" s="644"/>
      <c r="BR412" s="644"/>
      <c r="BS412" s="644"/>
      <c r="BT412" s="644"/>
      <c r="BU412" s="644"/>
      <c r="BV412" s="644"/>
      <c r="BW412" s="644"/>
      <c r="BX412" s="644"/>
      <c r="BY412" s="644"/>
      <c r="BZ412" s="644"/>
      <c r="CA412" s="644"/>
      <c r="CB412" s="646">
        <f t="shared" si="127"/>
        <v>0</v>
      </c>
      <c r="CC412" s="646">
        <f t="shared" si="128"/>
        <v>0</v>
      </c>
      <c r="CD412" s="614"/>
    </row>
    <row r="413" spans="1:85" s="561" customFormat="1" ht="61.5" customHeight="1">
      <c r="A413" s="625" t="str">
        <f t="shared" si="110"/>
        <v>1114-140-FONT1114-01-03-0103-Monumentos en espacios públicos a intervenir</v>
      </c>
      <c r="B413" s="626" t="str">
        <f t="shared" si="111"/>
        <v>1114-140-FONT1114-01-03-0103</v>
      </c>
      <c r="C413" s="626" t="str">
        <f t="shared" si="112"/>
        <v>1114-140-FONT1114-Monumentos en espacios públicos a intervenir</v>
      </c>
      <c r="D413" s="626" t="str">
        <f t="shared" si="113"/>
        <v>1114-140-12-Otros Distrito-01-03-0103</v>
      </c>
      <c r="E413" s="626" t="str">
        <f t="shared" si="114"/>
        <v>Monumentos en espacios públicos a intervenir-12-Otros Distrito-0103-Administración, mantenimiento y mejoramiento de los bienes muebles e inmuebles ubicados en el espacio público del Distrito Capital</v>
      </c>
      <c r="F413" s="627">
        <v>358</v>
      </c>
      <c r="G413" s="628">
        <f t="shared" si="115"/>
        <v>358</v>
      </c>
      <c r="H413" s="629" t="b">
        <f t="shared" si="116"/>
        <v>0</v>
      </c>
      <c r="I413" s="630" t="s">
        <v>594</v>
      </c>
      <c r="J413" s="627" t="s">
        <v>180</v>
      </c>
      <c r="K413" s="631" t="str">
        <f>+IFERROR(VLOOKUP(J413,Listas!$A$108:$B$114,2,FALSE),"Alerta: Seleccione la celda en la comumna B con el nombre del proyecto")</f>
        <v>3-3-1-15-02-17-1114-140</v>
      </c>
      <c r="L413" s="632">
        <v>93141707</v>
      </c>
      <c r="M413" s="633" t="s">
        <v>937</v>
      </c>
      <c r="N413" s="634" t="str">
        <f t="shared" si="117"/>
        <v xml:space="preserve">(Cód. 358) Prestar servicios profesionales al Instituto Distrital de Patrimonio Cultural para apoyar el seguimiento desde la disciplina de conservación - restauración a las actividades de mantenimiento, administración y conservación de los bienes muebles - inmuebles en el espacio público de Bogotá D.C. </v>
      </c>
      <c r="O413" s="635">
        <v>43480</v>
      </c>
      <c r="P413" s="636">
        <f>IFERROR(VLOOKUP(W413,'Estimación CRP'!$D$21:$E$30,2,FALSE),0)</f>
        <v>10</v>
      </c>
      <c r="Q413" s="637">
        <f>IF(O413="No aplica","No aplica",WORKDAY.INTL(O413,P413,1,'Estimación CRP'!A599:A615))</f>
        <v>43494</v>
      </c>
      <c r="R413" s="636">
        <f t="shared" si="118"/>
        <v>1</v>
      </c>
      <c r="S413" s="636">
        <f t="shared" si="119"/>
        <v>1</v>
      </c>
      <c r="T413" s="636">
        <f t="shared" si="120"/>
        <v>1</v>
      </c>
      <c r="U413" s="712">
        <v>8</v>
      </c>
      <c r="V413" s="638">
        <v>1</v>
      </c>
      <c r="W413" s="639" t="s">
        <v>274</v>
      </c>
      <c r="X413" s="640" t="str">
        <f>IFERROR(VLOOKUP(W413,Listas!$A$60:$B$73,2,FALSE),"Alerta: Seleccione primero Modalidad de selección")</f>
        <v>CCE-16</v>
      </c>
      <c r="Y413" s="641">
        <v>0</v>
      </c>
      <c r="Z413" s="641" t="s">
        <v>346</v>
      </c>
      <c r="AA413" s="641" t="s">
        <v>1338</v>
      </c>
      <c r="AB413" s="642">
        <f t="shared" si="121"/>
        <v>38560000</v>
      </c>
      <c r="AC413" s="642">
        <f t="shared" si="122"/>
        <v>38560000</v>
      </c>
      <c r="AD413" s="641">
        <v>0</v>
      </c>
      <c r="AE413" s="643">
        <v>0</v>
      </c>
      <c r="AF413" s="639" t="s">
        <v>276</v>
      </c>
      <c r="AG413" s="639" t="s">
        <v>277</v>
      </c>
      <c r="AH413" s="639" t="s">
        <v>573</v>
      </c>
      <c r="AI413" s="626" t="str">
        <f>IFERROR(VLOOKUP(AH413,Listas!$A$77:$C$83,2,FALSE),"Alerta: Seleccione primero el responsable")</f>
        <v>3550800</v>
      </c>
      <c r="AJ413" s="640" t="str">
        <f>IFERROR(VLOOKUP(AH413,Listas!$A$77:$C$83,3,FALSE),"Alerta: Seleccione primero el responsable")</f>
        <v>carolina.fernandez@idpc.gov.co</v>
      </c>
      <c r="AK413" s="640" t="str">
        <f>IF(J413="Funcionamiento Gastos Generales","No aplica",IF(J413="Funcionamiento Servicios Personales indirectos","No aplica",IFERROR(VLOOKUP(J413,Listas!$A$127:$E$139,3,FALSE),"Alerta: Seleccione la celda en la comumna B con el nombre del proyecto")))</f>
        <v>ME20181114</v>
      </c>
      <c r="AL413" s="640" t="str">
        <f>IF(J413="Funcionamiento Gastos Generales","No aplica",IF(J413="Funcionamiento Servicios Personales","No aplica",IFERROR(VLOOKUP(J413,Listas!$A$220:$D$224,2,FALSE),"Alerta: Seleccione la celda en la comumna B con el nombre del proyecto")))</f>
        <v>COMP1114</v>
      </c>
      <c r="AM413" s="640" t="str">
        <f>IF(J413="Funcionamiento Gastos Generales","No aplica",IF(J413="Funcionamiento Servicios Personales","No aplica",IFERROR(VLOOKUP(J413,Listas!$A$220:$D$224,3,FALSE),"Alerta: Seleccione la celda en la comumna B con el nombre del proyecto")))</f>
        <v>CONC1114</v>
      </c>
      <c r="AN413" s="633" t="s">
        <v>1054</v>
      </c>
      <c r="AO413" s="633" t="s">
        <v>312</v>
      </c>
      <c r="AP413" s="634" t="str">
        <f>IFERROR(VLOOKUP(J413,Listas!$A$182:$E$215,5,FALSE),"Alerta: Seleccione la celda en la comumna B con el nombre del proyecto")</f>
        <v>4. Obras de Intervención en Bienes muebles - inmuebles y sectores que conforman el patrimonio cultural del D.C.</v>
      </c>
      <c r="AQ413" s="634" t="str">
        <f>IF(J413="Funcionamiento Gastos Generales","No aplica",IF(J413="Funcionamiento Servicios Personales","No aplica",IFERROR(VLOOKUP(J413,Listas!$A$220:$D$224,4,FALSE),"Alerta: Seleccione la celda en la comumna B con el nombre del proyecto")))</f>
        <v>FONT1114</v>
      </c>
      <c r="AR413" s="633" t="s">
        <v>198</v>
      </c>
      <c r="AS413" s="634" t="str">
        <f>IFERROR(VLOOKUP(AU413,Listas!$E$85:$L$105,7,FALSE),"Alerta: Seleccione la celda en la comumna AI con el concepto de gasto")</f>
        <v>01-INFRAESTRUCTURA</v>
      </c>
      <c r="AT413" s="634" t="str">
        <f>IFERROR(VLOOKUP(AU413,Listas!$E$85:$L$105,8,FALSE),"Alerta: Seleccione la celda en la comumna AI con el concepto de gasto")</f>
        <v>03-MEJORAMIENTO Y MANTENIMIENTO DE INFRAESTRUCTURA PROPIA DEL SECTOR</v>
      </c>
      <c r="AU413" s="633" t="s">
        <v>225</v>
      </c>
      <c r="AV413" s="634">
        <f>IFERROR(VLOOKUP(AU413,Listas!$E$85:$F$105,2,FALSE),"Alerta: Seleccione el Concepto de Gasto primero")</f>
        <v>1</v>
      </c>
      <c r="AW413" s="644">
        <v>38560000</v>
      </c>
      <c r="AX413" s="645"/>
      <c r="AY413" s="645"/>
      <c r="AZ413" s="645"/>
      <c r="BA413" s="646">
        <f t="shared" si="123"/>
        <v>38560000</v>
      </c>
      <c r="BB413" s="647"/>
      <c r="BC413" s="648"/>
      <c r="BD413" s="649"/>
      <c r="BE413" s="647"/>
      <c r="BF413" s="644"/>
      <c r="BG413" s="646">
        <f t="shared" si="124"/>
        <v>38560000</v>
      </c>
      <c r="BH413" s="650"/>
      <c r="BI413" s="647"/>
      <c r="BJ413" s="644"/>
      <c r="BK413" s="646">
        <f t="shared" si="125"/>
        <v>0</v>
      </c>
      <c r="BL413" s="651"/>
      <c r="BM413" s="652">
        <f t="shared" si="126"/>
        <v>1</v>
      </c>
      <c r="BN413" s="628"/>
      <c r="BO413" s="670"/>
      <c r="BP413" s="644"/>
      <c r="BQ413" s="644"/>
      <c r="BR413" s="644"/>
      <c r="BS413" s="644"/>
      <c r="BT413" s="644"/>
      <c r="BU413" s="644"/>
      <c r="BV413" s="644"/>
      <c r="BW413" s="644"/>
      <c r="BX413" s="644"/>
      <c r="BY413" s="644"/>
      <c r="BZ413" s="644"/>
      <c r="CA413" s="644"/>
      <c r="CB413" s="646">
        <f t="shared" si="127"/>
        <v>0</v>
      </c>
      <c r="CC413" s="646">
        <f t="shared" si="128"/>
        <v>0</v>
      </c>
      <c r="CD413" s="614"/>
    </row>
    <row r="414" spans="1:85" s="561" customFormat="1" ht="61.5" customHeight="1">
      <c r="A414" s="625" t="str">
        <f t="shared" si="110"/>
        <v>1114-140-FONT1114-01-03-0103-Monumentos en espacios públicos a intervenir</v>
      </c>
      <c r="B414" s="626" t="str">
        <f t="shared" si="111"/>
        <v>1114-140-FONT1114-01-03-0103</v>
      </c>
      <c r="C414" s="626" t="str">
        <f t="shared" si="112"/>
        <v>1114-140-FONT1114-Monumentos en espacios públicos a intervenir</v>
      </c>
      <c r="D414" s="626" t="str">
        <f t="shared" si="113"/>
        <v>1114-140-12-Otros Distrito-01-03-0103</v>
      </c>
      <c r="E414" s="626" t="str">
        <f t="shared" si="114"/>
        <v>Monumentos en espacios públicos a intervenir-12-Otros Distrito-0103-Administración, mantenimiento y mejoramiento de los bienes muebles e inmuebles ubicados en el espacio público del Distrito Capital</v>
      </c>
      <c r="F414" s="627">
        <v>359</v>
      </c>
      <c r="G414" s="628">
        <f t="shared" si="115"/>
        <v>359</v>
      </c>
      <c r="H414" s="629" t="b">
        <f t="shared" si="116"/>
        <v>0</v>
      </c>
      <c r="I414" s="630" t="s">
        <v>594</v>
      </c>
      <c r="J414" s="627" t="s">
        <v>180</v>
      </c>
      <c r="K414" s="631" t="str">
        <f>+IFERROR(VLOOKUP(J414,Listas!$A$108:$B$114,2,FALSE),"Alerta: Seleccione la celda en la comumna B con el nombre del proyecto")</f>
        <v>3-3-1-15-02-17-1114-140</v>
      </c>
      <c r="L414" s="632" t="s">
        <v>932</v>
      </c>
      <c r="M414" s="633" t="s">
        <v>938</v>
      </c>
      <c r="N414" s="634" t="str">
        <f t="shared" si="117"/>
        <v>(Cód. 359) Prestar servicios profesionales al Instituto Distrital de Patrimonio Cultural para apoyar el seguimiento técnico en sitio de las intervenciones adelantadas sobre bienes muebles en espacio público de Bogotá D.C.</v>
      </c>
      <c r="O414" s="635">
        <v>43480</v>
      </c>
      <c r="P414" s="636">
        <f>IFERROR(VLOOKUP(W414,'Estimación CRP'!$D$21:$E$30,2,FALSE),0)</f>
        <v>10</v>
      </c>
      <c r="Q414" s="637">
        <f>IF(O414="No aplica","No aplica",WORKDAY.INTL(O414,P414,1,'Estimación CRP'!A600:A616))</f>
        <v>43494</v>
      </c>
      <c r="R414" s="636">
        <f t="shared" si="118"/>
        <v>1</v>
      </c>
      <c r="S414" s="636">
        <f t="shared" si="119"/>
        <v>1</v>
      </c>
      <c r="T414" s="636">
        <f t="shared" si="120"/>
        <v>1</v>
      </c>
      <c r="U414" s="712">
        <v>10</v>
      </c>
      <c r="V414" s="638">
        <v>1</v>
      </c>
      <c r="W414" s="639" t="s">
        <v>274</v>
      </c>
      <c r="X414" s="640" t="str">
        <f>IFERROR(VLOOKUP(W414,Listas!$A$60:$B$73,2,FALSE),"Alerta: Seleccione primero Modalidad de selección")</f>
        <v>CCE-16</v>
      </c>
      <c r="Y414" s="641">
        <v>0</v>
      </c>
      <c r="Z414" s="641" t="s">
        <v>346</v>
      </c>
      <c r="AA414" s="641" t="s">
        <v>1338</v>
      </c>
      <c r="AB414" s="642">
        <f t="shared" si="121"/>
        <v>48000000</v>
      </c>
      <c r="AC414" s="642">
        <f t="shared" si="122"/>
        <v>48000000</v>
      </c>
      <c r="AD414" s="641">
        <v>0</v>
      </c>
      <c r="AE414" s="643">
        <v>0</v>
      </c>
      <c r="AF414" s="639" t="s">
        <v>276</v>
      </c>
      <c r="AG414" s="639" t="s">
        <v>277</v>
      </c>
      <c r="AH414" s="639" t="s">
        <v>573</v>
      </c>
      <c r="AI414" s="626" t="str">
        <f>IFERROR(VLOOKUP(AH414,Listas!$A$77:$C$83,2,FALSE),"Alerta: Seleccione primero el responsable")</f>
        <v>3550800</v>
      </c>
      <c r="AJ414" s="640" t="str">
        <f>IFERROR(VLOOKUP(AH414,Listas!$A$77:$C$83,3,FALSE),"Alerta: Seleccione primero el responsable")</f>
        <v>carolina.fernandez@idpc.gov.co</v>
      </c>
      <c r="AK414" s="640" t="str">
        <f>IF(J414="Funcionamiento Gastos Generales","No aplica",IF(J414="Funcionamiento Servicios Personales indirectos","No aplica",IFERROR(VLOOKUP(J414,Listas!$A$127:$E$139,3,FALSE),"Alerta: Seleccione la celda en la comumna B con el nombre del proyecto")))</f>
        <v>ME20181114</v>
      </c>
      <c r="AL414" s="640" t="str">
        <f>IF(J414="Funcionamiento Gastos Generales","No aplica",IF(J414="Funcionamiento Servicios Personales","No aplica",IFERROR(VLOOKUP(J414,Listas!$A$220:$D$224,2,FALSE),"Alerta: Seleccione la celda en la comumna B con el nombre del proyecto")))</f>
        <v>COMP1114</v>
      </c>
      <c r="AM414" s="640" t="str">
        <f>IF(J414="Funcionamiento Gastos Generales","No aplica",IF(J414="Funcionamiento Servicios Personales","No aplica",IFERROR(VLOOKUP(J414,Listas!$A$220:$D$224,3,FALSE),"Alerta: Seleccione la celda en la comumna B con el nombre del proyecto")))</f>
        <v>CONC1114</v>
      </c>
      <c r="AN414" s="633" t="s">
        <v>1054</v>
      </c>
      <c r="AO414" s="633" t="s">
        <v>312</v>
      </c>
      <c r="AP414" s="634" t="str">
        <f>IFERROR(VLOOKUP(J414,Listas!$A$182:$E$215,5,FALSE),"Alerta: Seleccione la celda en la comumna B con el nombre del proyecto")</f>
        <v>4. Obras de Intervención en Bienes muebles - inmuebles y sectores que conforman el patrimonio cultural del D.C.</v>
      </c>
      <c r="AQ414" s="634" t="str">
        <f>IF(J414="Funcionamiento Gastos Generales","No aplica",IF(J414="Funcionamiento Servicios Personales","No aplica",IFERROR(VLOOKUP(J414,Listas!$A$220:$D$224,4,FALSE),"Alerta: Seleccione la celda en la comumna B con el nombre del proyecto")))</f>
        <v>FONT1114</v>
      </c>
      <c r="AR414" s="633" t="s">
        <v>198</v>
      </c>
      <c r="AS414" s="634" t="str">
        <f>IFERROR(VLOOKUP(AU414,Listas!$E$85:$L$105,7,FALSE),"Alerta: Seleccione la celda en la comumna AI con el concepto de gasto")</f>
        <v>01-INFRAESTRUCTURA</v>
      </c>
      <c r="AT414" s="634" t="str">
        <f>IFERROR(VLOOKUP(AU414,Listas!$E$85:$L$105,8,FALSE),"Alerta: Seleccione la celda en la comumna AI con el concepto de gasto")</f>
        <v>03-MEJORAMIENTO Y MANTENIMIENTO DE INFRAESTRUCTURA PROPIA DEL SECTOR</v>
      </c>
      <c r="AU414" s="633" t="s">
        <v>225</v>
      </c>
      <c r="AV414" s="634">
        <f>IFERROR(VLOOKUP(AU414,Listas!$E$85:$F$105,2,FALSE),"Alerta: Seleccione el Concepto de Gasto primero")</f>
        <v>1</v>
      </c>
      <c r="AW414" s="644">
        <v>48000000</v>
      </c>
      <c r="AX414" s="645"/>
      <c r="AY414" s="645"/>
      <c r="AZ414" s="645"/>
      <c r="BA414" s="646">
        <f t="shared" si="123"/>
        <v>48000000</v>
      </c>
      <c r="BB414" s="647"/>
      <c r="BC414" s="648"/>
      <c r="BD414" s="649"/>
      <c r="BE414" s="647"/>
      <c r="BF414" s="644"/>
      <c r="BG414" s="646">
        <f t="shared" si="124"/>
        <v>48000000</v>
      </c>
      <c r="BH414" s="650"/>
      <c r="BI414" s="647"/>
      <c r="BJ414" s="644"/>
      <c r="BK414" s="646">
        <f t="shared" si="125"/>
        <v>0</v>
      </c>
      <c r="BL414" s="651"/>
      <c r="BM414" s="652">
        <f t="shared" si="126"/>
        <v>1</v>
      </c>
      <c r="BN414" s="628"/>
      <c r="BO414" s="670"/>
      <c r="BP414" s="644"/>
      <c r="BQ414" s="644"/>
      <c r="BR414" s="644"/>
      <c r="BS414" s="644"/>
      <c r="BT414" s="644"/>
      <c r="BU414" s="644"/>
      <c r="BV414" s="644"/>
      <c r="BW414" s="644"/>
      <c r="BX414" s="644"/>
      <c r="BY414" s="644"/>
      <c r="BZ414" s="644"/>
      <c r="CA414" s="644"/>
      <c r="CB414" s="646">
        <f t="shared" si="127"/>
        <v>0</v>
      </c>
      <c r="CC414" s="646">
        <f t="shared" si="128"/>
        <v>0</v>
      </c>
      <c r="CD414" s="614"/>
    </row>
    <row r="415" spans="1:85" s="561" customFormat="1" ht="61.5" customHeight="1">
      <c r="A415" s="625" t="str">
        <f t="shared" si="110"/>
        <v>1114-140-FONT1114-01-03-0103-Monumentos en espacios públicos a intervenir</v>
      </c>
      <c r="B415" s="626" t="str">
        <f t="shared" si="111"/>
        <v>1114-140-FONT1114-01-03-0103</v>
      </c>
      <c r="C415" s="626" t="str">
        <f t="shared" si="112"/>
        <v>1114-140-FONT1114-Monumentos en espacios públicos a intervenir</v>
      </c>
      <c r="D415" s="626" t="str">
        <f t="shared" si="113"/>
        <v>1114-140-12-Otros Distrito-01-03-0103</v>
      </c>
      <c r="E415" s="626" t="str">
        <f t="shared" si="114"/>
        <v>Monumentos en espacios públicos a intervenir-12-Otros Distrito-0103-Administración, mantenimiento y mejoramiento de los bienes muebles e inmuebles ubicados en el espacio público del Distrito Capital</v>
      </c>
      <c r="F415" s="627">
        <v>360</v>
      </c>
      <c r="G415" s="628">
        <f t="shared" si="115"/>
        <v>360</v>
      </c>
      <c r="H415" s="629" t="b">
        <f t="shared" si="116"/>
        <v>0</v>
      </c>
      <c r="I415" s="630" t="s">
        <v>594</v>
      </c>
      <c r="J415" s="627" t="s">
        <v>180</v>
      </c>
      <c r="K415" s="631" t="str">
        <f>+IFERROR(VLOOKUP(J415,Listas!$A$108:$B$114,2,FALSE),"Alerta: Seleccione la celda en la comumna B con el nombre del proyecto")</f>
        <v>3-3-1-15-02-17-1114-140</v>
      </c>
      <c r="L415" s="632" t="s">
        <v>935</v>
      </c>
      <c r="M415" s="633" t="s">
        <v>939</v>
      </c>
      <c r="N415" s="634" t="str">
        <f t="shared" si="117"/>
        <v>(Cód. 360) Prestar servicios profesionales al Instituto Distrital de Patrimonio Cultural para apoyar la gestión del Grupo de Bienes Muebles en las actividades relacionadas con la intervención y conservación de patrimonio mueble ubicado en el espación público de Bogotá, en especial bajo el Programa Adopta un Monumento de la entidad.</v>
      </c>
      <c r="O415" s="635">
        <v>43480</v>
      </c>
      <c r="P415" s="636">
        <f>IFERROR(VLOOKUP(W415,'Estimación CRP'!$D$21:$E$30,2,FALSE),0)</f>
        <v>10</v>
      </c>
      <c r="Q415" s="637">
        <f>IF(O415="No aplica","No aplica",WORKDAY.INTL(O415,P415,1,'Estimación CRP'!A601:A617))</f>
        <v>43494</v>
      </c>
      <c r="R415" s="636">
        <f t="shared" si="118"/>
        <v>1</v>
      </c>
      <c r="S415" s="636">
        <f t="shared" si="119"/>
        <v>1</v>
      </c>
      <c r="T415" s="636">
        <f t="shared" si="120"/>
        <v>1</v>
      </c>
      <c r="U415" s="712">
        <v>8</v>
      </c>
      <c r="V415" s="638">
        <v>1</v>
      </c>
      <c r="W415" s="639" t="s">
        <v>274</v>
      </c>
      <c r="X415" s="640" t="str">
        <f>IFERROR(VLOOKUP(W415,Listas!$A$60:$B$73,2,FALSE),"Alerta: Seleccione primero Modalidad de selección")</f>
        <v>CCE-16</v>
      </c>
      <c r="Y415" s="641">
        <v>0</v>
      </c>
      <c r="Z415" s="641" t="s">
        <v>346</v>
      </c>
      <c r="AA415" s="641" t="s">
        <v>1338</v>
      </c>
      <c r="AB415" s="642">
        <f t="shared" si="121"/>
        <v>32960000</v>
      </c>
      <c r="AC415" s="642">
        <f t="shared" si="122"/>
        <v>32960000</v>
      </c>
      <c r="AD415" s="641">
        <v>0</v>
      </c>
      <c r="AE415" s="643">
        <v>0</v>
      </c>
      <c r="AF415" s="639" t="s">
        <v>276</v>
      </c>
      <c r="AG415" s="639" t="s">
        <v>277</v>
      </c>
      <c r="AH415" s="639" t="s">
        <v>573</v>
      </c>
      <c r="AI415" s="626" t="str">
        <f>IFERROR(VLOOKUP(AH415,Listas!$A$77:$C$83,2,FALSE),"Alerta: Seleccione primero el responsable")</f>
        <v>3550800</v>
      </c>
      <c r="AJ415" s="640" t="str">
        <f>IFERROR(VLOOKUP(AH415,Listas!$A$77:$C$83,3,FALSE),"Alerta: Seleccione primero el responsable")</f>
        <v>carolina.fernandez@idpc.gov.co</v>
      </c>
      <c r="AK415" s="640" t="str">
        <f>IF(J415="Funcionamiento Gastos Generales","No aplica",IF(J415="Funcionamiento Servicios Personales indirectos","No aplica",IFERROR(VLOOKUP(J415,Listas!$A$127:$E$139,3,FALSE),"Alerta: Seleccione la celda en la comumna B con el nombre del proyecto")))</f>
        <v>ME20181114</v>
      </c>
      <c r="AL415" s="640" t="str">
        <f>IF(J415="Funcionamiento Gastos Generales","No aplica",IF(J415="Funcionamiento Servicios Personales","No aplica",IFERROR(VLOOKUP(J415,Listas!$A$220:$D$224,2,FALSE),"Alerta: Seleccione la celda en la comumna B con el nombre del proyecto")))</f>
        <v>COMP1114</v>
      </c>
      <c r="AM415" s="640" t="str">
        <f>IF(J415="Funcionamiento Gastos Generales","No aplica",IF(J415="Funcionamiento Servicios Personales","No aplica",IFERROR(VLOOKUP(J415,Listas!$A$220:$D$224,3,FALSE),"Alerta: Seleccione la celda en la comumna B con el nombre del proyecto")))</f>
        <v>CONC1114</v>
      </c>
      <c r="AN415" s="633" t="s">
        <v>1054</v>
      </c>
      <c r="AO415" s="633" t="s">
        <v>312</v>
      </c>
      <c r="AP415" s="634" t="str">
        <f>IFERROR(VLOOKUP(J415,Listas!$A$182:$E$215,5,FALSE),"Alerta: Seleccione la celda en la comumna B con el nombre del proyecto")</f>
        <v>4. Obras de Intervención en Bienes muebles - inmuebles y sectores que conforman el patrimonio cultural del D.C.</v>
      </c>
      <c r="AQ415" s="634" t="str">
        <f>IF(J415="Funcionamiento Gastos Generales","No aplica",IF(J415="Funcionamiento Servicios Personales","No aplica",IFERROR(VLOOKUP(J415,Listas!$A$220:$D$224,4,FALSE),"Alerta: Seleccione la celda en la comumna B con el nombre del proyecto")))</f>
        <v>FONT1114</v>
      </c>
      <c r="AR415" s="633" t="s">
        <v>198</v>
      </c>
      <c r="AS415" s="634" t="str">
        <f>IFERROR(VLOOKUP(AU415,Listas!$E$85:$L$105,7,FALSE),"Alerta: Seleccione la celda en la comumna AI con el concepto de gasto")</f>
        <v>01-INFRAESTRUCTURA</v>
      </c>
      <c r="AT415" s="634" t="str">
        <f>IFERROR(VLOOKUP(AU415,Listas!$E$85:$L$105,8,FALSE),"Alerta: Seleccione la celda en la comumna AI con el concepto de gasto")</f>
        <v>03-MEJORAMIENTO Y MANTENIMIENTO DE INFRAESTRUCTURA PROPIA DEL SECTOR</v>
      </c>
      <c r="AU415" s="633" t="s">
        <v>225</v>
      </c>
      <c r="AV415" s="634">
        <f>IFERROR(VLOOKUP(AU415,Listas!$E$85:$F$105,2,FALSE),"Alerta: Seleccione el Concepto de Gasto primero")</f>
        <v>1</v>
      </c>
      <c r="AW415" s="644">
        <v>32960000</v>
      </c>
      <c r="AX415" s="645"/>
      <c r="AY415" s="645"/>
      <c r="AZ415" s="645"/>
      <c r="BA415" s="646">
        <f t="shared" si="123"/>
        <v>32960000</v>
      </c>
      <c r="BB415" s="647"/>
      <c r="BC415" s="648"/>
      <c r="BD415" s="649"/>
      <c r="BE415" s="647"/>
      <c r="BF415" s="644"/>
      <c r="BG415" s="646">
        <f t="shared" si="124"/>
        <v>32960000</v>
      </c>
      <c r="BH415" s="650"/>
      <c r="BI415" s="647"/>
      <c r="BJ415" s="644"/>
      <c r="BK415" s="646">
        <f t="shared" si="125"/>
        <v>0</v>
      </c>
      <c r="BL415" s="651"/>
      <c r="BM415" s="652">
        <f t="shared" si="126"/>
        <v>1</v>
      </c>
      <c r="BN415" s="628"/>
      <c r="BO415" s="670"/>
      <c r="BP415" s="644"/>
      <c r="BQ415" s="644"/>
      <c r="BR415" s="644"/>
      <c r="BS415" s="644"/>
      <c r="BT415" s="644"/>
      <c r="BU415" s="644"/>
      <c r="BV415" s="644"/>
      <c r="BW415" s="644"/>
      <c r="BX415" s="644"/>
      <c r="BY415" s="644"/>
      <c r="BZ415" s="644"/>
      <c r="CA415" s="644"/>
      <c r="CB415" s="646">
        <f t="shared" si="127"/>
        <v>0</v>
      </c>
      <c r="CC415" s="646">
        <f t="shared" si="128"/>
        <v>0</v>
      </c>
      <c r="CD415" s="614"/>
    </row>
    <row r="416" spans="1:85" s="653" customFormat="1" ht="61.5" customHeight="1">
      <c r="A416" s="625" t="str">
        <f t="shared" ref="A416:A479" si="129">+CONCATENATE(B416,"-",AO416)</f>
        <v>1114-140-FONT1114-01-03-0103-Monumentos en espacios públicos a intervenir</v>
      </c>
      <c r="B416" s="626" t="str">
        <f t="shared" ref="B416:B479" si="130">CONCATENATE(RIGHT(K416,8),"-",AQ416,"-",LEFT(AS416,2),"-",LEFT(AT416,2),"-",LEFT(AU416,4))</f>
        <v>1114-140-FONT1114-01-03-0103</v>
      </c>
      <c r="C416" s="626" t="str">
        <f t="shared" ref="C416:C479" si="131">+CONCATENATE(RIGHT(K416,8),"-",AQ416,"-",AO416)</f>
        <v>1114-140-FONT1114-Monumentos en espacios públicos a intervenir</v>
      </c>
      <c r="D416" s="626" t="str">
        <f t="shared" ref="D416:D479" si="132">+CONCATENATE(RIGHT(K416,8),"-",AR416,"-",LEFT(AS416,2),"-",LEFT(AT416,2),"-",LEFT(AU416,4))</f>
        <v>1114-140-12-Otros Distrito-01-03-0103</v>
      </c>
      <c r="E416" s="626" t="str">
        <f t="shared" si="114"/>
        <v>Monumentos en espacios públicos a intervenir-12-Otros Distrito-0103-Administración, mantenimiento y mejoramiento de los bienes muebles e inmuebles ubicados en el espacio público del Distrito Capital</v>
      </c>
      <c r="F416" s="627">
        <v>361</v>
      </c>
      <c r="G416" s="628">
        <f t="shared" si="115"/>
        <v>361</v>
      </c>
      <c r="H416" s="629" t="b">
        <f t="shared" si="116"/>
        <v>0</v>
      </c>
      <c r="I416" s="630" t="s">
        <v>594</v>
      </c>
      <c r="J416" s="627" t="s">
        <v>180</v>
      </c>
      <c r="K416" s="631" t="str">
        <f>+IFERROR(VLOOKUP(J416,Listas!$A$108:$B$114,2,FALSE),"Alerta: Seleccione la celda en la comumna B con el nombre del proyecto")</f>
        <v>3-3-1-15-02-17-1114-140</v>
      </c>
      <c r="L416" s="632" t="s">
        <v>935</v>
      </c>
      <c r="M416" s="633" t="s">
        <v>940</v>
      </c>
      <c r="N416" s="634" t="str">
        <f t="shared" si="117"/>
        <v>(Cód. 361) Prestar servicios profesionales al Instituto Distrital de Patrimonio Cultural para orientar y realizar el fomento y seguimiento de las acciones de administración, mantenimiento, conservación y restauración de los bienes muebles de la ciudad de Bogotá. D.C.</v>
      </c>
      <c r="O416" s="635">
        <v>43480</v>
      </c>
      <c r="P416" s="636">
        <f>IFERROR(VLOOKUP(W416,'Estimación CRP'!$D$21:$E$30,2,FALSE),0)</f>
        <v>10</v>
      </c>
      <c r="Q416" s="637">
        <f>IF(O416="No aplica","No aplica",WORKDAY.INTL(O416,P416,1,'Estimación CRP'!A602:A618))</f>
        <v>43494</v>
      </c>
      <c r="R416" s="636">
        <f t="shared" si="118"/>
        <v>1</v>
      </c>
      <c r="S416" s="636">
        <f t="shared" si="119"/>
        <v>1</v>
      </c>
      <c r="T416" s="636">
        <f t="shared" si="120"/>
        <v>1</v>
      </c>
      <c r="U416" s="712">
        <v>11</v>
      </c>
      <c r="V416" s="638">
        <v>1</v>
      </c>
      <c r="W416" s="639" t="s">
        <v>274</v>
      </c>
      <c r="X416" s="640" t="str">
        <f>IFERROR(VLOOKUP(W416,Listas!$A$60:$B$73,2,FALSE),"Alerta: Seleccione primero Modalidad de selección")</f>
        <v>CCE-16</v>
      </c>
      <c r="Y416" s="641">
        <v>0</v>
      </c>
      <c r="Z416" s="641" t="s">
        <v>346</v>
      </c>
      <c r="AA416" s="641" t="s">
        <v>1338</v>
      </c>
      <c r="AB416" s="642">
        <f t="shared" si="121"/>
        <v>96250000</v>
      </c>
      <c r="AC416" s="642">
        <f t="shared" si="122"/>
        <v>96250000</v>
      </c>
      <c r="AD416" s="641">
        <v>0</v>
      </c>
      <c r="AE416" s="643">
        <v>0</v>
      </c>
      <c r="AF416" s="639" t="s">
        <v>276</v>
      </c>
      <c r="AG416" s="639" t="s">
        <v>277</v>
      </c>
      <c r="AH416" s="639" t="s">
        <v>573</v>
      </c>
      <c r="AI416" s="626" t="str">
        <f>IFERROR(VLOOKUP(AH416,Listas!$A$77:$C$83,2,FALSE),"Alerta: Seleccione primero el responsable")</f>
        <v>3550800</v>
      </c>
      <c r="AJ416" s="640" t="str">
        <f>IFERROR(VLOOKUP(AH416,Listas!$A$77:$C$83,3,FALSE),"Alerta: Seleccione primero el responsable")</f>
        <v>carolina.fernandez@idpc.gov.co</v>
      </c>
      <c r="AK416" s="640" t="str">
        <f>IF(J416="Funcionamiento Gastos Generales","No aplica",IF(J416="Funcionamiento Servicios Personales indirectos","No aplica",IFERROR(VLOOKUP(J416,Listas!$A$127:$E$139,3,FALSE),"Alerta: Seleccione la celda en la comumna B con el nombre del proyecto")))</f>
        <v>ME20181114</v>
      </c>
      <c r="AL416" s="640" t="str">
        <f>IF(J416="Funcionamiento Gastos Generales","No aplica",IF(J416="Funcionamiento Servicios Personales","No aplica",IFERROR(VLOOKUP(J416,Listas!$A$220:$D$224,2,FALSE),"Alerta: Seleccione la celda en la comumna B con el nombre del proyecto")))</f>
        <v>COMP1114</v>
      </c>
      <c r="AM416" s="640" t="str">
        <f>IF(J416="Funcionamiento Gastos Generales","No aplica",IF(J416="Funcionamiento Servicios Personales","No aplica",IFERROR(VLOOKUP(J416,Listas!$A$220:$D$224,3,FALSE),"Alerta: Seleccione la celda en la comumna B con el nombre del proyecto")))</f>
        <v>CONC1114</v>
      </c>
      <c r="AN416" s="633" t="s">
        <v>1054</v>
      </c>
      <c r="AO416" s="633" t="s">
        <v>312</v>
      </c>
      <c r="AP416" s="634" t="str">
        <f>IFERROR(VLOOKUP(J416,Listas!$A$182:$E$215,5,FALSE),"Alerta: Seleccione la celda en la comumna B con el nombre del proyecto")</f>
        <v>4. Obras de Intervención en Bienes muebles - inmuebles y sectores que conforman el patrimonio cultural del D.C.</v>
      </c>
      <c r="AQ416" s="634" t="str">
        <f>IF(J416="Funcionamiento Gastos Generales","No aplica",IF(J416="Funcionamiento Servicios Personales","No aplica",IFERROR(VLOOKUP(J416,Listas!$A$220:$D$224,4,FALSE),"Alerta: Seleccione la celda en la comumna B con el nombre del proyecto")))</f>
        <v>FONT1114</v>
      </c>
      <c r="AR416" s="633" t="s">
        <v>198</v>
      </c>
      <c r="AS416" s="634" t="str">
        <f>IFERROR(VLOOKUP(AU416,Listas!$E$85:$L$105,7,FALSE),"Alerta: Seleccione la celda en la comumna AI con el concepto de gasto")</f>
        <v>01-INFRAESTRUCTURA</v>
      </c>
      <c r="AT416" s="634" t="str">
        <f>IFERROR(VLOOKUP(AU416,Listas!$E$85:$L$105,8,FALSE),"Alerta: Seleccione la celda en la comumna AI con el concepto de gasto")</f>
        <v>03-MEJORAMIENTO Y MANTENIMIENTO DE INFRAESTRUCTURA PROPIA DEL SECTOR</v>
      </c>
      <c r="AU416" s="633" t="s">
        <v>225</v>
      </c>
      <c r="AV416" s="634">
        <f>IFERROR(VLOOKUP(AU416,Listas!$E$85:$F$105,2,FALSE),"Alerta: Seleccione el Concepto de Gasto primero")</f>
        <v>1</v>
      </c>
      <c r="AW416" s="644">
        <v>96250000</v>
      </c>
      <c r="AX416" s="645"/>
      <c r="AY416" s="645"/>
      <c r="AZ416" s="645"/>
      <c r="BA416" s="646">
        <f t="shared" si="123"/>
        <v>96250000</v>
      </c>
      <c r="BB416" s="647"/>
      <c r="BC416" s="648"/>
      <c r="BD416" s="649"/>
      <c r="BE416" s="647"/>
      <c r="BF416" s="644"/>
      <c r="BG416" s="646">
        <f t="shared" si="124"/>
        <v>96250000</v>
      </c>
      <c r="BH416" s="650"/>
      <c r="BI416" s="647"/>
      <c r="BJ416" s="644"/>
      <c r="BK416" s="646">
        <f t="shared" si="125"/>
        <v>0</v>
      </c>
      <c r="BL416" s="651"/>
      <c r="BM416" s="652">
        <f t="shared" si="126"/>
        <v>1</v>
      </c>
      <c r="BN416" s="628"/>
      <c r="BO416" s="670"/>
      <c r="BP416" s="644"/>
      <c r="BQ416" s="644"/>
      <c r="BR416" s="644"/>
      <c r="BS416" s="644"/>
      <c r="BT416" s="644"/>
      <c r="BU416" s="644"/>
      <c r="BV416" s="644"/>
      <c r="BW416" s="644"/>
      <c r="BX416" s="644"/>
      <c r="BY416" s="644"/>
      <c r="BZ416" s="644"/>
      <c r="CA416" s="644"/>
      <c r="CB416" s="646">
        <f t="shared" si="127"/>
        <v>0</v>
      </c>
      <c r="CC416" s="646">
        <f t="shared" si="128"/>
        <v>0</v>
      </c>
      <c r="CD416" s="614"/>
    </row>
    <row r="417" spans="1:85" s="561" customFormat="1" ht="61.5" customHeight="1">
      <c r="A417" s="625" t="str">
        <f t="shared" si="129"/>
        <v>1114-140-FONT1114-01-03-0103-Monumentos en espacios públicos a intervenir</v>
      </c>
      <c r="B417" s="626" t="str">
        <f t="shared" si="130"/>
        <v>1114-140-FONT1114-01-03-0103</v>
      </c>
      <c r="C417" s="626" t="str">
        <f t="shared" si="131"/>
        <v>1114-140-FONT1114-Monumentos en espacios públicos a intervenir</v>
      </c>
      <c r="D417" s="626" t="str">
        <f t="shared" si="132"/>
        <v>1114-140-12-Otros Distrito-01-03-0103</v>
      </c>
      <c r="E417" s="626" t="str">
        <f t="shared" ref="E417:E480" si="133">+CONCATENATE(AO417,"-",AR417,"-",AU417)</f>
        <v>Monumentos en espacios públicos a intervenir-12-Otros Distrito-0103-Administración, mantenimiento y mejoramiento de los bienes muebles e inmuebles ubicados en el espacio público del Distrito Capital</v>
      </c>
      <c r="F417" s="627">
        <v>362</v>
      </c>
      <c r="G417" s="628">
        <f t="shared" ref="G417:G480" si="134">+F417</f>
        <v>362</v>
      </c>
      <c r="H417" s="629" t="b">
        <f t="shared" ref="H417:H480" si="135">+G417=G416</f>
        <v>0</v>
      </c>
      <c r="I417" s="630" t="s">
        <v>594</v>
      </c>
      <c r="J417" s="627" t="s">
        <v>180</v>
      </c>
      <c r="K417" s="631" t="str">
        <f>+IFERROR(VLOOKUP(J417,Listas!$A$108:$B$114,2,FALSE),"Alerta: Seleccione la celda en la comumna B con el nombre del proyecto")</f>
        <v>3-3-1-15-02-17-1114-140</v>
      </c>
      <c r="L417" s="632" t="s">
        <v>932</v>
      </c>
      <c r="M417" s="633" t="s">
        <v>941</v>
      </c>
      <c r="N417" s="634" t="str">
        <f t="shared" ref="N417:N480" si="136">+CONCATENATE("(Cód. ",F417,") ",M417)</f>
        <v>(Cód. 362) Prestar servicios profesionales al Instituto Distrital de Patrimonio Cultural para orientar, guiar y realizar el seguimiento técnico de las intervenciones adelantadas por la entidad en Bienes Muebles ubicados en el espacio público de Bogotá D.C.</v>
      </c>
      <c r="O417" s="635">
        <v>43480</v>
      </c>
      <c r="P417" s="636">
        <f>IFERROR(VLOOKUP(W417,'Estimación CRP'!$D$21:$E$30,2,FALSE),0)</f>
        <v>10</v>
      </c>
      <c r="Q417" s="637">
        <f>IF(O417="No aplica","No aplica",WORKDAY.INTL(O417,P417,1,'Estimación CRP'!A603:A619))</f>
        <v>43494</v>
      </c>
      <c r="R417" s="636">
        <f t="shared" ref="R417:R480" si="137">IF(O417="No aplica","No aplica",MONTH(Q417))</f>
        <v>1</v>
      </c>
      <c r="S417" s="636">
        <f t="shared" ref="S417:S480" si="138">IF(O417="No aplica","No aplica",MONTH(O417))</f>
        <v>1</v>
      </c>
      <c r="T417" s="636">
        <f t="shared" ref="T417:T480" si="139">IF(O417="No aplica","No aplica",S417)</f>
        <v>1</v>
      </c>
      <c r="U417" s="712">
        <v>10</v>
      </c>
      <c r="V417" s="638">
        <v>1</v>
      </c>
      <c r="W417" s="639" t="s">
        <v>274</v>
      </c>
      <c r="X417" s="640" t="str">
        <f>IFERROR(VLOOKUP(W417,Listas!$A$60:$B$73,2,FALSE),"Alerta: Seleccione primero Modalidad de selección")</f>
        <v>CCE-16</v>
      </c>
      <c r="Y417" s="641">
        <v>0</v>
      </c>
      <c r="Z417" s="641" t="s">
        <v>346</v>
      </c>
      <c r="AA417" s="641" t="s">
        <v>1338</v>
      </c>
      <c r="AB417" s="642">
        <f t="shared" ref="AB417:AB480" si="140">+BA417</f>
        <v>51500000</v>
      </c>
      <c r="AC417" s="642">
        <f t="shared" ref="AC417:AC480" si="141">+AB417</f>
        <v>51500000</v>
      </c>
      <c r="AD417" s="641">
        <v>0</v>
      </c>
      <c r="AE417" s="643">
        <v>0</v>
      </c>
      <c r="AF417" s="639" t="s">
        <v>276</v>
      </c>
      <c r="AG417" s="639" t="s">
        <v>277</v>
      </c>
      <c r="AH417" s="639" t="s">
        <v>573</v>
      </c>
      <c r="AI417" s="626" t="str">
        <f>IFERROR(VLOOKUP(AH417,Listas!$A$77:$C$83,2,FALSE),"Alerta: Seleccione primero el responsable")</f>
        <v>3550800</v>
      </c>
      <c r="AJ417" s="640" t="str">
        <f>IFERROR(VLOOKUP(AH417,Listas!$A$77:$C$83,3,FALSE),"Alerta: Seleccione primero el responsable")</f>
        <v>carolina.fernandez@idpc.gov.co</v>
      </c>
      <c r="AK417" s="640" t="str">
        <f>IF(J417="Funcionamiento Gastos Generales","No aplica",IF(J417="Funcionamiento Servicios Personales indirectos","No aplica",IFERROR(VLOOKUP(J417,Listas!$A$127:$E$139,3,FALSE),"Alerta: Seleccione la celda en la comumna B con el nombre del proyecto")))</f>
        <v>ME20181114</v>
      </c>
      <c r="AL417" s="640" t="str">
        <f>IF(J417="Funcionamiento Gastos Generales","No aplica",IF(J417="Funcionamiento Servicios Personales","No aplica",IFERROR(VLOOKUP(J417,Listas!$A$220:$D$224,2,FALSE),"Alerta: Seleccione la celda en la comumna B con el nombre del proyecto")))</f>
        <v>COMP1114</v>
      </c>
      <c r="AM417" s="640" t="str">
        <f>IF(J417="Funcionamiento Gastos Generales","No aplica",IF(J417="Funcionamiento Servicios Personales","No aplica",IFERROR(VLOOKUP(J417,Listas!$A$220:$D$224,3,FALSE),"Alerta: Seleccione la celda en la comumna B con el nombre del proyecto")))</f>
        <v>CONC1114</v>
      </c>
      <c r="AN417" s="633" t="s">
        <v>1054</v>
      </c>
      <c r="AO417" s="633" t="s">
        <v>312</v>
      </c>
      <c r="AP417" s="634" t="str">
        <f>IFERROR(VLOOKUP(J417,Listas!$A$182:$E$215,5,FALSE),"Alerta: Seleccione la celda en la comumna B con el nombre del proyecto")</f>
        <v>4. Obras de Intervención en Bienes muebles - inmuebles y sectores que conforman el patrimonio cultural del D.C.</v>
      </c>
      <c r="AQ417" s="634" t="str">
        <f>IF(J417="Funcionamiento Gastos Generales","No aplica",IF(J417="Funcionamiento Servicios Personales","No aplica",IFERROR(VLOOKUP(J417,Listas!$A$220:$D$224,4,FALSE),"Alerta: Seleccione la celda en la comumna B con el nombre del proyecto")))</f>
        <v>FONT1114</v>
      </c>
      <c r="AR417" s="633" t="s">
        <v>198</v>
      </c>
      <c r="AS417" s="634" t="str">
        <f>IFERROR(VLOOKUP(AU417,Listas!$E$85:$L$105,7,FALSE),"Alerta: Seleccione la celda en la comumna AI con el concepto de gasto")</f>
        <v>01-INFRAESTRUCTURA</v>
      </c>
      <c r="AT417" s="634" t="str">
        <f>IFERROR(VLOOKUP(AU417,Listas!$E$85:$L$105,8,FALSE),"Alerta: Seleccione la celda en la comumna AI con el concepto de gasto")</f>
        <v>03-MEJORAMIENTO Y MANTENIMIENTO DE INFRAESTRUCTURA PROPIA DEL SECTOR</v>
      </c>
      <c r="AU417" s="633" t="s">
        <v>225</v>
      </c>
      <c r="AV417" s="634">
        <f>IFERROR(VLOOKUP(AU417,Listas!$E$85:$F$105,2,FALSE),"Alerta: Seleccione el Concepto de Gasto primero")</f>
        <v>1</v>
      </c>
      <c r="AW417" s="644">
        <v>51500000</v>
      </c>
      <c r="AX417" s="645"/>
      <c r="AY417" s="645"/>
      <c r="AZ417" s="645"/>
      <c r="BA417" s="646">
        <f t="shared" ref="BA417:BA480" si="142">+AW417+AX417+AY417-AZ417</f>
        <v>51500000</v>
      </c>
      <c r="BB417" s="647"/>
      <c r="BC417" s="648"/>
      <c r="BD417" s="649"/>
      <c r="BE417" s="647"/>
      <c r="BF417" s="644"/>
      <c r="BG417" s="646">
        <f t="shared" ref="BG417:BG480" si="143">+BA417-BF417</f>
        <v>51500000</v>
      </c>
      <c r="BH417" s="650"/>
      <c r="BI417" s="647"/>
      <c r="BJ417" s="644"/>
      <c r="BK417" s="646">
        <f t="shared" ref="BK417:BK480" si="144">BF417-BJ417</f>
        <v>0</v>
      </c>
      <c r="BL417" s="651"/>
      <c r="BM417" s="652">
        <f t="shared" ref="BM417:BM480" si="145">MONTH(BL417)</f>
        <v>1</v>
      </c>
      <c r="BN417" s="628"/>
      <c r="BO417" s="670"/>
      <c r="BP417" s="644"/>
      <c r="BQ417" s="644"/>
      <c r="BR417" s="644"/>
      <c r="BS417" s="644"/>
      <c r="BT417" s="644"/>
      <c r="BU417" s="644"/>
      <c r="BV417" s="644"/>
      <c r="BW417" s="644"/>
      <c r="BX417" s="644"/>
      <c r="BY417" s="644"/>
      <c r="BZ417" s="644"/>
      <c r="CA417" s="644"/>
      <c r="CB417" s="646">
        <f t="shared" ref="CB417:CB480" si="146">+SUM(BP417:CA417)</f>
        <v>0</v>
      </c>
      <c r="CC417" s="646">
        <f t="shared" ref="CC417:CC480" si="147">BJ417-CB417</f>
        <v>0</v>
      </c>
      <c r="CD417" s="614"/>
      <c r="CG417" s="561" t="s">
        <v>589</v>
      </c>
    </row>
    <row r="418" spans="1:85" s="561" customFormat="1" ht="61.5" customHeight="1">
      <c r="A418" s="625" t="str">
        <f t="shared" si="129"/>
        <v>1114-140-FONT1114-01-03-0103-Monumentos en espacios públicos a intervenir</v>
      </c>
      <c r="B418" s="626" t="str">
        <f t="shared" si="130"/>
        <v>1114-140-FONT1114-01-03-0103</v>
      </c>
      <c r="C418" s="626" t="str">
        <f t="shared" si="131"/>
        <v>1114-140-FONT1114-Monumentos en espacios públicos a intervenir</v>
      </c>
      <c r="D418" s="626" t="str">
        <f t="shared" si="132"/>
        <v>1114-140-12-Otros Distrito-01-03-0103</v>
      </c>
      <c r="E418" s="626" t="str">
        <f t="shared" si="133"/>
        <v>Monumentos en espacios públicos a intervenir-12-Otros Distrito-0103-Administración, mantenimiento y mejoramiento de los bienes muebles e inmuebles ubicados en el espacio público del Distrito Capital</v>
      </c>
      <c r="F418" s="627">
        <v>363</v>
      </c>
      <c r="G418" s="628">
        <f t="shared" si="134"/>
        <v>363</v>
      </c>
      <c r="H418" s="629" t="b">
        <f t="shared" si="135"/>
        <v>0</v>
      </c>
      <c r="I418" s="630" t="s">
        <v>594</v>
      </c>
      <c r="J418" s="627" t="s">
        <v>180</v>
      </c>
      <c r="K418" s="631" t="str">
        <f>+IFERROR(VLOOKUP(J418,Listas!$A$108:$B$114,2,FALSE),"Alerta: Seleccione la celda en la comumna B con el nombre del proyecto")</f>
        <v>3-3-1-15-02-17-1114-140</v>
      </c>
      <c r="L418" s="632" t="s">
        <v>935</v>
      </c>
      <c r="M418" s="633" t="s">
        <v>942</v>
      </c>
      <c r="N418" s="634" t="str">
        <f t="shared" si="136"/>
        <v>(Cód. 363) Prestar servicios profesionales al Instituto Distrital de Patrimonio Cultural para realizar la gestión interinstitucional (público-privada) del Programa Adopta un Monumento para la protección, mantenimiento, administración y conservación de los bienes muebles - inmuebles en el espacio público de Bogotá, D.C.</v>
      </c>
      <c r="O418" s="635">
        <v>43480</v>
      </c>
      <c r="P418" s="636">
        <f>IFERROR(VLOOKUP(W418,'Estimación CRP'!$D$21:$E$30,2,FALSE),0)</f>
        <v>10</v>
      </c>
      <c r="Q418" s="637">
        <f>IF(O418="No aplica","No aplica",WORKDAY.INTL(O418,P418,1,'Estimación CRP'!A604:A620))</f>
        <v>43494</v>
      </c>
      <c r="R418" s="636">
        <f t="shared" si="137"/>
        <v>1</v>
      </c>
      <c r="S418" s="636">
        <f t="shared" si="138"/>
        <v>1</v>
      </c>
      <c r="T418" s="636">
        <f t="shared" si="139"/>
        <v>1</v>
      </c>
      <c r="U418" s="712">
        <v>10</v>
      </c>
      <c r="V418" s="638">
        <v>1</v>
      </c>
      <c r="W418" s="639" t="s">
        <v>274</v>
      </c>
      <c r="X418" s="640" t="str">
        <f>IFERROR(VLOOKUP(W418,Listas!$A$60:$B$73,2,FALSE),"Alerta: Seleccione primero Modalidad de selección")</f>
        <v>CCE-16</v>
      </c>
      <c r="Y418" s="641">
        <v>0</v>
      </c>
      <c r="Z418" s="641" t="s">
        <v>346</v>
      </c>
      <c r="AA418" s="641" t="s">
        <v>1338</v>
      </c>
      <c r="AB418" s="642">
        <f t="shared" si="140"/>
        <v>66000000</v>
      </c>
      <c r="AC418" s="642">
        <f t="shared" si="141"/>
        <v>66000000</v>
      </c>
      <c r="AD418" s="641">
        <v>0</v>
      </c>
      <c r="AE418" s="643">
        <v>0</v>
      </c>
      <c r="AF418" s="639" t="s">
        <v>276</v>
      </c>
      <c r="AG418" s="639" t="s">
        <v>277</v>
      </c>
      <c r="AH418" s="639" t="s">
        <v>573</v>
      </c>
      <c r="AI418" s="626" t="str">
        <f>IFERROR(VLOOKUP(AH418,Listas!$A$77:$C$83,2,FALSE),"Alerta: Seleccione primero el responsable")</f>
        <v>3550800</v>
      </c>
      <c r="AJ418" s="640" t="str">
        <f>IFERROR(VLOOKUP(AH418,Listas!$A$77:$C$83,3,FALSE),"Alerta: Seleccione primero el responsable")</f>
        <v>carolina.fernandez@idpc.gov.co</v>
      </c>
      <c r="AK418" s="640" t="str">
        <f>IF(J418="Funcionamiento Gastos Generales","No aplica",IF(J418="Funcionamiento Servicios Personales indirectos","No aplica",IFERROR(VLOOKUP(J418,Listas!$A$127:$E$139,3,FALSE),"Alerta: Seleccione la celda en la comumna B con el nombre del proyecto")))</f>
        <v>ME20181114</v>
      </c>
      <c r="AL418" s="640" t="str">
        <f>IF(J418="Funcionamiento Gastos Generales","No aplica",IF(J418="Funcionamiento Servicios Personales","No aplica",IFERROR(VLOOKUP(J418,Listas!$A$220:$D$224,2,FALSE),"Alerta: Seleccione la celda en la comumna B con el nombre del proyecto")))</f>
        <v>COMP1114</v>
      </c>
      <c r="AM418" s="640" t="str">
        <f>IF(J418="Funcionamiento Gastos Generales","No aplica",IF(J418="Funcionamiento Servicios Personales","No aplica",IFERROR(VLOOKUP(J418,Listas!$A$220:$D$224,3,FALSE),"Alerta: Seleccione la celda en la comumna B con el nombre del proyecto")))</f>
        <v>CONC1114</v>
      </c>
      <c r="AN418" s="633" t="s">
        <v>1054</v>
      </c>
      <c r="AO418" s="633" t="s">
        <v>312</v>
      </c>
      <c r="AP418" s="634" t="str">
        <f>IFERROR(VLOOKUP(J418,Listas!$A$182:$E$215,5,FALSE),"Alerta: Seleccione la celda en la comumna B con el nombre del proyecto")</f>
        <v>4. Obras de Intervención en Bienes muebles - inmuebles y sectores que conforman el patrimonio cultural del D.C.</v>
      </c>
      <c r="AQ418" s="634" t="str">
        <f>IF(J418="Funcionamiento Gastos Generales","No aplica",IF(J418="Funcionamiento Servicios Personales","No aplica",IFERROR(VLOOKUP(J418,Listas!$A$220:$D$224,4,FALSE),"Alerta: Seleccione la celda en la comumna B con el nombre del proyecto")))</f>
        <v>FONT1114</v>
      </c>
      <c r="AR418" s="633" t="s">
        <v>198</v>
      </c>
      <c r="AS418" s="634" t="str">
        <f>IFERROR(VLOOKUP(AU418,Listas!$E$85:$L$105,7,FALSE),"Alerta: Seleccione la celda en la comumna AI con el concepto de gasto")</f>
        <v>01-INFRAESTRUCTURA</v>
      </c>
      <c r="AT418" s="634" t="str">
        <f>IFERROR(VLOOKUP(AU418,Listas!$E$85:$L$105,8,FALSE),"Alerta: Seleccione la celda en la comumna AI con el concepto de gasto")</f>
        <v>03-MEJORAMIENTO Y MANTENIMIENTO DE INFRAESTRUCTURA PROPIA DEL SECTOR</v>
      </c>
      <c r="AU418" s="633" t="s">
        <v>225</v>
      </c>
      <c r="AV418" s="634">
        <f>IFERROR(VLOOKUP(AU418,Listas!$E$85:$F$105,2,FALSE),"Alerta: Seleccione el Concepto de Gasto primero")</f>
        <v>1</v>
      </c>
      <c r="AW418" s="644">
        <v>66000000</v>
      </c>
      <c r="AX418" s="645"/>
      <c r="AY418" s="645"/>
      <c r="AZ418" s="645"/>
      <c r="BA418" s="646">
        <f t="shared" si="142"/>
        <v>66000000</v>
      </c>
      <c r="BB418" s="647"/>
      <c r="BC418" s="648"/>
      <c r="BD418" s="649"/>
      <c r="BE418" s="647"/>
      <c r="BF418" s="644"/>
      <c r="BG418" s="646">
        <f t="shared" si="143"/>
        <v>66000000</v>
      </c>
      <c r="BH418" s="650"/>
      <c r="BI418" s="647"/>
      <c r="BJ418" s="644"/>
      <c r="BK418" s="646">
        <f t="shared" si="144"/>
        <v>0</v>
      </c>
      <c r="BL418" s="651"/>
      <c r="BM418" s="652">
        <f t="shared" si="145"/>
        <v>1</v>
      </c>
      <c r="BN418" s="628"/>
      <c r="BO418" s="670"/>
      <c r="BP418" s="644"/>
      <c r="BQ418" s="644"/>
      <c r="BR418" s="644"/>
      <c r="BS418" s="644"/>
      <c r="BT418" s="644"/>
      <c r="BU418" s="644"/>
      <c r="BV418" s="644"/>
      <c r="BW418" s="644"/>
      <c r="BX418" s="644"/>
      <c r="BY418" s="644"/>
      <c r="BZ418" s="644"/>
      <c r="CA418" s="644"/>
      <c r="CB418" s="646">
        <f t="shared" si="146"/>
        <v>0</v>
      </c>
      <c r="CC418" s="646">
        <f t="shared" si="147"/>
        <v>0</v>
      </c>
      <c r="CD418" s="614"/>
    </row>
    <row r="419" spans="1:85" s="561" customFormat="1" ht="61.5" customHeight="1">
      <c r="A419" s="625" t="str">
        <f t="shared" si="129"/>
        <v>1114-140-FONT1114-01-03-0103-Monumentos en espacios públicos a intervenir</v>
      </c>
      <c r="B419" s="626" t="str">
        <f t="shared" si="130"/>
        <v>1114-140-FONT1114-01-03-0103</v>
      </c>
      <c r="C419" s="626" t="str">
        <f t="shared" si="131"/>
        <v>1114-140-FONT1114-Monumentos en espacios públicos a intervenir</v>
      </c>
      <c r="D419" s="626" t="str">
        <f t="shared" si="132"/>
        <v>1114-140-12-Otros Distrito-01-03-0103</v>
      </c>
      <c r="E419" s="626" t="str">
        <f t="shared" si="133"/>
        <v>Monumentos en espacios públicos a intervenir-12-Otros Distrito-0103-Administración, mantenimiento y mejoramiento de los bienes muebles e inmuebles ubicados en el espacio público del Distrito Capital</v>
      </c>
      <c r="F419" s="627">
        <v>364</v>
      </c>
      <c r="G419" s="628">
        <f t="shared" si="134"/>
        <v>364</v>
      </c>
      <c r="H419" s="629" t="b">
        <f t="shared" si="135"/>
        <v>0</v>
      </c>
      <c r="I419" s="630" t="s">
        <v>594</v>
      </c>
      <c r="J419" s="627" t="s">
        <v>180</v>
      </c>
      <c r="K419" s="631" t="str">
        <f>+IFERROR(VLOOKUP(J419,Listas!$A$108:$B$114,2,FALSE),"Alerta: Seleccione la celda en la comumna B con el nombre del proyecto")</f>
        <v>3-3-1-15-02-17-1114-140</v>
      </c>
      <c r="L419" s="632" t="s">
        <v>943</v>
      </c>
      <c r="M419" s="633" t="s">
        <v>944</v>
      </c>
      <c r="N419" s="634" t="str">
        <f t="shared" si="136"/>
        <v>(Cód. 364) Suministro de productos químicos e insumos especiales requeridos para las intervenciones técnicas que se realizan sobre los Bienes de Interés Cultural muebles e inmuebles en la ciudad de Bogotá D.C.</v>
      </c>
      <c r="O419" s="635">
        <v>43525</v>
      </c>
      <c r="P419" s="636">
        <f>IFERROR(VLOOKUP(W419,'Estimación CRP'!$D$21:$E$30,2,FALSE),0)</f>
        <v>45</v>
      </c>
      <c r="Q419" s="637">
        <f>IF(O419="No aplica","No aplica",WORKDAY.INTL(O419,P419,1,'Estimación CRP'!A605:A621))</f>
        <v>43588</v>
      </c>
      <c r="R419" s="636">
        <f t="shared" si="137"/>
        <v>5</v>
      </c>
      <c r="S419" s="636">
        <f t="shared" si="138"/>
        <v>3</v>
      </c>
      <c r="T419" s="636">
        <f t="shared" si="139"/>
        <v>3</v>
      </c>
      <c r="U419" s="712">
        <v>6</v>
      </c>
      <c r="V419" s="638">
        <v>1</v>
      </c>
      <c r="W419" s="639" t="s">
        <v>347</v>
      </c>
      <c r="X419" s="640" t="str">
        <f>IFERROR(VLOOKUP(W419,Listas!$A$60:$B$73,2,FALSE),"Alerta: Seleccione primero Modalidad de selección")</f>
        <v>CCE-07</v>
      </c>
      <c r="Y419" s="641">
        <v>0</v>
      </c>
      <c r="Z419" s="641" t="s">
        <v>1339</v>
      </c>
      <c r="AA419" s="641" t="s">
        <v>1338</v>
      </c>
      <c r="AB419" s="642">
        <f t="shared" si="140"/>
        <v>60636970</v>
      </c>
      <c r="AC419" s="642">
        <f t="shared" si="141"/>
        <v>60636970</v>
      </c>
      <c r="AD419" s="641">
        <v>0</v>
      </c>
      <c r="AE419" s="643">
        <v>0</v>
      </c>
      <c r="AF419" s="639" t="s">
        <v>276</v>
      </c>
      <c r="AG419" s="639" t="s">
        <v>277</v>
      </c>
      <c r="AH419" s="639" t="s">
        <v>573</v>
      </c>
      <c r="AI419" s="626" t="str">
        <f>IFERROR(VLOOKUP(AH419,Listas!$A$77:$C$83,2,FALSE),"Alerta: Seleccione primero el responsable")</f>
        <v>3550800</v>
      </c>
      <c r="AJ419" s="640" t="str">
        <f>IFERROR(VLOOKUP(AH419,Listas!$A$77:$C$83,3,FALSE),"Alerta: Seleccione primero el responsable")</f>
        <v>carolina.fernandez@idpc.gov.co</v>
      </c>
      <c r="AK419" s="640" t="str">
        <f>IF(J419="Funcionamiento Gastos Generales","No aplica",IF(J419="Funcionamiento Servicios Personales indirectos","No aplica",IFERROR(VLOOKUP(J419,Listas!$A$127:$E$139,3,FALSE),"Alerta: Seleccione la celda en la comumna B con el nombre del proyecto")))</f>
        <v>ME20181114</v>
      </c>
      <c r="AL419" s="640" t="str">
        <f>IF(J419="Funcionamiento Gastos Generales","No aplica",IF(J419="Funcionamiento Servicios Personales","No aplica",IFERROR(VLOOKUP(J419,Listas!$A$220:$D$224,2,FALSE),"Alerta: Seleccione la celda en la comumna B con el nombre del proyecto")))</f>
        <v>COMP1114</v>
      </c>
      <c r="AM419" s="640" t="str">
        <f>IF(J419="Funcionamiento Gastos Generales","No aplica",IF(J419="Funcionamiento Servicios Personales","No aplica",IFERROR(VLOOKUP(J419,Listas!$A$220:$D$224,3,FALSE),"Alerta: Seleccione la celda en la comumna B con el nombre del proyecto")))</f>
        <v>CONC1114</v>
      </c>
      <c r="AN419" s="633" t="s">
        <v>1054</v>
      </c>
      <c r="AO419" s="633" t="s">
        <v>312</v>
      </c>
      <c r="AP419" s="634" t="str">
        <f>IFERROR(VLOOKUP(J419,Listas!$A$182:$E$215,5,FALSE),"Alerta: Seleccione la celda en la comumna B con el nombre del proyecto")</f>
        <v>4. Obras de Intervención en Bienes muebles - inmuebles y sectores que conforman el patrimonio cultural del D.C.</v>
      </c>
      <c r="AQ419" s="634" t="str">
        <f>IF(J419="Funcionamiento Gastos Generales","No aplica",IF(J419="Funcionamiento Servicios Personales","No aplica",IFERROR(VLOOKUP(J419,Listas!$A$220:$D$224,4,FALSE),"Alerta: Seleccione la celda en la comumna B con el nombre del proyecto")))</f>
        <v>FONT1114</v>
      </c>
      <c r="AR419" s="633" t="s">
        <v>198</v>
      </c>
      <c r="AS419" s="634" t="str">
        <f>IFERROR(VLOOKUP(AU419,Listas!$E$85:$L$105,7,FALSE),"Alerta: Seleccione la celda en la comumna AI con el concepto de gasto")</f>
        <v>01-INFRAESTRUCTURA</v>
      </c>
      <c r="AT419" s="634" t="str">
        <f>IFERROR(VLOOKUP(AU419,Listas!$E$85:$L$105,8,FALSE),"Alerta: Seleccione la celda en la comumna AI con el concepto de gasto")</f>
        <v>03-MEJORAMIENTO Y MANTENIMIENTO DE INFRAESTRUCTURA PROPIA DEL SECTOR</v>
      </c>
      <c r="AU419" s="633" t="s">
        <v>225</v>
      </c>
      <c r="AV419" s="634">
        <f>IFERROR(VLOOKUP(AU419,Listas!$E$85:$F$105,2,FALSE),"Alerta: Seleccione el Concepto de Gasto primero")</f>
        <v>1</v>
      </c>
      <c r="AW419" s="644">
        <v>60636970</v>
      </c>
      <c r="AX419" s="645"/>
      <c r="AY419" s="645"/>
      <c r="AZ419" s="645"/>
      <c r="BA419" s="646">
        <f t="shared" si="142"/>
        <v>60636970</v>
      </c>
      <c r="BB419" s="647"/>
      <c r="BC419" s="648"/>
      <c r="BD419" s="649"/>
      <c r="BE419" s="647"/>
      <c r="BF419" s="644"/>
      <c r="BG419" s="646">
        <f t="shared" si="143"/>
        <v>60636970</v>
      </c>
      <c r="BH419" s="650"/>
      <c r="BI419" s="647"/>
      <c r="BJ419" s="644"/>
      <c r="BK419" s="646">
        <f t="shared" si="144"/>
        <v>0</v>
      </c>
      <c r="BL419" s="651"/>
      <c r="BM419" s="652">
        <f t="shared" si="145"/>
        <v>1</v>
      </c>
      <c r="BN419" s="628"/>
      <c r="BO419" s="670"/>
      <c r="BP419" s="644"/>
      <c r="BQ419" s="644"/>
      <c r="BR419" s="644"/>
      <c r="BS419" s="644"/>
      <c r="BT419" s="644"/>
      <c r="BU419" s="644"/>
      <c r="BV419" s="644"/>
      <c r="BW419" s="644"/>
      <c r="BX419" s="644"/>
      <c r="BY419" s="644"/>
      <c r="BZ419" s="644"/>
      <c r="CA419" s="644"/>
      <c r="CB419" s="646">
        <f t="shared" si="146"/>
        <v>0</v>
      </c>
      <c r="CC419" s="646">
        <f t="shared" si="147"/>
        <v>0</v>
      </c>
      <c r="CD419" s="614"/>
    </row>
    <row r="420" spans="1:85" s="561" customFormat="1" ht="61.5" customHeight="1">
      <c r="A420" s="625" t="str">
        <f t="shared" si="129"/>
        <v>1114-140-FONT1114-01-03-0103-Monumentos en espacios públicos a intervenir</v>
      </c>
      <c r="B420" s="626" t="str">
        <f t="shared" si="130"/>
        <v>1114-140-FONT1114-01-03-0103</v>
      </c>
      <c r="C420" s="626" t="str">
        <f t="shared" si="131"/>
        <v>1114-140-FONT1114-Monumentos en espacios públicos a intervenir</v>
      </c>
      <c r="D420" s="626" t="str">
        <f t="shared" si="132"/>
        <v>1114-140-12-Otros Distrito-01-03-0103</v>
      </c>
      <c r="E420" s="626" t="str">
        <f t="shared" si="133"/>
        <v>Monumentos en espacios públicos a intervenir-12-Otros Distrito-0103-Administración, mantenimiento y mejoramiento de los bienes muebles e inmuebles ubicados en el espacio público del Distrito Capital</v>
      </c>
      <c r="F420" s="627" t="s">
        <v>346</v>
      </c>
      <c r="G420" s="628" t="str">
        <f t="shared" si="134"/>
        <v>N.A.</v>
      </c>
      <c r="H420" s="629" t="b">
        <f t="shared" si="135"/>
        <v>0</v>
      </c>
      <c r="I420" s="630" t="s">
        <v>595</v>
      </c>
      <c r="J420" s="627" t="s">
        <v>180</v>
      </c>
      <c r="K420" s="631" t="str">
        <f>+IFERROR(VLOOKUP(J420,Listas!$A$108:$B$114,2,FALSE),"Alerta: Seleccione la celda en la comumna B con el nombre del proyecto")</f>
        <v>3-3-1-15-02-17-1114-140</v>
      </c>
      <c r="L420" s="632" t="s">
        <v>351</v>
      </c>
      <c r="M420" s="633" t="s">
        <v>931</v>
      </c>
      <c r="N420" s="634" t="str">
        <f t="shared" si="136"/>
        <v>(Cód. N.A.) Valor dirigido para reconocer la afiliación de riesgos laborales Nivel 5 de los contratistas de la Subdirección de Intervención.</v>
      </c>
      <c r="O420" s="635" t="s">
        <v>351</v>
      </c>
      <c r="P420" s="636">
        <f>IFERROR(VLOOKUP(W420,'Estimación CRP'!$D$21:$E$30,2,FALSE),0)</f>
        <v>10</v>
      </c>
      <c r="Q420" s="637" t="str">
        <f>IF(O420="No aplica","No aplica",WORKDAY.INTL(O420,P420,1,'Estimación CRP'!A606:A622))</f>
        <v>No aplica</v>
      </c>
      <c r="R420" s="636" t="str">
        <f t="shared" si="137"/>
        <v>No aplica</v>
      </c>
      <c r="S420" s="636" t="str">
        <f t="shared" si="138"/>
        <v>No aplica</v>
      </c>
      <c r="T420" s="636" t="str">
        <f t="shared" si="139"/>
        <v>No aplica</v>
      </c>
      <c r="U420" s="638">
        <v>11</v>
      </c>
      <c r="V420" s="638">
        <v>1</v>
      </c>
      <c r="W420" s="639" t="s">
        <v>274</v>
      </c>
      <c r="X420" s="640" t="str">
        <f>IFERROR(VLOOKUP(W420,Listas!$A$60:$B$73,2,FALSE),"Alerta: Seleccione primero Modalidad de selección")</f>
        <v>CCE-16</v>
      </c>
      <c r="Y420" s="641">
        <v>0</v>
      </c>
      <c r="Z420" s="641" t="s">
        <v>1066</v>
      </c>
      <c r="AA420" s="641" t="s">
        <v>1338</v>
      </c>
      <c r="AB420" s="642">
        <f t="shared" si="140"/>
        <v>12301663</v>
      </c>
      <c r="AC420" s="642">
        <f t="shared" si="141"/>
        <v>12301663</v>
      </c>
      <c r="AD420" s="641">
        <v>0</v>
      </c>
      <c r="AE420" s="643">
        <v>0</v>
      </c>
      <c r="AF420" s="639" t="s">
        <v>276</v>
      </c>
      <c r="AG420" s="639" t="s">
        <v>277</v>
      </c>
      <c r="AH420" s="639" t="s">
        <v>573</v>
      </c>
      <c r="AI420" s="626" t="str">
        <f>IFERROR(VLOOKUP(AH420,Listas!$A$77:$C$83,2,FALSE),"Alerta: Seleccione primero el responsable")</f>
        <v>3550800</v>
      </c>
      <c r="AJ420" s="640" t="str">
        <f>IFERROR(VLOOKUP(AH420,Listas!$A$77:$C$83,3,FALSE),"Alerta: Seleccione primero el responsable")</f>
        <v>carolina.fernandez@idpc.gov.co</v>
      </c>
      <c r="AK420" s="640" t="str">
        <f>IF(J420="Funcionamiento Gastos Generales","No aplica",IF(J420="Funcionamiento Servicios Personales indirectos","No aplica",IFERROR(VLOOKUP(J420,Listas!$A$127:$E$139,3,FALSE),"Alerta: Seleccione la celda en la comumna B con el nombre del proyecto")))</f>
        <v>ME20181114</v>
      </c>
      <c r="AL420" s="640" t="str">
        <f>IF(J420="Funcionamiento Gastos Generales","No aplica",IF(J420="Funcionamiento Servicios Personales","No aplica",IFERROR(VLOOKUP(J420,Listas!$A$220:$D$224,2,FALSE),"Alerta: Seleccione la celda en la comumna B con el nombre del proyecto")))</f>
        <v>COMP1114</v>
      </c>
      <c r="AM420" s="640" t="str">
        <f>IF(J420="Funcionamiento Gastos Generales","No aplica",IF(J420="Funcionamiento Servicios Personales","No aplica",IFERROR(VLOOKUP(J420,Listas!$A$220:$D$224,3,FALSE),"Alerta: Seleccione la celda en la comumna B con el nombre del proyecto")))</f>
        <v>CONC1114</v>
      </c>
      <c r="AN420" s="633" t="s">
        <v>1054</v>
      </c>
      <c r="AO420" s="633" t="s">
        <v>312</v>
      </c>
      <c r="AP420" s="634" t="str">
        <f>IFERROR(VLOOKUP(J420,Listas!$A$182:$E$215,5,FALSE),"Alerta: Seleccione la celda en la comumna B con el nombre del proyecto")</f>
        <v>4. Obras de Intervención en Bienes muebles - inmuebles y sectores que conforman el patrimonio cultural del D.C.</v>
      </c>
      <c r="AQ420" s="634" t="str">
        <f>IF(J420="Funcionamiento Gastos Generales","No aplica",IF(J420="Funcionamiento Servicios Personales","No aplica",IFERROR(VLOOKUP(J420,Listas!$A$220:$D$224,4,FALSE),"Alerta: Seleccione la celda en la comumna B con el nombre del proyecto")))</f>
        <v>FONT1114</v>
      </c>
      <c r="AR420" s="633" t="s">
        <v>198</v>
      </c>
      <c r="AS420" s="634" t="str">
        <f>IFERROR(VLOOKUP(AU420,Listas!$E$85:$L$105,7,FALSE),"Alerta: Seleccione la celda en la comumna AI con el concepto de gasto")</f>
        <v>01-INFRAESTRUCTURA</v>
      </c>
      <c r="AT420" s="634" t="str">
        <f>IFERROR(VLOOKUP(AU420,Listas!$E$85:$L$105,8,FALSE),"Alerta: Seleccione la celda en la comumna AI con el concepto de gasto")</f>
        <v>03-MEJORAMIENTO Y MANTENIMIENTO DE INFRAESTRUCTURA PROPIA DEL SECTOR</v>
      </c>
      <c r="AU420" s="633" t="s">
        <v>225</v>
      </c>
      <c r="AV420" s="634">
        <f>IFERROR(VLOOKUP(AU420,Listas!$E$85:$F$105,2,FALSE),"Alerta: Seleccione el Concepto de Gasto primero")</f>
        <v>1</v>
      </c>
      <c r="AW420" s="644">
        <v>12301663</v>
      </c>
      <c r="AX420" s="645"/>
      <c r="AY420" s="645"/>
      <c r="AZ420" s="645"/>
      <c r="BA420" s="646">
        <f t="shared" si="142"/>
        <v>12301663</v>
      </c>
      <c r="BB420" s="647"/>
      <c r="BC420" s="648"/>
      <c r="BD420" s="649"/>
      <c r="BE420" s="647"/>
      <c r="BF420" s="644"/>
      <c r="BG420" s="646">
        <f t="shared" si="143"/>
        <v>12301663</v>
      </c>
      <c r="BH420" s="650"/>
      <c r="BI420" s="647"/>
      <c r="BJ420" s="644"/>
      <c r="BK420" s="646">
        <f t="shared" si="144"/>
        <v>0</v>
      </c>
      <c r="BL420" s="651"/>
      <c r="BM420" s="652">
        <f t="shared" si="145"/>
        <v>1</v>
      </c>
      <c r="BN420" s="628"/>
      <c r="BO420" s="670"/>
      <c r="BP420" s="644"/>
      <c r="BQ420" s="644"/>
      <c r="BR420" s="644"/>
      <c r="BS420" s="644"/>
      <c r="BT420" s="644"/>
      <c r="BU420" s="644"/>
      <c r="BV420" s="644"/>
      <c r="BW420" s="644"/>
      <c r="BX420" s="644"/>
      <c r="BY420" s="644"/>
      <c r="BZ420" s="644"/>
      <c r="CA420" s="644"/>
      <c r="CB420" s="646">
        <f t="shared" si="146"/>
        <v>0</v>
      </c>
      <c r="CC420" s="646">
        <f t="shared" si="147"/>
        <v>0</v>
      </c>
      <c r="CD420" s="614"/>
    </row>
    <row r="421" spans="1:85" s="561" customFormat="1" ht="61.5" customHeight="1">
      <c r="A421" s="625" t="str">
        <f t="shared" si="129"/>
        <v>1114-140-FONT1114-01-03-0103-Monumentos en espacios públicos a intervenir</v>
      </c>
      <c r="B421" s="626" t="str">
        <f t="shared" si="130"/>
        <v>1114-140-FONT1114-01-03-0103</v>
      </c>
      <c r="C421" s="626" t="str">
        <f t="shared" si="131"/>
        <v>1114-140-FONT1114-Monumentos en espacios públicos a intervenir</v>
      </c>
      <c r="D421" s="626" t="str">
        <f t="shared" si="132"/>
        <v>1114-140-12-Otros Distrito-01-03-0103</v>
      </c>
      <c r="E421" s="626" t="str">
        <f t="shared" si="133"/>
        <v>Monumentos en espacios públicos a intervenir-12-Otros Distrito-0103-Administración, mantenimiento y mejoramiento de los bienes muebles e inmuebles ubicados en el espacio público del Distrito Capital</v>
      </c>
      <c r="F421" s="627">
        <v>365</v>
      </c>
      <c r="G421" s="628">
        <f t="shared" si="134"/>
        <v>365</v>
      </c>
      <c r="H421" s="629" t="b">
        <f t="shared" si="135"/>
        <v>0</v>
      </c>
      <c r="I421" s="630" t="s">
        <v>594</v>
      </c>
      <c r="J421" s="627" t="s">
        <v>180</v>
      </c>
      <c r="K421" s="631" t="str">
        <f>+IFERROR(VLOOKUP(J421,Listas!$A$108:$B$114,2,FALSE),"Alerta: Seleccione la celda en la comumna B con el nombre del proyecto")</f>
        <v>3-3-1-15-02-17-1114-140</v>
      </c>
      <c r="L421" s="632" t="s">
        <v>945</v>
      </c>
      <c r="M421" s="633" t="s">
        <v>946</v>
      </c>
      <c r="N421" s="634" t="str">
        <f t="shared" si="136"/>
        <v>(Cód. 365) Ejecución de obras de primeros auxilios requeridas en el monumento a Los Héroes en la ciudad de Bogotá, D.C.</v>
      </c>
      <c r="O421" s="635">
        <v>43600</v>
      </c>
      <c r="P421" s="636">
        <f>IFERROR(VLOOKUP(W421,'Estimación CRP'!$D$21:$E$30,2,FALSE),0)</f>
        <v>45</v>
      </c>
      <c r="Q421" s="637">
        <f>IF(O421="No aplica","No aplica",WORKDAY.INTL(O421,P421,1,'Estimación CRP'!A607:A623))</f>
        <v>43663</v>
      </c>
      <c r="R421" s="636">
        <f t="shared" si="137"/>
        <v>7</v>
      </c>
      <c r="S421" s="636">
        <f t="shared" si="138"/>
        <v>5</v>
      </c>
      <c r="T421" s="636">
        <f t="shared" si="139"/>
        <v>5</v>
      </c>
      <c r="U421" s="712">
        <v>5</v>
      </c>
      <c r="V421" s="638">
        <v>1</v>
      </c>
      <c r="W421" s="639" t="s">
        <v>348</v>
      </c>
      <c r="X421" s="640" t="str">
        <f>IFERROR(VLOOKUP(W421,Listas!$A$60:$B$73,2,FALSE),"Alerta: Seleccione primero Modalidad de selección")</f>
        <v>CCE-06</v>
      </c>
      <c r="Y421" s="641">
        <v>0</v>
      </c>
      <c r="Z421" s="641" t="s">
        <v>346</v>
      </c>
      <c r="AA421" s="641" t="s">
        <v>1340</v>
      </c>
      <c r="AB421" s="642">
        <f t="shared" si="140"/>
        <v>140000000</v>
      </c>
      <c r="AC421" s="642">
        <f t="shared" si="141"/>
        <v>140000000</v>
      </c>
      <c r="AD421" s="641">
        <v>0</v>
      </c>
      <c r="AE421" s="643">
        <v>0</v>
      </c>
      <c r="AF421" s="639" t="s">
        <v>276</v>
      </c>
      <c r="AG421" s="639" t="s">
        <v>277</v>
      </c>
      <c r="AH421" s="639" t="s">
        <v>573</v>
      </c>
      <c r="AI421" s="626" t="str">
        <f>IFERROR(VLOOKUP(AH421,Listas!$A$77:$C$83,2,FALSE),"Alerta: Seleccione primero el responsable")</f>
        <v>3550800</v>
      </c>
      <c r="AJ421" s="640" t="str">
        <f>IFERROR(VLOOKUP(AH421,Listas!$A$77:$C$83,3,FALSE),"Alerta: Seleccione primero el responsable")</f>
        <v>carolina.fernandez@idpc.gov.co</v>
      </c>
      <c r="AK421" s="640" t="str">
        <f>IF(J421="Funcionamiento Gastos Generales","No aplica",IF(J421="Funcionamiento Servicios Personales indirectos","No aplica",IFERROR(VLOOKUP(J421,Listas!$A$127:$E$139,3,FALSE),"Alerta: Seleccione la celda en la comumna B con el nombre del proyecto")))</f>
        <v>ME20181114</v>
      </c>
      <c r="AL421" s="640" t="str">
        <f>IF(J421="Funcionamiento Gastos Generales","No aplica",IF(J421="Funcionamiento Servicios Personales","No aplica",IFERROR(VLOOKUP(J421,Listas!$A$220:$D$224,2,FALSE),"Alerta: Seleccione la celda en la comumna B con el nombre del proyecto")))</f>
        <v>COMP1114</v>
      </c>
      <c r="AM421" s="640" t="str">
        <f>IF(J421="Funcionamiento Gastos Generales","No aplica",IF(J421="Funcionamiento Servicios Personales","No aplica",IFERROR(VLOOKUP(J421,Listas!$A$220:$D$224,3,FALSE),"Alerta: Seleccione la celda en la comumna B con el nombre del proyecto")))</f>
        <v>CONC1114</v>
      </c>
      <c r="AN421" s="633" t="s">
        <v>1054</v>
      </c>
      <c r="AO421" s="633" t="s">
        <v>312</v>
      </c>
      <c r="AP421" s="634" t="str">
        <f>IFERROR(VLOOKUP(J421,Listas!$A$182:$E$215,5,FALSE),"Alerta: Seleccione la celda en la comumna B con el nombre del proyecto")</f>
        <v>4. Obras de Intervención en Bienes muebles - inmuebles y sectores que conforman el patrimonio cultural del D.C.</v>
      </c>
      <c r="AQ421" s="634" t="str">
        <f>IF(J421="Funcionamiento Gastos Generales","No aplica",IF(J421="Funcionamiento Servicios Personales","No aplica",IFERROR(VLOOKUP(J421,Listas!$A$220:$D$224,4,FALSE),"Alerta: Seleccione la celda en la comumna B con el nombre del proyecto")))</f>
        <v>FONT1114</v>
      </c>
      <c r="AR421" s="633" t="s">
        <v>198</v>
      </c>
      <c r="AS421" s="634" t="str">
        <f>IFERROR(VLOOKUP(AU421,Listas!$E$85:$L$105,7,FALSE),"Alerta: Seleccione la celda en la comumna AI con el concepto de gasto")</f>
        <v>01-INFRAESTRUCTURA</v>
      </c>
      <c r="AT421" s="634" t="str">
        <f>IFERROR(VLOOKUP(AU421,Listas!$E$85:$L$105,8,FALSE),"Alerta: Seleccione la celda en la comumna AI con el concepto de gasto")</f>
        <v>03-MEJORAMIENTO Y MANTENIMIENTO DE INFRAESTRUCTURA PROPIA DEL SECTOR</v>
      </c>
      <c r="AU421" s="633" t="s">
        <v>225</v>
      </c>
      <c r="AV421" s="634">
        <f>IFERROR(VLOOKUP(AU421,Listas!$E$85:$F$105,2,FALSE),"Alerta: Seleccione el Concepto de Gasto primero")</f>
        <v>1</v>
      </c>
      <c r="AW421" s="644">
        <v>140000000</v>
      </c>
      <c r="AX421" s="645"/>
      <c r="AY421" s="645"/>
      <c r="AZ421" s="645"/>
      <c r="BA421" s="646">
        <f t="shared" si="142"/>
        <v>140000000</v>
      </c>
      <c r="BB421" s="647"/>
      <c r="BC421" s="648"/>
      <c r="BD421" s="649"/>
      <c r="BE421" s="647"/>
      <c r="BF421" s="644"/>
      <c r="BG421" s="646">
        <f t="shared" si="143"/>
        <v>140000000</v>
      </c>
      <c r="BH421" s="650"/>
      <c r="BI421" s="647"/>
      <c r="BJ421" s="644"/>
      <c r="BK421" s="646">
        <f t="shared" si="144"/>
        <v>0</v>
      </c>
      <c r="BL421" s="651"/>
      <c r="BM421" s="652">
        <f t="shared" si="145"/>
        <v>1</v>
      </c>
      <c r="BN421" s="628"/>
      <c r="BO421" s="670"/>
      <c r="BP421" s="644"/>
      <c r="BQ421" s="644"/>
      <c r="BR421" s="644"/>
      <c r="BS421" s="644"/>
      <c r="BT421" s="644"/>
      <c r="BU421" s="644"/>
      <c r="BV421" s="644"/>
      <c r="BW421" s="644"/>
      <c r="BX421" s="644"/>
      <c r="BY421" s="644"/>
      <c r="BZ421" s="644"/>
      <c r="CA421" s="644"/>
      <c r="CB421" s="646">
        <f t="shared" si="146"/>
        <v>0</v>
      </c>
      <c r="CC421" s="646">
        <f t="shared" si="147"/>
        <v>0</v>
      </c>
      <c r="CD421" s="614"/>
    </row>
    <row r="422" spans="1:85" s="561" customFormat="1" ht="61.5" customHeight="1">
      <c r="A422" s="625" t="str">
        <f t="shared" si="129"/>
        <v>1114-140-FONT1114-01-03-0103-Monumentos en espacios públicos a intervenir</v>
      </c>
      <c r="B422" s="626" t="str">
        <f t="shared" si="130"/>
        <v>1114-140-FONT1114-01-03-0103</v>
      </c>
      <c r="C422" s="626" t="str">
        <f t="shared" si="131"/>
        <v>1114-140-FONT1114-Monumentos en espacios públicos a intervenir</v>
      </c>
      <c r="D422" s="626" t="str">
        <f t="shared" si="132"/>
        <v>1114-140-12-Otros Distrito-01-03-0103</v>
      </c>
      <c r="E422" s="626" t="str">
        <f t="shared" si="133"/>
        <v>Monumentos en espacios públicos a intervenir-12-Otros Distrito-0103-Administración, mantenimiento y mejoramiento de los bienes muebles e inmuebles ubicados en el espacio público del Distrito Capital</v>
      </c>
      <c r="F422" s="627">
        <v>366</v>
      </c>
      <c r="G422" s="628">
        <f t="shared" si="134"/>
        <v>366</v>
      </c>
      <c r="H422" s="629" t="b">
        <f t="shared" si="135"/>
        <v>0</v>
      </c>
      <c r="I422" s="630" t="s">
        <v>594</v>
      </c>
      <c r="J422" s="627" t="s">
        <v>180</v>
      </c>
      <c r="K422" s="631" t="str">
        <f>+IFERROR(VLOOKUP(J422,Listas!$A$108:$B$114,2,FALSE),"Alerta: Seleccione la celda en la comumna B con el nombre del proyecto")</f>
        <v>3-3-1-15-02-17-1114-140</v>
      </c>
      <c r="L422" s="632" t="s">
        <v>945</v>
      </c>
      <c r="M422" s="633" t="s">
        <v>947</v>
      </c>
      <c r="N422" s="634" t="str">
        <f t="shared" si="136"/>
        <v>(Cód. 366) Ejecución de obras requeridas en el monumento Banderas en la ciudad de Bogotá, D.C.</v>
      </c>
      <c r="O422" s="635">
        <v>43615</v>
      </c>
      <c r="P422" s="636">
        <f>IFERROR(VLOOKUP(W422,'Estimación CRP'!$D$21:$E$30,2,FALSE),0)</f>
        <v>50</v>
      </c>
      <c r="Q422" s="637">
        <f>IF(O422="No aplica","No aplica",WORKDAY.INTL(O422,P422,1,'Estimación CRP'!A608:A624))</f>
        <v>43685</v>
      </c>
      <c r="R422" s="636">
        <f t="shared" si="137"/>
        <v>8</v>
      </c>
      <c r="S422" s="636">
        <f t="shared" si="138"/>
        <v>5</v>
      </c>
      <c r="T422" s="636">
        <f t="shared" si="139"/>
        <v>5</v>
      </c>
      <c r="U422" s="712">
        <v>6</v>
      </c>
      <c r="V422" s="638">
        <v>1</v>
      </c>
      <c r="W422" s="639" t="s">
        <v>258</v>
      </c>
      <c r="X422" s="640" t="str">
        <f>IFERROR(VLOOKUP(W422,Listas!$A$60:$B$73,2,FALSE),"Alerta: Seleccione primero Modalidad de selección")</f>
        <v>CCE-02</v>
      </c>
      <c r="Y422" s="641">
        <v>0</v>
      </c>
      <c r="Z422" s="641" t="s">
        <v>346</v>
      </c>
      <c r="AA422" s="641" t="s">
        <v>1341</v>
      </c>
      <c r="AB422" s="642">
        <f t="shared" si="140"/>
        <v>2000000000</v>
      </c>
      <c r="AC422" s="642">
        <f t="shared" si="141"/>
        <v>2000000000</v>
      </c>
      <c r="AD422" s="641">
        <v>0</v>
      </c>
      <c r="AE422" s="643">
        <v>0</v>
      </c>
      <c r="AF422" s="639" t="s">
        <v>276</v>
      </c>
      <c r="AG422" s="639" t="s">
        <v>277</v>
      </c>
      <c r="AH422" s="639" t="s">
        <v>573</v>
      </c>
      <c r="AI422" s="626" t="str">
        <f>IFERROR(VLOOKUP(AH422,Listas!$A$77:$C$83,2,FALSE),"Alerta: Seleccione primero el responsable")</f>
        <v>3550800</v>
      </c>
      <c r="AJ422" s="640" t="str">
        <f>IFERROR(VLOOKUP(AH422,Listas!$A$77:$C$83,3,FALSE),"Alerta: Seleccione primero el responsable")</f>
        <v>carolina.fernandez@idpc.gov.co</v>
      </c>
      <c r="AK422" s="640" t="str">
        <f>IF(J422="Funcionamiento Gastos Generales","No aplica",IF(J422="Funcionamiento Servicios Personales indirectos","No aplica",IFERROR(VLOOKUP(J422,Listas!$A$127:$E$139,3,FALSE),"Alerta: Seleccione la celda en la comumna B con el nombre del proyecto")))</f>
        <v>ME20181114</v>
      </c>
      <c r="AL422" s="640" t="str">
        <f>IF(J422="Funcionamiento Gastos Generales","No aplica",IF(J422="Funcionamiento Servicios Personales","No aplica",IFERROR(VLOOKUP(J422,Listas!$A$220:$D$224,2,FALSE),"Alerta: Seleccione la celda en la comumna B con el nombre del proyecto")))</f>
        <v>COMP1114</v>
      </c>
      <c r="AM422" s="640" t="str">
        <f>IF(J422="Funcionamiento Gastos Generales","No aplica",IF(J422="Funcionamiento Servicios Personales","No aplica",IFERROR(VLOOKUP(J422,Listas!$A$220:$D$224,3,FALSE),"Alerta: Seleccione la celda en la comumna B con el nombre del proyecto")))</f>
        <v>CONC1114</v>
      </c>
      <c r="AN422" s="633" t="s">
        <v>1054</v>
      </c>
      <c r="AO422" s="633" t="s">
        <v>312</v>
      </c>
      <c r="AP422" s="634" t="str">
        <f>IFERROR(VLOOKUP(J422,Listas!$A$182:$E$215,5,FALSE),"Alerta: Seleccione la celda en la comumna B con el nombre del proyecto")</f>
        <v>4. Obras de Intervención en Bienes muebles - inmuebles y sectores que conforman el patrimonio cultural del D.C.</v>
      </c>
      <c r="AQ422" s="634" t="str">
        <f>IF(J422="Funcionamiento Gastos Generales","No aplica",IF(J422="Funcionamiento Servicios Personales","No aplica",IFERROR(VLOOKUP(J422,Listas!$A$220:$D$224,4,FALSE),"Alerta: Seleccione la celda en la comumna B con el nombre del proyecto")))</f>
        <v>FONT1114</v>
      </c>
      <c r="AR422" s="633" t="s">
        <v>198</v>
      </c>
      <c r="AS422" s="634" t="str">
        <f>IFERROR(VLOOKUP(AU422,Listas!$E$85:$L$105,7,FALSE),"Alerta: Seleccione la celda en la comumna AI con el concepto de gasto")</f>
        <v>01-INFRAESTRUCTURA</v>
      </c>
      <c r="AT422" s="634" t="str">
        <f>IFERROR(VLOOKUP(AU422,Listas!$E$85:$L$105,8,FALSE),"Alerta: Seleccione la celda en la comumna AI con el concepto de gasto")</f>
        <v>03-MEJORAMIENTO Y MANTENIMIENTO DE INFRAESTRUCTURA PROPIA DEL SECTOR</v>
      </c>
      <c r="AU422" s="633" t="s">
        <v>225</v>
      </c>
      <c r="AV422" s="634">
        <f>IFERROR(VLOOKUP(AU422,Listas!$E$85:$F$105,2,FALSE),"Alerta: Seleccione el Concepto de Gasto primero")</f>
        <v>1</v>
      </c>
      <c r="AW422" s="644">
        <v>2000000000</v>
      </c>
      <c r="AX422" s="645"/>
      <c r="AY422" s="645"/>
      <c r="AZ422" s="645"/>
      <c r="BA422" s="646">
        <f t="shared" si="142"/>
        <v>2000000000</v>
      </c>
      <c r="BB422" s="647"/>
      <c r="BC422" s="648"/>
      <c r="BD422" s="649"/>
      <c r="BE422" s="647"/>
      <c r="BF422" s="644"/>
      <c r="BG422" s="646">
        <f t="shared" si="143"/>
        <v>2000000000</v>
      </c>
      <c r="BH422" s="650"/>
      <c r="BI422" s="647"/>
      <c r="BJ422" s="644"/>
      <c r="BK422" s="646">
        <f t="shared" si="144"/>
        <v>0</v>
      </c>
      <c r="BL422" s="651"/>
      <c r="BM422" s="652">
        <f t="shared" si="145"/>
        <v>1</v>
      </c>
      <c r="BN422" s="628"/>
      <c r="BO422" s="670"/>
      <c r="BP422" s="644"/>
      <c r="BQ422" s="644"/>
      <c r="BR422" s="644"/>
      <c r="BS422" s="644"/>
      <c r="BT422" s="644"/>
      <c r="BU422" s="644"/>
      <c r="BV422" s="644"/>
      <c r="BW422" s="644"/>
      <c r="BX422" s="644"/>
      <c r="BY422" s="644"/>
      <c r="BZ422" s="644"/>
      <c r="CA422" s="644"/>
      <c r="CB422" s="646">
        <f t="shared" si="146"/>
        <v>0</v>
      </c>
      <c r="CC422" s="646">
        <f t="shared" si="147"/>
        <v>0</v>
      </c>
      <c r="CD422" s="614"/>
    </row>
    <row r="423" spans="1:85" s="561" customFormat="1" ht="61.5" customHeight="1">
      <c r="A423" s="625" t="str">
        <f t="shared" si="129"/>
        <v>1114-140-FONT1114-01-03-0103-Monumentos en espacios públicos a intervenir</v>
      </c>
      <c r="B423" s="626" t="str">
        <f t="shared" si="130"/>
        <v>1114-140-FONT1114-01-03-0103</v>
      </c>
      <c r="C423" s="626" t="str">
        <f t="shared" si="131"/>
        <v>1114-140-FONT1114-Monumentos en espacios públicos a intervenir</v>
      </c>
      <c r="D423" s="626" t="str">
        <f t="shared" si="132"/>
        <v>1114-140-12-Otros Distrito-01-03-0103</v>
      </c>
      <c r="E423" s="626" t="str">
        <f t="shared" si="133"/>
        <v>Monumentos en espacios públicos a intervenir-12-Otros Distrito-0103-Administración, mantenimiento y mejoramiento de los bienes muebles e inmuebles ubicados en el espacio público del Distrito Capital</v>
      </c>
      <c r="F423" s="627">
        <v>367</v>
      </c>
      <c r="G423" s="628">
        <f t="shared" si="134"/>
        <v>367</v>
      </c>
      <c r="H423" s="629" t="b">
        <f t="shared" si="135"/>
        <v>0</v>
      </c>
      <c r="I423" s="630" t="s">
        <v>594</v>
      </c>
      <c r="J423" s="627" t="s">
        <v>180</v>
      </c>
      <c r="K423" s="631" t="str">
        <f>+IFERROR(VLOOKUP(J423,Listas!$A$108:$B$114,2,FALSE),"Alerta: Seleccione la celda en la comumna B con el nombre del proyecto")</f>
        <v>3-3-1-15-02-17-1114-140</v>
      </c>
      <c r="L423" s="632" t="s">
        <v>948</v>
      </c>
      <c r="M423" s="633" t="s">
        <v>949</v>
      </c>
      <c r="N423" s="634" t="str">
        <f t="shared" si="136"/>
        <v>(Cód. 367) Realizar el proyecto eléctrico y de iluminación para el monumento Simón Bolívar ubicado en la Plaza de Bolívar.</v>
      </c>
      <c r="O423" s="635">
        <v>43556</v>
      </c>
      <c r="P423" s="636">
        <f>IFERROR(VLOOKUP(W423,'Estimación CRP'!$D$21:$E$30,2,FALSE),0)</f>
        <v>45</v>
      </c>
      <c r="Q423" s="637">
        <f>IF(O423="No aplica","No aplica",WORKDAY.INTL(O423,P423,1,'Estimación CRP'!A609:A625))</f>
        <v>43619</v>
      </c>
      <c r="R423" s="636">
        <f t="shared" si="137"/>
        <v>6</v>
      </c>
      <c r="S423" s="636">
        <f t="shared" si="138"/>
        <v>4</v>
      </c>
      <c r="T423" s="636">
        <f t="shared" si="139"/>
        <v>4</v>
      </c>
      <c r="U423" s="712">
        <v>3</v>
      </c>
      <c r="V423" s="638">
        <v>1</v>
      </c>
      <c r="W423" s="639" t="s">
        <v>348</v>
      </c>
      <c r="X423" s="640" t="str">
        <f>IFERROR(VLOOKUP(W423,Listas!$A$60:$B$73,2,FALSE),"Alerta: Seleccione primero Modalidad de selección")</f>
        <v>CCE-06</v>
      </c>
      <c r="Y423" s="641">
        <v>0</v>
      </c>
      <c r="Z423" s="641" t="s">
        <v>346</v>
      </c>
      <c r="AA423" s="641" t="s">
        <v>1342</v>
      </c>
      <c r="AB423" s="642">
        <f t="shared" si="140"/>
        <v>100000000</v>
      </c>
      <c r="AC423" s="642">
        <f t="shared" si="141"/>
        <v>100000000</v>
      </c>
      <c r="AD423" s="641">
        <v>0</v>
      </c>
      <c r="AE423" s="643">
        <v>0</v>
      </c>
      <c r="AF423" s="639" t="s">
        <v>276</v>
      </c>
      <c r="AG423" s="639" t="s">
        <v>277</v>
      </c>
      <c r="AH423" s="639" t="s">
        <v>573</v>
      </c>
      <c r="AI423" s="626" t="str">
        <f>IFERROR(VLOOKUP(AH423,Listas!$A$77:$C$83,2,FALSE),"Alerta: Seleccione primero el responsable")</f>
        <v>3550800</v>
      </c>
      <c r="AJ423" s="640" t="str">
        <f>IFERROR(VLOOKUP(AH423,Listas!$A$77:$C$83,3,FALSE),"Alerta: Seleccione primero el responsable")</f>
        <v>carolina.fernandez@idpc.gov.co</v>
      </c>
      <c r="AK423" s="640" t="str">
        <f>IF(J423="Funcionamiento Gastos Generales","No aplica",IF(J423="Funcionamiento Servicios Personales indirectos","No aplica",IFERROR(VLOOKUP(J423,Listas!$A$127:$E$139,3,FALSE),"Alerta: Seleccione la celda en la comumna B con el nombre del proyecto")))</f>
        <v>ME20181114</v>
      </c>
      <c r="AL423" s="640" t="str">
        <f>IF(J423="Funcionamiento Gastos Generales","No aplica",IF(J423="Funcionamiento Servicios Personales","No aplica",IFERROR(VLOOKUP(J423,Listas!$A$220:$D$224,2,FALSE),"Alerta: Seleccione la celda en la comumna B con el nombre del proyecto")))</f>
        <v>COMP1114</v>
      </c>
      <c r="AM423" s="640" t="str">
        <f>IF(J423="Funcionamiento Gastos Generales","No aplica",IF(J423="Funcionamiento Servicios Personales","No aplica",IFERROR(VLOOKUP(J423,Listas!$A$220:$D$224,3,FALSE),"Alerta: Seleccione la celda en la comumna B con el nombre del proyecto")))</f>
        <v>CONC1114</v>
      </c>
      <c r="AN423" s="633" t="s">
        <v>1054</v>
      </c>
      <c r="AO423" s="633" t="s">
        <v>312</v>
      </c>
      <c r="AP423" s="634" t="str">
        <f>IFERROR(VLOOKUP(J423,Listas!$A$182:$E$215,5,FALSE),"Alerta: Seleccione la celda en la comumna B con el nombre del proyecto")</f>
        <v>4. Obras de Intervención en Bienes muebles - inmuebles y sectores que conforman el patrimonio cultural del D.C.</v>
      </c>
      <c r="AQ423" s="634" t="str">
        <f>IF(J423="Funcionamiento Gastos Generales","No aplica",IF(J423="Funcionamiento Servicios Personales","No aplica",IFERROR(VLOOKUP(J423,Listas!$A$220:$D$224,4,FALSE),"Alerta: Seleccione la celda en la comumna B con el nombre del proyecto")))</f>
        <v>FONT1114</v>
      </c>
      <c r="AR423" s="633" t="s">
        <v>198</v>
      </c>
      <c r="AS423" s="634" t="str">
        <f>IFERROR(VLOOKUP(AU423,Listas!$E$85:$L$105,7,FALSE),"Alerta: Seleccione la celda en la comumna AI con el concepto de gasto")</f>
        <v>01-INFRAESTRUCTURA</v>
      </c>
      <c r="AT423" s="634" t="str">
        <f>IFERROR(VLOOKUP(AU423,Listas!$E$85:$L$105,8,FALSE),"Alerta: Seleccione la celda en la comumna AI con el concepto de gasto")</f>
        <v>03-MEJORAMIENTO Y MANTENIMIENTO DE INFRAESTRUCTURA PROPIA DEL SECTOR</v>
      </c>
      <c r="AU423" s="633" t="s">
        <v>225</v>
      </c>
      <c r="AV423" s="634">
        <f>IFERROR(VLOOKUP(AU423,Listas!$E$85:$F$105,2,FALSE),"Alerta: Seleccione el Concepto de Gasto primero")</f>
        <v>1</v>
      </c>
      <c r="AW423" s="644">
        <v>100000000</v>
      </c>
      <c r="AX423" s="645"/>
      <c r="AY423" s="645"/>
      <c r="AZ423" s="645"/>
      <c r="BA423" s="646">
        <f t="shared" si="142"/>
        <v>100000000</v>
      </c>
      <c r="BB423" s="647"/>
      <c r="BC423" s="648"/>
      <c r="BD423" s="649"/>
      <c r="BE423" s="647"/>
      <c r="BF423" s="644"/>
      <c r="BG423" s="646">
        <f t="shared" si="143"/>
        <v>100000000</v>
      </c>
      <c r="BH423" s="650"/>
      <c r="BI423" s="647"/>
      <c r="BJ423" s="644"/>
      <c r="BK423" s="646">
        <f t="shared" si="144"/>
        <v>0</v>
      </c>
      <c r="BL423" s="651"/>
      <c r="BM423" s="652">
        <f t="shared" si="145"/>
        <v>1</v>
      </c>
      <c r="BN423" s="628"/>
      <c r="BO423" s="670"/>
      <c r="BP423" s="644"/>
      <c r="BQ423" s="644"/>
      <c r="BR423" s="644"/>
      <c r="BS423" s="644"/>
      <c r="BT423" s="644"/>
      <c r="BU423" s="644"/>
      <c r="BV423" s="644"/>
      <c r="BW423" s="644"/>
      <c r="BX423" s="644"/>
      <c r="BY423" s="644"/>
      <c r="BZ423" s="644"/>
      <c r="CA423" s="644"/>
      <c r="CB423" s="646">
        <f t="shared" si="146"/>
        <v>0</v>
      </c>
      <c r="CC423" s="646">
        <f t="shared" si="147"/>
        <v>0</v>
      </c>
      <c r="CD423" s="614"/>
    </row>
    <row r="424" spans="1:85" s="561" customFormat="1" ht="61.5" customHeight="1">
      <c r="A424" s="625" t="str">
        <f t="shared" si="129"/>
        <v xml:space="preserve">1114-140-FONT1114-01-01-0525-Bienes de Interés Cultural de tipo inmueble intervenidos </v>
      </c>
      <c r="B424" s="626" t="str">
        <f t="shared" si="130"/>
        <v>1114-140-FONT1114-01-01-0525</v>
      </c>
      <c r="C424" s="626" t="str">
        <f t="shared" si="131"/>
        <v xml:space="preserve">1114-140-FONT1114-Bienes de Interés Cultural de tipo inmueble intervenidos </v>
      </c>
      <c r="D424" s="626" t="str">
        <f t="shared" si="132"/>
        <v>1114-140-12-Otros Distrito-01-01-0525</v>
      </c>
      <c r="E424" s="626" t="str">
        <f t="shared" si="133"/>
        <v>Bienes de Interés Cultural de tipo inmueble intervenidos -12-Otros Distrito-0525-Recuperación y aprovechamiento de bienes de interés cultural</v>
      </c>
      <c r="F424" s="627">
        <v>368</v>
      </c>
      <c r="G424" s="628">
        <f t="shared" si="134"/>
        <v>368</v>
      </c>
      <c r="H424" s="629" t="b">
        <f t="shared" si="135"/>
        <v>0</v>
      </c>
      <c r="I424" s="630" t="s">
        <v>594</v>
      </c>
      <c r="J424" s="627" t="s">
        <v>180</v>
      </c>
      <c r="K424" s="631" t="str">
        <f>+IFERROR(VLOOKUP(J424,Listas!$A$108:$B$114,2,FALSE),"Alerta: Seleccione la celda en la comumna B con el nombre del proyecto")</f>
        <v>3-3-1-15-02-17-1114-140</v>
      </c>
      <c r="L424" s="632" t="s">
        <v>950</v>
      </c>
      <c r="M424" s="633" t="s">
        <v>951</v>
      </c>
      <c r="N424" s="634" t="str">
        <f t="shared" si="136"/>
        <v>(Cód. 368) Prestar servicios al Instituto Distrital de Patrimonio Cultural para apoyar el seguimiento administrativo y jurídico de los procesos contractuales y proyectos de intervención a cargo de la Subdirección de Intervención.</v>
      </c>
      <c r="O424" s="635">
        <v>43490</v>
      </c>
      <c r="P424" s="636">
        <f>IFERROR(VLOOKUP(W424,'Estimación CRP'!$D$21:$E$30,2,FALSE),0)</f>
        <v>10</v>
      </c>
      <c r="Q424" s="637">
        <f>IF(O424="No aplica","No aplica",WORKDAY.INTL(O424,P424,1,'Estimación CRP'!A610:A626))</f>
        <v>43504</v>
      </c>
      <c r="R424" s="636">
        <f t="shared" si="137"/>
        <v>2</v>
      </c>
      <c r="S424" s="636">
        <f t="shared" si="138"/>
        <v>1</v>
      </c>
      <c r="T424" s="636">
        <f t="shared" si="139"/>
        <v>1</v>
      </c>
      <c r="U424" s="712">
        <v>11</v>
      </c>
      <c r="V424" s="638">
        <v>1</v>
      </c>
      <c r="W424" s="639" t="s">
        <v>274</v>
      </c>
      <c r="X424" s="640" t="str">
        <f>IFERROR(VLOOKUP(W424,Listas!$A$60:$B$73,2,FALSE),"Alerta: Seleccione primero Modalidad de selección")</f>
        <v>CCE-16</v>
      </c>
      <c r="Y424" s="641">
        <v>0</v>
      </c>
      <c r="Z424" s="641" t="s">
        <v>346</v>
      </c>
      <c r="AA424" s="641" t="s">
        <v>1343</v>
      </c>
      <c r="AB424" s="642">
        <f t="shared" si="140"/>
        <v>38280000</v>
      </c>
      <c r="AC424" s="642">
        <f t="shared" si="141"/>
        <v>38280000</v>
      </c>
      <c r="AD424" s="641">
        <v>0</v>
      </c>
      <c r="AE424" s="643">
        <v>0</v>
      </c>
      <c r="AF424" s="639" t="s">
        <v>276</v>
      </c>
      <c r="AG424" s="639" t="s">
        <v>277</v>
      </c>
      <c r="AH424" s="639" t="s">
        <v>573</v>
      </c>
      <c r="AI424" s="626" t="str">
        <f>IFERROR(VLOOKUP(AH424,Listas!$A$77:$C$83,2,FALSE),"Alerta: Seleccione primero el responsable")</f>
        <v>3550800</v>
      </c>
      <c r="AJ424" s="640" t="str">
        <f>IFERROR(VLOOKUP(AH424,Listas!$A$77:$C$83,3,FALSE),"Alerta: Seleccione primero el responsable")</f>
        <v>carolina.fernandez@idpc.gov.co</v>
      </c>
      <c r="AK424" s="640" t="str">
        <f>IF(J424="Funcionamiento Gastos Generales","No aplica",IF(J424="Funcionamiento Servicios Personales indirectos","No aplica",IFERROR(VLOOKUP(J424,Listas!$A$127:$E$139,3,FALSE),"Alerta: Seleccione la celda en la comumna B con el nombre del proyecto")))</f>
        <v>ME20181114</v>
      </c>
      <c r="AL424" s="640" t="str">
        <f>IF(J424="Funcionamiento Gastos Generales","No aplica",IF(J424="Funcionamiento Servicios Personales","No aplica",IFERROR(VLOOKUP(J424,Listas!$A$220:$D$224,2,FALSE),"Alerta: Seleccione la celda en la comumna B con el nombre del proyecto")))</f>
        <v>COMP1114</v>
      </c>
      <c r="AM424" s="640" t="str">
        <f>IF(J424="Funcionamiento Gastos Generales","No aplica",IF(J424="Funcionamiento Servicios Personales","No aplica",IFERROR(VLOOKUP(J424,Listas!$A$220:$D$224,3,FALSE),"Alerta: Seleccione la celda en la comumna B con el nombre del proyecto")))</f>
        <v>CONC1114</v>
      </c>
      <c r="AN424" s="633" t="s">
        <v>1054</v>
      </c>
      <c r="AO424" s="633" t="s">
        <v>62</v>
      </c>
      <c r="AP424" s="634" t="str">
        <f>IFERROR(VLOOKUP(J424,Listas!$A$182:$E$215,5,FALSE),"Alerta: Seleccione la celda en la comumna B con el nombre del proyecto")</f>
        <v>4. Obras de Intervención en Bienes muebles - inmuebles y sectores que conforman el patrimonio cultural del D.C.</v>
      </c>
      <c r="AQ424" s="634" t="str">
        <f>IF(J424="Funcionamiento Gastos Generales","No aplica",IF(J424="Funcionamiento Servicios Personales","No aplica",IFERROR(VLOOKUP(J424,Listas!$A$220:$D$224,4,FALSE),"Alerta: Seleccione la celda en la comumna B con el nombre del proyecto")))</f>
        <v>FONT1114</v>
      </c>
      <c r="AR424" s="633" t="s">
        <v>198</v>
      </c>
      <c r="AS424" s="634" t="str">
        <f>IFERROR(VLOOKUP(AU424,Listas!$E$85:$L$105,7,FALSE),"Alerta: Seleccione la celda en la comumna AI con el concepto de gasto")</f>
        <v>01-INFRAESTRUCTURA</v>
      </c>
      <c r="AT424" s="634" t="str">
        <f>IFERROR(VLOOKUP(AU424,Listas!$E$85:$L$105,8,FALSE),"Alerta: Seleccione la celda en la comumna AI con el concepto de gasto")</f>
        <v>01-CONSTRUCCION, ADECUACION Y AMPLIACION DE INFRAESTRUCTURA PROPIA DEL SECTOR</v>
      </c>
      <c r="AU424" s="633" t="s">
        <v>422</v>
      </c>
      <c r="AV424" s="634">
        <f>IFERROR(VLOOKUP(AU424,Listas!$E$85:$F$105,2,FALSE),"Alerta: Seleccione el Concepto de Gasto primero")</f>
        <v>0</v>
      </c>
      <c r="AW424" s="644">
        <v>38280000</v>
      </c>
      <c r="AX424" s="645"/>
      <c r="AY424" s="645"/>
      <c r="AZ424" s="645"/>
      <c r="BA424" s="646">
        <f t="shared" si="142"/>
        <v>38280000</v>
      </c>
      <c r="BB424" s="647"/>
      <c r="BC424" s="648"/>
      <c r="BD424" s="649"/>
      <c r="BE424" s="647"/>
      <c r="BF424" s="644"/>
      <c r="BG424" s="646">
        <f t="shared" si="143"/>
        <v>38280000</v>
      </c>
      <c r="BH424" s="650"/>
      <c r="BI424" s="647"/>
      <c r="BJ424" s="644"/>
      <c r="BK424" s="646">
        <f t="shared" si="144"/>
        <v>0</v>
      </c>
      <c r="BL424" s="651"/>
      <c r="BM424" s="652">
        <f t="shared" si="145"/>
        <v>1</v>
      </c>
      <c r="BN424" s="628"/>
      <c r="BO424" s="670"/>
      <c r="BP424" s="644"/>
      <c r="BQ424" s="644"/>
      <c r="BR424" s="644"/>
      <c r="BS424" s="644"/>
      <c r="BT424" s="644"/>
      <c r="BU424" s="644"/>
      <c r="BV424" s="644"/>
      <c r="BW424" s="644"/>
      <c r="BX424" s="644"/>
      <c r="BY424" s="644"/>
      <c r="BZ424" s="644"/>
      <c r="CA424" s="644"/>
      <c r="CB424" s="646">
        <f t="shared" si="146"/>
        <v>0</v>
      </c>
      <c r="CC424" s="646">
        <f t="shared" si="147"/>
        <v>0</v>
      </c>
      <c r="CD424" s="614"/>
    </row>
    <row r="425" spans="1:85" s="653" customFormat="1" ht="61.5" customHeight="1">
      <c r="A425" s="625" t="str">
        <f t="shared" si="129"/>
        <v xml:space="preserve">1114-140-FONT1114-01-01-0525-Bienes de Interés Cultural de tipo inmueble intervenidos </v>
      </c>
      <c r="B425" s="626" t="str">
        <f t="shared" si="130"/>
        <v>1114-140-FONT1114-01-01-0525</v>
      </c>
      <c r="C425" s="626" t="str">
        <f t="shared" si="131"/>
        <v xml:space="preserve">1114-140-FONT1114-Bienes de Interés Cultural de tipo inmueble intervenidos </v>
      </c>
      <c r="D425" s="626" t="str">
        <f t="shared" si="132"/>
        <v>1114-140-12-Otros Distrito-01-01-0525</v>
      </c>
      <c r="E425" s="626" t="str">
        <f t="shared" si="133"/>
        <v>Bienes de Interés Cultural de tipo inmueble intervenidos -12-Otros Distrito-0525-Recuperación y aprovechamiento de bienes de interés cultural</v>
      </c>
      <c r="F425" s="627">
        <v>369</v>
      </c>
      <c r="G425" s="628">
        <f t="shared" si="134"/>
        <v>369</v>
      </c>
      <c r="H425" s="629" t="b">
        <f t="shared" si="135"/>
        <v>0</v>
      </c>
      <c r="I425" s="630" t="s">
        <v>594</v>
      </c>
      <c r="J425" s="627" t="s">
        <v>180</v>
      </c>
      <c r="K425" s="631" t="str">
        <f>+IFERROR(VLOOKUP(J425,Listas!$A$108:$B$114,2,FALSE),"Alerta: Seleccione la celda en la comumna B con el nombre del proyecto")</f>
        <v>3-3-1-15-02-17-1114-140</v>
      </c>
      <c r="L425" s="632" t="s">
        <v>952</v>
      </c>
      <c r="M425" s="633" t="s">
        <v>953</v>
      </c>
      <c r="N425" s="634" t="str">
        <f t="shared" si="136"/>
        <v>(Cód. 369) Prestar servicios de apoyo a la gestión al Instituto Distrital de Patrimonio Cultural en actividades técnicas y de seguimiento en los procesos de ejecución y terminación de proyectos de obra, interventoría o convenios ejecutados por el Instituto.</v>
      </c>
      <c r="O425" s="635">
        <v>43485</v>
      </c>
      <c r="P425" s="636">
        <f>IFERROR(VLOOKUP(W425,'Estimación CRP'!$D$21:$E$30,2,FALSE),0)</f>
        <v>10</v>
      </c>
      <c r="Q425" s="637">
        <f>IF(O425="No aplica","No aplica",WORKDAY.INTL(O425,P425,1,'Estimación CRP'!A611:A627))</f>
        <v>43497</v>
      </c>
      <c r="R425" s="636">
        <f t="shared" si="137"/>
        <v>2</v>
      </c>
      <c r="S425" s="636">
        <f t="shared" si="138"/>
        <v>1</v>
      </c>
      <c r="T425" s="636">
        <f t="shared" si="139"/>
        <v>1</v>
      </c>
      <c r="U425" s="712">
        <v>10</v>
      </c>
      <c r="V425" s="638">
        <v>1</v>
      </c>
      <c r="W425" s="639" t="s">
        <v>274</v>
      </c>
      <c r="X425" s="640" t="str">
        <f>IFERROR(VLOOKUP(W425,Listas!$A$60:$B$73,2,FALSE),"Alerta: Seleccione primero Modalidad de selección")</f>
        <v>CCE-16</v>
      </c>
      <c r="Y425" s="641">
        <v>0</v>
      </c>
      <c r="Z425" s="641" t="s">
        <v>346</v>
      </c>
      <c r="AA425" s="641" t="s">
        <v>1343</v>
      </c>
      <c r="AB425" s="642">
        <f t="shared" si="140"/>
        <v>53300000</v>
      </c>
      <c r="AC425" s="642">
        <f t="shared" si="141"/>
        <v>53300000</v>
      </c>
      <c r="AD425" s="641">
        <v>0</v>
      </c>
      <c r="AE425" s="643">
        <v>0</v>
      </c>
      <c r="AF425" s="639" t="s">
        <v>276</v>
      </c>
      <c r="AG425" s="639" t="s">
        <v>277</v>
      </c>
      <c r="AH425" s="639" t="s">
        <v>573</v>
      </c>
      <c r="AI425" s="626" t="str">
        <f>IFERROR(VLOOKUP(AH425,Listas!$A$77:$C$83,2,FALSE),"Alerta: Seleccione primero el responsable")</f>
        <v>3550800</v>
      </c>
      <c r="AJ425" s="640" t="str">
        <f>IFERROR(VLOOKUP(AH425,Listas!$A$77:$C$83,3,FALSE),"Alerta: Seleccione primero el responsable")</f>
        <v>carolina.fernandez@idpc.gov.co</v>
      </c>
      <c r="AK425" s="640" t="str">
        <f>IF(J425="Funcionamiento Gastos Generales","No aplica",IF(J425="Funcionamiento Servicios Personales indirectos","No aplica",IFERROR(VLOOKUP(J425,Listas!$A$127:$E$139,3,FALSE),"Alerta: Seleccione la celda en la comumna B con el nombre del proyecto")))</f>
        <v>ME20181114</v>
      </c>
      <c r="AL425" s="640" t="str">
        <f>IF(J425="Funcionamiento Gastos Generales","No aplica",IF(J425="Funcionamiento Servicios Personales","No aplica",IFERROR(VLOOKUP(J425,Listas!$A$220:$D$224,2,FALSE),"Alerta: Seleccione la celda en la comumna B con el nombre del proyecto")))</f>
        <v>COMP1114</v>
      </c>
      <c r="AM425" s="640" t="str">
        <f>IF(J425="Funcionamiento Gastos Generales","No aplica",IF(J425="Funcionamiento Servicios Personales","No aplica",IFERROR(VLOOKUP(J425,Listas!$A$220:$D$224,3,FALSE),"Alerta: Seleccione la celda en la comumna B con el nombre del proyecto")))</f>
        <v>CONC1114</v>
      </c>
      <c r="AN425" s="633" t="s">
        <v>1054</v>
      </c>
      <c r="AO425" s="633" t="s">
        <v>62</v>
      </c>
      <c r="AP425" s="634" t="str">
        <f>IFERROR(VLOOKUP(J425,Listas!$A$182:$E$215,5,FALSE),"Alerta: Seleccione la celda en la comumna B con el nombre del proyecto")</f>
        <v>4. Obras de Intervención en Bienes muebles - inmuebles y sectores que conforman el patrimonio cultural del D.C.</v>
      </c>
      <c r="AQ425" s="634" t="str">
        <f>IF(J425="Funcionamiento Gastos Generales","No aplica",IF(J425="Funcionamiento Servicios Personales","No aplica",IFERROR(VLOOKUP(J425,Listas!$A$220:$D$224,4,FALSE),"Alerta: Seleccione la celda en la comumna B con el nombre del proyecto")))</f>
        <v>FONT1114</v>
      </c>
      <c r="AR425" s="633" t="s">
        <v>198</v>
      </c>
      <c r="AS425" s="634" t="str">
        <f>IFERROR(VLOOKUP(AU425,Listas!$E$85:$L$105,7,FALSE),"Alerta: Seleccione la celda en la comumna AI con el concepto de gasto")</f>
        <v>01-INFRAESTRUCTURA</v>
      </c>
      <c r="AT425" s="634" t="str">
        <f>IFERROR(VLOOKUP(AU425,Listas!$E$85:$L$105,8,FALSE),"Alerta: Seleccione la celda en la comumna AI con el concepto de gasto")</f>
        <v>01-CONSTRUCCION, ADECUACION Y AMPLIACION DE INFRAESTRUCTURA PROPIA DEL SECTOR</v>
      </c>
      <c r="AU425" s="633" t="s">
        <v>422</v>
      </c>
      <c r="AV425" s="634">
        <f>IFERROR(VLOOKUP(AU425,Listas!$E$85:$F$105,2,FALSE),"Alerta: Seleccione el Concepto de Gasto primero")</f>
        <v>0</v>
      </c>
      <c r="AW425" s="644">
        <v>53300000</v>
      </c>
      <c r="AX425" s="645"/>
      <c r="AY425" s="645"/>
      <c r="AZ425" s="645"/>
      <c r="BA425" s="646">
        <f t="shared" si="142"/>
        <v>53300000</v>
      </c>
      <c r="BB425" s="647"/>
      <c r="BC425" s="648"/>
      <c r="BD425" s="649"/>
      <c r="BE425" s="647"/>
      <c r="BF425" s="644"/>
      <c r="BG425" s="646">
        <f t="shared" si="143"/>
        <v>53300000</v>
      </c>
      <c r="BH425" s="650"/>
      <c r="BI425" s="647"/>
      <c r="BJ425" s="644"/>
      <c r="BK425" s="646">
        <f t="shared" si="144"/>
        <v>0</v>
      </c>
      <c r="BL425" s="651"/>
      <c r="BM425" s="652">
        <f t="shared" si="145"/>
        <v>1</v>
      </c>
      <c r="BN425" s="628"/>
      <c r="BO425" s="670"/>
      <c r="BP425" s="644"/>
      <c r="BQ425" s="644"/>
      <c r="BR425" s="644"/>
      <c r="BS425" s="644"/>
      <c r="BT425" s="644"/>
      <c r="BU425" s="644"/>
      <c r="BV425" s="644"/>
      <c r="BW425" s="644"/>
      <c r="BX425" s="644"/>
      <c r="BY425" s="644"/>
      <c r="BZ425" s="644"/>
      <c r="CA425" s="644"/>
      <c r="CB425" s="646">
        <f t="shared" si="146"/>
        <v>0</v>
      </c>
      <c r="CC425" s="646">
        <f t="shared" si="147"/>
        <v>0</v>
      </c>
      <c r="CD425" s="614"/>
    </row>
    <row r="426" spans="1:85" s="561" customFormat="1" ht="61.5" customHeight="1">
      <c r="A426" s="625" t="str">
        <f t="shared" si="129"/>
        <v xml:space="preserve">1114-140-FONT1114-01-01-0525-Bienes de Interés Cultural de tipo inmueble intervenidos </v>
      </c>
      <c r="B426" s="626" t="str">
        <f t="shared" si="130"/>
        <v>1114-140-FONT1114-01-01-0525</v>
      </c>
      <c r="C426" s="626" t="str">
        <f t="shared" si="131"/>
        <v xml:space="preserve">1114-140-FONT1114-Bienes de Interés Cultural de tipo inmueble intervenidos </v>
      </c>
      <c r="D426" s="626" t="str">
        <f t="shared" si="132"/>
        <v>1114-140-12-Otros Distrito-01-01-0525</v>
      </c>
      <c r="E426" s="626" t="str">
        <f t="shared" si="133"/>
        <v>Bienes de Interés Cultural de tipo inmueble intervenidos -12-Otros Distrito-0525-Recuperación y aprovechamiento de bienes de interés cultural</v>
      </c>
      <c r="F426" s="627">
        <v>370</v>
      </c>
      <c r="G426" s="628">
        <f t="shared" si="134"/>
        <v>370</v>
      </c>
      <c r="H426" s="629" t="b">
        <f t="shared" si="135"/>
        <v>0</v>
      </c>
      <c r="I426" s="630" t="s">
        <v>594</v>
      </c>
      <c r="J426" s="627" t="s">
        <v>180</v>
      </c>
      <c r="K426" s="631" t="str">
        <f>+IFERROR(VLOOKUP(J426,Listas!$A$108:$B$114,2,FALSE),"Alerta: Seleccione la celda en la comumna B con el nombre del proyecto")</f>
        <v>3-3-1-15-02-17-1114-140</v>
      </c>
      <c r="L426" s="632" t="s">
        <v>954</v>
      </c>
      <c r="M426" s="633" t="s">
        <v>953</v>
      </c>
      <c r="N426" s="634" t="str">
        <f t="shared" si="136"/>
        <v>(Cód. 370) Prestar servicios de apoyo a la gestión al Instituto Distrital de Patrimonio Cultural en actividades técnicas y de seguimiento en los procesos de ejecución y terminación de proyectos de obra, interventoría o convenios ejecutados por el Instituto.</v>
      </c>
      <c r="O426" s="635">
        <v>43498</v>
      </c>
      <c r="P426" s="636">
        <f>IFERROR(VLOOKUP(W426,'Estimación CRP'!$D$21:$E$30,2,FALSE),0)</f>
        <v>10</v>
      </c>
      <c r="Q426" s="637">
        <f>IF(O426="No aplica","No aplica",WORKDAY.INTL(O426,P426,1,'Estimación CRP'!A612:A628))</f>
        <v>43511</v>
      </c>
      <c r="R426" s="636">
        <f t="shared" si="137"/>
        <v>2</v>
      </c>
      <c r="S426" s="636">
        <f t="shared" si="138"/>
        <v>2</v>
      </c>
      <c r="T426" s="636">
        <f t="shared" si="139"/>
        <v>2</v>
      </c>
      <c r="U426" s="712">
        <v>11</v>
      </c>
      <c r="V426" s="638">
        <v>1</v>
      </c>
      <c r="W426" s="639" t="s">
        <v>274</v>
      </c>
      <c r="X426" s="640" t="str">
        <f>IFERROR(VLOOKUP(W426,Listas!$A$60:$B$73,2,FALSE),"Alerta: Seleccione primero Modalidad de selección")</f>
        <v>CCE-16</v>
      </c>
      <c r="Y426" s="641">
        <v>0</v>
      </c>
      <c r="Z426" s="641" t="s">
        <v>346</v>
      </c>
      <c r="AA426" s="641" t="s">
        <v>1343</v>
      </c>
      <c r="AB426" s="642">
        <f t="shared" si="140"/>
        <v>38280000</v>
      </c>
      <c r="AC426" s="642">
        <f t="shared" si="141"/>
        <v>38280000</v>
      </c>
      <c r="AD426" s="641">
        <v>0</v>
      </c>
      <c r="AE426" s="643">
        <v>0</v>
      </c>
      <c r="AF426" s="639" t="s">
        <v>276</v>
      </c>
      <c r="AG426" s="639" t="s">
        <v>277</v>
      </c>
      <c r="AH426" s="639" t="s">
        <v>573</v>
      </c>
      <c r="AI426" s="626" t="str">
        <f>IFERROR(VLOOKUP(AH426,Listas!$A$77:$C$83,2,FALSE),"Alerta: Seleccione primero el responsable")</f>
        <v>3550800</v>
      </c>
      <c r="AJ426" s="640" t="str">
        <f>IFERROR(VLOOKUP(AH426,Listas!$A$77:$C$83,3,FALSE),"Alerta: Seleccione primero el responsable")</f>
        <v>carolina.fernandez@idpc.gov.co</v>
      </c>
      <c r="AK426" s="640" t="str">
        <f>IF(J426="Funcionamiento Gastos Generales","No aplica",IF(J426="Funcionamiento Servicios Personales indirectos","No aplica",IFERROR(VLOOKUP(J426,Listas!$A$127:$E$139,3,FALSE),"Alerta: Seleccione la celda en la comumna B con el nombre del proyecto")))</f>
        <v>ME20181114</v>
      </c>
      <c r="AL426" s="640" t="str">
        <f>IF(J426="Funcionamiento Gastos Generales","No aplica",IF(J426="Funcionamiento Servicios Personales","No aplica",IFERROR(VLOOKUP(J426,Listas!$A$220:$D$224,2,FALSE),"Alerta: Seleccione la celda en la comumna B con el nombre del proyecto")))</f>
        <v>COMP1114</v>
      </c>
      <c r="AM426" s="640" t="str">
        <f>IF(J426="Funcionamiento Gastos Generales","No aplica",IF(J426="Funcionamiento Servicios Personales","No aplica",IFERROR(VLOOKUP(J426,Listas!$A$220:$D$224,3,FALSE),"Alerta: Seleccione la celda en la comumna B con el nombre del proyecto")))</f>
        <v>CONC1114</v>
      </c>
      <c r="AN426" s="633" t="s">
        <v>1054</v>
      </c>
      <c r="AO426" s="633" t="s">
        <v>62</v>
      </c>
      <c r="AP426" s="634" t="str">
        <f>IFERROR(VLOOKUP(J426,Listas!$A$182:$E$215,5,FALSE),"Alerta: Seleccione la celda en la comumna B con el nombre del proyecto")</f>
        <v>4. Obras de Intervención en Bienes muebles - inmuebles y sectores que conforman el patrimonio cultural del D.C.</v>
      </c>
      <c r="AQ426" s="634" t="str">
        <f>IF(J426="Funcionamiento Gastos Generales","No aplica",IF(J426="Funcionamiento Servicios Personales","No aplica",IFERROR(VLOOKUP(J426,Listas!$A$220:$D$224,4,FALSE),"Alerta: Seleccione la celda en la comumna B con el nombre del proyecto")))</f>
        <v>FONT1114</v>
      </c>
      <c r="AR426" s="633" t="s">
        <v>198</v>
      </c>
      <c r="AS426" s="634" t="str">
        <f>IFERROR(VLOOKUP(AU426,Listas!$E$85:$L$105,7,FALSE),"Alerta: Seleccione la celda en la comumna AI con el concepto de gasto")</f>
        <v>01-INFRAESTRUCTURA</v>
      </c>
      <c r="AT426" s="634" t="str">
        <f>IFERROR(VLOOKUP(AU426,Listas!$E$85:$L$105,8,FALSE),"Alerta: Seleccione la celda en la comumna AI con el concepto de gasto")</f>
        <v>01-CONSTRUCCION, ADECUACION Y AMPLIACION DE INFRAESTRUCTURA PROPIA DEL SECTOR</v>
      </c>
      <c r="AU426" s="633" t="s">
        <v>422</v>
      </c>
      <c r="AV426" s="634">
        <f>IFERROR(VLOOKUP(AU426,Listas!$E$85:$F$105,2,FALSE),"Alerta: Seleccione el Concepto de Gasto primero")</f>
        <v>0</v>
      </c>
      <c r="AW426" s="644">
        <v>38280000</v>
      </c>
      <c r="AX426" s="645"/>
      <c r="AY426" s="645"/>
      <c r="AZ426" s="645"/>
      <c r="BA426" s="646">
        <f t="shared" si="142"/>
        <v>38280000</v>
      </c>
      <c r="BB426" s="647"/>
      <c r="BC426" s="648"/>
      <c r="BD426" s="649"/>
      <c r="BE426" s="647"/>
      <c r="BF426" s="644"/>
      <c r="BG426" s="646">
        <f t="shared" si="143"/>
        <v>38280000</v>
      </c>
      <c r="BH426" s="650"/>
      <c r="BI426" s="647"/>
      <c r="BJ426" s="644"/>
      <c r="BK426" s="646">
        <f t="shared" si="144"/>
        <v>0</v>
      </c>
      <c r="BL426" s="651"/>
      <c r="BM426" s="652">
        <f t="shared" si="145"/>
        <v>1</v>
      </c>
      <c r="BN426" s="628"/>
      <c r="BO426" s="670"/>
      <c r="BP426" s="644"/>
      <c r="BQ426" s="644"/>
      <c r="BR426" s="644"/>
      <c r="BS426" s="644"/>
      <c r="BT426" s="644"/>
      <c r="BU426" s="644"/>
      <c r="BV426" s="644"/>
      <c r="BW426" s="644"/>
      <c r="BX426" s="644"/>
      <c r="BY426" s="644"/>
      <c r="BZ426" s="644"/>
      <c r="CA426" s="644"/>
      <c r="CB426" s="646">
        <f t="shared" si="146"/>
        <v>0</v>
      </c>
      <c r="CC426" s="646">
        <f t="shared" si="147"/>
        <v>0</v>
      </c>
      <c r="CD426" s="614"/>
      <c r="CG426" s="561" t="s">
        <v>589</v>
      </c>
    </row>
    <row r="427" spans="1:85" s="653" customFormat="1" ht="61.5" customHeight="1">
      <c r="A427" s="625" t="str">
        <f t="shared" si="129"/>
        <v xml:space="preserve">1114-140-FONT1114-01-01-0525-Bienes de Interés Cultural de tipo inmueble intervenidos </v>
      </c>
      <c r="B427" s="626" t="str">
        <f t="shared" si="130"/>
        <v>1114-140-FONT1114-01-01-0525</v>
      </c>
      <c r="C427" s="626" t="str">
        <f t="shared" si="131"/>
        <v xml:space="preserve">1114-140-FONT1114-Bienes de Interés Cultural de tipo inmueble intervenidos </v>
      </c>
      <c r="D427" s="626" t="str">
        <f t="shared" si="132"/>
        <v>1114-140-12-Otros Distrito-01-01-0525</v>
      </c>
      <c r="E427" s="626" t="str">
        <f t="shared" si="133"/>
        <v>Bienes de Interés Cultural de tipo inmueble intervenidos -12-Otros Distrito-0525-Recuperación y aprovechamiento de bienes de interés cultural</v>
      </c>
      <c r="F427" s="627">
        <v>371</v>
      </c>
      <c r="G427" s="628">
        <f t="shared" si="134"/>
        <v>371</v>
      </c>
      <c r="H427" s="629" t="b">
        <f t="shared" si="135"/>
        <v>0</v>
      </c>
      <c r="I427" s="630" t="s">
        <v>594</v>
      </c>
      <c r="J427" s="627" t="s">
        <v>180</v>
      </c>
      <c r="K427" s="631" t="str">
        <f>+IFERROR(VLOOKUP(J427,Listas!$A$108:$B$114,2,FALSE),"Alerta: Seleccione la celda en la comumna B con el nombre del proyecto")</f>
        <v>3-3-1-15-02-17-1114-140</v>
      </c>
      <c r="L427" s="632" t="s">
        <v>955</v>
      </c>
      <c r="M427" s="633" t="s">
        <v>956</v>
      </c>
      <c r="N427" s="634" t="str">
        <f t="shared" si="136"/>
        <v>(Cód. 371) Prestar servicios de apoyo a la gestión al Instituto Distrital de Patrimonio Cultural en la asistencia y desarrollo de actividades operativas de la Subdirección de Intervención.</v>
      </c>
      <c r="O427" s="635">
        <v>43480</v>
      </c>
      <c r="P427" s="636">
        <f>IFERROR(VLOOKUP(W427,'Estimación CRP'!$D$21:$E$30,2,FALSE),0)</f>
        <v>10</v>
      </c>
      <c r="Q427" s="637">
        <f>IF(O427="No aplica","No aplica",WORKDAY.INTL(O427,P427,1,'Estimación CRP'!A613:A629))</f>
        <v>43494</v>
      </c>
      <c r="R427" s="636">
        <f t="shared" si="137"/>
        <v>1</v>
      </c>
      <c r="S427" s="636">
        <f t="shared" si="138"/>
        <v>1</v>
      </c>
      <c r="T427" s="636">
        <f t="shared" si="139"/>
        <v>1</v>
      </c>
      <c r="U427" s="712">
        <v>11</v>
      </c>
      <c r="V427" s="638">
        <v>1</v>
      </c>
      <c r="W427" s="639" t="s">
        <v>274</v>
      </c>
      <c r="X427" s="640" t="str">
        <f>IFERROR(VLOOKUP(W427,Listas!$A$60:$B$73,2,FALSE),"Alerta: Seleccione primero Modalidad de selección")</f>
        <v>CCE-16</v>
      </c>
      <c r="Y427" s="641">
        <v>0</v>
      </c>
      <c r="Z427" s="641" t="s">
        <v>346</v>
      </c>
      <c r="AA427" s="641" t="s">
        <v>1343</v>
      </c>
      <c r="AB427" s="642">
        <f t="shared" si="140"/>
        <v>34100000</v>
      </c>
      <c r="AC427" s="642">
        <f t="shared" si="141"/>
        <v>34100000</v>
      </c>
      <c r="AD427" s="641">
        <v>0</v>
      </c>
      <c r="AE427" s="643">
        <v>0</v>
      </c>
      <c r="AF427" s="639" t="s">
        <v>276</v>
      </c>
      <c r="AG427" s="639" t="s">
        <v>277</v>
      </c>
      <c r="AH427" s="639" t="s">
        <v>573</v>
      </c>
      <c r="AI427" s="626" t="str">
        <f>IFERROR(VLOOKUP(AH427,Listas!$A$77:$C$83,2,FALSE),"Alerta: Seleccione primero el responsable")</f>
        <v>3550800</v>
      </c>
      <c r="AJ427" s="640" t="str">
        <f>IFERROR(VLOOKUP(AH427,Listas!$A$77:$C$83,3,FALSE),"Alerta: Seleccione primero el responsable")</f>
        <v>carolina.fernandez@idpc.gov.co</v>
      </c>
      <c r="AK427" s="640" t="str">
        <f>IF(J427="Funcionamiento Gastos Generales","No aplica",IF(J427="Funcionamiento Servicios Personales indirectos","No aplica",IFERROR(VLOOKUP(J427,Listas!$A$127:$E$139,3,FALSE),"Alerta: Seleccione la celda en la comumna B con el nombre del proyecto")))</f>
        <v>ME20181114</v>
      </c>
      <c r="AL427" s="640" t="str">
        <f>IF(J427="Funcionamiento Gastos Generales","No aplica",IF(J427="Funcionamiento Servicios Personales","No aplica",IFERROR(VLOOKUP(J427,Listas!$A$220:$D$224,2,FALSE),"Alerta: Seleccione la celda en la comumna B con el nombre del proyecto")))</f>
        <v>COMP1114</v>
      </c>
      <c r="AM427" s="640" t="str">
        <f>IF(J427="Funcionamiento Gastos Generales","No aplica",IF(J427="Funcionamiento Servicios Personales","No aplica",IFERROR(VLOOKUP(J427,Listas!$A$220:$D$224,3,FALSE),"Alerta: Seleccione la celda en la comumna B con el nombre del proyecto")))</f>
        <v>CONC1114</v>
      </c>
      <c r="AN427" s="633" t="s">
        <v>1054</v>
      </c>
      <c r="AO427" s="633" t="s">
        <v>62</v>
      </c>
      <c r="AP427" s="634" t="str">
        <f>IFERROR(VLOOKUP(J427,Listas!$A$182:$E$215,5,FALSE),"Alerta: Seleccione la celda en la comumna B con el nombre del proyecto")</f>
        <v>4. Obras de Intervención en Bienes muebles - inmuebles y sectores que conforman el patrimonio cultural del D.C.</v>
      </c>
      <c r="AQ427" s="634" t="str">
        <f>IF(J427="Funcionamiento Gastos Generales","No aplica",IF(J427="Funcionamiento Servicios Personales","No aplica",IFERROR(VLOOKUP(J427,Listas!$A$220:$D$224,4,FALSE),"Alerta: Seleccione la celda en la comumna B con el nombre del proyecto")))</f>
        <v>FONT1114</v>
      </c>
      <c r="AR427" s="633" t="s">
        <v>198</v>
      </c>
      <c r="AS427" s="634" t="str">
        <f>IFERROR(VLOOKUP(AU427,Listas!$E$85:$L$105,7,FALSE),"Alerta: Seleccione la celda en la comumna AI con el concepto de gasto")</f>
        <v>01-INFRAESTRUCTURA</v>
      </c>
      <c r="AT427" s="634" t="str">
        <f>IFERROR(VLOOKUP(AU427,Listas!$E$85:$L$105,8,FALSE),"Alerta: Seleccione la celda en la comumna AI con el concepto de gasto")</f>
        <v>01-CONSTRUCCION, ADECUACION Y AMPLIACION DE INFRAESTRUCTURA PROPIA DEL SECTOR</v>
      </c>
      <c r="AU427" s="633" t="s">
        <v>422</v>
      </c>
      <c r="AV427" s="634">
        <f>IFERROR(VLOOKUP(AU427,Listas!$E$85:$F$105,2,FALSE),"Alerta: Seleccione el Concepto de Gasto primero")</f>
        <v>0</v>
      </c>
      <c r="AW427" s="644">
        <v>34100000</v>
      </c>
      <c r="AX427" s="645"/>
      <c r="AY427" s="645"/>
      <c r="AZ427" s="645"/>
      <c r="BA427" s="646">
        <f t="shared" si="142"/>
        <v>34100000</v>
      </c>
      <c r="BB427" s="647"/>
      <c r="BC427" s="648"/>
      <c r="BD427" s="649"/>
      <c r="BE427" s="647"/>
      <c r="BF427" s="644"/>
      <c r="BG427" s="646">
        <f t="shared" si="143"/>
        <v>34100000</v>
      </c>
      <c r="BH427" s="650"/>
      <c r="BI427" s="647"/>
      <c r="BJ427" s="644"/>
      <c r="BK427" s="646">
        <f t="shared" si="144"/>
        <v>0</v>
      </c>
      <c r="BL427" s="651"/>
      <c r="BM427" s="652">
        <f t="shared" si="145"/>
        <v>1</v>
      </c>
      <c r="BN427" s="628"/>
      <c r="BO427" s="670"/>
      <c r="BP427" s="644"/>
      <c r="BQ427" s="644"/>
      <c r="BR427" s="644"/>
      <c r="BS427" s="644"/>
      <c r="BT427" s="644"/>
      <c r="BU427" s="644"/>
      <c r="BV427" s="644"/>
      <c r="BW427" s="644"/>
      <c r="BX427" s="644"/>
      <c r="BY427" s="644"/>
      <c r="BZ427" s="644"/>
      <c r="CA427" s="644"/>
      <c r="CB427" s="646">
        <f t="shared" si="146"/>
        <v>0</v>
      </c>
      <c r="CC427" s="646">
        <f t="shared" si="147"/>
        <v>0</v>
      </c>
      <c r="CD427" s="614"/>
    </row>
    <row r="428" spans="1:85" s="653" customFormat="1" ht="61.5" customHeight="1">
      <c r="A428" s="625" t="str">
        <f t="shared" si="129"/>
        <v xml:space="preserve">1114-140-FONT1114-01-01-0525-Bienes de Interés Cultural de tipo inmueble intervenidos </v>
      </c>
      <c r="B428" s="626" t="str">
        <f t="shared" si="130"/>
        <v>1114-140-FONT1114-01-01-0525</v>
      </c>
      <c r="C428" s="626" t="str">
        <f t="shared" si="131"/>
        <v xml:space="preserve">1114-140-FONT1114-Bienes de Interés Cultural de tipo inmueble intervenidos </v>
      </c>
      <c r="D428" s="626" t="str">
        <f t="shared" si="132"/>
        <v>1114-140-12-Otros Distrito-01-01-0525</v>
      </c>
      <c r="E428" s="626" t="str">
        <f t="shared" si="133"/>
        <v>Bienes de Interés Cultural de tipo inmueble intervenidos -12-Otros Distrito-0525-Recuperación y aprovechamiento de bienes de interés cultural</v>
      </c>
      <c r="F428" s="627">
        <v>372</v>
      </c>
      <c r="G428" s="628">
        <f t="shared" si="134"/>
        <v>372</v>
      </c>
      <c r="H428" s="629" t="b">
        <f t="shared" si="135"/>
        <v>0</v>
      </c>
      <c r="I428" s="630" t="s">
        <v>594</v>
      </c>
      <c r="J428" s="627" t="s">
        <v>180</v>
      </c>
      <c r="K428" s="631" t="str">
        <f>+IFERROR(VLOOKUP(J428,Listas!$A$108:$B$114,2,FALSE),"Alerta: Seleccione la celda en la comumna B con el nombre del proyecto")</f>
        <v>3-3-1-15-02-17-1114-140</v>
      </c>
      <c r="L428" s="632" t="s">
        <v>955</v>
      </c>
      <c r="M428" s="633" t="s">
        <v>957</v>
      </c>
      <c r="N428" s="634" t="str">
        <f t="shared" si="136"/>
        <v>(Cód. 372) Prestar servicios de apoyo a la gestión al Instituto Distrital de Patrimonio Cultural para acompañar la recepción, registro de documentos y expedientes en el marco de los procesos adelantados por la Subdirección de Intervención.</v>
      </c>
      <c r="O428" s="635">
        <v>43480</v>
      </c>
      <c r="P428" s="636">
        <f>IFERROR(VLOOKUP(W428,'Estimación CRP'!$D$21:$E$30,2,FALSE),0)</f>
        <v>10</v>
      </c>
      <c r="Q428" s="637">
        <f>IF(O428="No aplica","No aplica",WORKDAY.INTL(O428,P428,1,'Estimación CRP'!A614:A630))</f>
        <v>43494</v>
      </c>
      <c r="R428" s="636">
        <f t="shared" si="137"/>
        <v>1</v>
      </c>
      <c r="S428" s="636">
        <f t="shared" si="138"/>
        <v>1</v>
      </c>
      <c r="T428" s="636">
        <f t="shared" si="139"/>
        <v>1</v>
      </c>
      <c r="U428" s="712">
        <v>8</v>
      </c>
      <c r="V428" s="638">
        <v>1</v>
      </c>
      <c r="W428" s="639" t="s">
        <v>274</v>
      </c>
      <c r="X428" s="640" t="str">
        <f>IFERROR(VLOOKUP(W428,Listas!$A$60:$B$73,2,FALSE),"Alerta: Seleccione primero Modalidad de selección")</f>
        <v>CCE-16</v>
      </c>
      <c r="Y428" s="641">
        <v>0</v>
      </c>
      <c r="Z428" s="641" t="s">
        <v>346</v>
      </c>
      <c r="AA428" s="641" t="s">
        <v>1343</v>
      </c>
      <c r="AB428" s="642">
        <f t="shared" si="140"/>
        <v>22800000</v>
      </c>
      <c r="AC428" s="642">
        <f t="shared" si="141"/>
        <v>22800000</v>
      </c>
      <c r="AD428" s="641">
        <v>0</v>
      </c>
      <c r="AE428" s="643">
        <v>0</v>
      </c>
      <c r="AF428" s="639" t="s">
        <v>276</v>
      </c>
      <c r="AG428" s="639" t="s">
        <v>277</v>
      </c>
      <c r="AH428" s="639" t="s">
        <v>573</v>
      </c>
      <c r="AI428" s="626" t="str">
        <f>IFERROR(VLOOKUP(AH428,Listas!$A$77:$C$83,2,FALSE),"Alerta: Seleccione primero el responsable")</f>
        <v>3550800</v>
      </c>
      <c r="AJ428" s="640" t="str">
        <f>IFERROR(VLOOKUP(AH428,Listas!$A$77:$C$83,3,FALSE),"Alerta: Seleccione primero el responsable")</f>
        <v>carolina.fernandez@idpc.gov.co</v>
      </c>
      <c r="AK428" s="640" t="str">
        <f>IF(J428="Funcionamiento Gastos Generales","No aplica",IF(J428="Funcionamiento Servicios Personales indirectos","No aplica",IFERROR(VLOOKUP(J428,Listas!$A$127:$E$139,3,FALSE),"Alerta: Seleccione la celda en la comumna B con el nombre del proyecto")))</f>
        <v>ME20181114</v>
      </c>
      <c r="AL428" s="640" t="str">
        <f>IF(J428="Funcionamiento Gastos Generales","No aplica",IF(J428="Funcionamiento Servicios Personales","No aplica",IFERROR(VLOOKUP(J428,Listas!$A$220:$D$224,2,FALSE),"Alerta: Seleccione la celda en la comumna B con el nombre del proyecto")))</f>
        <v>COMP1114</v>
      </c>
      <c r="AM428" s="640" t="str">
        <f>IF(J428="Funcionamiento Gastos Generales","No aplica",IF(J428="Funcionamiento Servicios Personales","No aplica",IFERROR(VLOOKUP(J428,Listas!$A$220:$D$224,3,FALSE),"Alerta: Seleccione la celda en la comumna B con el nombre del proyecto")))</f>
        <v>CONC1114</v>
      </c>
      <c r="AN428" s="633" t="s">
        <v>1054</v>
      </c>
      <c r="AO428" s="633" t="s">
        <v>62</v>
      </c>
      <c r="AP428" s="634" t="str">
        <f>IFERROR(VLOOKUP(J428,Listas!$A$182:$E$215,5,FALSE),"Alerta: Seleccione la celda en la comumna B con el nombre del proyecto")</f>
        <v>4. Obras de Intervención en Bienes muebles - inmuebles y sectores que conforman el patrimonio cultural del D.C.</v>
      </c>
      <c r="AQ428" s="634" t="str">
        <f>IF(J428="Funcionamiento Gastos Generales","No aplica",IF(J428="Funcionamiento Servicios Personales","No aplica",IFERROR(VLOOKUP(J428,Listas!$A$220:$D$224,4,FALSE),"Alerta: Seleccione la celda en la comumna B con el nombre del proyecto")))</f>
        <v>FONT1114</v>
      </c>
      <c r="AR428" s="633" t="s">
        <v>198</v>
      </c>
      <c r="AS428" s="634" t="str">
        <f>IFERROR(VLOOKUP(AU428,Listas!$E$85:$L$105,7,FALSE),"Alerta: Seleccione la celda en la comumna AI con el concepto de gasto")</f>
        <v>01-INFRAESTRUCTURA</v>
      </c>
      <c r="AT428" s="634" t="str">
        <f>IFERROR(VLOOKUP(AU428,Listas!$E$85:$L$105,8,FALSE),"Alerta: Seleccione la celda en la comumna AI con el concepto de gasto")</f>
        <v>01-CONSTRUCCION, ADECUACION Y AMPLIACION DE INFRAESTRUCTURA PROPIA DEL SECTOR</v>
      </c>
      <c r="AU428" s="633" t="s">
        <v>422</v>
      </c>
      <c r="AV428" s="634">
        <f>IFERROR(VLOOKUP(AU428,Listas!$E$85:$F$105,2,FALSE),"Alerta: Seleccione el Concepto de Gasto primero")</f>
        <v>0</v>
      </c>
      <c r="AW428" s="644">
        <v>22800000</v>
      </c>
      <c r="AX428" s="645"/>
      <c r="AY428" s="645"/>
      <c r="AZ428" s="645"/>
      <c r="BA428" s="646">
        <f t="shared" si="142"/>
        <v>22800000</v>
      </c>
      <c r="BB428" s="647"/>
      <c r="BC428" s="648"/>
      <c r="BD428" s="649"/>
      <c r="BE428" s="647"/>
      <c r="BF428" s="644"/>
      <c r="BG428" s="646">
        <f t="shared" si="143"/>
        <v>22800000</v>
      </c>
      <c r="BH428" s="650"/>
      <c r="BI428" s="647"/>
      <c r="BJ428" s="644"/>
      <c r="BK428" s="646">
        <f t="shared" si="144"/>
        <v>0</v>
      </c>
      <c r="BL428" s="651"/>
      <c r="BM428" s="652">
        <f t="shared" si="145"/>
        <v>1</v>
      </c>
      <c r="BN428" s="628"/>
      <c r="BO428" s="670"/>
      <c r="BP428" s="644"/>
      <c r="BQ428" s="644"/>
      <c r="BR428" s="644"/>
      <c r="BS428" s="644"/>
      <c r="BT428" s="644"/>
      <c r="BU428" s="644"/>
      <c r="BV428" s="644"/>
      <c r="BW428" s="644"/>
      <c r="BX428" s="644"/>
      <c r="BY428" s="644"/>
      <c r="BZ428" s="644"/>
      <c r="CA428" s="644"/>
      <c r="CB428" s="646">
        <f t="shared" si="146"/>
        <v>0</v>
      </c>
      <c r="CC428" s="646">
        <f t="shared" si="147"/>
        <v>0</v>
      </c>
      <c r="CD428" s="614"/>
    </row>
    <row r="429" spans="1:85" s="561" customFormat="1" ht="61.5" customHeight="1">
      <c r="A429" s="625" t="str">
        <f t="shared" si="129"/>
        <v xml:space="preserve">1114-140-FONT1114-01-01-0525-Bienes de Interés Cultural de tipo inmueble intervenidos </v>
      </c>
      <c r="B429" s="626" t="str">
        <f t="shared" si="130"/>
        <v>1114-140-FONT1114-01-01-0525</v>
      </c>
      <c r="C429" s="626" t="str">
        <f t="shared" si="131"/>
        <v xml:space="preserve">1114-140-FONT1114-Bienes de Interés Cultural de tipo inmueble intervenidos </v>
      </c>
      <c r="D429" s="626" t="str">
        <f t="shared" si="132"/>
        <v>1114-140-12-Otros Distrito-01-01-0525</v>
      </c>
      <c r="E429" s="626" t="str">
        <f t="shared" si="133"/>
        <v>Bienes de Interés Cultural de tipo inmueble intervenidos -12-Otros Distrito-0525-Recuperación y aprovechamiento de bienes de interés cultural</v>
      </c>
      <c r="F429" s="627">
        <v>373</v>
      </c>
      <c r="G429" s="628">
        <f t="shared" si="134"/>
        <v>373</v>
      </c>
      <c r="H429" s="629" t="b">
        <f t="shared" si="135"/>
        <v>0</v>
      </c>
      <c r="I429" s="630" t="s">
        <v>594</v>
      </c>
      <c r="J429" s="627" t="s">
        <v>180</v>
      </c>
      <c r="K429" s="631" t="str">
        <f>+IFERROR(VLOOKUP(J429,Listas!$A$108:$B$114,2,FALSE),"Alerta: Seleccione la celda en la comumna B con el nombre del proyecto")</f>
        <v>3-3-1-15-02-17-1114-140</v>
      </c>
      <c r="L429" s="632" t="s">
        <v>935</v>
      </c>
      <c r="M429" s="633" t="s">
        <v>958</v>
      </c>
      <c r="N429" s="634" t="str">
        <f t="shared" si="136"/>
        <v>(Cód. 373) Prestar servicios de apoyo administrativo al Instituto Distrital de Patrimonio Cultural en los procesos contractuales de la Subdirección de Intervención.</v>
      </c>
      <c r="O429" s="635">
        <v>43495</v>
      </c>
      <c r="P429" s="636">
        <f>IFERROR(VLOOKUP(W429,'Estimación CRP'!$D$21:$E$30,2,FALSE),0)</f>
        <v>10</v>
      </c>
      <c r="Q429" s="637">
        <f>IF(O429="No aplica","No aplica",WORKDAY.INTL(O429,P429,1,'Estimación CRP'!A615:A631))</f>
        <v>43509</v>
      </c>
      <c r="R429" s="636">
        <f t="shared" si="137"/>
        <v>2</v>
      </c>
      <c r="S429" s="636">
        <f t="shared" si="138"/>
        <v>1</v>
      </c>
      <c r="T429" s="636">
        <f t="shared" si="139"/>
        <v>1</v>
      </c>
      <c r="U429" s="712">
        <v>11</v>
      </c>
      <c r="V429" s="638">
        <v>1</v>
      </c>
      <c r="W429" s="639" t="s">
        <v>274</v>
      </c>
      <c r="X429" s="640" t="str">
        <f>IFERROR(VLOOKUP(W429,Listas!$A$60:$B$73,2,FALSE),"Alerta: Seleccione primero Modalidad de selección")</f>
        <v>CCE-16</v>
      </c>
      <c r="Y429" s="641">
        <v>0</v>
      </c>
      <c r="Z429" s="641" t="s">
        <v>346</v>
      </c>
      <c r="AA429" s="641" t="s">
        <v>1343</v>
      </c>
      <c r="AB429" s="642">
        <f t="shared" si="140"/>
        <v>38170000</v>
      </c>
      <c r="AC429" s="642">
        <f t="shared" si="141"/>
        <v>38170000</v>
      </c>
      <c r="AD429" s="641">
        <v>0</v>
      </c>
      <c r="AE429" s="643">
        <v>0</v>
      </c>
      <c r="AF429" s="639" t="s">
        <v>276</v>
      </c>
      <c r="AG429" s="639" t="s">
        <v>277</v>
      </c>
      <c r="AH429" s="639" t="s">
        <v>573</v>
      </c>
      <c r="AI429" s="626" t="str">
        <f>IFERROR(VLOOKUP(AH429,Listas!$A$77:$C$83,2,FALSE),"Alerta: Seleccione primero el responsable")</f>
        <v>3550800</v>
      </c>
      <c r="AJ429" s="640" t="str">
        <f>IFERROR(VLOOKUP(AH429,Listas!$A$77:$C$83,3,FALSE),"Alerta: Seleccione primero el responsable")</f>
        <v>carolina.fernandez@idpc.gov.co</v>
      </c>
      <c r="AK429" s="640" t="str">
        <f>IF(J429="Funcionamiento Gastos Generales","No aplica",IF(J429="Funcionamiento Servicios Personales indirectos","No aplica",IFERROR(VLOOKUP(J429,Listas!$A$127:$E$139,3,FALSE),"Alerta: Seleccione la celda en la comumna B con el nombre del proyecto")))</f>
        <v>ME20181114</v>
      </c>
      <c r="AL429" s="640" t="str">
        <f>IF(J429="Funcionamiento Gastos Generales","No aplica",IF(J429="Funcionamiento Servicios Personales","No aplica",IFERROR(VLOOKUP(J429,Listas!$A$220:$D$224,2,FALSE),"Alerta: Seleccione la celda en la comumna B con el nombre del proyecto")))</f>
        <v>COMP1114</v>
      </c>
      <c r="AM429" s="640" t="str">
        <f>IF(J429="Funcionamiento Gastos Generales","No aplica",IF(J429="Funcionamiento Servicios Personales","No aplica",IFERROR(VLOOKUP(J429,Listas!$A$220:$D$224,3,FALSE),"Alerta: Seleccione la celda en la comumna B con el nombre del proyecto")))</f>
        <v>CONC1114</v>
      </c>
      <c r="AN429" s="633" t="s">
        <v>1054</v>
      </c>
      <c r="AO429" s="633" t="s">
        <v>62</v>
      </c>
      <c r="AP429" s="634" t="str">
        <f>IFERROR(VLOOKUP(J429,Listas!$A$182:$E$215,5,FALSE),"Alerta: Seleccione la celda en la comumna B con el nombre del proyecto")</f>
        <v>4. Obras de Intervención en Bienes muebles - inmuebles y sectores que conforman el patrimonio cultural del D.C.</v>
      </c>
      <c r="AQ429" s="634" t="str">
        <f>IF(J429="Funcionamiento Gastos Generales","No aplica",IF(J429="Funcionamiento Servicios Personales","No aplica",IFERROR(VLOOKUP(J429,Listas!$A$220:$D$224,4,FALSE),"Alerta: Seleccione la celda en la comumna B con el nombre del proyecto")))</f>
        <v>FONT1114</v>
      </c>
      <c r="AR429" s="633" t="s">
        <v>198</v>
      </c>
      <c r="AS429" s="634" t="str">
        <f>IFERROR(VLOOKUP(AU429,Listas!$E$85:$L$105,7,FALSE),"Alerta: Seleccione la celda en la comumna AI con el concepto de gasto")</f>
        <v>01-INFRAESTRUCTURA</v>
      </c>
      <c r="AT429" s="634" t="str">
        <f>IFERROR(VLOOKUP(AU429,Listas!$E$85:$L$105,8,FALSE),"Alerta: Seleccione la celda en la comumna AI con el concepto de gasto")</f>
        <v>01-CONSTRUCCION, ADECUACION Y AMPLIACION DE INFRAESTRUCTURA PROPIA DEL SECTOR</v>
      </c>
      <c r="AU429" s="633" t="s">
        <v>422</v>
      </c>
      <c r="AV429" s="634">
        <f>IFERROR(VLOOKUP(AU429,Listas!$E$85:$F$105,2,FALSE),"Alerta: Seleccione el Concepto de Gasto primero")</f>
        <v>0</v>
      </c>
      <c r="AW429" s="644">
        <v>38170000</v>
      </c>
      <c r="AX429" s="645"/>
      <c r="AY429" s="645"/>
      <c r="AZ429" s="645"/>
      <c r="BA429" s="646">
        <f t="shared" si="142"/>
        <v>38170000</v>
      </c>
      <c r="BB429" s="647"/>
      <c r="BC429" s="648"/>
      <c r="BD429" s="649"/>
      <c r="BE429" s="647"/>
      <c r="BF429" s="644"/>
      <c r="BG429" s="646">
        <f t="shared" si="143"/>
        <v>38170000</v>
      </c>
      <c r="BH429" s="650"/>
      <c r="BI429" s="647"/>
      <c r="BJ429" s="644"/>
      <c r="BK429" s="646">
        <f t="shared" si="144"/>
        <v>0</v>
      </c>
      <c r="BL429" s="651"/>
      <c r="BM429" s="652">
        <f t="shared" si="145"/>
        <v>1</v>
      </c>
      <c r="BN429" s="628"/>
      <c r="BO429" s="670"/>
      <c r="BP429" s="644"/>
      <c r="BQ429" s="644"/>
      <c r="BR429" s="644"/>
      <c r="BS429" s="644"/>
      <c r="BT429" s="644"/>
      <c r="BU429" s="644"/>
      <c r="BV429" s="644"/>
      <c r="BW429" s="644"/>
      <c r="BX429" s="644"/>
      <c r="BY429" s="644"/>
      <c r="BZ429" s="644"/>
      <c r="CA429" s="644"/>
      <c r="CB429" s="646">
        <f t="shared" si="146"/>
        <v>0</v>
      </c>
      <c r="CC429" s="646">
        <f t="shared" si="147"/>
        <v>0</v>
      </c>
      <c r="CD429" s="614"/>
    </row>
    <row r="430" spans="1:85" s="561" customFormat="1" ht="61.5" customHeight="1">
      <c r="A430" s="625" t="str">
        <f t="shared" si="129"/>
        <v xml:space="preserve">1114-140-FONT1114-01-01-0525-Bienes de Interés Cultural de tipo inmueble intervenidos </v>
      </c>
      <c r="B430" s="626" t="str">
        <f t="shared" si="130"/>
        <v>1114-140-FONT1114-01-01-0525</v>
      </c>
      <c r="C430" s="626" t="str">
        <f t="shared" si="131"/>
        <v xml:space="preserve">1114-140-FONT1114-Bienes de Interés Cultural de tipo inmueble intervenidos </v>
      </c>
      <c r="D430" s="626" t="str">
        <f t="shared" si="132"/>
        <v>1114-140-12-Otros Distrito-01-01-0525</v>
      </c>
      <c r="E430" s="626" t="str">
        <f t="shared" si="133"/>
        <v>Bienes de Interés Cultural de tipo inmueble intervenidos -12-Otros Distrito-0525-Recuperación y aprovechamiento de bienes de interés cultural</v>
      </c>
      <c r="F430" s="627">
        <v>374</v>
      </c>
      <c r="G430" s="628">
        <f t="shared" si="134"/>
        <v>374</v>
      </c>
      <c r="H430" s="629" t="b">
        <f t="shared" si="135"/>
        <v>0</v>
      </c>
      <c r="I430" s="630" t="s">
        <v>594</v>
      </c>
      <c r="J430" s="627" t="s">
        <v>180</v>
      </c>
      <c r="K430" s="631" t="str">
        <f>+IFERROR(VLOOKUP(J430,Listas!$A$108:$B$114,2,FALSE),"Alerta: Seleccione la celda en la comumna B con el nombre del proyecto")</f>
        <v>3-3-1-15-02-17-1114-140</v>
      </c>
      <c r="L430" s="632" t="s">
        <v>959</v>
      </c>
      <c r="M430" s="633" t="s">
        <v>960</v>
      </c>
      <c r="N430" s="634" t="str">
        <f t="shared" si="136"/>
        <v>(Cód. 374) Prestar servicios profesionales al  Instituto Distrital de Patrimonio Cultural apoyando la estructuración e implementación de estrategias de gestión social y participación ciudadana para el reconocimiento y valoración del patrimonio en el marco de los planes, programas y proyectos de preservación del patrimonio cultural del Distrito Capital.</v>
      </c>
      <c r="O430" s="635">
        <v>43480</v>
      </c>
      <c r="P430" s="636">
        <f>IFERROR(VLOOKUP(W430,'Estimación CRP'!$D$21:$E$30,2,FALSE),0)</f>
        <v>10</v>
      </c>
      <c r="Q430" s="637">
        <f>IF(O430="No aplica","No aplica",WORKDAY.INTL(O430,P430,1,'Estimación CRP'!A616:A632))</f>
        <v>43494</v>
      </c>
      <c r="R430" s="636">
        <f t="shared" si="137"/>
        <v>1</v>
      </c>
      <c r="S430" s="636">
        <f t="shared" si="138"/>
        <v>1</v>
      </c>
      <c r="T430" s="636">
        <f t="shared" si="139"/>
        <v>1</v>
      </c>
      <c r="U430" s="712">
        <v>11</v>
      </c>
      <c r="V430" s="638">
        <v>1</v>
      </c>
      <c r="W430" s="639" t="s">
        <v>274</v>
      </c>
      <c r="X430" s="640" t="str">
        <f>IFERROR(VLOOKUP(W430,Listas!$A$60:$B$73,2,FALSE),"Alerta: Seleccione primero Modalidad de selección")</f>
        <v>CCE-16</v>
      </c>
      <c r="Y430" s="641">
        <v>0</v>
      </c>
      <c r="Z430" s="641" t="s">
        <v>346</v>
      </c>
      <c r="AA430" s="641" t="s">
        <v>1343</v>
      </c>
      <c r="AB430" s="642">
        <f t="shared" si="140"/>
        <v>61160000</v>
      </c>
      <c r="AC430" s="642">
        <f t="shared" si="141"/>
        <v>61160000</v>
      </c>
      <c r="AD430" s="641">
        <v>0</v>
      </c>
      <c r="AE430" s="643">
        <v>0</v>
      </c>
      <c r="AF430" s="639" t="s">
        <v>276</v>
      </c>
      <c r="AG430" s="639" t="s">
        <v>277</v>
      </c>
      <c r="AH430" s="639" t="s">
        <v>573</v>
      </c>
      <c r="AI430" s="626" t="str">
        <f>IFERROR(VLOOKUP(AH430,Listas!$A$77:$C$83,2,FALSE),"Alerta: Seleccione primero el responsable")</f>
        <v>3550800</v>
      </c>
      <c r="AJ430" s="640" t="str">
        <f>IFERROR(VLOOKUP(AH430,Listas!$A$77:$C$83,3,FALSE),"Alerta: Seleccione primero el responsable")</f>
        <v>carolina.fernandez@idpc.gov.co</v>
      </c>
      <c r="AK430" s="640" t="str">
        <f>IF(J430="Funcionamiento Gastos Generales","No aplica",IF(J430="Funcionamiento Servicios Personales indirectos","No aplica",IFERROR(VLOOKUP(J430,Listas!$A$127:$E$139,3,FALSE),"Alerta: Seleccione la celda en la comumna B con el nombre del proyecto")))</f>
        <v>ME20181114</v>
      </c>
      <c r="AL430" s="640" t="str">
        <f>IF(J430="Funcionamiento Gastos Generales","No aplica",IF(J430="Funcionamiento Servicios Personales","No aplica",IFERROR(VLOOKUP(J430,Listas!$A$220:$D$224,2,FALSE),"Alerta: Seleccione la celda en la comumna B con el nombre del proyecto")))</f>
        <v>COMP1114</v>
      </c>
      <c r="AM430" s="640" t="str">
        <f>IF(J430="Funcionamiento Gastos Generales","No aplica",IF(J430="Funcionamiento Servicios Personales","No aplica",IFERROR(VLOOKUP(J430,Listas!$A$220:$D$224,3,FALSE),"Alerta: Seleccione la celda en la comumna B con el nombre del proyecto")))</f>
        <v>CONC1114</v>
      </c>
      <c r="AN430" s="633" t="s">
        <v>1054</v>
      </c>
      <c r="AO430" s="633" t="s">
        <v>62</v>
      </c>
      <c r="AP430" s="634" t="str">
        <f>IFERROR(VLOOKUP(J430,Listas!$A$182:$E$215,5,FALSE),"Alerta: Seleccione la celda en la comumna B con el nombre del proyecto")</f>
        <v>4. Obras de Intervención en Bienes muebles - inmuebles y sectores que conforman el patrimonio cultural del D.C.</v>
      </c>
      <c r="AQ430" s="634" t="str">
        <f>IF(J430="Funcionamiento Gastos Generales","No aplica",IF(J430="Funcionamiento Servicios Personales","No aplica",IFERROR(VLOOKUP(J430,Listas!$A$220:$D$224,4,FALSE),"Alerta: Seleccione la celda en la comumna B con el nombre del proyecto")))</f>
        <v>FONT1114</v>
      </c>
      <c r="AR430" s="633" t="s">
        <v>198</v>
      </c>
      <c r="AS430" s="634" t="str">
        <f>IFERROR(VLOOKUP(AU430,Listas!$E$85:$L$105,7,FALSE),"Alerta: Seleccione la celda en la comumna AI con el concepto de gasto")</f>
        <v>01-INFRAESTRUCTURA</v>
      </c>
      <c r="AT430" s="634" t="str">
        <f>IFERROR(VLOOKUP(AU430,Listas!$E$85:$L$105,8,FALSE),"Alerta: Seleccione la celda en la comumna AI con el concepto de gasto")</f>
        <v>01-CONSTRUCCION, ADECUACION Y AMPLIACION DE INFRAESTRUCTURA PROPIA DEL SECTOR</v>
      </c>
      <c r="AU430" s="633" t="s">
        <v>422</v>
      </c>
      <c r="AV430" s="634">
        <f>IFERROR(VLOOKUP(AU430,Listas!$E$85:$F$105,2,FALSE),"Alerta: Seleccione el Concepto de Gasto primero")</f>
        <v>0</v>
      </c>
      <c r="AW430" s="644">
        <v>61160000</v>
      </c>
      <c r="AX430" s="645"/>
      <c r="AY430" s="645"/>
      <c r="AZ430" s="645"/>
      <c r="BA430" s="646">
        <f t="shared" si="142"/>
        <v>61160000</v>
      </c>
      <c r="BB430" s="647"/>
      <c r="BC430" s="648"/>
      <c r="BD430" s="649"/>
      <c r="BE430" s="647"/>
      <c r="BF430" s="644"/>
      <c r="BG430" s="646">
        <f t="shared" si="143"/>
        <v>61160000</v>
      </c>
      <c r="BH430" s="650"/>
      <c r="BI430" s="647"/>
      <c r="BJ430" s="644"/>
      <c r="BK430" s="646">
        <f t="shared" si="144"/>
        <v>0</v>
      </c>
      <c r="BL430" s="651"/>
      <c r="BM430" s="652">
        <f t="shared" si="145"/>
        <v>1</v>
      </c>
      <c r="BN430" s="628"/>
      <c r="BO430" s="670"/>
      <c r="BP430" s="644"/>
      <c r="BQ430" s="644"/>
      <c r="BR430" s="644"/>
      <c r="BS430" s="644"/>
      <c r="BT430" s="644"/>
      <c r="BU430" s="644"/>
      <c r="BV430" s="644"/>
      <c r="BW430" s="644"/>
      <c r="BX430" s="644"/>
      <c r="BY430" s="644"/>
      <c r="BZ430" s="644"/>
      <c r="CA430" s="644"/>
      <c r="CB430" s="646">
        <f t="shared" si="146"/>
        <v>0</v>
      </c>
      <c r="CC430" s="646">
        <f t="shared" si="147"/>
        <v>0</v>
      </c>
      <c r="CD430" s="614"/>
    </row>
    <row r="431" spans="1:85" s="561" customFormat="1" ht="61.5" customHeight="1">
      <c r="A431" s="625" t="str">
        <f t="shared" si="129"/>
        <v xml:space="preserve">1114-140-FONT1114-01-01-0525-Bienes de Interés Cultural de tipo inmueble intervenidos </v>
      </c>
      <c r="B431" s="626" t="str">
        <f t="shared" si="130"/>
        <v>1114-140-FONT1114-01-01-0525</v>
      </c>
      <c r="C431" s="626" t="str">
        <f t="shared" si="131"/>
        <v xml:space="preserve">1114-140-FONT1114-Bienes de Interés Cultural de tipo inmueble intervenidos </v>
      </c>
      <c r="D431" s="626" t="str">
        <f t="shared" si="132"/>
        <v>1114-140-12-Otros Distrito-01-01-0525</v>
      </c>
      <c r="E431" s="626" t="str">
        <f t="shared" si="133"/>
        <v>Bienes de Interés Cultural de tipo inmueble intervenidos -12-Otros Distrito-0525-Recuperación y aprovechamiento de bienes de interés cultural</v>
      </c>
      <c r="F431" s="627">
        <v>375</v>
      </c>
      <c r="G431" s="628">
        <f t="shared" si="134"/>
        <v>375</v>
      </c>
      <c r="H431" s="629" t="b">
        <f t="shared" si="135"/>
        <v>0</v>
      </c>
      <c r="I431" s="630" t="s">
        <v>594</v>
      </c>
      <c r="J431" s="627" t="s">
        <v>180</v>
      </c>
      <c r="K431" s="631" t="str">
        <f>+IFERROR(VLOOKUP(J431,Listas!$A$108:$B$114,2,FALSE),"Alerta: Seleccione la celda en la comumna B con el nombre del proyecto")</f>
        <v>3-3-1-15-02-17-1114-140</v>
      </c>
      <c r="L431" s="632" t="s">
        <v>952</v>
      </c>
      <c r="M431" s="633" t="s">
        <v>961</v>
      </c>
      <c r="N431" s="634" t="str">
        <f t="shared" si="136"/>
        <v>(Cód. 375) Prestar servicios profesionales al Instituto Distrital de Patrimonio Cultural apoyando la estructuración técnica de los procesos precontractuales para las acciones de gestión e intervención del patrimonio cultural del Distrito Capital.</v>
      </c>
      <c r="O431" s="635">
        <v>43484</v>
      </c>
      <c r="P431" s="636">
        <f>IFERROR(VLOOKUP(W431,'Estimación CRP'!$D$21:$E$30,2,FALSE),0)</f>
        <v>10</v>
      </c>
      <c r="Q431" s="637">
        <f>IF(O431="No aplica","No aplica",WORKDAY.INTL(O431,P431,1,'Estimación CRP'!A617:A633))</f>
        <v>43497</v>
      </c>
      <c r="R431" s="636">
        <f t="shared" si="137"/>
        <v>2</v>
      </c>
      <c r="S431" s="636">
        <f t="shared" si="138"/>
        <v>1</v>
      </c>
      <c r="T431" s="636">
        <f t="shared" si="139"/>
        <v>1</v>
      </c>
      <c r="U431" s="712">
        <v>9</v>
      </c>
      <c r="V431" s="638">
        <v>1</v>
      </c>
      <c r="W431" s="639" t="s">
        <v>274</v>
      </c>
      <c r="X431" s="640" t="str">
        <f>IFERROR(VLOOKUP(W431,Listas!$A$60:$B$73,2,FALSE),"Alerta: Seleccione primero Modalidad de selección")</f>
        <v>CCE-16</v>
      </c>
      <c r="Y431" s="641">
        <v>0</v>
      </c>
      <c r="Z431" s="641" t="s">
        <v>346</v>
      </c>
      <c r="AA431" s="641" t="s">
        <v>1343</v>
      </c>
      <c r="AB431" s="642">
        <f t="shared" si="140"/>
        <v>59580000</v>
      </c>
      <c r="AC431" s="642">
        <f t="shared" si="141"/>
        <v>59580000</v>
      </c>
      <c r="AD431" s="641">
        <v>0</v>
      </c>
      <c r="AE431" s="643">
        <v>0</v>
      </c>
      <c r="AF431" s="639" t="s">
        <v>276</v>
      </c>
      <c r="AG431" s="639" t="s">
        <v>277</v>
      </c>
      <c r="AH431" s="639" t="s">
        <v>573</v>
      </c>
      <c r="AI431" s="626" t="str">
        <f>IFERROR(VLOOKUP(AH431,Listas!$A$77:$C$83,2,FALSE),"Alerta: Seleccione primero el responsable")</f>
        <v>3550800</v>
      </c>
      <c r="AJ431" s="640" t="str">
        <f>IFERROR(VLOOKUP(AH431,Listas!$A$77:$C$83,3,FALSE),"Alerta: Seleccione primero el responsable")</f>
        <v>carolina.fernandez@idpc.gov.co</v>
      </c>
      <c r="AK431" s="640" t="str">
        <f>IF(J431="Funcionamiento Gastos Generales","No aplica",IF(J431="Funcionamiento Servicios Personales indirectos","No aplica",IFERROR(VLOOKUP(J431,Listas!$A$127:$E$139,3,FALSE),"Alerta: Seleccione la celda en la comumna B con el nombre del proyecto")))</f>
        <v>ME20181114</v>
      </c>
      <c r="AL431" s="640" t="str">
        <f>IF(J431="Funcionamiento Gastos Generales","No aplica",IF(J431="Funcionamiento Servicios Personales","No aplica",IFERROR(VLOOKUP(J431,Listas!$A$220:$D$224,2,FALSE),"Alerta: Seleccione la celda en la comumna B con el nombre del proyecto")))</f>
        <v>COMP1114</v>
      </c>
      <c r="AM431" s="640" t="str">
        <f>IF(J431="Funcionamiento Gastos Generales","No aplica",IF(J431="Funcionamiento Servicios Personales","No aplica",IFERROR(VLOOKUP(J431,Listas!$A$220:$D$224,3,FALSE),"Alerta: Seleccione la celda en la comumna B con el nombre del proyecto")))</f>
        <v>CONC1114</v>
      </c>
      <c r="AN431" s="633" t="s">
        <v>1054</v>
      </c>
      <c r="AO431" s="633" t="s">
        <v>62</v>
      </c>
      <c r="AP431" s="634" t="str">
        <f>IFERROR(VLOOKUP(J431,Listas!$A$182:$E$215,5,FALSE),"Alerta: Seleccione la celda en la comumna B con el nombre del proyecto")</f>
        <v>4. Obras de Intervención en Bienes muebles - inmuebles y sectores que conforman el patrimonio cultural del D.C.</v>
      </c>
      <c r="AQ431" s="634" t="str">
        <f>IF(J431="Funcionamiento Gastos Generales","No aplica",IF(J431="Funcionamiento Servicios Personales","No aplica",IFERROR(VLOOKUP(J431,Listas!$A$220:$D$224,4,FALSE),"Alerta: Seleccione la celda en la comumna B con el nombre del proyecto")))</f>
        <v>FONT1114</v>
      </c>
      <c r="AR431" s="633" t="s">
        <v>198</v>
      </c>
      <c r="AS431" s="634" t="str">
        <f>IFERROR(VLOOKUP(AU431,Listas!$E$85:$L$105,7,FALSE),"Alerta: Seleccione la celda en la comumna AI con el concepto de gasto")</f>
        <v>01-INFRAESTRUCTURA</v>
      </c>
      <c r="AT431" s="634" t="str">
        <f>IFERROR(VLOOKUP(AU431,Listas!$E$85:$L$105,8,FALSE),"Alerta: Seleccione la celda en la comumna AI con el concepto de gasto")</f>
        <v>01-CONSTRUCCION, ADECUACION Y AMPLIACION DE INFRAESTRUCTURA PROPIA DEL SECTOR</v>
      </c>
      <c r="AU431" s="633" t="s">
        <v>422</v>
      </c>
      <c r="AV431" s="634">
        <f>IFERROR(VLOOKUP(AU431,Listas!$E$85:$F$105,2,FALSE),"Alerta: Seleccione el Concepto de Gasto primero")</f>
        <v>0</v>
      </c>
      <c r="AW431" s="644">
        <v>59580000</v>
      </c>
      <c r="AX431" s="645"/>
      <c r="AY431" s="645"/>
      <c r="AZ431" s="645"/>
      <c r="BA431" s="646">
        <f t="shared" si="142"/>
        <v>59580000</v>
      </c>
      <c r="BB431" s="647"/>
      <c r="BC431" s="648"/>
      <c r="BD431" s="649"/>
      <c r="BE431" s="647"/>
      <c r="BF431" s="644"/>
      <c r="BG431" s="646">
        <f t="shared" si="143"/>
        <v>59580000</v>
      </c>
      <c r="BH431" s="650"/>
      <c r="BI431" s="647"/>
      <c r="BJ431" s="644"/>
      <c r="BK431" s="646">
        <f t="shared" si="144"/>
        <v>0</v>
      </c>
      <c r="BL431" s="651"/>
      <c r="BM431" s="652">
        <f t="shared" si="145"/>
        <v>1</v>
      </c>
      <c r="BN431" s="628"/>
      <c r="BO431" s="670"/>
      <c r="BP431" s="644"/>
      <c r="BQ431" s="644"/>
      <c r="BR431" s="644"/>
      <c r="BS431" s="644"/>
      <c r="BT431" s="644"/>
      <c r="BU431" s="644"/>
      <c r="BV431" s="644"/>
      <c r="BW431" s="644"/>
      <c r="BX431" s="644"/>
      <c r="BY431" s="644"/>
      <c r="BZ431" s="644"/>
      <c r="CA431" s="644"/>
      <c r="CB431" s="646">
        <f t="shared" si="146"/>
        <v>0</v>
      </c>
      <c r="CC431" s="646">
        <f t="shared" si="147"/>
        <v>0</v>
      </c>
      <c r="CD431" s="614"/>
    </row>
    <row r="432" spans="1:85" s="561" customFormat="1" ht="61.5" customHeight="1">
      <c r="A432" s="625" t="str">
        <f t="shared" si="129"/>
        <v xml:space="preserve">1114-140-FONT1114-01-01-0525-Bienes de Interés Cultural de tipo inmueble intervenidos </v>
      </c>
      <c r="B432" s="626" t="str">
        <f t="shared" si="130"/>
        <v>1114-140-FONT1114-01-01-0525</v>
      </c>
      <c r="C432" s="626" t="str">
        <f t="shared" si="131"/>
        <v xml:space="preserve">1114-140-FONT1114-Bienes de Interés Cultural de tipo inmueble intervenidos </v>
      </c>
      <c r="D432" s="626" t="str">
        <f t="shared" si="132"/>
        <v>1114-140-12-Otros Distrito-01-01-0525</v>
      </c>
      <c r="E432" s="626" t="str">
        <f t="shared" si="133"/>
        <v>Bienes de Interés Cultural de tipo inmueble intervenidos -12-Otros Distrito-0525-Recuperación y aprovechamiento de bienes de interés cultural</v>
      </c>
      <c r="F432" s="627">
        <v>376</v>
      </c>
      <c r="G432" s="628">
        <f t="shared" si="134"/>
        <v>376</v>
      </c>
      <c r="H432" s="629" t="b">
        <f t="shared" si="135"/>
        <v>0</v>
      </c>
      <c r="I432" s="630" t="s">
        <v>594</v>
      </c>
      <c r="J432" s="627" t="s">
        <v>180</v>
      </c>
      <c r="K432" s="631" t="str">
        <f>+IFERROR(VLOOKUP(J432,Listas!$A$108:$B$114,2,FALSE),"Alerta: Seleccione la celda en la comumna B con el nombre del proyecto")</f>
        <v>3-3-1-15-02-17-1114-140</v>
      </c>
      <c r="L432" s="632" t="s">
        <v>952</v>
      </c>
      <c r="M432" s="633" t="s">
        <v>961</v>
      </c>
      <c r="N432" s="634" t="str">
        <f t="shared" si="136"/>
        <v>(Cód. 376) Prestar servicios profesionales al Instituto Distrital de Patrimonio Cultural apoyando la estructuración técnica de los procesos precontractuales para las acciones de gestión e intervención del patrimonio cultural del Distrito Capital.</v>
      </c>
      <c r="O432" s="635">
        <v>43486</v>
      </c>
      <c r="P432" s="636">
        <f>IFERROR(VLOOKUP(W432,'Estimación CRP'!$D$21:$E$30,2,FALSE),0)</f>
        <v>10</v>
      </c>
      <c r="Q432" s="637">
        <f>IF(O432="No aplica","No aplica",WORKDAY.INTL(O432,P432,1,'Estimación CRP'!A618:A634))</f>
        <v>43500</v>
      </c>
      <c r="R432" s="636">
        <f t="shared" si="137"/>
        <v>2</v>
      </c>
      <c r="S432" s="636">
        <f t="shared" si="138"/>
        <v>1</v>
      </c>
      <c r="T432" s="636">
        <f t="shared" si="139"/>
        <v>1</v>
      </c>
      <c r="U432" s="712">
        <v>9</v>
      </c>
      <c r="V432" s="638">
        <v>1</v>
      </c>
      <c r="W432" s="639" t="s">
        <v>274</v>
      </c>
      <c r="X432" s="640" t="str">
        <f>IFERROR(VLOOKUP(W432,Listas!$A$60:$B$73,2,FALSE),"Alerta: Seleccione primero Modalidad de selección")</f>
        <v>CCE-16</v>
      </c>
      <c r="Y432" s="641">
        <v>0</v>
      </c>
      <c r="Z432" s="641" t="s">
        <v>346</v>
      </c>
      <c r="AA432" s="641" t="s">
        <v>1343</v>
      </c>
      <c r="AB432" s="642">
        <f t="shared" si="140"/>
        <v>53010000</v>
      </c>
      <c r="AC432" s="642">
        <f t="shared" si="141"/>
        <v>53010000</v>
      </c>
      <c r="AD432" s="641">
        <v>0</v>
      </c>
      <c r="AE432" s="643">
        <v>0</v>
      </c>
      <c r="AF432" s="639" t="s">
        <v>276</v>
      </c>
      <c r="AG432" s="639" t="s">
        <v>277</v>
      </c>
      <c r="AH432" s="639" t="s">
        <v>573</v>
      </c>
      <c r="AI432" s="626" t="str">
        <f>IFERROR(VLOOKUP(AH432,Listas!$A$77:$C$83,2,FALSE),"Alerta: Seleccione primero el responsable")</f>
        <v>3550800</v>
      </c>
      <c r="AJ432" s="640" t="str">
        <f>IFERROR(VLOOKUP(AH432,Listas!$A$77:$C$83,3,FALSE),"Alerta: Seleccione primero el responsable")</f>
        <v>carolina.fernandez@idpc.gov.co</v>
      </c>
      <c r="AK432" s="640" t="str">
        <f>IF(J432="Funcionamiento Gastos Generales","No aplica",IF(J432="Funcionamiento Servicios Personales indirectos","No aplica",IFERROR(VLOOKUP(J432,Listas!$A$127:$E$139,3,FALSE),"Alerta: Seleccione la celda en la comumna B con el nombre del proyecto")))</f>
        <v>ME20181114</v>
      </c>
      <c r="AL432" s="640" t="str">
        <f>IF(J432="Funcionamiento Gastos Generales","No aplica",IF(J432="Funcionamiento Servicios Personales","No aplica",IFERROR(VLOOKUP(J432,Listas!$A$220:$D$224,2,FALSE),"Alerta: Seleccione la celda en la comumna B con el nombre del proyecto")))</f>
        <v>COMP1114</v>
      </c>
      <c r="AM432" s="640" t="str">
        <f>IF(J432="Funcionamiento Gastos Generales","No aplica",IF(J432="Funcionamiento Servicios Personales","No aplica",IFERROR(VLOOKUP(J432,Listas!$A$220:$D$224,3,FALSE),"Alerta: Seleccione la celda en la comumna B con el nombre del proyecto")))</f>
        <v>CONC1114</v>
      </c>
      <c r="AN432" s="633" t="s">
        <v>1054</v>
      </c>
      <c r="AO432" s="633" t="s">
        <v>62</v>
      </c>
      <c r="AP432" s="634" t="str">
        <f>IFERROR(VLOOKUP(J432,Listas!$A$182:$E$215,5,FALSE),"Alerta: Seleccione la celda en la comumna B con el nombre del proyecto")</f>
        <v>4. Obras de Intervención en Bienes muebles - inmuebles y sectores que conforman el patrimonio cultural del D.C.</v>
      </c>
      <c r="AQ432" s="634" t="str">
        <f>IF(J432="Funcionamiento Gastos Generales","No aplica",IF(J432="Funcionamiento Servicios Personales","No aplica",IFERROR(VLOOKUP(J432,Listas!$A$220:$D$224,4,FALSE),"Alerta: Seleccione la celda en la comumna B con el nombre del proyecto")))</f>
        <v>FONT1114</v>
      </c>
      <c r="AR432" s="633" t="s">
        <v>198</v>
      </c>
      <c r="AS432" s="634" t="str">
        <f>IFERROR(VLOOKUP(AU432,Listas!$E$85:$L$105,7,FALSE),"Alerta: Seleccione la celda en la comumna AI con el concepto de gasto")</f>
        <v>01-INFRAESTRUCTURA</v>
      </c>
      <c r="AT432" s="634" t="str">
        <f>IFERROR(VLOOKUP(AU432,Listas!$E$85:$L$105,8,FALSE),"Alerta: Seleccione la celda en la comumna AI con el concepto de gasto")</f>
        <v>01-CONSTRUCCION, ADECUACION Y AMPLIACION DE INFRAESTRUCTURA PROPIA DEL SECTOR</v>
      </c>
      <c r="AU432" s="633" t="s">
        <v>422</v>
      </c>
      <c r="AV432" s="634">
        <f>IFERROR(VLOOKUP(AU432,Listas!$E$85:$F$105,2,FALSE),"Alerta: Seleccione el Concepto de Gasto primero")</f>
        <v>0</v>
      </c>
      <c r="AW432" s="644">
        <v>53010000</v>
      </c>
      <c r="AX432" s="645"/>
      <c r="AY432" s="645"/>
      <c r="AZ432" s="645"/>
      <c r="BA432" s="646">
        <f t="shared" si="142"/>
        <v>53010000</v>
      </c>
      <c r="BB432" s="647"/>
      <c r="BC432" s="648"/>
      <c r="BD432" s="649"/>
      <c r="BE432" s="647"/>
      <c r="BF432" s="644"/>
      <c r="BG432" s="646">
        <f t="shared" si="143"/>
        <v>53010000</v>
      </c>
      <c r="BH432" s="650"/>
      <c r="BI432" s="647"/>
      <c r="BJ432" s="644"/>
      <c r="BK432" s="646">
        <f t="shared" si="144"/>
        <v>0</v>
      </c>
      <c r="BL432" s="651"/>
      <c r="BM432" s="652">
        <f t="shared" si="145"/>
        <v>1</v>
      </c>
      <c r="BN432" s="628"/>
      <c r="BO432" s="670"/>
      <c r="BP432" s="644"/>
      <c r="BQ432" s="644"/>
      <c r="BR432" s="644"/>
      <c r="BS432" s="644"/>
      <c r="BT432" s="644"/>
      <c r="BU432" s="644"/>
      <c r="BV432" s="644"/>
      <c r="BW432" s="644"/>
      <c r="BX432" s="644"/>
      <c r="BY432" s="644"/>
      <c r="BZ432" s="644"/>
      <c r="CA432" s="644"/>
      <c r="CB432" s="646">
        <f t="shared" si="146"/>
        <v>0</v>
      </c>
      <c r="CC432" s="646">
        <f t="shared" si="147"/>
        <v>0</v>
      </c>
      <c r="CD432" s="614"/>
    </row>
    <row r="433" spans="1:85" s="561" customFormat="1" ht="61.5" customHeight="1">
      <c r="A433" s="625" t="str">
        <f t="shared" si="129"/>
        <v xml:space="preserve">1114-140-FONT1114-01-01-0525-Bienes de Interés Cultural de tipo inmueble intervenidos </v>
      </c>
      <c r="B433" s="626" t="str">
        <f t="shared" si="130"/>
        <v>1114-140-FONT1114-01-01-0525</v>
      </c>
      <c r="C433" s="626" t="str">
        <f t="shared" si="131"/>
        <v xml:space="preserve">1114-140-FONT1114-Bienes de Interés Cultural de tipo inmueble intervenidos </v>
      </c>
      <c r="D433" s="626" t="str">
        <f t="shared" si="132"/>
        <v>1114-140-12-Otros Distrito-01-01-0525</v>
      </c>
      <c r="E433" s="626" t="str">
        <f t="shared" si="133"/>
        <v>Bienes de Interés Cultural de tipo inmueble intervenidos -12-Otros Distrito-0525-Recuperación y aprovechamiento de bienes de interés cultural</v>
      </c>
      <c r="F433" s="627">
        <v>377</v>
      </c>
      <c r="G433" s="628">
        <f t="shared" si="134"/>
        <v>377</v>
      </c>
      <c r="H433" s="629" t="b">
        <f t="shared" si="135"/>
        <v>0</v>
      </c>
      <c r="I433" s="630" t="s">
        <v>594</v>
      </c>
      <c r="J433" s="627" t="s">
        <v>180</v>
      </c>
      <c r="K433" s="631" t="str">
        <f>+IFERROR(VLOOKUP(J433,Listas!$A$108:$B$114,2,FALSE),"Alerta: Seleccione la celda en la comumna B con el nombre del proyecto")</f>
        <v>3-3-1-15-02-17-1114-140</v>
      </c>
      <c r="L433" s="632" t="s">
        <v>962</v>
      </c>
      <c r="M433" s="633" t="s">
        <v>961</v>
      </c>
      <c r="N433" s="634" t="str">
        <f t="shared" si="136"/>
        <v>(Cód. 377) Prestar servicios profesionales al Instituto Distrital de Patrimonio Cultural apoyando la estructuración técnica de los procesos precontractuales para las acciones de gestión e intervención del patrimonio cultural del Distrito Capital.</v>
      </c>
      <c r="O433" s="635">
        <v>43487</v>
      </c>
      <c r="P433" s="636">
        <f>IFERROR(VLOOKUP(W433,'Estimación CRP'!$D$21:$E$30,2,FALSE),0)</f>
        <v>10</v>
      </c>
      <c r="Q433" s="637">
        <f>IF(O433="No aplica","No aplica",WORKDAY.INTL(O433,P433,1,'Estimación CRP'!A619:A635))</f>
        <v>43501</v>
      </c>
      <c r="R433" s="636">
        <f t="shared" si="137"/>
        <v>2</v>
      </c>
      <c r="S433" s="636">
        <f t="shared" si="138"/>
        <v>1</v>
      </c>
      <c r="T433" s="636">
        <f t="shared" si="139"/>
        <v>1</v>
      </c>
      <c r="U433" s="712">
        <v>9</v>
      </c>
      <c r="V433" s="638">
        <v>1</v>
      </c>
      <c r="W433" s="639" t="s">
        <v>274</v>
      </c>
      <c r="X433" s="640" t="str">
        <f>IFERROR(VLOOKUP(W433,Listas!$A$60:$B$73,2,FALSE),"Alerta: Seleccione primero Modalidad de selección")</f>
        <v>CCE-16</v>
      </c>
      <c r="Y433" s="641">
        <v>0</v>
      </c>
      <c r="Z433" s="641" t="s">
        <v>346</v>
      </c>
      <c r="AA433" s="641" t="s">
        <v>1343</v>
      </c>
      <c r="AB433" s="642">
        <f t="shared" si="140"/>
        <v>53010000</v>
      </c>
      <c r="AC433" s="642">
        <f t="shared" si="141"/>
        <v>53010000</v>
      </c>
      <c r="AD433" s="641">
        <v>0</v>
      </c>
      <c r="AE433" s="643">
        <v>0</v>
      </c>
      <c r="AF433" s="639" t="s">
        <v>276</v>
      </c>
      <c r="AG433" s="639" t="s">
        <v>277</v>
      </c>
      <c r="AH433" s="639" t="s">
        <v>573</v>
      </c>
      <c r="AI433" s="626" t="str">
        <f>IFERROR(VLOOKUP(AH433,Listas!$A$77:$C$83,2,FALSE),"Alerta: Seleccione primero el responsable")</f>
        <v>3550800</v>
      </c>
      <c r="AJ433" s="640" t="str">
        <f>IFERROR(VLOOKUP(AH433,Listas!$A$77:$C$83,3,FALSE),"Alerta: Seleccione primero el responsable")</f>
        <v>carolina.fernandez@idpc.gov.co</v>
      </c>
      <c r="AK433" s="640" t="str">
        <f>IF(J433="Funcionamiento Gastos Generales","No aplica",IF(J433="Funcionamiento Servicios Personales indirectos","No aplica",IFERROR(VLOOKUP(J433,Listas!$A$127:$E$139,3,FALSE),"Alerta: Seleccione la celda en la comumna B con el nombre del proyecto")))</f>
        <v>ME20181114</v>
      </c>
      <c r="AL433" s="640" t="str">
        <f>IF(J433="Funcionamiento Gastos Generales","No aplica",IF(J433="Funcionamiento Servicios Personales","No aplica",IFERROR(VLOOKUP(J433,Listas!$A$220:$D$224,2,FALSE),"Alerta: Seleccione la celda en la comumna B con el nombre del proyecto")))</f>
        <v>COMP1114</v>
      </c>
      <c r="AM433" s="640" t="str">
        <f>IF(J433="Funcionamiento Gastos Generales","No aplica",IF(J433="Funcionamiento Servicios Personales","No aplica",IFERROR(VLOOKUP(J433,Listas!$A$220:$D$224,3,FALSE),"Alerta: Seleccione la celda en la comumna B con el nombre del proyecto")))</f>
        <v>CONC1114</v>
      </c>
      <c r="AN433" s="633" t="s">
        <v>1054</v>
      </c>
      <c r="AO433" s="633" t="s">
        <v>62</v>
      </c>
      <c r="AP433" s="634" t="str">
        <f>IFERROR(VLOOKUP(J433,Listas!$A$182:$E$215,5,FALSE),"Alerta: Seleccione la celda en la comumna B con el nombre del proyecto")</f>
        <v>4. Obras de Intervención en Bienes muebles - inmuebles y sectores que conforman el patrimonio cultural del D.C.</v>
      </c>
      <c r="AQ433" s="634" t="str">
        <f>IF(J433="Funcionamiento Gastos Generales","No aplica",IF(J433="Funcionamiento Servicios Personales","No aplica",IFERROR(VLOOKUP(J433,Listas!$A$220:$D$224,4,FALSE),"Alerta: Seleccione la celda en la comumna B con el nombre del proyecto")))</f>
        <v>FONT1114</v>
      </c>
      <c r="AR433" s="633" t="s">
        <v>198</v>
      </c>
      <c r="AS433" s="634" t="str">
        <f>IFERROR(VLOOKUP(AU433,Listas!$E$85:$L$105,7,FALSE),"Alerta: Seleccione la celda en la comumna AI con el concepto de gasto")</f>
        <v>01-INFRAESTRUCTURA</v>
      </c>
      <c r="AT433" s="634" t="str">
        <f>IFERROR(VLOOKUP(AU433,Listas!$E$85:$L$105,8,FALSE),"Alerta: Seleccione la celda en la comumna AI con el concepto de gasto")</f>
        <v>01-CONSTRUCCION, ADECUACION Y AMPLIACION DE INFRAESTRUCTURA PROPIA DEL SECTOR</v>
      </c>
      <c r="AU433" s="633" t="s">
        <v>422</v>
      </c>
      <c r="AV433" s="634">
        <f>IFERROR(VLOOKUP(AU433,Listas!$E$85:$F$105,2,FALSE),"Alerta: Seleccione el Concepto de Gasto primero")</f>
        <v>0</v>
      </c>
      <c r="AW433" s="644">
        <v>53010000</v>
      </c>
      <c r="AX433" s="645"/>
      <c r="AY433" s="645"/>
      <c r="AZ433" s="645"/>
      <c r="BA433" s="646">
        <f t="shared" si="142"/>
        <v>53010000</v>
      </c>
      <c r="BB433" s="647"/>
      <c r="BC433" s="648"/>
      <c r="BD433" s="649"/>
      <c r="BE433" s="647"/>
      <c r="BF433" s="644"/>
      <c r="BG433" s="646">
        <f t="shared" si="143"/>
        <v>53010000</v>
      </c>
      <c r="BH433" s="650"/>
      <c r="BI433" s="647"/>
      <c r="BJ433" s="644"/>
      <c r="BK433" s="646">
        <f t="shared" si="144"/>
        <v>0</v>
      </c>
      <c r="BL433" s="651"/>
      <c r="BM433" s="652">
        <f t="shared" si="145"/>
        <v>1</v>
      </c>
      <c r="BN433" s="628"/>
      <c r="BO433" s="670"/>
      <c r="BP433" s="644"/>
      <c r="BQ433" s="644"/>
      <c r="BR433" s="644"/>
      <c r="BS433" s="644"/>
      <c r="BT433" s="644"/>
      <c r="BU433" s="644"/>
      <c r="BV433" s="644"/>
      <c r="BW433" s="644"/>
      <c r="BX433" s="644"/>
      <c r="BY433" s="644"/>
      <c r="BZ433" s="644"/>
      <c r="CA433" s="644"/>
      <c r="CB433" s="646">
        <f t="shared" si="146"/>
        <v>0</v>
      </c>
      <c r="CC433" s="646">
        <f t="shared" si="147"/>
        <v>0</v>
      </c>
      <c r="CD433" s="614"/>
    </row>
    <row r="434" spans="1:85" s="561" customFormat="1" ht="61.5" customHeight="1">
      <c r="A434" s="625" t="str">
        <f t="shared" si="129"/>
        <v xml:space="preserve">1114-140-FONT1114-01-01-0525-Bienes de Interés Cultural de tipo inmueble intervenidos </v>
      </c>
      <c r="B434" s="626" t="str">
        <f t="shared" si="130"/>
        <v>1114-140-FONT1114-01-01-0525</v>
      </c>
      <c r="C434" s="626" t="str">
        <f t="shared" si="131"/>
        <v xml:space="preserve">1114-140-FONT1114-Bienes de Interés Cultural de tipo inmueble intervenidos </v>
      </c>
      <c r="D434" s="626" t="str">
        <f t="shared" si="132"/>
        <v>1114-140-12-Otros Distrito-01-01-0525</v>
      </c>
      <c r="E434" s="626" t="str">
        <f t="shared" si="133"/>
        <v>Bienes de Interés Cultural de tipo inmueble intervenidos -12-Otros Distrito-0525-Recuperación y aprovechamiento de bienes de interés cultural</v>
      </c>
      <c r="F434" s="627">
        <v>378</v>
      </c>
      <c r="G434" s="628">
        <f t="shared" si="134"/>
        <v>378</v>
      </c>
      <c r="H434" s="629" t="b">
        <f t="shared" si="135"/>
        <v>0</v>
      </c>
      <c r="I434" s="630" t="s">
        <v>594</v>
      </c>
      <c r="J434" s="627" t="s">
        <v>180</v>
      </c>
      <c r="K434" s="631" t="str">
        <f>+IFERROR(VLOOKUP(J434,Listas!$A$108:$B$114,2,FALSE),"Alerta: Seleccione la celda en la comumna B con el nombre del proyecto")</f>
        <v>3-3-1-15-02-17-1114-140</v>
      </c>
      <c r="L434" s="632" t="s">
        <v>963</v>
      </c>
      <c r="M434" s="633" t="s">
        <v>964</v>
      </c>
      <c r="N434" s="634" t="str">
        <f t="shared" si="136"/>
        <v>(Cód. 378) Prestar servicios profesionales al Instituto Distrital de Patrimonio Cultural en la planeación, seguimiento y control de la ejecución administrativa y de metas del proyecto de inversión de la Subdirección de Intervención.</v>
      </c>
      <c r="O434" s="635">
        <v>43492</v>
      </c>
      <c r="P434" s="636">
        <f>IFERROR(VLOOKUP(W434,'Estimación CRP'!$D$21:$E$30,2,FALSE),0)</f>
        <v>10</v>
      </c>
      <c r="Q434" s="637">
        <f>IF(O434="No aplica","No aplica",WORKDAY.INTL(O434,P434,1,'Estimación CRP'!A620:A636))</f>
        <v>43504</v>
      </c>
      <c r="R434" s="636">
        <f t="shared" si="137"/>
        <v>2</v>
      </c>
      <c r="S434" s="636">
        <f t="shared" si="138"/>
        <v>1</v>
      </c>
      <c r="T434" s="636">
        <f t="shared" si="139"/>
        <v>1</v>
      </c>
      <c r="U434" s="712">
        <v>10</v>
      </c>
      <c r="V434" s="638">
        <v>1</v>
      </c>
      <c r="W434" s="639" t="s">
        <v>274</v>
      </c>
      <c r="X434" s="640" t="str">
        <f>IFERROR(VLOOKUP(W434,Listas!$A$60:$B$73,2,FALSE),"Alerta: Seleccione primero Modalidad de selección")</f>
        <v>CCE-16</v>
      </c>
      <c r="Y434" s="641">
        <v>0</v>
      </c>
      <c r="Z434" s="641" t="s">
        <v>346</v>
      </c>
      <c r="AA434" s="641" t="s">
        <v>1343</v>
      </c>
      <c r="AB434" s="642">
        <f t="shared" si="140"/>
        <v>58700000</v>
      </c>
      <c r="AC434" s="642">
        <f t="shared" si="141"/>
        <v>58700000</v>
      </c>
      <c r="AD434" s="641">
        <v>0</v>
      </c>
      <c r="AE434" s="643">
        <v>0</v>
      </c>
      <c r="AF434" s="639" t="s">
        <v>276</v>
      </c>
      <c r="AG434" s="639" t="s">
        <v>277</v>
      </c>
      <c r="AH434" s="639" t="s">
        <v>573</v>
      </c>
      <c r="AI434" s="626" t="str">
        <f>IFERROR(VLOOKUP(AH434,Listas!$A$77:$C$83,2,FALSE),"Alerta: Seleccione primero el responsable")</f>
        <v>3550800</v>
      </c>
      <c r="AJ434" s="640" t="str">
        <f>IFERROR(VLOOKUP(AH434,Listas!$A$77:$C$83,3,FALSE),"Alerta: Seleccione primero el responsable")</f>
        <v>carolina.fernandez@idpc.gov.co</v>
      </c>
      <c r="AK434" s="640" t="str">
        <f>IF(J434="Funcionamiento Gastos Generales","No aplica",IF(J434="Funcionamiento Servicios Personales indirectos","No aplica",IFERROR(VLOOKUP(J434,Listas!$A$127:$E$139,3,FALSE),"Alerta: Seleccione la celda en la comumna B con el nombre del proyecto")))</f>
        <v>ME20181114</v>
      </c>
      <c r="AL434" s="640" t="str">
        <f>IF(J434="Funcionamiento Gastos Generales","No aplica",IF(J434="Funcionamiento Servicios Personales","No aplica",IFERROR(VLOOKUP(J434,Listas!$A$220:$D$224,2,FALSE),"Alerta: Seleccione la celda en la comumna B con el nombre del proyecto")))</f>
        <v>COMP1114</v>
      </c>
      <c r="AM434" s="640" t="str">
        <f>IF(J434="Funcionamiento Gastos Generales","No aplica",IF(J434="Funcionamiento Servicios Personales","No aplica",IFERROR(VLOOKUP(J434,Listas!$A$220:$D$224,3,FALSE),"Alerta: Seleccione la celda en la comumna B con el nombre del proyecto")))</f>
        <v>CONC1114</v>
      </c>
      <c r="AN434" s="633" t="s">
        <v>1054</v>
      </c>
      <c r="AO434" s="633" t="s">
        <v>62</v>
      </c>
      <c r="AP434" s="634" t="str">
        <f>IFERROR(VLOOKUP(J434,Listas!$A$182:$E$215,5,FALSE),"Alerta: Seleccione la celda en la comumna B con el nombre del proyecto")</f>
        <v>4. Obras de Intervención en Bienes muebles - inmuebles y sectores que conforman el patrimonio cultural del D.C.</v>
      </c>
      <c r="AQ434" s="634" t="str">
        <f>IF(J434="Funcionamiento Gastos Generales","No aplica",IF(J434="Funcionamiento Servicios Personales","No aplica",IFERROR(VLOOKUP(J434,Listas!$A$220:$D$224,4,FALSE),"Alerta: Seleccione la celda en la comumna B con el nombre del proyecto")))</f>
        <v>FONT1114</v>
      </c>
      <c r="AR434" s="633" t="s">
        <v>198</v>
      </c>
      <c r="AS434" s="634" t="str">
        <f>IFERROR(VLOOKUP(AU434,Listas!$E$85:$L$105,7,FALSE),"Alerta: Seleccione la celda en la comumna AI con el concepto de gasto")</f>
        <v>01-INFRAESTRUCTURA</v>
      </c>
      <c r="AT434" s="634" t="str">
        <f>IFERROR(VLOOKUP(AU434,Listas!$E$85:$L$105,8,FALSE),"Alerta: Seleccione la celda en la comumna AI con el concepto de gasto")</f>
        <v>01-CONSTRUCCION, ADECUACION Y AMPLIACION DE INFRAESTRUCTURA PROPIA DEL SECTOR</v>
      </c>
      <c r="AU434" s="633" t="s">
        <v>422</v>
      </c>
      <c r="AV434" s="634">
        <f>IFERROR(VLOOKUP(AU434,Listas!$E$85:$F$105,2,FALSE),"Alerta: Seleccione el Concepto de Gasto primero")</f>
        <v>0</v>
      </c>
      <c r="AW434" s="644">
        <v>58700000</v>
      </c>
      <c r="AX434" s="645"/>
      <c r="AY434" s="645"/>
      <c r="AZ434" s="645"/>
      <c r="BA434" s="646">
        <f t="shared" si="142"/>
        <v>58700000</v>
      </c>
      <c r="BB434" s="647"/>
      <c r="BC434" s="648"/>
      <c r="BD434" s="649"/>
      <c r="BE434" s="647"/>
      <c r="BF434" s="644"/>
      <c r="BG434" s="646">
        <f t="shared" si="143"/>
        <v>58700000</v>
      </c>
      <c r="BH434" s="650"/>
      <c r="BI434" s="647"/>
      <c r="BJ434" s="644"/>
      <c r="BK434" s="646">
        <f t="shared" si="144"/>
        <v>0</v>
      </c>
      <c r="BL434" s="651"/>
      <c r="BM434" s="652">
        <f t="shared" si="145"/>
        <v>1</v>
      </c>
      <c r="BN434" s="628"/>
      <c r="BO434" s="670"/>
      <c r="BP434" s="644"/>
      <c r="BQ434" s="644"/>
      <c r="BR434" s="644"/>
      <c r="BS434" s="644"/>
      <c r="BT434" s="644"/>
      <c r="BU434" s="644"/>
      <c r="BV434" s="644"/>
      <c r="BW434" s="644"/>
      <c r="BX434" s="644"/>
      <c r="BY434" s="644"/>
      <c r="BZ434" s="644"/>
      <c r="CA434" s="644"/>
      <c r="CB434" s="646">
        <f t="shared" si="146"/>
        <v>0</v>
      </c>
      <c r="CC434" s="646">
        <f t="shared" si="147"/>
        <v>0</v>
      </c>
      <c r="CD434" s="614"/>
    </row>
    <row r="435" spans="1:85" s="561" customFormat="1" ht="61.5" customHeight="1">
      <c r="A435" s="625" t="str">
        <f t="shared" si="129"/>
        <v xml:space="preserve">1114-140-FONT1114-01-01-0525-Bienes de Interés Cultural de tipo inmueble intervenidos </v>
      </c>
      <c r="B435" s="626" t="str">
        <f t="shared" si="130"/>
        <v>1114-140-FONT1114-01-01-0525</v>
      </c>
      <c r="C435" s="626" t="str">
        <f t="shared" si="131"/>
        <v xml:space="preserve">1114-140-FONT1114-Bienes de Interés Cultural de tipo inmueble intervenidos </v>
      </c>
      <c r="D435" s="626" t="str">
        <f t="shared" si="132"/>
        <v>1114-140-12-Otros Distrito-01-01-0525</v>
      </c>
      <c r="E435" s="626" t="str">
        <f t="shared" si="133"/>
        <v>Bienes de Interés Cultural de tipo inmueble intervenidos -12-Otros Distrito-0525-Recuperación y aprovechamiento de bienes de interés cultural</v>
      </c>
      <c r="F435" s="627">
        <v>379</v>
      </c>
      <c r="G435" s="628">
        <f t="shared" si="134"/>
        <v>379</v>
      </c>
      <c r="H435" s="629" t="b">
        <f t="shared" si="135"/>
        <v>0</v>
      </c>
      <c r="I435" s="630" t="s">
        <v>594</v>
      </c>
      <c r="J435" s="627" t="s">
        <v>180</v>
      </c>
      <c r="K435" s="631" t="str">
        <f>+IFERROR(VLOOKUP(J435,Listas!$A$108:$B$114,2,FALSE),"Alerta: Seleccione la celda en la comumna B con el nombre del proyecto")</f>
        <v>3-3-1-15-02-17-1114-140</v>
      </c>
      <c r="L435" s="632" t="s">
        <v>954</v>
      </c>
      <c r="M435" s="633" t="s">
        <v>965</v>
      </c>
      <c r="N435" s="634" t="str">
        <f t="shared" si="136"/>
        <v>(Cód. 379) Prestar servicios profesionales al Instituto Distrital de Patrimonio Cultural en las actividades administrativas y de apoyo a la ejecución de los proyectos de inversión de la Subdirección de Intervención.</v>
      </c>
      <c r="O435" s="635">
        <v>43493</v>
      </c>
      <c r="P435" s="636">
        <f>IFERROR(VLOOKUP(W435,'Estimación CRP'!$D$21:$E$30,2,FALSE),0)</f>
        <v>10</v>
      </c>
      <c r="Q435" s="637">
        <f>IF(O435="No aplica","No aplica",WORKDAY.INTL(O435,P435,1,'Estimación CRP'!A621:A637))</f>
        <v>43507</v>
      </c>
      <c r="R435" s="636">
        <f t="shared" si="137"/>
        <v>2</v>
      </c>
      <c r="S435" s="636">
        <f t="shared" si="138"/>
        <v>1</v>
      </c>
      <c r="T435" s="636">
        <f t="shared" si="139"/>
        <v>1</v>
      </c>
      <c r="U435" s="712">
        <v>11</v>
      </c>
      <c r="V435" s="638">
        <v>1</v>
      </c>
      <c r="W435" s="639" t="s">
        <v>274</v>
      </c>
      <c r="X435" s="640" t="str">
        <f>IFERROR(VLOOKUP(W435,Listas!$A$60:$B$73,2,FALSE),"Alerta: Seleccione primero Modalidad de selección")</f>
        <v>CCE-16</v>
      </c>
      <c r="Y435" s="641">
        <v>0</v>
      </c>
      <c r="Z435" s="641" t="s">
        <v>346</v>
      </c>
      <c r="AA435" s="641" t="s">
        <v>1343</v>
      </c>
      <c r="AB435" s="642">
        <f t="shared" si="140"/>
        <v>54010000</v>
      </c>
      <c r="AC435" s="642">
        <f t="shared" si="141"/>
        <v>54010000</v>
      </c>
      <c r="AD435" s="641">
        <v>0</v>
      </c>
      <c r="AE435" s="643">
        <v>0</v>
      </c>
      <c r="AF435" s="639" t="s">
        <v>276</v>
      </c>
      <c r="AG435" s="639" t="s">
        <v>277</v>
      </c>
      <c r="AH435" s="639" t="s">
        <v>573</v>
      </c>
      <c r="AI435" s="626" t="str">
        <f>IFERROR(VLOOKUP(AH435,Listas!$A$77:$C$83,2,FALSE),"Alerta: Seleccione primero el responsable")</f>
        <v>3550800</v>
      </c>
      <c r="AJ435" s="640" t="str">
        <f>IFERROR(VLOOKUP(AH435,Listas!$A$77:$C$83,3,FALSE),"Alerta: Seleccione primero el responsable")</f>
        <v>carolina.fernandez@idpc.gov.co</v>
      </c>
      <c r="AK435" s="640" t="str">
        <f>IF(J435="Funcionamiento Gastos Generales","No aplica",IF(J435="Funcionamiento Servicios Personales indirectos","No aplica",IFERROR(VLOOKUP(J435,Listas!$A$127:$E$139,3,FALSE),"Alerta: Seleccione la celda en la comumna B con el nombre del proyecto")))</f>
        <v>ME20181114</v>
      </c>
      <c r="AL435" s="640" t="str">
        <f>IF(J435="Funcionamiento Gastos Generales","No aplica",IF(J435="Funcionamiento Servicios Personales","No aplica",IFERROR(VLOOKUP(J435,Listas!$A$220:$D$224,2,FALSE),"Alerta: Seleccione la celda en la comumna B con el nombre del proyecto")))</f>
        <v>COMP1114</v>
      </c>
      <c r="AM435" s="640" t="str">
        <f>IF(J435="Funcionamiento Gastos Generales","No aplica",IF(J435="Funcionamiento Servicios Personales","No aplica",IFERROR(VLOOKUP(J435,Listas!$A$220:$D$224,3,FALSE),"Alerta: Seleccione la celda en la comumna B con el nombre del proyecto")))</f>
        <v>CONC1114</v>
      </c>
      <c r="AN435" s="633" t="s">
        <v>1054</v>
      </c>
      <c r="AO435" s="633" t="s">
        <v>62</v>
      </c>
      <c r="AP435" s="634" t="str">
        <f>IFERROR(VLOOKUP(J435,Listas!$A$182:$E$215,5,FALSE),"Alerta: Seleccione la celda en la comumna B con el nombre del proyecto")</f>
        <v>4. Obras de Intervención en Bienes muebles - inmuebles y sectores que conforman el patrimonio cultural del D.C.</v>
      </c>
      <c r="AQ435" s="634" t="str">
        <f>IF(J435="Funcionamiento Gastos Generales","No aplica",IF(J435="Funcionamiento Servicios Personales","No aplica",IFERROR(VLOOKUP(J435,Listas!$A$220:$D$224,4,FALSE),"Alerta: Seleccione la celda en la comumna B con el nombre del proyecto")))</f>
        <v>FONT1114</v>
      </c>
      <c r="AR435" s="633" t="s">
        <v>198</v>
      </c>
      <c r="AS435" s="634" t="str">
        <f>IFERROR(VLOOKUP(AU435,Listas!$E$85:$L$105,7,FALSE),"Alerta: Seleccione la celda en la comumna AI con el concepto de gasto")</f>
        <v>01-INFRAESTRUCTURA</v>
      </c>
      <c r="AT435" s="634" t="str">
        <f>IFERROR(VLOOKUP(AU435,Listas!$E$85:$L$105,8,FALSE),"Alerta: Seleccione la celda en la comumna AI con el concepto de gasto")</f>
        <v>01-CONSTRUCCION, ADECUACION Y AMPLIACION DE INFRAESTRUCTURA PROPIA DEL SECTOR</v>
      </c>
      <c r="AU435" s="633" t="s">
        <v>422</v>
      </c>
      <c r="AV435" s="634">
        <f>IFERROR(VLOOKUP(AU435,Listas!$E$85:$F$105,2,FALSE),"Alerta: Seleccione el Concepto de Gasto primero")</f>
        <v>0</v>
      </c>
      <c r="AW435" s="644">
        <v>54010000</v>
      </c>
      <c r="AX435" s="645"/>
      <c r="AY435" s="645"/>
      <c r="AZ435" s="645"/>
      <c r="BA435" s="646">
        <f t="shared" si="142"/>
        <v>54010000</v>
      </c>
      <c r="BB435" s="647"/>
      <c r="BC435" s="648"/>
      <c r="BD435" s="649"/>
      <c r="BE435" s="647"/>
      <c r="BF435" s="644"/>
      <c r="BG435" s="646">
        <f t="shared" si="143"/>
        <v>54010000</v>
      </c>
      <c r="BH435" s="650"/>
      <c r="BI435" s="647"/>
      <c r="BJ435" s="644"/>
      <c r="BK435" s="646">
        <f t="shared" si="144"/>
        <v>0</v>
      </c>
      <c r="BL435" s="651"/>
      <c r="BM435" s="652">
        <f t="shared" si="145"/>
        <v>1</v>
      </c>
      <c r="BN435" s="628"/>
      <c r="BO435" s="670"/>
      <c r="BP435" s="644"/>
      <c r="BQ435" s="644"/>
      <c r="BR435" s="644"/>
      <c r="BS435" s="644"/>
      <c r="BT435" s="644"/>
      <c r="BU435" s="644"/>
      <c r="BV435" s="644"/>
      <c r="BW435" s="644"/>
      <c r="BX435" s="644"/>
      <c r="BY435" s="644"/>
      <c r="BZ435" s="644"/>
      <c r="CA435" s="644"/>
      <c r="CB435" s="646">
        <f t="shared" si="146"/>
        <v>0</v>
      </c>
      <c r="CC435" s="646">
        <f t="shared" si="147"/>
        <v>0</v>
      </c>
      <c r="CD435" s="614"/>
    </row>
    <row r="436" spans="1:85" s="653" customFormat="1" ht="61.5" customHeight="1">
      <c r="A436" s="625" t="str">
        <f t="shared" si="129"/>
        <v xml:space="preserve">1114-140-FONT1114-01-01-0525-Bienes de Interés Cultural de tipo inmueble intervenidos </v>
      </c>
      <c r="B436" s="626" t="str">
        <f t="shared" si="130"/>
        <v>1114-140-FONT1114-01-01-0525</v>
      </c>
      <c r="C436" s="626" t="str">
        <f t="shared" si="131"/>
        <v xml:space="preserve">1114-140-FONT1114-Bienes de Interés Cultural de tipo inmueble intervenidos </v>
      </c>
      <c r="D436" s="626" t="str">
        <f t="shared" si="132"/>
        <v>1114-140-12-Otros Distrito-01-01-0525</v>
      </c>
      <c r="E436" s="626" t="str">
        <f t="shared" si="133"/>
        <v>Bienes de Interés Cultural de tipo inmueble intervenidos -12-Otros Distrito-0525-Recuperación y aprovechamiento de bienes de interés cultural</v>
      </c>
      <c r="F436" s="627">
        <v>380</v>
      </c>
      <c r="G436" s="628">
        <f t="shared" si="134"/>
        <v>380</v>
      </c>
      <c r="H436" s="629" t="b">
        <f t="shared" si="135"/>
        <v>0</v>
      </c>
      <c r="I436" s="630" t="s">
        <v>594</v>
      </c>
      <c r="J436" s="627" t="s">
        <v>180</v>
      </c>
      <c r="K436" s="631" t="str">
        <f>+IFERROR(VLOOKUP(J436,Listas!$A$108:$B$114,2,FALSE),"Alerta: Seleccione la celda en la comumna B con el nombre del proyecto")</f>
        <v>3-3-1-15-02-17-1114-140</v>
      </c>
      <c r="L436" s="632" t="s">
        <v>966</v>
      </c>
      <c r="M436" s="633" t="s">
        <v>967</v>
      </c>
      <c r="N436" s="634" t="str">
        <f t="shared" si="136"/>
        <v>(Cód. 380) Prestar servicios profesionales al Instituto Distrital de Patrimonio Cultural para apoyar el apoyo jurídico en las etapas de estructuración y ejecución de los contratos que requiera la subdirección de intervención de conformidad con las normas vigentes que rigen la contratación pública. </v>
      </c>
      <c r="O436" s="635">
        <v>43489</v>
      </c>
      <c r="P436" s="636">
        <f>IFERROR(VLOOKUP(W436,'Estimación CRP'!$D$21:$E$30,2,FALSE),0)</f>
        <v>10</v>
      </c>
      <c r="Q436" s="637">
        <f>IF(O436="No aplica","No aplica",WORKDAY.INTL(O436,P436,1,'Estimación CRP'!A622:A638))</f>
        <v>43503</v>
      </c>
      <c r="R436" s="636">
        <f t="shared" si="137"/>
        <v>2</v>
      </c>
      <c r="S436" s="636">
        <f t="shared" si="138"/>
        <v>1</v>
      </c>
      <c r="T436" s="636">
        <f t="shared" si="139"/>
        <v>1</v>
      </c>
      <c r="U436" s="712">
        <v>10</v>
      </c>
      <c r="V436" s="638">
        <v>1</v>
      </c>
      <c r="W436" s="639" t="s">
        <v>274</v>
      </c>
      <c r="X436" s="640" t="str">
        <f>IFERROR(VLOOKUP(W436,Listas!$A$60:$B$73,2,FALSE),"Alerta: Seleccione primero Modalidad de selección")</f>
        <v>CCE-16</v>
      </c>
      <c r="Y436" s="641">
        <v>0</v>
      </c>
      <c r="Z436" s="641" t="s">
        <v>346</v>
      </c>
      <c r="AA436" s="641" t="s">
        <v>1343</v>
      </c>
      <c r="AB436" s="642">
        <f t="shared" si="140"/>
        <v>55000000</v>
      </c>
      <c r="AC436" s="642">
        <f t="shared" si="141"/>
        <v>55000000</v>
      </c>
      <c r="AD436" s="641">
        <v>0</v>
      </c>
      <c r="AE436" s="643">
        <v>0</v>
      </c>
      <c r="AF436" s="639" t="s">
        <v>276</v>
      </c>
      <c r="AG436" s="639" t="s">
        <v>277</v>
      </c>
      <c r="AH436" s="639" t="s">
        <v>573</v>
      </c>
      <c r="AI436" s="626" t="str">
        <f>IFERROR(VLOOKUP(AH436,Listas!$A$77:$C$83,2,FALSE),"Alerta: Seleccione primero el responsable")</f>
        <v>3550800</v>
      </c>
      <c r="AJ436" s="640" t="str">
        <f>IFERROR(VLOOKUP(AH436,Listas!$A$77:$C$83,3,FALSE),"Alerta: Seleccione primero el responsable")</f>
        <v>carolina.fernandez@idpc.gov.co</v>
      </c>
      <c r="AK436" s="640" t="str">
        <f>IF(J436="Funcionamiento Gastos Generales","No aplica",IF(J436="Funcionamiento Servicios Personales indirectos","No aplica",IFERROR(VLOOKUP(J436,Listas!$A$127:$E$139,3,FALSE),"Alerta: Seleccione la celda en la comumna B con el nombre del proyecto")))</f>
        <v>ME20181114</v>
      </c>
      <c r="AL436" s="640" t="str">
        <f>IF(J436="Funcionamiento Gastos Generales","No aplica",IF(J436="Funcionamiento Servicios Personales","No aplica",IFERROR(VLOOKUP(J436,Listas!$A$220:$D$224,2,FALSE),"Alerta: Seleccione la celda en la comumna B con el nombre del proyecto")))</f>
        <v>COMP1114</v>
      </c>
      <c r="AM436" s="640" t="str">
        <f>IF(J436="Funcionamiento Gastos Generales","No aplica",IF(J436="Funcionamiento Servicios Personales","No aplica",IFERROR(VLOOKUP(J436,Listas!$A$220:$D$224,3,FALSE),"Alerta: Seleccione la celda en la comumna B con el nombre del proyecto")))</f>
        <v>CONC1114</v>
      </c>
      <c r="AN436" s="633" t="s">
        <v>1054</v>
      </c>
      <c r="AO436" s="633" t="s">
        <v>62</v>
      </c>
      <c r="AP436" s="634" t="str">
        <f>IFERROR(VLOOKUP(J436,Listas!$A$182:$E$215,5,FALSE),"Alerta: Seleccione la celda en la comumna B con el nombre del proyecto")</f>
        <v>4. Obras de Intervención en Bienes muebles - inmuebles y sectores que conforman el patrimonio cultural del D.C.</v>
      </c>
      <c r="AQ436" s="634" t="str">
        <f>IF(J436="Funcionamiento Gastos Generales","No aplica",IF(J436="Funcionamiento Servicios Personales","No aplica",IFERROR(VLOOKUP(J436,Listas!$A$220:$D$224,4,FALSE),"Alerta: Seleccione la celda en la comumna B con el nombre del proyecto")))</f>
        <v>FONT1114</v>
      </c>
      <c r="AR436" s="633" t="s">
        <v>198</v>
      </c>
      <c r="AS436" s="634" t="str">
        <f>IFERROR(VLOOKUP(AU436,Listas!$E$85:$L$105,7,FALSE),"Alerta: Seleccione la celda en la comumna AI con el concepto de gasto")</f>
        <v>01-INFRAESTRUCTURA</v>
      </c>
      <c r="AT436" s="634" t="str">
        <f>IFERROR(VLOOKUP(AU436,Listas!$E$85:$L$105,8,FALSE),"Alerta: Seleccione la celda en la comumna AI con el concepto de gasto")</f>
        <v>01-CONSTRUCCION, ADECUACION Y AMPLIACION DE INFRAESTRUCTURA PROPIA DEL SECTOR</v>
      </c>
      <c r="AU436" s="633" t="s">
        <v>422</v>
      </c>
      <c r="AV436" s="634">
        <f>IFERROR(VLOOKUP(AU436,Listas!$E$85:$F$105,2,FALSE),"Alerta: Seleccione el Concepto de Gasto primero")</f>
        <v>0</v>
      </c>
      <c r="AW436" s="644">
        <v>55000000</v>
      </c>
      <c r="AX436" s="645"/>
      <c r="AY436" s="645"/>
      <c r="AZ436" s="645"/>
      <c r="BA436" s="646">
        <f t="shared" si="142"/>
        <v>55000000</v>
      </c>
      <c r="BB436" s="647"/>
      <c r="BC436" s="648"/>
      <c r="BD436" s="649"/>
      <c r="BE436" s="647"/>
      <c r="BF436" s="644"/>
      <c r="BG436" s="646">
        <f t="shared" si="143"/>
        <v>55000000</v>
      </c>
      <c r="BH436" s="650"/>
      <c r="BI436" s="647"/>
      <c r="BJ436" s="644"/>
      <c r="BK436" s="646">
        <f t="shared" si="144"/>
        <v>0</v>
      </c>
      <c r="BL436" s="651"/>
      <c r="BM436" s="652">
        <f t="shared" si="145"/>
        <v>1</v>
      </c>
      <c r="BN436" s="628"/>
      <c r="BO436" s="670"/>
      <c r="BP436" s="644"/>
      <c r="BQ436" s="644"/>
      <c r="BR436" s="644"/>
      <c r="BS436" s="644"/>
      <c r="BT436" s="644"/>
      <c r="BU436" s="644"/>
      <c r="BV436" s="644"/>
      <c r="BW436" s="644"/>
      <c r="BX436" s="644"/>
      <c r="BY436" s="644"/>
      <c r="BZ436" s="644"/>
      <c r="CA436" s="644"/>
      <c r="CB436" s="646">
        <f t="shared" si="146"/>
        <v>0</v>
      </c>
      <c r="CC436" s="646">
        <f t="shared" si="147"/>
        <v>0</v>
      </c>
      <c r="CD436" s="614"/>
    </row>
    <row r="437" spans="1:85" s="653" customFormat="1" ht="61.5" customHeight="1">
      <c r="A437" s="625" t="str">
        <f t="shared" si="129"/>
        <v xml:space="preserve">1114-140-FONT1114-01-01-0525-Bienes de Interés Cultural de tipo inmueble intervenidos </v>
      </c>
      <c r="B437" s="626" t="str">
        <f t="shared" si="130"/>
        <v>1114-140-FONT1114-01-01-0525</v>
      </c>
      <c r="C437" s="626" t="str">
        <f t="shared" si="131"/>
        <v xml:space="preserve">1114-140-FONT1114-Bienes de Interés Cultural de tipo inmueble intervenidos </v>
      </c>
      <c r="D437" s="626" t="str">
        <f t="shared" si="132"/>
        <v>1114-140-12-Otros Distrito-01-01-0525</v>
      </c>
      <c r="E437" s="626" t="str">
        <f t="shared" si="133"/>
        <v>Bienes de Interés Cultural de tipo inmueble intervenidos -12-Otros Distrito-0525-Recuperación y aprovechamiento de bienes de interés cultural</v>
      </c>
      <c r="F437" s="627">
        <v>381</v>
      </c>
      <c r="G437" s="628">
        <f t="shared" si="134"/>
        <v>381</v>
      </c>
      <c r="H437" s="629" t="b">
        <f t="shared" si="135"/>
        <v>0</v>
      </c>
      <c r="I437" s="630" t="s">
        <v>594</v>
      </c>
      <c r="J437" s="627" t="s">
        <v>180</v>
      </c>
      <c r="K437" s="631" t="str">
        <f>+IFERROR(VLOOKUP(J437,Listas!$A$108:$B$114,2,FALSE),"Alerta: Seleccione la celda en la comumna B con el nombre del proyecto")</f>
        <v>3-3-1-15-02-17-1114-140</v>
      </c>
      <c r="L437" s="632" t="s">
        <v>952</v>
      </c>
      <c r="M437" s="633" t="s">
        <v>968</v>
      </c>
      <c r="N437" s="634" t="str">
        <f t="shared" si="136"/>
        <v>(Cód. 381) Prestar servicios profesionales al Instituto Distrital de Patrimonio Cultural para apoyar la estructuración técnica y presupuestos de los procesos de selección que se desarrollan para la gestión e intervención del patrimonio cultural del Distrito Capital.</v>
      </c>
      <c r="O437" s="635">
        <v>43483</v>
      </c>
      <c r="P437" s="636">
        <f>IFERROR(VLOOKUP(W437,'Estimación CRP'!$D$21:$E$30,2,FALSE),0)</f>
        <v>10</v>
      </c>
      <c r="Q437" s="637">
        <f>IF(O437="No aplica","No aplica",WORKDAY.INTL(O437,P437,1,'Estimación CRP'!A623:A639))</f>
        <v>43497</v>
      </c>
      <c r="R437" s="636">
        <f t="shared" si="137"/>
        <v>2</v>
      </c>
      <c r="S437" s="636">
        <f t="shared" si="138"/>
        <v>1</v>
      </c>
      <c r="T437" s="636">
        <f t="shared" si="139"/>
        <v>1</v>
      </c>
      <c r="U437" s="712">
        <v>9</v>
      </c>
      <c r="V437" s="638">
        <v>1</v>
      </c>
      <c r="W437" s="639" t="s">
        <v>274</v>
      </c>
      <c r="X437" s="640" t="str">
        <f>IFERROR(VLOOKUP(W437,Listas!$A$60:$B$73,2,FALSE),"Alerta: Seleccione primero Modalidad de selección")</f>
        <v>CCE-16</v>
      </c>
      <c r="Y437" s="641">
        <v>0</v>
      </c>
      <c r="Z437" s="641" t="s">
        <v>346</v>
      </c>
      <c r="AA437" s="641" t="s">
        <v>1343</v>
      </c>
      <c r="AB437" s="642">
        <f t="shared" si="140"/>
        <v>59580000</v>
      </c>
      <c r="AC437" s="642">
        <f t="shared" si="141"/>
        <v>59580000</v>
      </c>
      <c r="AD437" s="641">
        <v>0</v>
      </c>
      <c r="AE437" s="643">
        <v>0</v>
      </c>
      <c r="AF437" s="639" t="s">
        <v>276</v>
      </c>
      <c r="AG437" s="639" t="s">
        <v>277</v>
      </c>
      <c r="AH437" s="639" t="s">
        <v>573</v>
      </c>
      <c r="AI437" s="626" t="str">
        <f>IFERROR(VLOOKUP(AH437,Listas!$A$77:$C$83,2,FALSE),"Alerta: Seleccione primero el responsable")</f>
        <v>3550800</v>
      </c>
      <c r="AJ437" s="640" t="str">
        <f>IFERROR(VLOOKUP(AH437,Listas!$A$77:$C$83,3,FALSE),"Alerta: Seleccione primero el responsable")</f>
        <v>carolina.fernandez@idpc.gov.co</v>
      </c>
      <c r="AK437" s="640" t="str">
        <f>IF(J437="Funcionamiento Gastos Generales","No aplica",IF(J437="Funcionamiento Servicios Personales indirectos","No aplica",IFERROR(VLOOKUP(J437,Listas!$A$127:$E$139,3,FALSE),"Alerta: Seleccione la celda en la comumna B con el nombre del proyecto")))</f>
        <v>ME20181114</v>
      </c>
      <c r="AL437" s="640" t="str">
        <f>IF(J437="Funcionamiento Gastos Generales","No aplica",IF(J437="Funcionamiento Servicios Personales","No aplica",IFERROR(VLOOKUP(J437,Listas!$A$220:$D$224,2,FALSE),"Alerta: Seleccione la celda en la comumna B con el nombre del proyecto")))</f>
        <v>COMP1114</v>
      </c>
      <c r="AM437" s="640" t="str">
        <f>IF(J437="Funcionamiento Gastos Generales","No aplica",IF(J437="Funcionamiento Servicios Personales","No aplica",IFERROR(VLOOKUP(J437,Listas!$A$220:$D$224,3,FALSE),"Alerta: Seleccione la celda en la comumna B con el nombre del proyecto")))</f>
        <v>CONC1114</v>
      </c>
      <c r="AN437" s="633" t="s">
        <v>1054</v>
      </c>
      <c r="AO437" s="633" t="s">
        <v>62</v>
      </c>
      <c r="AP437" s="634" t="str">
        <f>IFERROR(VLOOKUP(J437,Listas!$A$182:$E$215,5,FALSE),"Alerta: Seleccione la celda en la comumna B con el nombre del proyecto")</f>
        <v>4. Obras de Intervención en Bienes muebles - inmuebles y sectores que conforman el patrimonio cultural del D.C.</v>
      </c>
      <c r="AQ437" s="634" t="str">
        <f>IF(J437="Funcionamiento Gastos Generales","No aplica",IF(J437="Funcionamiento Servicios Personales","No aplica",IFERROR(VLOOKUP(J437,Listas!$A$220:$D$224,4,FALSE),"Alerta: Seleccione la celda en la comumna B con el nombre del proyecto")))</f>
        <v>FONT1114</v>
      </c>
      <c r="AR437" s="633" t="s">
        <v>198</v>
      </c>
      <c r="AS437" s="634" t="str">
        <f>IFERROR(VLOOKUP(AU437,Listas!$E$85:$L$105,7,FALSE),"Alerta: Seleccione la celda en la comumna AI con el concepto de gasto")</f>
        <v>01-INFRAESTRUCTURA</v>
      </c>
      <c r="AT437" s="634" t="str">
        <f>IFERROR(VLOOKUP(AU437,Listas!$E$85:$L$105,8,FALSE),"Alerta: Seleccione la celda en la comumna AI con el concepto de gasto")</f>
        <v>01-CONSTRUCCION, ADECUACION Y AMPLIACION DE INFRAESTRUCTURA PROPIA DEL SECTOR</v>
      </c>
      <c r="AU437" s="633" t="s">
        <v>422</v>
      </c>
      <c r="AV437" s="634">
        <f>IFERROR(VLOOKUP(AU437,Listas!$E$85:$F$105,2,FALSE),"Alerta: Seleccione el Concepto de Gasto primero")</f>
        <v>0</v>
      </c>
      <c r="AW437" s="644">
        <v>59580000</v>
      </c>
      <c r="AX437" s="645"/>
      <c r="AY437" s="645"/>
      <c r="AZ437" s="645"/>
      <c r="BA437" s="646">
        <f t="shared" si="142"/>
        <v>59580000</v>
      </c>
      <c r="BB437" s="647"/>
      <c r="BC437" s="648"/>
      <c r="BD437" s="649"/>
      <c r="BE437" s="647"/>
      <c r="BF437" s="644"/>
      <c r="BG437" s="646">
        <f t="shared" si="143"/>
        <v>59580000</v>
      </c>
      <c r="BH437" s="650"/>
      <c r="BI437" s="647"/>
      <c r="BJ437" s="644"/>
      <c r="BK437" s="646">
        <f t="shared" si="144"/>
        <v>0</v>
      </c>
      <c r="BL437" s="651"/>
      <c r="BM437" s="652">
        <f t="shared" si="145"/>
        <v>1</v>
      </c>
      <c r="BN437" s="628"/>
      <c r="BO437" s="670"/>
      <c r="BP437" s="644"/>
      <c r="BQ437" s="644"/>
      <c r="BR437" s="644"/>
      <c r="BS437" s="644"/>
      <c r="BT437" s="644"/>
      <c r="BU437" s="644"/>
      <c r="BV437" s="644"/>
      <c r="BW437" s="644"/>
      <c r="BX437" s="644"/>
      <c r="BY437" s="644"/>
      <c r="BZ437" s="644"/>
      <c r="CA437" s="644"/>
      <c r="CB437" s="646">
        <f t="shared" si="146"/>
        <v>0</v>
      </c>
      <c r="CC437" s="646">
        <f t="shared" si="147"/>
        <v>0</v>
      </c>
      <c r="CD437" s="614"/>
    </row>
    <row r="438" spans="1:85" s="653" customFormat="1" ht="61.5" customHeight="1">
      <c r="A438" s="625" t="str">
        <f t="shared" si="129"/>
        <v xml:space="preserve">1114-140-FONT1114-01-01-0525-Bienes de Interés Cultural de tipo inmueble intervenidos </v>
      </c>
      <c r="B438" s="626" t="str">
        <f t="shared" si="130"/>
        <v>1114-140-FONT1114-01-01-0525</v>
      </c>
      <c r="C438" s="626" t="str">
        <f t="shared" si="131"/>
        <v xml:space="preserve">1114-140-FONT1114-Bienes de Interés Cultural de tipo inmueble intervenidos </v>
      </c>
      <c r="D438" s="626" t="str">
        <f t="shared" si="132"/>
        <v>1114-140-12-Otros Distrito-01-01-0525</v>
      </c>
      <c r="E438" s="626" t="str">
        <f t="shared" si="133"/>
        <v>Bienes de Interés Cultural de tipo inmueble intervenidos -12-Otros Distrito-0525-Recuperación y aprovechamiento de bienes de interés cultural</v>
      </c>
      <c r="F438" s="627">
        <v>382</v>
      </c>
      <c r="G438" s="628">
        <f t="shared" si="134"/>
        <v>382</v>
      </c>
      <c r="H438" s="629" t="b">
        <f t="shared" si="135"/>
        <v>0</v>
      </c>
      <c r="I438" s="630" t="s">
        <v>594</v>
      </c>
      <c r="J438" s="627" t="s">
        <v>180</v>
      </c>
      <c r="K438" s="631" t="str">
        <f>+IFERROR(VLOOKUP(J438,Listas!$A$108:$B$114,2,FALSE),"Alerta: Seleccione la celda en la comumna B con el nombre del proyecto")</f>
        <v>3-3-1-15-02-17-1114-140</v>
      </c>
      <c r="L438" s="632" t="s">
        <v>969</v>
      </c>
      <c r="M438" s="633" t="s">
        <v>970</v>
      </c>
      <c r="N438" s="634" t="str">
        <f t="shared" si="136"/>
        <v>(Cód. 382) Prestar servicios profesionales al Instituto Distrital de Patrimonio Cultural para apoyar la planeación y control administrativo y de la gestión financiera, en el desarrollo de las acciones de intervención y protección del patrimonio cultural del Distrito Capital.</v>
      </c>
      <c r="O438" s="635">
        <v>43491</v>
      </c>
      <c r="P438" s="636">
        <f>IFERROR(VLOOKUP(W438,'Estimación CRP'!$D$21:$E$30,2,FALSE),0)</f>
        <v>10</v>
      </c>
      <c r="Q438" s="637">
        <f>IF(O438="No aplica","No aplica",WORKDAY.INTL(O438,P438,1,'Estimación CRP'!A624:A640))</f>
        <v>43504</v>
      </c>
      <c r="R438" s="636">
        <f t="shared" si="137"/>
        <v>2</v>
      </c>
      <c r="S438" s="636">
        <f t="shared" si="138"/>
        <v>1</v>
      </c>
      <c r="T438" s="636">
        <f t="shared" si="139"/>
        <v>1</v>
      </c>
      <c r="U438" s="712">
        <v>11</v>
      </c>
      <c r="V438" s="638">
        <v>1</v>
      </c>
      <c r="W438" s="639" t="s">
        <v>274</v>
      </c>
      <c r="X438" s="640" t="str">
        <f>IFERROR(VLOOKUP(W438,Listas!$A$60:$B$73,2,FALSE),"Alerta: Seleccione primero Modalidad de selección")</f>
        <v>CCE-16</v>
      </c>
      <c r="Y438" s="641">
        <v>0</v>
      </c>
      <c r="Z438" s="641" t="s">
        <v>346</v>
      </c>
      <c r="AA438" s="641" t="s">
        <v>1343</v>
      </c>
      <c r="AB438" s="642">
        <f t="shared" si="140"/>
        <v>57200000</v>
      </c>
      <c r="AC438" s="642">
        <f t="shared" si="141"/>
        <v>57200000</v>
      </c>
      <c r="AD438" s="641">
        <v>0</v>
      </c>
      <c r="AE438" s="643">
        <v>0</v>
      </c>
      <c r="AF438" s="639" t="s">
        <v>276</v>
      </c>
      <c r="AG438" s="639" t="s">
        <v>277</v>
      </c>
      <c r="AH438" s="639" t="s">
        <v>573</v>
      </c>
      <c r="AI438" s="626" t="str">
        <f>IFERROR(VLOOKUP(AH438,Listas!$A$77:$C$83,2,FALSE),"Alerta: Seleccione primero el responsable")</f>
        <v>3550800</v>
      </c>
      <c r="AJ438" s="640" t="str">
        <f>IFERROR(VLOOKUP(AH438,Listas!$A$77:$C$83,3,FALSE),"Alerta: Seleccione primero el responsable")</f>
        <v>carolina.fernandez@idpc.gov.co</v>
      </c>
      <c r="AK438" s="640" t="str">
        <f>IF(J438="Funcionamiento Gastos Generales","No aplica",IF(J438="Funcionamiento Servicios Personales indirectos","No aplica",IFERROR(VLOOKUP(J438,Listas!$A$127:$E$139,3,FALSE),"Alerta: Seleccione la celda en la comumna B con el nombre del proyecto")))</f>
        <v>ME20181114</v>
      </c>
      <c r="AL438" s="640" t="str">
        <f>IF(J438="Funcionamiento Gastos Generales","No aplica",IF(J438="Funcionamiento Servicios Personales","No aplica",IFERROR(VLOOKUP(J438,Listas!$A$220:$D$224,2,FALSE),"Alerta: Seleccione la celda en la comumna B con el nombre del proyecto")))</f>
        <v>COMP1114</v>
      </c>
      <c r="AM438" s="640" t="str">
        <f>IF(J438="Funcionamiento Gastos Generales","No aplica",IF(J438="Funcionamiento Servicios Personales","No aplica",IFERROR(VLOOKUP(J438,Listas!$A$220:$D$224,3,FALSE),"Alerta: Seleccione la celda en la comumna B con el nombre del proyecto")))</f>
        <v>CONC1114</v>
      </c>
      <c r="AN438" s="633" t="s">
        <v>1054</v>
      </c>
      <c r="AO438" s="633" t="s">
        <v>62</v>
      </c>
      <c r="AP438" s="634" t="str">
        <f>IFERROR(VLOOKUP(J438,Listas!$A$182:$E$215,5,FALSE),"Alerta: Seleccione la celda en la comumna B con el nombre del proyecto")</f>
        <v>4. Obras de Intervención en Bienes muebles - inmuebles y sectores que conforman el patrimonio cultural del D.C.</v>
      </c>
      <c r="AQ438" s="634" t="str">
        <f>IF(J438="Funcionamiento Gastos Generales","No aplica",IF(J438="Funcionamiento Servicios Personales","No aplica",IFERROR(VLOOKUP(J438,Listas!$A$220:$D$224,4,FALSE),"Alerta: Seleccione la celda en la comumna B con el nombre del proyecto")))</f>
        <v>FONT1114</v>
      </c>
      <c r="AR438" s="633" t="s">
        <v>198</v>
      </c>
      <c r="AS438" s="634" t="str">
        <f>IFERROR(VLOOKUP(AU438,Listas!$E$85:$L$105,7,FALSE),"Alerta: Seleccione la celda en la comumna AI con el concepto de gasto")</f>
        <v>01-INFRAESTRUCTURA</v>
      </c>
      <c r="AT438" s="634" t="str">
        <f>IFERROR(VLOOKUP(AU438,Listas!$E$85:$L$105,8,FALSE),"Alerta: Seleccione la celda en la comumna AI con el concepto de gasto")</f>
        <v>01-CONSTRUCCION, ADECUACION Y AMPLIACION DE INFRAESTRUCTURA PROPIA DEL SECTOR</v>
      </c>
      <c r="AU438" s="633" t="s">
        <v>422</v>
      </c>
      <c r="AV438" s="634">
        <f>IFERROR(VLOOKUP(AU438,Listas!$E$85:$F$105,2,FALSE),"Alerta: Seleccione el Concepto de Gasto primero")</f>
        <v>0</v>
      </c>
      <c r="AW438" s="644">
        <v>57200000</v>
      </c>
      <c r="AX438" s="645"/>
      <c r="AY438" s="645"/>
      <c r="AZ438" s="645"/>
      <c r="BA438" s="646">
        <f t="shared" si="142"/>
        <v>57200000</v>
      </c>
      <c r="BB438" s="647"/>
      <c r="BC438" s="648"/>
      <c r="BD438" s="649"/>
      <c r="BE438" s="647"/>
      <c r="BF438" s="644"/>
      <c r="BG438" s="646">
        <f t="shared" si="143"/>
        <v>57200000</v>
      </c>
      <c r="BH438" s="650"/>
      <c r="BI438" s="647"/>
      <c r="BJ438" s="644"/>
      <c r="BK438" s="646">
        <f t="shared" si="144"/>
        <v>0</v>
      </c>
      <c r="BL438" s="651"/>
      <c r="BM438" s="652">
        <f t="shared" si="145"/>
        <v>1</v>
      </c>
      <c r="BN438" s="628"/>
      <c r="BO438" s="670"/>
      <c r="BP438" s="644"/>
      <c r="BQ438" s="644"/>
      <c r="BR438" s="644"/>
      <c r="BS438" s="644"/>
      <c r="BT438" s="644"/>
      <c r="BU438" s="644"/>
      <c r="BV438" s="644"/>
      <c r="BW438" s="644"/>
      <c r="BX438" s="644"/>
      <c r="BY438" s="644"/>
      <c r="BZ438" s="644"/>
      <c r="CA438" s="644"/>
      <c r="CB438" s="646">
        <f t="shared" si="146"/>
        <v>0</v>
      </c>
      <c r="CC438" s="646">
        <f t="shared" si="147"/>
        <v>0</v>
      </c>
      <c r="CD438" s="614"/>
    </row>
    <row r="439" spans="1:85" s="561" customFormat="1" ht="61.5" customHeight="1">
      <c r="A439" s="625" t="str">
        <f t="shared" si="129"/>
        <v xml:space="preserve">1114-140-FONT1114-01-01-0525-Bienes de Interés Cultural de tipo inmueble intervenidos </v>
      </c>
      <c r="B439" s="626" t="str">
        <f t="shared" si="130"/>
        <v>1114-140-FONT1114-01-01-0525</v>
      </c>
      <c r="C439" s="626" t="str">
        <f t="shared" si="131"/>
        <v xml:space="preserve">1114-140-FONT1114-Bienes de Interés Cultural de tipo inmueble intervenidos </v>
      </c>
      <c r="D439" s="626" t="str">
        <f t="shared" si="132"/>
        <v>1114-140-12-Otros Distrito-01-01-0525</v>
      </c>
      <c r="E439" s="626" t="str">
        <f t="shared" si="133"/>
        <v>Bienes de Interés Cultural de tipo inmueble intervenidos -12-Otros Distrito-0525-Recuperación y aprovechamiento de bienes de interés cultural</v>
      </c>
      <c r="F439" s="627">
        <v>383</v>
      </c>
      <c r="G439" s="628">
        <f t="shared" si="134"/>
        <v>383</v>
      </c>
      <c r="H439" s="629" t="b">
        <f t="shared" si="135"/>
        <v>0</v>
      </c>
      <c r="I439" s="630" t="s">
        <v>594</v>
      </c>
      <c r="J439" s="627" t="s">
        <v>180</v>
      </c>
      <c r="K439" s="631" t="str">
        <f>+IFERROR(VLOOKUP(J439,Listas!$A$108:$B$114,2,FALSE),"Alerta: Seleccione la celda en la comumna B con el nombre del proyecto")</f>
        <v>3-3-1-15-02-17-1114-140</v>
      </c>
      <c r="L439" s="632" t="s">
        <v>971</v>
      </c>
      <c r="M439" s="633" t="s">
        <v>972</v>
      </c>
      <c r="N439" s="634" t="str">
        <f t="shared" si="136"/>
        <v>(Cód. 383) Prestar servicios profesionales al Instituto Distrital de Patrimonio Cultural para brindar asesoría técnica y seguimiento integral de los procesos y acciones de protección e intervención del patrimonio cultural a cargo de la Subdirección de Intervención.</v>
      </c>
      <c r="O439" s="635">
        <v>43481</v>
      </c>
      <c r="P439" s="636">
        <f>IFERROR(VLOOKUP(W439,'Estimación CRP'!$D$21:$E$30,2,FALSE),0)</f>
        <v>10</v>
      </c>
      <c r="Q439" s="637">
        <f>IF(O439="No aplica","No aplica",WORKDAY.INTL(O439,P439,1,'Estimación CRP'!A625:A641))</f>
        <v>43495</v>
      </c>
      <c r="R439" s="636">
        <f t="shared" si="137"/>
        <v>1</v>
      </c>
      <c r="S439" s="636">
        <f t="shared" si="138"/>
        <v>1</v>
      </c>
      <c r="T439" s="636">
        <f t="shared" si="139"/>
        <v>1</v>
      </c>
      <c r="U439" s="712">
        <v>11</v>
      </c>
      <c r="V439" s="638">
        <v>1</v>
      </c>
      <c r="W439" s="639" t="s">
        <v>274</v>
      </c>
      <c r="X439" s="640" t="str">
        <f>IFERROR(VLOOKUP(W439,Listas!$A$60:$B$73,2,FALSE),"Alerta: Seleccione primero Modalidad de selección")</f>
        <v>CCE-16</v>
      </c>
      <c r="Y439" s="641">
        <v>0</v>
      </c>
      <c r="Z439" s="641" t="s">
        <v>346</v>
      </c>
      <c r="AA439" s="641" t="s">
        <v>1343</v>
      </c>
      <c r="AB439" s="642">
        <f t="shared" si="140"/>
        <v>90640000</v>
      </c>
      <c r="AC439" s="642">
        <f t="shared" si="141"/>
        <v>90640000</v>
      </c>
      <c r="AD439" s="641">
        <v>0</v>
      </c>
      <c r="AE439" s="643">
        <v>0</v>
      </c>
      <c r="AF439" s="639" t="s">
        <v>276</v>
      </c>
      <c r="AG439" s="639" t="s">
        <v>277</v>
      </c>
      <c r="AH439" s="639" t="s">
        <v>573</v>
      </c>
      <c r="AI439" s="626" t="str">
        <f>IFERROR(VLOOKUP(AH439,Listas!$A$77:$C$83,2,FALSE),"Alerta: Seleccione primero el responsable")</f>
        <v>3550800</v>
      </c>
      <c r="AJ439" s="640" t="str">
        <f>IFERROR(VLOOKUP(AH439,Listas!$A$77:$C$83,3,FALSE),"Alerta: Seleccione primero el responsable")</f>
        <v>carolina.fernandez@idpc.gov.co</v>
      </c>
      <c r="AK439" s="640" t="str">
        <f>IF(J439="Funcionamiento Gastos Generales","No aplica",IF(J439="Funcionamiento Servicios Personales indirectos","No aplica",IFERROR(VLOOKUP(J439,Listas!$A$127:$E$139,3,FALSE),"Alerta: Seleccione la celda en la comumna B con el nombre del proyecto")))</f>
        <v>ME20181114</v>
      </c>
      <c r="AL439" s="640" t="str">
        <f>IF(J439="Funcionamiento Gastos Generales","No aplica",IF(J439="Funcionamiento Servicios Personales","No aplica",IFERROR(VLOOKUP(J439,Listas!$A$220:$D$224,2,FALSE),"Alerta: Seleccione la celda en la comumna B con el nombre del proyecto")))</f>
        <v>COMP1114</v>
      </c>
      <c r="AM439" s="640" t="str">
        <f>IF(J439="Funcionamiento Gastos Generales","No aplica",IF(J439="Funcionamiento Servicios Personales","No aplica",IFERROR(VLOOKUP(J439,Listas!$A$220:$D$224,3,FALSE),"Alerta: Seleccione la celda en la comumna B con el nombre del proyecto")))</f>
        <v>CONC1114</v>
      </c>
      <c r="AN439" s="633" t="s">
        <v>1054</v>
      </c>
      <c r="AO439" s="633" t="s">
        <v>62</v>
      </c>
      <c r="AP439" s="634" t="str">
        <f>IFERROR(VLOOKUP(J439,Listas!$A$182:$E$215,5,FALSE),"Alerta: Seleccione la celda en la comumna B con el nombre del proyecto")</f>
        <v>4. Obras de Intervención en Bienes muebles - inmuebles y sectores que conforman el patrimonio cultural del D.C.</v>
      </c>
      <c r="AQ439" s="634" t="str">
        <f>IF(J439="Funcionamiento Gastos Generales","No aplica",IF(J439="Funcionamiento Servicios Personales","No aplica",IFERROR(VLOOKUP(J439,Listas!$A$220:$D$224,4,FALSE),"Alerta: Seleccione la celda en la comumna B con el nombre del proyecto")))</f>
        <v>FONT1114</v>
      </c>
      <c r="AR439" s="633" t="s">
        <v>198</v>
      </c>
      <c r="AS439" s="634" t="str">
        <f>IFERROR(VLOOKUP(AU439,Listas!$E$85:$L$105,7,FALSE),"Alerta: Seleccione la celda en la comumna AI con el concepto de gasto")</f>
        <v>01-INFRAESTRUCTURA</v>
      </c>
      <c r="AT439" s="634" t="str">
        <f>IFERROR(VLOOKUP(AU439,Listas!$E$85:$L$105,8,FALSE),"Alerta: Seleccione la celda en la comumna AI con el concepto de gasto")</f>
        <v>01-CONSTRUCCION, ADECUACION Y AMPLIACION DE INFRAESTRUCTURA PROPIA DEL SECTOR</v>
      </c>
      <c r="AU439" s="633" t="s">
        <v>422</v>
      </c>
      <c r="AV439" s="634">
        <f>IFERROR(VLOOKUP(AU439,Listas!$E$85:$F$105,2,FALSE),"Alerta: Seleccione el Concepto de Gasto primero")</f>
        <v>0</v>
      </c>
      <c r="AW439" s="644">
        <v>90640000</v>
      </c>
      <c r="AX439" s="645"/>
      <c r="AY439" s="645"/>
      <c r="AZ439" s="645"/>
      <c r="BA439" s="646">
        <f t="shared" si="142"/>
        <v>90640000</v>
      </c>
      <c r="BB439" s="647"/>
      <c r="BC439" s="648"/>
      <c r="BD439" s="649"/>
      <c r="BE439" s="647"/>
      <c r="BF439" s="644"/>
      <c r="BG439" s="646">
        <f t="shared" si="143"/>
        <v>90640000</v>
      </c>
      <c r="BH439" s="650"/>
      <c r="BI439" s="647"/>
      <c r="BJ439" s="644"/>
      <c r="BK439" s="646">
        <f t="shared" si="144"/>
        <v>0</v>
      </c>
      <c r="BL439" s="651"/>
      <c r="BM439" s="652">
        <f t="shared" si="145"/>
        <v>1</v>
      </c>
      <c r="BN439" s="628"/>
      <c r="BO439" s="670"/>
      <c r="BP439" s="644"/>
      <c r="BQ439" s="644"/>
      <c r="BR439" s="644"/>
      <c r="BS439" s="644"/>
      <c r="BT439" s="644"/>
      <c r="BU439" s="644"/>
      <c r="BV439" s="644"/>
      <c r="BW439" s="644"/>
      <c r="BX439" s="644"/>
      <c r="BY439" s="644"/>
      <c r="BZ439" s="644"/>
      <c r="CA439" s="644"/>
      <c r="CB439" s="646">
        <f t="shared" si="146"/>
        <v>0</v>
      </c>
      <c r="CC439" s="646">
        <f t="shared" si="147"/>
        <v>0</v>
      </c>
      <c r="CD439" s="614"/>
    </row>
    <row r="440" spans="1:85" s="653" customFormat="1" ht="61.5" customHeight="1">
      <c r="A440" s="625" t="str">
        <f t="shared" si="129"/>
        <v xml:space="preserve">1114-140-FONT1114-01-01-0525-Bienes de Interés Cultural de tipo inmueble intervenidos </v>
      </c>
      <c r="B440" s="626" t="str">
        <f t="shared" si="130"/>
        <v>1114-140-FONT1114-01-01-0525</v>
      </c>
      <c r="C440" s="626" t="str">
        <f t="shared" si="131"/>
        <v xml:space="preserve">1114-140-FONT1114-Bienes de Interés Cultural de tipo inmueble intervenidos </v>
      </c>
      <c r="D440" s="626" t="str">
        <f t="shared" si="132"/>
        <v>1114-140-12-Otros Distrito-01-01-0525</v>
      </c>
      <c r="E440" s="626" t="str">
        <f t="shared" si="133"/>
        <v>Bienes de Interés Cultural de tipo inmueble intervenidos -12-Otros Distrito-0525-Recuperación y aprovechamiento de bienes de interés cultural</v>
      </c>
      <c r="F440" s="627">
        <v>384</v>
      </c>
      <c r="G440" s="628">
        <f t="shared" si="134"/>
        <v>384</v>
      </c>
      <c r="H440" s="629" t="b">
        <f t="shared" si="135"/>
        <v>0</v>
      </c>
      <c r="I440" s="630" t="s">
        <v>594</v>
      </c>
      <c r="J440" s="627" t="s">
        <v>180</v>
      </c>
      <c r="K440" s="631" t="str">
        <f>+IFERROR(VLOOKUP(J440,Listas!$A$108:$B$114,2,FALSE),"Alerta: Seleccione la celda en la comumna B con el nombre del proyecto")</f>
        <v>3-3-1-15-02-17-1114-140</v>
      </c>
      <c r="L440" s="632" t="s">
        <v>973</v>
      </c>
      <c r="M440" s="633" t="s">
        <v>974</v>
      </c>
      <c r="N440" s="634" t="str">
        <f t="shared" si="136"/>
        <v>(Cód. 384) Prestar servicios profesionales al Instituto Distrital de Patrimonio Cultural para brindar soporte, seguimiento y apoyo a los procesos y proyectos de intervención y/o protección de patrimonio cultural, para garantizar su desarrollo y cumplimiento.</v>
      </c>
      <c r="O440" s="635">
        <v>43496</v>
      </c>
      <c r="P440" s="636">
        <f>IFERROR(VLOOKUP(W440,'Estimación CRP'!$D$21:$E$30,2,FALSE),0)</f>
        <v>10</v>
      </c>
      <c r="Q440" s="637">
        <f>IF(O440="No aplica","No aplica",WORKDAY.INTL(O440,P440,1,'Estimación CRP'!A626:A642))</f>
        <v>43510</v>
      </c>
      <c r="R440" s="636">
        <f t="shared" si="137"/>
        <v>2</v>
      </c>
      <c r="S440" s="636">
        <f t="shared" si="138"/>
        <v>1</v>
      </c>
      <c r="T440" s="636">
        <f t="shared" si="139"/>
        <v>1</v>
      </c>
      <c r="U440" s="712">
        <v>10</v>
      </c>
      <c r="V440" s="638">
        <v>1</v>
      </c>
      <c r="W440" s="639" t="s">
        <v>274</v>
      </c>
      <c r="X440" s="640" t="str">
        <f>IFERROR(VLOOKUP(W440,Listas!$A$60:$B$73,2,FALSE),"Alerta: Seleccione primero Modalidad de selección")</f>
        <v>CCE-16</v>
      </c>
      <c r="Y440" s="641">
        <v>0</v>
      </c>
      <c r="Z440" s="641" t="s">
        <v>346</v>
      </c>
      <c r="AA440" s="641" t="s">
        <v>1343</v>
      </c>
      <c r="AB440" s="642">
        <f t="shared" si="140"/>
        <v>54900000</v>
      </c>
      <c r="AC440" s="642">
        <f t="shared" si="141"/>
        <v>54900000</v>
      </c>
      <c r="AD440" s="641">
        <v>0</v>
      </c>
      <c r="AE440" s="643">
        <v>0</v>
      </c>
      <c r="AF440" s="639" t="s">
        <v>276</v>
      </c>
      <c r="AG440" s="639" t="s">
        <v>277</v>
      </c>
      <c r="AH440" s="639" t="s">
        <v>573</v>
      </c>
      <c r="AI440" s="626" t="str">
        <f>IFERROR(VLOOKUP(AH440,Listas!$A$77:$C$83,2,FALSE),"Alerta: Seleccione primero el responsable")</f>
        <v>3550800</v>
      </c>
      <c r="AJ440" s="640" t="str">
        <f>IFERROR(VLOOKUP(AH440,Listas!$A$77:$C$83,3,FALSE),"Alerta: Seleccione primero el responsable")</f>
        <v>carolina.fernandez@idpc.gov.co</v>
      </c>
      <c r="AK440" s="640" t="str">
        <f>IF(J440="Funcionamiento Gastos Generales","No aplica",IF(J440="Funcionamiento Servicios Personales indirectos","No aplica",IFERROR(VLOOKUP(J440,Listas!$A$127:$E$139,3,FALSE),"Alerta: Seleccione la celda en la comumna B con el nombre del proyecto")))</f>
        <v>ME20181114</v>
      </c>
      <c r="AL440" s="640" t="str">
        <f>IF(J440="Funcionamiento Gastos Generales","No aplica",IF(J440="Funcionamiento Servicios Personales","No aplica",IFERROR(VLOOKUP(J440,Listas!$A$220:$D$224,2,FALSE),"Alerta: Seleccione la celda en la comumna B con el nombre del proyecto")))</f>
        <v>COMP1114</v>
      </c>
      <c r="AM440" s="640" t="str">
        <f>IF(J440="Funcionamiento Gastos Generales","No aplica",IF(J440="Funcionamiento Servicios Personales","No aplica",IFERROR(VLOOKUP(J440,Listas!$A$220:$D$224,3,FALSE),"Alerta: Seleccione la celda en la comumna B con el nombre del proyecto")))</f>
        <v>CONC1114</v>
      </c>
      <c r="AN440" s="633" t="s">
        <v>1054</v>
      </c>
      <c r="AO440" s="633" t="s">
        <v>62</v>
      </c>
      <c r="AP440" s="634" t="str">
        <f>IFERROR(VLOOKUP(J440,Listas!$A$182:$E$215,5,FALSE),"Alerta: Seleccione la celda en la comumna B con el nombre del proyecto")</f>
        <v>4. Obras de Intervención en Bienes muebles - inmuebles y sectores que conforman el patrimonio cultural del D.C.</v>
      </c>
      <c r="AQ440" s="634" t="str">
        <f>IF(J440="Funcionamiento Gastos Generales","No aplica",IF(J440="Funcionamiento Servicios Personales","No aplica",IFERROR(VLOOKUP(J440,Listas!$A$220:$D$224,4,FALSE),"Alerta: Seleccione la celda en la comumna B con el nombre del proyecto")))</f>
        <v>FONT1114</v>
      </c>
      <c r="AR440" s="633" t="s">
        <v>198</v>
      </c>
      <c r="AS440" s="634" t="str">
        <f>IFERROR(VLOOKUP(AU440,Listas!$E$85:$L$105,7,FALSE),"Alerta: Seleccione la celda en la comumna AI con el concepto de gasto")</f>
        <v>01-INFRAESTRUCTURA</v>
      </c>
      <c r="AT440" s="634" t="str">
        <f>IFERROR(VLOOKUP(AU440,Listas!$E$85:$L$105,8,FALSE),"Alerta: Seleccione la celda en la comumna AI con el concepto de gasto")</f>
        <v>01-CONSTRUCCION, ADECUACION Y AMPLIACION DE INFRAESTRUCTURA PROPIA DEL SECTOR</v>
      </c>
      <c r="AU440" s="633" t="s">
        <v>422</v>
      </c>
      <c r="AV440" s="634">
        <f>IFERROR(VLOOKUP(AU440,Listas!$E$85:$F$105,2,FALSE),"Alerta: Seleccione el Concepto de Gasto primero")</f>
        <v>0</v>
      </c>
      <c r="AW440" s="644">
        <v>54900000</v>
      </c>
      <c r="AX440" s="645"/>
      <c r="AY440" s="645"/>
      <c r="AZ440" s="645"/>
      <c r="BA440" s="646">
        <f t="shared" si="142"/>
        <v>54900000</v>
      </c>
      <c r="BB440" s="647"/>
      <c r="BC440" s="648"/>
      <c r="BD440" s="649"/>
      <c r="BE440" s="647"/>
      <c r="BF440" s="644"/>
      <c r="BG440" s="646">
        <f t="shared" si="143"/>
        <v>54900000</v>
      </c>
      <c r="BH440" s="650"/>
      <c r="BI440" s="647"/>
      <c r="BJ440" s="644"/>
      <c r="BK440" s="646">
        <f t="shared" si="144"/>
        <v>0</v>
      </c>
      <c r="BL440" s="651"/>
      <c r="BM440" s="652">
        <f t="shared" si="145"/>
        <v>1</v>
      </c>
      <c r="BN440" s="628"/>
      <c r="BO440" s="670"/>
      <c r="BP440" s="644"/>
      <c r="BQ440" s="644"/>
      <c r="BR440" s="644"/>
      <c r="BS440" s="644"/>
      <c r="BT440" s="644"/>
      <c r="BU440" s="644"/>
      <c r="BV440" s="644"/>
      <c r="BW440" s="644"/>
      <c r="BX440" s="644"/>
      <c r="BY440" s="644"/>
      <c r="BZ440" s="644"/>
      <c r="CA440" s="644"/>
      <c r="CB440" s="646">
        <f t="shared" si="146"/>
        <v>0</v>
      </c>
      <c r="CC440" s="646">
        <f t="shared" si="147"/>
        <v>0</v>
      </c>
      <c r="CD440" s="614"/>
    </row>
    <row r="441" spans="1:85" s="561" customFormat="1" ht="61.5" customHeight="1">
      <c r="A441" s="625" t="str">
        <f t="shared" si="129"/>
        <v xml:space="preserve">1114-140-FONT1114-01-01-0525-Bienes de Interés Cultural de tipo inmueble intervenidos </v>
      </c>
      <c r="B441" s="626" t="str">
        <f t="shared" si="130"/>
        <v>1114-140-FONT1114-01-01-0525</v>
      </c>
      <c r="C441" s="626" t="str">
        <f t="shared" si="131"/>
        <v xml:space="preserve">1114-140-FONT1114-Bienes de Interés Cultural de tipo inmueble intervenidos </v>
      </c>
      <c r="D441" s="626" t="str">
        <f t="shared" si="132"/>
        <v>1114-140-12-Otros Distrito-01-01-0525</v>
      </c>
      <c r="E441" s="626" t="str">
        <f t="shared" si="133"/>
        <v>Bienes de Interés Cultural de tipo inmueble intervenidos -12-Otros Distrito-0525-Recuperación y aprovechamiento de bienes de interés cultural</v>
      </c>
      <c r="F441" s="627">
        <v>385</v>
      </c>
      <c r="G441" s="628">
        <f t="shared" si="134"/>
        <v>385</v>
      </c>
      <c r="H441" s="629" t="b">
        <f t="shared" si="135"/>
        <v>0</v>
      </c>
      <c r="I441" s="630" t="s">
        <v>594</v>
      </c>
      <c r="J441" s="627" t="s">
        <v>180</v>
      </c>
      <c r="K441" s="631" t="str">
        <f>+IFERROR(VLOOKUP(J441,Listas!$A$108:$B$114,2,FALSE),"Alerta: Seleccione la celda en la comumna B con el nombre del proyecto")</f>
        <v>3-3-1-15-02-17-1114-140</v>
      </c>
      <c r="L441" s="632" t="s">
        <v>962</v>
      </c>
      <c r="M441" s="633" t="s">
        <v>975</v>
      </c>
      <c r="N441" s="634" t="str">
        <f t="shared" si="136"/>
        <v>(Cód. 385) Prestar servicios profesionales al Instituto Distrital de Patrimonio Cultural para el apoyo y acompañamiento jurídico en las etapas de estructuración, ejecución y liquidación de los contratos que requiera la subdirección de intervención de conformidad con las normas vigentes que rigen la contratación pública. </v>
      </c>
      <c r="O441" s="635">
        <v>43488</v>
      </c>
      <c r="P441" s="636">
        <f>IFERROR(VLOOKUP(W441,'Estimación CRP'!$D$21:$E$30,2,FALSE),0)</f>
        <v>10</v>
      </c>
      <c r="Q441" s="637">
        <f>IF(O441="No aplica","No aplica",WORKDAY.INTL(O441,P441,1,'Estimación CRP'!A627:A643))</f>
        <v>43502</v>
      </c>
      <c r="R441" s="636">
        <f t="shared" si="137"/>
        <v>2</v>
      </c>
      <c r="S441" s="636">
        <f t="shared" si="138"/>
        <v>1</v>
      </c>
      <c r="T441" s="636">
        <f t="shared" si="139"/>
        <v>1</v>
      </c>
      <c r="U441" s="712">
        <v>11</v>
      </c>
      <c r="V441" s="638">
        <v>1</v>
      </c>
      <c r="W441" s="639" t="s">
        <v>274</v>
      </c>
      <c r="X441" s="640" t="str">
        <f>IFERROR(VLOOKUP(W441,Listas!$A$60:$B$73,2,FALSE),"Alerta: Seleccione primero Modalidad de selección")</f>
        <v>CCE-16</v>
      </c>
      <c r="Y441" s="641">
        <v>0</v>
      </c>
      <c r="Z441" s="641" t="s">
        <v>346</v>
      </c>
      <c r="AA441" s="641" t="s">
        <v>1343</v>
      </c>
      <c r="AB441" s="642">
        <f t="shared" si="140"/>
        <v>93500000</v>
      </c>
      <c r="AC441" s="642">
        <f t="shared" si="141"/>
        <v>93500000</v>
      </c>
      <c r="AD441" s="641">
        <v>0</v>
      </c>
      <c r="AE441" s="643">
        <v>0</v>
      </c>
      <c r="AF441" s="639" t="s">
        <v>276</v>
      </c>
      <c r="AG441" s="639" t="s">
        <v>277</v>
      </c>
      <c r="AH441" s="639" t="s">
        <v>573</v>
      </c>
      <c r="AI441" s="626" t="str">
        <f>IFERROR(VLOOKUP(AH441,Listas!$A$77:$C$83,2,FALSE),"Alerta: Seleccione primero el responsable")</f>
        <v>3550800</v>
      </c>
      <c r="AJ441" s="640" t="str">
        <f>IFERROR(VLOOKUP(AH441,Listas!$A$77:$C$83,3,FALSE),"Alerta: Seleccione primero el responsable")</f>
        <v>carolina.fernandez@idpc.gov.co</v>
      </c>
      <c r="AK441" s="640" t="str">
        <f>IF(J441="Funcionamiento Gastos Generales","No aplica",IF(J441="Funcionamiento Servicios Personales indirectos","No aplica",IFERROR(VLOOKUP(J441,Listas!$A$127:$E$139,3,FALSE),"Alerta: Seleccione la celda en la comumna B con el nombre del proyecto")))</f>
        <v>ME20181114</v>
      </c>
      <c r="AL441" s="640" t="str">
        <f>IF(J441="Funcionamiento Gastos Generales","No aplica",IF(J441="Funcionamiento Servicios Personales","No aplica",IFERROR(VLOOKUP(J441,Listas!$A$220:$D$224,2,FALSE),"Alerta: Seleccione la celda en la comumna B con el nombre del proyecto")))</f>
        <v>COMP1114</v>
      </c>
      <c r="AM441" s="640" t="str">
        <f>IF(J441="Funcionamiento Gastos Generales","No aplica",IF(J441="Funcionamiento Servicios Personales","No aplica",IFERROR(VLOOKUP(J441,Listas!$A$220:$D$224,3,FALSE),"Alerta: Seleccione la celda en la comumna B con el nombre del proyecto")))</f>
        <v>CONC1114</v>
      </c>
      <c r="AN441" s="633" t="s">
        <v>1054</v>
      </c>
      <c r="AO441" s="633" t="s">
        <v>62</v>
      </c>
      <c r="AP441" s="634" t="str">
        <f>IFERROR(VLOOKUP(J441,Listas!$A$182:$E$215,5,FALSE),"Alerta: Seleccione la celda en la comumna B con el nombre del proyecto")</f>
        <v>4. Obras de Intervención en Bienes muebles - inmuebles y sectores que conforman el patrimonio cultural del D.C.</v>
      </c>
      <c r="AQ441" s="634" t="str">
        <f>IF(J441="Funcionamiento Gastos Generales","No aplica",IF(J441="Funcionamiento Servicios Personales","No aplica",IFERROR(VLOOKUP(J441,Listas!$A$220:$D$224,4,FALSE),"Alerta: Seleccione la celda en la comumna B con el nombre del proyecto")))</f>
        <v>FONT1114</v>
      </c>
      <c r="AR441" s="633" t="s">
        <v>198</v>
      </c>
      <c r="AS441" s="634" t="str">
        <f>IFERROR(VLOOKUP(AU441,Listas!$E$85:$L$105,7,FALSE),"Alerta: Seleccione la celda en la comumna AI con el concepto de gasto")</f>
        <v>01-INFRAESTRUCTURA</v>
      </c>
      <c r="AT441" s="634" t="str">
        <f>IFERROR(VLOOKUP(AU441,Listas!$E$85:$L$105,8,FALSE),"Alerta: Seleccione la celda en la comumna AI con el concepto de gasto")</f>
        <v>01-CONSTRUCCION, ADECUACION Y AMPLIACION DE INFRAESTRUCTURA PROPIA DEL SECTOR</v>
      </c>
      <c r="AU441" s="633" t="s">
        <v>422</v>
      </c>
      <c r="AV441" s="634">
        <f>IFERROR(VLOOKUP(AU441,Listas!$E$85:$F$105,2,FALSE),"Alerta: Seleccione el Concepto de Gasto primero")</f>
        <v>0</v>
      </c>
      <c r="AW441" s="644">
        <v>93500000</v>
      </c>
      <c r="AX441" s="645"/>
      <c r="AY441" s="645"/>
      <c r="AZ441" s="645"/>
      <c r="BA441" s="646">
        <f t="shared" si="142"/>
        <v>93500000</v>
      </c>
      <c r="BB441" s="647"/>
      <c r="BC441" s="648"/>
      <c r="BD441" s="649"/>
      <c r="BE441" s="647"/>
      <c r="BF441" s="644"/>
      <c r="BG441" s="646">
        <f t="shared" si="143"/>
        <v>93500000</v>
      </c>
      <c r="BH441" s="650"/>
      <c r="BI441" s="647"/>
      <c r="BJ441" s="644"/>
      <c r="BK441" s="646">
        <f t="shared" si="144"/>
        <v>0</v>
      </c>
      <c r="BL441" s="651"/>
      <c r="BM441" s="652">
        <f t="shared" si="145"/>
        <v>1</v>
      </c>
      <c r="BN441" s="628"/>
      <c r="BO441" s="670"/>
      <c r="BP441" s="644"/>
      <c r="BQ441" s="644"/>
      <c r="BR441" s="644"/>
      <c r="BS441" s="644"/>
      <c r="BT441" s="644"/>
      <c r="BU441" s="644"/>
      <c r="BV441" s="644"/>
      <c r="BW441" s="644"/>
      <c r="BX441" s="644"/>
      <c r="BY441" s="644"/>
      <c r="BZ441" s="644"/>
      <c r="CA441" s="644"/>
      <c r="CB441" s="646">
        <f t="shared" si="146"/>
        <v>0</v>
      </c>
      <c r="CC441" s="646">
        <f t="shared" si="147"/>
        <v>0</v>
      </c>
      <c r="CD441" s="614"/>
      <c r="CG441" s="561" t="s">
        <v>589</v>
      </c>
    </row>
    <row r="442" spans="1:85" s="561" customFormat="1" ht="61.5" customHeight="1">
      <c r="A442" s="625" t="str">
        <f t="shared" si="129"/>
        <v xml:space="preserve">1114-140-FONT1114-01-01-0525-Bienes de Interés Cultural de tipo inmueble intervenidos </v>
      </c>
      <c r="B442" s="626" t="str">
        <f t="shared" si="130"/>
        <v>1114-140-FONT1114-01-01-0525</v>
      </c>
      <c r="C442" s="626" t="str">
        <f t="shared" si="131"/>
        <v xml:space="preserve">1114-140-FONT1114-Bienes de Interés Cultural de tipo inmueble intervenidos </v>
      </c>
      <c r="D442" s="626" t="str">
        <f t="shared" si="132"/>
        <v>1114-140-12-Otros Distrito-01-01-0525</v>
      </c>
      <c r="E442" s="626" t="str">
        <f t="shared" si="133"/>
        <v>Bienes de Interés Cultural de tipo inmueble intervenidos -12-Otros Distrito-0525-Recuperación y aprovechamiento de bienes de interés cultural</v>
      </c>
      <c r="F442" s="627">
        <v>386</v>
      </c>
      <c r="G442" s="628">
        <f t="shared" si="134"/>
        <v>386</v>
      </c>
      <c r="H442" s="629" t="b">
        <f t="shared" si="135"/>
        <v>0</v>
      </c>
      <c r="I442" s="630" t="s">
        <v>594</v>
      </c>
      <c r="J442" s="627" t="s">
        <v>180</v>
      </c>
      <c r="K442" s="631" t="str">
        <f>+IFERROR(VLOOKUP(J442,Listas!$A$108:$B$114,2,FALSE),"Alerta: Seleccione la celda en la comumna B con el nombre del proyecto")</f>
        <v>3-3-1-15-02-17-1114-140</v>
      </c>
      <c r="L442" s="632" t="s">
        <v>976</v>
      </c>
      <c r="M442" s="633" t="s">
        <v>977</v>
      </c>
      <c r="N442" s="634" t="str">
        <f t="shared" si="136"/>
        <v>(Cód. 386) Prestar servicios profesionales al Instituto Distrital de Patrimonio Cultural para realizar el acompañamiento de los contratos relacionados con la ejecución de la restauración integral de la Iglesia del Voto Nacional.</v>
      </c>
      <c r="O442" s="635">
        <v>43497</v>
      </c>
      <c r="P442" s="636">
        <f>IFERROR(VLOOKUP(W442,'Estimación CRP'!$D$21:$E$30,2,FALSE),0)</f>
        <v>10</v>
      </c>
      <c r="Q442" s="637">
        <f>IF(O442="No aplica","No aplica",WORKDAY.INTL(O442,P442,1,'Estimación CRP'!A628:A644))</f>
        <v>43511</v>
      </c>
      <c r="R442" s="636">
        <f t="shared" si="137"/>
        <v>2</v>
      </c>
      <c r="S442" s="636">
        <f t="shared" si="138"/>
        <v>2</v>
      </c>
      <c r="T442" s="636">
        <f t="shared" si="139"/>
        <v>2</v>
      </c>
      <c r="U442" s="712">
        <v>11</v>
      </c>
      <c r="V442" s="638">
        <v>1</v>
      </c>
      <c r="W442" s="639" t="s">
        <v>274</v>
      </c>
      <c r="X442" s="640" t="str">
        <f>IFERROR(VLOOKUP(W442,Listas!$A$60:$B$73,2,FALSE),"Alerta: Seleccione primero Modalidad de selección")</f>
        <v>CCE-16</v>
      </c>
      <c r="Y442" s="641">
        <v>0</v>
      </c>
      <c r="Z442" s="641" t="s">
        <v>346</v>
      </c>
      <c r="AA442" s="641" t="s">
        <v>1343</v>
      </c>
      <c r="AB442" s="642">
        <f t="shared" si="140"/>
        <v>91740000</v>
      </c>
      <c r="AC442" s="642">
        <f t="shared" si="141"/>
        <v>91740000</v>
      </c>
      <c r="AD442" s="641">
        <v>0</v>
      </c>
      <c r="AE442" s="643">
        <v>0</v>
      </c>
      <c r="AF442" s="639" t="s">
        <v>276</v>
      </c>
      <c r="AG442" s="639" t="s">
        <v>277</v>
      </c>
      <c r="AH442" s="639" t="s">
        <v>573</v>
      </c>
      <c r="AI442" s="626" t="str">
        <f>IFERROR(VLOOKUP(AH442,Listas!$A$77:$C$83,2,FALSE),"Alerta: Seleccione primero el responsable")</f>
        <v>3550800</v>
      </c>
      <c r="AJ442" s="640" t="str">
        <f>IFERROR(VLOOKUP(AH442,Listas!$A$77:$C$83,3,FALSE),"Alerta: Seleccione primero el responsable")</f>
        <v>carolina.fernandez@idpc.gov.co</v>
      </c>
      <c r="AK442" s="640" t="str">
        <f>IF(J442="Funcionamiento Gastos Generales","No aplica",IF(J442="Funcionamiento Servicios Personales indirectos","No aplica",IFERROR(VLOOKUP(J442,Listas!$A$127:$E$139,3,FALSE),"Alerta: Seleccione la celda en la comumna B con el nombre del proyecto")))</f>
        <v>ME20181114</v>
      </c>
      <c r="AL442" s="640" t="str">
        <f>IF(J442="Funcionamiento Gastos Generales","No aplica",IF(J442="Funcionamiento Servicios Personales","No aplica",IFERROR(VLOOKUP(J442,Listas!$A$220:$D$224,2,FALSE),"Alerta: Seleccione la celda en la comumna B con el nombre del proyecto")))</f>
        <v>COMP1114</v>
      </c>
      <c r="AM442" s="640" t="str">
        <f>IF(J442="Funcionamiento Gastos Generales","No aplica",IF(J442="Funcionamiento Servicios Personales","No aplica",IFERROR(VLOOKUP(J442,Listas!$A$220:$D$224,3,FALSE),"Alerta: Seleccione la celda en la comumna B con el nombre del proyecto")))</f>
        <v>CONC1114</v>
      </c>
      <c r="AN442" s="633" t="s">
        <v>1054</v>
      </c>
      <c r="AO442" s="633" t="s">
        <v>62</v>
      </c>
      <c r="AP442" s="634" t="str">
        <f>IFERROR(VLOOKUP(J442,Listas!$A$182:$E$215,5,FALSE),"Alerta: Seleccione la celda en la comumna B con el nombre del proyecto")</f>
        <v>4. Obras de Intervención en Bienes muebles - inmuebles y sectores que conforman el patrimonio cultural del D.C.</v>
      </c>
      <c r="AQ442" s="634" t="str">
        <f>IF(J442="Funcionamiento Gastos Generales","No aplica",IF(J442="Funcionamiento Servicios Personales","No aplica",IFERROR(VLOOKUP(J442,Listas!$A$220:$D$224,4,FALSE),"Alerta: Seleccione la celda en la comumna B con el nombre del proyecto")))</f>
        <v>FONT1114</v>
      </c>
      <c r="AR442" s="633" t="s">
        <v>198</v>
      </c>
      <c r="AS442" s="634" t="str">
        <f>IFERROR(VLOOKUP(AU442,Listas!$E$85:$L$105,7,FALSE),"Alerta: Seleccione la celda en la comumna AI con el concepto de gasto")</f>
        <v>01-INFRAESTRUCTURA</v>
      </c>
      <c r="AT442" s="634" t="str">
        <f>IFERROR(VLOOKUP(AU442,Listas!$E$85:$L$105,8,FALSE),"Alerta: Seleccione la celda en la comumna AI con el concepto de gasto")</f>
        <v>01-CONSTRUCCION, ADECUACION Y AMPLIACION DE INFRAESTRUCTURA PROPIA DEL SECTOR</v>
      </c>
      <c r="AU442" s="633" t="s">
        <v>422</v>
      </c>
      <c r="AV442" s="634">
        <f>IFERROR(VLOOKUP(AU442,Listas!$E$85:$F$105,2,FALSE),"Alerta: Seleccione el Concepto de Gasto primero")</f>
        <v>0</v>
      </c>
      <c r="AW442" s="644">
        <v>91740000</v>
      </c>
      <c r="AX442" s="645"/>
      <c r="AY442" s="645"/>
      <c r="AZ442" s="645"/>
      <c r="BA442" s="646">
        <f t="shared" si="142"/>
        <v>91740000</v>
      </c>
      <c r="BB442" s="647"/>
      <c r="BC442" s="648"/>
      <c r="BD442" s="649"/>
      <c r="BE442" s="647"/>
      <c r="BF442" s="644"/>
      <c r="BG442" s="646">
        <f t="shared" si="143"/>
        <v>91740000</v>
      </c>
      <c r="BH442" s="650"/>
      <c r="BI442" s="647"/>
      <c r="BJ442" s="644"/>
      <c r="BK442" s="646">
        <f t="shared" si="144"/>
        <v>0</v>
      </c>
      <c r="BL442" s="651"/>
      <c r="BM442" s="652">
        <f t="shared" si="145"/>
        <v>1</v>
      </c>
      <c r="BN442" s="628"/>
      <c r="BO442" s="670"/>
      <c r="BP442" s="644"/>
      <c r="BQ442" s="644"/>
      <c r="BR442" s="644"/>
      <c r="BS442" s="644"/>
      <c r="BT442" s="644"/>
      <c r="BU442" s="644"/>
      <c r="BV442" s="644"/>
      <c r="BW442" s="644"/>
      <c r="BX442" s="644"/>
      <c r="BY442" s="644"/>
      <c r="BZ442" s="644"/>
      <c r="CA442" s="644"/>
      <c r="CB442" s="646">
        <f t="shared" si="146"/>
        <v>0</v>
      </c>
      <c r="CC442" s="646">
        <f t="shared" si="147"/>
        <v>0</v>
      </c>
      <c r="CD442" s="614"/>
      <c r="CG442" s="561" t="s">
        <v>589</v>
      </c>
    </row>
    <row r="443" spans="1:85" s="561" customFormat="1" ht="61.5" customHeight="1">
      <c r="A443" s="625" t="str">
        <f t="shared" si="129"/>
        <v xml:space="preserve">1114-140-FONT1114-01-01-0525-Bienes de Interés Cultural de tipo inmueble intervenidos </v>
      </c>
      <c r="B443" s="626" t="str">
        <f t="shared" si="130"/>
        <v>1114-140-FONT1114-01-01-0525</v>
      </c>
      <c r="C443" s="626" t="str">
        <f t="shared" si="131"/>
        <v xml:space="preserve">1114-140-FONT1114-Bienes de Interés Cultural de tipo inmueble intervenidos </v>
      </c>
      <c r="D443" s="626" t="str">
        <f t="shared" si="132"/>
        <v>1114-140-12-Otros Distrito-01-01-0525</v>
      </c>
      <c r="E443" s="626" t="str">
        <f t="shared" si="133"/>
        <v>Bienes de Interés Cultural de tipo inmueble intervenidos -12-Otros Distrito-0525-Recuperación y aprovechamiento de bienes de interés cultural</v>
      </c>
      <c r="F443" s="627">
        <v>387</v>
      </c>
      <c r="G443" s="628">
        <f t="shared" si="134"/>
        <v>387</v>
      </c>
      <c r="H443" s="629" t="b">
        <f t="shared" si="135"/>
        <v>0</v>
      </c>
      <c r="I443" s="630" t="s">
        <v>594</v>
      </c>
      <c r="J443" s="627" t="s">
        <v>180</v>
      </c>
      <c r="K443" s="631" t="str">
        <f>+IFERROR(VLOOKUP(J443,Listas!$A$108:$B$114,2,FALSE),"Alerta: Seleccione la celda en la comumna B con el nombre del proyecto")</f>
        <v>3-3-1-15-02-17-1114-140</v>
      </c>
      <c r="L443" s="632" t="s">
        <v>935</v>
      </c>
      <c r="M443" s="633" t="s">
        <v>978</v>
      </c>
      <c r="N443" s="634" t="str">
        <f t="shared" si="136"/>
        <v>(Cód. 387) Prestar servicios profesionales al Instituto Distrital de Patrimonio Cultural para realizar el monitoreo, seguimiento y apoyo a los procesos y proyectos de intervención y/o protección de patrimonio cultural, para garantizar su desarrollo y cumplimiento.</v>
      </c>
      <c r="O443" s="635">
        <v>43480</v>
      </c>
      <c r="P443" s="636">
        <f>IFERROR(VLOOKUP(W443,'Estimación CRP'!$D$21:$E$30,2,FALSE),0)</f>
        <v>10</v>
      </c>
      <c r="Q443" s="637">
        <f>IF(O443="No aplica","No aplica",WORKDAY.INTL(O443,P443,1,'Estimación CRP'!A629:A645))</f>
        <v>43494</v>
      </c>
      <c r="R443" s="636">
        <f t="shared" si="137"/>
        <v>1</v>
      </c>
      <c r="S443" s="636">
        <f t="shared" si="138"/>
        <v>1</v>
      </c>
      <c r="T443" s="636">
        <f t="shared" si="139"/>
        <v>1</v>
      </c>
      <c r="U443" s="712">
        <v>11</v>
      </c>
      <c r="V443" s="638">
        <v>1</v>
      </c>
      <c r="W443" s="639" t="s">
        <v>274</v>
      </c>
      <c r="X443" s="640" t="str">
        <f>IFERROR(VLOOKUP(W443,Listas!$A$60:$B$73,2,FALSE),"Alerta: Seleccione primero Modalidad de selección")</f>
        <v>CCE-16</v>
      </c>
      <c r="Y443" s="641">
        <v>0</v>
      </c>
      <c r="Z443" s="641" t="s">
        <v>346</v>
      </c>
      <c r="AA443" s="641" t="s">
        <v>1343</v>
      </c>
      <c r="AB443" s="642">
        <f t="shared" si="140"/>
        <v>88000000</v>
      </c>
      <c r="AC443" s="642">
        <f t="shared" si="141"/>
        <v>88000000</v>
      </c>
      <c r="AD443" s="641">
        <v>0</v>
      </c>
      <c r="AE443" s="643">
        <v>0</v>
      </c>
      <c r="AF443" s="639" t="s">
        <v>276</v>
      </c>
      <c r="AG443" s="639" t="s">
        <v>277</v>
      </c>
      <c r="AH443" s="639" t="s">
        <v>573</v>
      </c>
      <c r="AI443" s="626" t="str">
        <f>IFERROR(VLOOKUP(AH443,Listas!$A$77:$C$83,2,FALSE),"Alerta: Seleccione primero el responsable")</f>
        <v>3550800</v>
      </c>
      <c r="AJ443" s="640" t="str">
        <f>IFERROR(VLOOKUP(AH443,Listas!$A$77:$C$83,3,FALSE),"Alerta: Seleccione primero el responsable")</f>
        <v>carolina.fernandez@idpc.gov.co</v>
      </c>
      <c r="AK443" s="640" t="str">
        <f>IF(J443="Funcionamiento Gastos Generales","No aplica",IF(J443="Funcionamiento Servicios Personales indirectos","No aplica",IFERROR(VLOOKUP(J443,Listas!$A$127:$E$139,3,FALSE),"Alerta: Seleccione la celda en la comumna B con el nombre del proyecto")))</f>
        <v>ME20181114</v>
      </c>
      <c r="AL443" s="640" t="str">
        <f>IF(J443="Funcionamiento Gastos Generales","No aplica",IF(J443="Funcionamiento Servicios Personales","No aplica",IFERROR(VLOOKUP(J443,Listas!$A$220:$D$224,2,FALSE),"Alerta: Seleccione la celda en la comumna B con el nombre del proyecto")))</f>
        <v>COMP1114</v>
      </c>
      <c r="AM443" s="640" t="str">
        <f>IF(J443="Funcionamiento Gastos Generales","No aplica",IF(J443="Funcionamiento Servicios Personales","No aplica",IFERROR(VLOOKUP(J443,Listas!$A$220:$D$224,3,FALSE),"Alerta: Seleccione la celda en la comumna B con el nombre del proyecto")))</f>
        <v>CONC1114</v>
      </c>
      <c r="AN443" s="633" t="s">
        <v>1054</v>
      </c>
      <c r="AO443" s="633" t="s">
        <v>62</v>
      </c>
      <c r="AP443" s="634" t="str">
        <f>IFERROR(VLOOKUP(J443,Listas!$A$182:$E$215,5,FALSE),"Alerta: Seleccione la celda en la comumna B con el nombre del proyecto")</f>
        <v>4. Obras de Intervención en Bienes muebles - inmuebles y sectores que conforman el patrimonio cultural del D.C.</v>
      </c>
      <c r="AQ443" s="634" t="str">
        <f>IF(J443="Funcionamiento Gastos Generales","No aplica",IF(J443="Funcionamiento Servicios Personales","No aplica",IFERROR(VLOOKUP(J443,Listas!$A$220:$D$224,4,FALSE),"Alerta: Seleccione la celda en la comumna B con el nombre del proyecto")))</f>
        <v>FONT1114</v>
      </c>
      <c r="AR443" s="633" t="s">
        <v>198</v>
      </c>
      <c r="AS443" s="634" t="str">
        <f>IFERROR(VLOOKUP(AU443,Listas!$E$85:$L$105,7,FALSE),"Alerta: Seleccione la celda en la comumna AI con el concepto de gasto")</f>
        <v>01-INFRAESTRUCTURA</v>
      </c>
      <c r="AT443" s="634" t="str">
        <f>IFERROR(VLOOKUP(AU443,Listas!$E$85:$L$105,8,FALSE),"Alerta: Seleccione la celda en la comumna AI con el concepto de gasto")</f>
        <v>01-CONSTRUCCION, ADECUACION Y AMPLIACION DE INFRAESTRUCTURA PROPIA DEL SECTOR</v>
      </c>
      <c r="AU443" s="633" t="s">
        <v>422</v>
      </c>
      <c r="AV443" s="634">
        <f>IFERROR(VLOOKUP(AU443,Listas!$E$85:$F$105,2,FALSE),"Alerta: Seleccione el Concepto de Gasto primero")</f>
        <v>0</v>
      </c>
      <c r="AW443" s="644">
        <v>88000000</v>
      </c>
      <c r="AX443" s="645"/>
      <c r="AY443" s="645"/>
      <c r="AZ443" s="645"/>
      <c r="BA443" s="646">
        <f t="shared" si="142"/>
        <v>88000000</v>
      </c>
      <c r="BB443" s="647"/>
      <c r="BC443" s="648"/>
      <c r="BD443" s="649"/>
      <c r="BE443" s="647"/>
      <c r="BF443" s="644"/>
      <c r="BG443" s="646">
        <f t="shared" si="143"/>
        <v>88000000</v>
      </c>
      <c r="BH443" s="650"/>
      <c r="BI443" s="647"/>
      <c r="BJ443" s="644"/>
      <c r="BK443" s="646">
        <f t="shared" si="144"/>
        <v>0</v>
      </c>
      <c r="BL443" s="651"/>
      <c r="BM443" s="652">
        <f t="shared" si="145"/>
        <v>1</v>
      </c>
      <c r="BN443" s="628"/>
      <c r="BO443" s="670"/>
      <c r="BP443" s="644"/>
      <c r="BQ443" s="644"/>
      <c r="BR443" s="644"/>
      <c r="BS443" s="644"/>
      <c r="BT443" s="644"/>
      <c r="BU443" s="644"/>
      <c r="BV443" s="644"/>
      <c r="BW443" s="644"/>
      <c r="BX443" s="644"/>
      <c r="BY443" s="644"/>
      <c r="BZ443" s="644"/>
      <c r="CA443" s="644"/>
      <c r="CB443" s="646">
        <f t="shared" si="146"/>
        <v>0</v>
      </c>
      <c r="CC443" s="646">
        <f t="shared" si="147"/>
        <v>0</v>
      </c>
      <c r="CD443" s="614"/>
    </row>
    <row r="444" spans="1:85" s="561" customFormat="1" ht="61.5" customHeight="1">
      <c r="A444" s="625" t="str">
        <f t="shared" si="129"/>
        <v xml:space="preserve">1114-140-FONT1114-01-01-0525-Bienes de Interés Cultural de tipo inmueble intervenidos </v>
      </c>
      <c r="B444" s="626" t="str">
        <f t="shared" si="130"/>
        <v>1114-140-FONT1114-01-01-0525</v>
      </c>
      <c r="C444" s="626" t="str">
        <f t="shared" si="131"/>
        <v xml:space="preserve">1114-140-FONT1114-Bienes de Interés Cultural de tipo inmueble intervenidos </v>
      </c>
      <c r="D444" s="626" t="str">
        <f t="shared" si="132"/>
        <v>1114-140-12-Otros Distrito-01-01-0525</v>
      </c>
      <c r="E444" s="626" t="str">
        <f t="shared" si="133"/>
        <v>Bienes de Interés Cultural de tipo inmueble intervenidos -12-Otros Distrito-0525-Recuperación y aprovechamiento de bienes de interés cultural</v>
      </c>
      <c r="F444" s="627">
        <v>388</v>
      </c>
      <c r="G444" s="628">
        <f t="shared" si="134"/>
        <v>388</v>
      </c>
      <c r="H444" s="629" t="b">
        <f t="shared" si="135"/>
        <v>0</v>
      </c>
      <c r="I444" s="630" t="s">
        <v>594</v>
      </c>
      <c r="J444" s="627" t="s">
        <v>180</v>
      </c>
      <c r="K444" s="631" t="str">
        <f>+IFERROR(VLOOKUP(J444,Listas!$A$108:$B$114,2,FALSE),"Alerta: Seleccione la celda en la comumna B con el nombre del proyecto")</f>
        <v>3-3-1-15-02-17-1114-140</v>
      </c>
      <c r="L444" s="632" t="s">
        <v>979</v>
      </c>
      <c r="M444" s="633" t="s">
        <v>980</v>
      </c>
      <c r="N444" s="634" t="str">
        <f t="shared" si="136"/>
        <v>(Cód. 388) Prestar servicios profesionales al Instituto Distrital de Patrimonio Cultural para realizar la planificación, programación y control de las acciones de intervención y protección a cargo de la Subdirección de Intervención.</v>
      </c>
      <c r="O444" s="635">
        <v>43482</v>
      </c>
      <c r="P444" s="636">
        <f>IFERROR(VLOOKUP(W444,'Estimación CRP'!$D$21:$E$30,2,FALSE),0)</f>
        <v>10</v>
      </c>
      <c r="Q444" s="637">
        <f>IF(O444="No aplica","No aplica",WORKDAY.INTL(O444,P444,1,'Estimación CRP'!A630:A646))</f>
        <v>43496</v>
      </c>
      <c r="R444" s="636">
        <f t="shared" si="137"/>
        <v>1</v>
      </c>
      <c r="S444" s="636">
        <f t="shared" si="138"/>
        <v>1</v>
      </c>
      <c r="T444" s="636">
        <f t="shared" si="139"/>
        <v>1</v>
      </c>
      <c r="U444" s="712">
        <v>9</v>
      </c>
      <c r="V444" s="638">
        <v>1</v>
      </c>
      <c r="W444" s="639" t="s">
        <v>274</v>
      </c>
      <c r="X444" s="640" t="str">
        <f>IFERROR(VLOOKUP(W444,Listas!$A$60:$B$73,2,FALSE),"Alerta: Seleccione primero Modalidad de selección")</f>
        <v>CCE-16</v>
      </c>
      <c r="Y444" s="641">
        <v>0</v>
      </c>
      <c r="Z444" s="641" t="s">
        <v>346</v>
      </c>
      <c r="AA444" s="641" t="s">
        <v>1343</v>
      </c>
      <c r="AB444" s="642">
        <f t="shared" si="140"/>
        <v>48960000</v>
      </c>
      <c r="AC444" s="642">
        <f t="shared" si="141"/>
        <v>48960000</v>
      </c>
      <c r="AD444" s="641">
        <v>0</v>
      </c>
      <c r="AE444" s="643">
        <v>0</v>
      </c>
      <c r="AF444" s="639" t="s">
        <v>276</v>
      </c>
      <c r="AG444" s="639" t="s">
        <v>277</v>
      </c>
      <c r="AH444" s="639" t="s">
        <v>573</v>
      </c>
      <c r="AI444" s="626" t="str">
        <f>IFERROR(VLOOKUP(AH444,Listas!$A$77:$C$83,2,FALSE),"Alerta: Seleccione primero el responsable")</f>
        <v>3550800</v>
      </c>
      <c r="AJ444" s="640" t="str">
        <f>IFERROR(VLOOKUP(AH444,Listas!$A$77:$C$83,3,FALSE),"Alerta: Seleccione primero el responsable")</f>
        <v>carolina.fernandez@idpc.gov.co</v>
      </c>
      <c r="AK444" s="640" t="str">
        <f>IF(J444="Funcionamiento Gastos Generales","No aplica",IF(J444="Funcionamiento Servicios Personales indirectos","No aplica",IFERROR(VLOOKUP(J444,Listas!$A$127:$E$139,3,FALSE),"Alerta: Seleccione la celda en la comumna B con el nombre del proyecto")))</f>
        <v>ME20181114</v>
      </c>
      <c r="AL444" s="640" t="str">
        <f>IF(J444="Funcionamiento Gastos Generales","No aplica",IF(J444="Funcionamiento Servicios Personales","No aplica",IFERROR(VLOOKUP(J444,Listas!$A$220:$D$224,2,FALSE),"Alerta: Seleccione la celda en la comumna B con el nombre del proyecto")))</f>
        <v>COMP1114</v>
      </c>
      <c r="AM444" s="640" t="str">
        <f>IF(J444="Funcionamiento Gastos Generales","No aplica",IF(J444="Funcionamiento Servicios Personales","No aplica",IFERROR(VLOOKUP(J444,Listas!$A$220:$D$224,3,FALSE),"Alerta: Seleccione la celda en la comumna B con el nombre del proyecto")))</f>
        <v>CONC1114</v>
      </c>
      <c r="AN444" s="633" t="s">
        <v>1054</v>
      </c>
      <c r="AO444" s="633" t="s">
        <v>62</v>
      </c>
      <c r="AP444" s="634" t="str">
        <f>IFERROR(VLOOKUP(J444,Listas!$A$182:$E$215,5,FALSE),"Alerta: Seleccione la celda en la comumna B con el nombre del proyecto")</f>
        <v>4. Obras de Intervención en Bienes muebles - inmuebles y sectores que conforman el patrimonio cultural del D.C.</v>
      </c>
      <c r="AQ444" s="634" t="str">
        <f>IF(J444="Funcionamiento Gastos Generales","No aplica",IF(J444="Funcionamiento Servicios Personales","No aplica",IFERROR(VLOOKUP(J444,Listas!$A$220:$D$224,4,FALSE),"Alerta: Seleccione la celda en la comumna B con el nombre del proyecto")))</f>
        <v>FONT1114</v>
      </c>
      <c r="AR444" s="633" t="s">
        <v>198</v>
      </c>
      <c r="AS444" s="634" t="str">
        <f>IFERROR(VLOOKUP(AU444,Listas!$E$85:$L$105,7,FALSE),"Alerta: Seleccione la celda en la comumna AI con el concepto de gasto")</f>
        <v>01-INFRAESTRUCTURA</v>
      </c>
      <c r="AT444" s="634" t="str">
        <f>IFERROR(VLOOKUP(AU444,Listas!$E$85:$L$105,8,FALSE),"Alerta: Seleccione la celda en la comumna AI con el concepto de gasto")</f>
        <v>01-CONSTRUCCION, ADECUACION Y AMPLIACION DE INFRAESTRUCTURA PROPIA DEL SECTOR</v>
      </c>
      <c r="AU444" s="633" t="s">
        <v>422</v>
      </c>
      <c r="AV444" s="634">
        <f>IFERROR(VLOOKUP(AU444,Listas!$E$85:$F$105,2,FALSE),"Alerta: Seleccione el Concepto de Gasto primero")</f>
        <v>0</v>
      </c>
      <c r="AW444" s="644">
        <v>48960000</v>
      </c>
      <c r="AX444" s="645"/>
      <c r="AY444" s="645"/>
      <c r="AZ444" s="645"/>
      <c r="BA444" s="646">
        <f t="shared" si="142"/>
        <v>48960000</v>
      </c>
      <c r="BB444" s="647"/>
      <c r="BC444" s="648"/>
      <c r="BD444" s="649"/>
      <c r="BE444" s="647"/>
      <c r="BF444" s="644"/>
      <c r="BG444" s="646">
        <f t="shared" si="143"/>
        <v>48960000</v>
      </c>
      <c r="BH444" s="650"/>
      <c r="BI444" s="647"/>
      <c r="BJ444" s="644"/>
      <c r="BK444" s="646">
        <f t="shared" si="144"/>
        <v>0</v>
      </c>
      <c r="BL444" s="651"/>
      <c r="BM444" s="652">
        <f t="shared" si="145"/>
        <v>1</v>
      </c>
      <c r="BN444" s="628"/>
      <c r="BO444" s="670"/>
      <c r="BP444" s="644"/>
      <c r="BQ444" s="644"/>
      <c r="BR444" s="644"/>
      <c r="BS444" s="644"/>
      <c r="BT444" s="644"/>
      <c r="BU444" s="644"/>
      <c r="BV444" s="644"/>
      <c r="BW444" s="644"/>
      <c r="BX444" s="644"/>
      <c r="BY444" s="644"/>
      <c r="BZ444" s="644"/>
      <c r="CA444" s="644"/>
      <c r="CB444" s="646">
        <f t="shared" si="146"/>
        <v>0</v>
      </c>
      <c r="CC444" s="646">
        <f t="shared" si="147"/>
        <v>0</v>
      </c>
      <c r="CD444" s="614"/>
    </row>
    <row r="445" spans="1:85" s="561" customFormat="1" ht="61.5" customHeight="1">
      <c r="A445" s="625" t="str">
        <f t="shared" si="129"/>
        <v xml:space="preserve">1114-140-FONT1114-01-01-0525-Bienes de Interés Cultural de tipo inmueble intervenidos </v>
      </c>
      <c r="B445" s="626" t="str">
        <f t="shared" si="130"/>
        <v>1114-140-FONT1114-01-01-0525</v>
      </c>
      <c r="C445" s="626" t="str">
        <f t="shared" si="131"/>
        <v xml:space="preserve">1114-140-FONT1114-Bienes de Interés Cultural de tipo inmueble intervenidos </v>
      </c>
      <c r="D445" s="626" t="str">
        <f t="shared" si="132"/>
        <v>1114-140-12-Otros Distrito-01-01-0525</v>
      </c>
      <c r="E445" s="626" t="str">
        <f t="shared" si="133"/>
        <v>Bienes de Interés Cultural de tipo inmueble intervenidos -12-Otros Distrito-0525-Recuperación y aprovechamiento de bienes de interés cultural</v>
      </c>
      <c r="F445" s="627">
        <v>389</v>
      </c>
      <c r="G445" s="628">
        <f t="shared" si="134"/>
        <v>389</v>
      </c>
      <c r="H445" s="629" t="b">
        <f t="shared" si="135"/>
        <v>0</v>
      </c>
      <c r="I445" s="630" t="s">
        <v>594</v>
      </c>
      <c r="J445" s="627" t="s">
        <v>180</v>
      </c>
      <c r="K445" s="631" t="str">
        <f>+IFERROR(VLOOKUP(J445,Listas!$A$108:$B$114,2,FALSE),"Alerta: Seleccione la celda en la comumna B con el nombre del proyecto")</f>
        <v>3-3-1-15-02-17-1114-140</v>
      </c>
      <c r="L445" s="632" t="s">
        <v>981</v>
      </c>
      <c r="M445" s="633" t="s">
        <v>982</v>
      </c>
      <c r="N445" s="634" t="str">
        <f t="shared" si="136"/>
        <v>(Cód. 389) Prestar servicios profesionales al Instituto Distrital de Patrimonio Cultural, para acompañar la revisión de los estudios y emisión de conceptos de las obras de intervención que desarrolle la Entidad.</v>
      </c>
      <c r="O445" s="635">
        <v>43480</v>
      </c>
      <c r="P445" s="636">
        <f>IFERROR(VLOOKUP(W445,'Estimación CRP'!$D$21:$E$30,2,FALSE),0)</f>
        <v>10</v>
      </c>
      <c r="Q445" s="637">
        <f>IF(O445="No aplica","No aplica",WORKDAY.INTL(O445,P445,1,'Estimación CRP'!A631:A647))</f>
        <v>43494</v>
      </c>
      <c r="R445" s="636">
        <f t="shared" si="137"/>
        <v>1</v>
      </c>
      <c r="S445" s="636">
        <f t="shared" si="138"/>
        <v>1</v>
      </c>
      <c r="T445" s="636">
        <f t="shared" si="139"/>
        <v>1</v>
      </c>
      <c r="U445" s="712">
        <v>10</v>
      </c>
      <c r="V445" s="638">
        <v>1</v>
      </c>
      <c r="W445" s="639" t="s">
        <v>274</v>
      </c>
      <c r="X445" s="640" t="str">
        <f>IFERROR(VLOOKUP(W445,Listas!$A$60:$B$73,2,FALSE),"Alerta: Seleccione primero Modalidad de selección")</f>
        <v>CCE-16</v>
      </c>
      <c r="Y445" s="641">
        <v>0</v>
      </c>
      <c r="Z445" s="641" t="s">
        <v>346</v>
      </c>
      <c r="AA445" s="641" t="s">
        <v>1343</v>
      </c>
      <c r="AB445" s="642">
        <f t="shared" si="140"/>
        <v>87500000</v>
      </c>
      <c r="AC445" s="642">
        <f t="shared" si="141"/>
        <v>87500000</v>
      </c>
      <c r="AD445" s="641">
        <v>0</v>
      </c>
      <c r="AE445" s="643">
        <v>0</v>
      </c>
      <c r="AF445" s="639" t="s">
        <v>276</v>
      </c>
      <c r="AG445" s="639" t="s">
        <v>277</v>
      </c>
      <c r="AH445" s="639" t="s">
        <v>573</v>
      </c>
      <c r="AI445" s="626" t="str">
        <f>IFERROR(VLOOKUP(AH445,Listas!$A$77:$C$83,2,FALSE),"Alerta: Seleccione primero el responsable")</f>
        <v>3550800</v>
      </c>
      <c r="AJ445" s="640" t="str">
        <f>IFERROR(VLOOKUP(AH445,Listas!$A$77:$C$83,3,FALSE),"Alerta: Seleccione primero el responsable")</f>
        <v>carolina.fernandez@idpc.gov.co</v>
      </c>
      <c r="AK445" s="640" t="str">
        <f>IF(J445="Funcionamiento Gastos Generales","No aplica",IF(J445="Funcionamiento Servicios Personales indirectos","No aplica",IFERROR(VLOOKUP(J445,Listas!$A$127:$E$139,3,FALSE),"Alerta: Seleccione la celda en la comumna B con el nombre del proyecto")))</f>
        <v>ME20181114</v>
      </c>
      <c r="AL445" s="640" t="str">
        <f>IF(J445="Funcionamiento Gastos Generales","No aplica",IF(J445="Funcionamiento Servicios Personales","No aplica",IFERROR(VLOOKUP(J445,Listas!$A$220:$D$224,2,FALSE),"Alerta: Seleccione la celda en la comumna B con el nombre del proyecto")))</f>
        <v>COMP1114</v>
      </c>
      <c r="AM445" s="640" t="str">
        <f>IF(J445="Funcionamiento Gastos Generales","No aplica",IF(J445="Funcionamiento Servicios Personales","No aplica",IFERROR(VLOOKUP(J445,Listas!$A$220:$D$224,3,FALSE),"Alerta: Seleccione la celda en la comumna B con el nombre del proyecto")))</f>
        <v>CONC1114</v>
      </c>
      <c r="AN445" s="633" t="s">
        <v>1054</v>
      </c>
      <c r="AO445" s="633" t="s">
        <v>62</v>
      </c>
      <c r="AP445" s="634" t="str">
        <f>IFERROR(VLOOKUP(J445,Listas!$A$182:$E$215,5,FALSE),"Alerta: Seleccione la celda en la comumna B con el nombre del proyecto")</f>
        <v>4. Obras de Intervención en Bienes muebles - inmuebles y sectores que conforman el patrimonio cultural del D.C.</v>
      </c>
      <c r="AQ445" s="634" t="str">
        <f>IF(J445="Funcionamiento Gastos Generales","No aplica",IF(J445="Funcionamiento Servicios Personales","No aplica",IFERROR(VLOOKUP(J445,Listas!$A$220:$D$224,4,FALSE),"Alerta: Seleccione la celda en la comumna B con el nombre del proyecto")))</f>
        <v>FONT1114</v>
      </c>
      <c r="AR445" s="633" t="s">
        <v>198</v>
      </c>
      <c r="AS445" s="634" t="str">
        <f>IFERROR(VLOOKUP(AU445,Listas!$E$85:$L$105,7,FALSE),"Alerta: Seleccione la celda en la comumna AI con el concepto de gasto")</f>
        <v>01-INFRAESTRUCTURA</v>
      </c>
      <c r="AT445" s="634" t="str">
        <f>IFERROR(VLOOKUP(AU445,Listas!$E$85:$L$105,8,FALSE),"Alerta: Seleccione la celda en la comumna AI con el concepto de gasto")</f>
        <v>01-CONSTRUCCION, ADECUACION Y AMPLIACION DE INFRAESTRUCTURA PROPIA DEL SECTOR</v>
      </c>
      <c r="AU445" s="633" t="s">
        <v>422</v>
      </c>
      <c r="AV445" s="634">
        <f>IFERROR(VLOOKUP(AU445,Listas!$E$85:$F$105,2,FALSE),"Alerta: Seleccione el Concepto de Gasto primero")</f>
        <v>0</v>
      </c>
      <c r="AW445" s="644">
        <v>87500000</v>
      </c>
      <c r="AX445" s="645"/>
      <c r="AY445" s="645"/>
      <c r="AZ445" s="645"/>
      <c r="BA445" s="646">
        <f t="shared" si="142"/>
        <v>87500000</v>
      </c>
      <c r="BB445" s="647"/>
      <c r="BC445" s="648"/>
      <c r="BD445" s="649"/>
      <c r="BE445" s="647"/>
      <c r="BF445" s="644"/>
      <c r="BG445" s="646">
        <f t="shared" si="143"/>
        <v>87500000</v>
      </c>
      <c r="BH445" s="650"/>
      <c r="BI445" s="647"/>
      <c r="BJ445" s="644"/>
      <c r="BK445" s="646">
        <f t="shared" si="144"/>
        <v>0</v>
      </c>
      <c r="BL445" s="651"/>
      <c r="BM445" s="652">
        <f t="shared" si="145"/>
        <v>1</v>
      </c>
      <c r="BN445" s="628"/>
      <c r="BO445" s="670"/>
      <c r="BP445" s="644"/>
      <c r="BQ445" s="644"/>
      <c r="BR445" s="644"/>
      <c r="BS445" s="644"/>
      <c r="BT445" s="644"/>
      <c r="BU445" s="644"/>
      <c r="BV445" s="644"/>
      <c r="BW445" s="644"/>
      <c r="BX445" s="644"/>
      <c r="BY445" s="644"/>
      <c r="BZ445" s="644"/>
      <c r="CA445" s="644"/>
      <c r="CB445" s="646">
        <f t="shared" si="146"/>
        <v>0</v>
      </c>
      <c r="CC445" s="646">
        <f t="shared" si="147"/>
        <v>0</v>
      </c>
      <c r="CD445" s="614"/>
    </row>
    <row r="446" spans="1:85" s="561" customFormat="1" ht="61.5" customHeight="1">
      <c r="A446" s="625" t="str">
        <f t="shared" si="129"/>
        <v xml:space="preserve">1114-140-FONT1114-01-01-0525-Bienes de Interés Cultural de tipo inmueble intervenidos </v>
      </c>
      <c r="B446" s="626" t="str">
        <f t="shared" si="130"/>
        <v>1114-140-FONT1114-01-01-0525</v>
      </c>
      <c r="C446" s="626" t="str">
        <f t="shared" si="131"/>
        <v xml:space="preserve">1114-140-FONT1114-Bienes de Interés Cultural de tipo inmueble intervenidos </v>
      </c>
      <c r="D446" s="626" t="str">
        <f t="shared" si="132"/>
        <v>1114-140-12-Otros Distrito-01-01-0525</v>
      </c>
      <c r="E446" s="626" t="str">
        <f t="shared" si="133"/>
        <v>Bienes de Interés Cultural de tipo inmueble intervenidos -12-Otros Distrito-0525-Recuperación y aprovechamiento de bienes de interés cultural</v>
      </c>
      <c r="F446" s="627">
        <v>390</v>
      </c>
      <c r="G446" s="628">
        <f t="shared" si="134"/>
        <v>390</v>
      </c>
      <c r="H446" s="629" t="b">
        <f t="shared" si="135"/>
        <v>0</v>
      </c>
      <c r="I446" s="630" t="s">
        <v>594</v>
      </c>
      <c r="J446" s="627" t="s">
        <v>180</v>
      </c>
      <c r="K446" s="631" t="str">
        <f>+IFERROR(VLOOKUP(J446,Listas!$A$108:$B$114,2,FALSE),"Alerta: Seleccione la celda en la comumna B con el nombre del proyecto")</f>
        <v>3-3-1-15-02-17-1114-140</v>
      </c>
      <c r="L446" s="632" t="s">
        <v>983</v>
      </c>
      <c r="M446" s="633" t="s">
        <v>984</v>
      </c>
      <c r="N446" s="634" t="str">
        <f t="shared" si="136"/>
        <v>(Cód. 390) Prestar servicios profesionales especializados para apoyar al Instituto Distrital de Patrimonio Cultural en los temas relacionados con estructuración y ejecución de obras en proyectos de conservación y restauración en bienes inmuebles de interés cultural.</v>
      </c>
      <c r="O446" s="635">
        <v>43480</v>
      </c>
      <c r="P446" s="636">
        <f>IFERROR(VLOOKUP(W446,'Estimación CRP'!$D$21:$E$30,2,FALSE),0)</f>
        <v>10</v>
      </c>
      <c r="Q446" s="637">
        <f>IF(O446="No aplica","No aplica",WORKDAY.INTL(O446,P446,1,'Estimación CRP'!A632:A648))</f>
        <v>43494</v>
      </c>
      <c r="R446" s="636">
        <f t="shared" si="137"/>
        <v>1</v>
      </c>
      <c r="S446" s="636">
        <f t="shared" si="138"/>
        <v>1</v>
      </c>
      <c r="T446" s="636">
        <f t="shared" si="139"/>
        <v>1</v>
      </c>
      <c r="U446" s="712">
        <v>10</v>
      </c>
      <c r="V446" s="638">
        <v>1</v>
      </c>
      <c r="W446" s="639" t="s">
        <v>274</v>
      </c>
      <c r="X446" s="640" t="str">
        <f>IFERROR(VLOOKUP(W446,Listas!$A$60:$B$73,2,FALSE),"Alerta: Seleccione primero Modalidad de selección")</f>
        <v>CCE-16</v>
      </c>
      <c r="Y446" s="641">
        <v>0</v>
      </c>
      <c r="Z446" s="641" t="s">
        <v>346</v>
      </c>
      <c r="AA446" s="641" t="s">
        <v>1343</v>
      </c>
      <c r="AB446" s="642">
        <f t="shared" si="140"/>
        <v>72000000</v>
      </c>
      <c r="AC446" s="642">
        <f t="shared" si="141"/>
        <v>72000000</v>
      </c>
      <c r="AD446" s="641">
        <v>0</v>
      </c>
      <c r="AE446" s="643">
        <v>0</v>
      </c>
      <c r="AF446" s="639" t="s">
        <v>276</v>
      </c>
      <c r="AG446" s="639" t="s">
        <v>277</v>
      </c>
      <c r="AH446" s="639" t="s">
        <v>573</v>
      </c>
      <c r="AI446" s="626" t="str">
        <f>IFERROR(VLOOKUP(AH446,Listas!$A$77:$C$83,2,FALSE),"Alerta: Seleccione primero el responsable")</f>
        <v>3550800</v>
      </c>
      <c r="AJ446" s="640" t="str">
        <f>IFERROR(VLOOKUP(AH446,Listas!$A$77:$C$83,3,FALSE),"Alerta: Seleccione primero el responsable")</f>
        <v>carolina.fernandez@idpc.gov.co</v>
      </c>
      <c r="AK446" s="640" t="str">
        <f>IF(J446="Funcionamiento Gastos Generales","No aplica",IF(J446="Funcionamiento Servicios Personales indirectos","No aplica",IFERROR(VLOOKUP(J446,Listas!$A$127:$E$139,3,FALSE),"Alerta: Seleccione la celda en la comumna B con el nombre del proyecto")))</f>
        <v>ME20181114</v>
      </c>
      <c r="AL446" s="640" t="str">
        <f>IF(J446="Funcionamiento Gastos Generales","No aplica",IF(J446="Funcionamiento Servicios Personales","No aplica",IFERROR(VLOOKUP(J446,Listas!$A$220:$D$224,2,FALSE),"Alerta: Seleccione la celda en la comumna B con el nombre del proyecto")))</f>
        <v>COMP1114</v>
      </c>
      <c r="AM446" s="640" t="str">
        <f>IF(J446="Funcionamiento Gastos Generales","No aplica",IF(J446="Funcionamiento Servicios Personales","No aplica",IFERROR(VLOOKUP(J446,Listas!$A$220:$D$224,3,FALSE),"Alerta: Seleccione la celda en la comumna B con el nombre del proyecto")))</f>
        <v>CONC1114</v>
      </c>
      <c r="AN446" s="633" t="s">
        <v>1054</v>
      </c>
      <c r="AO446" s="633" t="s">
        <v>62</v>
      </c>
      <c r="AP446" s="634" t="str">
        <f>IFERROR(VLOOKUP(J446,Listas!$A$182:$E$215,5,FALSE),"Alerta: Seleccione la celda en la comumna B con el nombre del proyecto")</f>
        <v>4. Obras de Intervención en Bienes muebles - inmuebles y sectores que conforman el patrimonio cultural del D.C.</v>
      </c>
      <c r="AQ446" s="634" t="str">
        <f>IF(J446="Funcionamiento Gastos Generales","No aplica",IF(J446="Funcionamiento Servicios Personales","No aplica",IFERROR(VLOOKUP(J446,Listas!$A$220:$D$224,4,FALSE),"Alerta: Seleccione la celda en la comumna B con el nombre del proyecto")))</f>
        <v>FONT1114</v>
      </c>
      <c r="AR446" s="633" t="s">
        <v>198</v>
      </c>
      <c r="AS446" s="634" t="str">
        <f>IFERROR(VLOOKUP(AU446,Listas!$E$85:$L$105,7,FALSE),"Alerta: Seleccione la celda en la comumna AI con el concepto de gasto")</f>
        <v>01-INFRAESTRUCTURA</v>
      </c>
      <c r="AT446" s="634" t="str">
        <f>IFERROR(VLOOKUP(AU446,Listas!$E$85:$L$105,8,FALSE),"Alerta: Seleccione la celda en la comumna AI con el concepto de gasto")</f>
        <v>01-CONSTRUCCION, ADECUACION Y AMPLIACION DE INFRAESTRUCTURA PROPIA DEL SECTOR</v>
      </c>
      <c r="AU446" s="633" t="s">
        <v>422</v>
      </c>
      <c r="AV446" s="634">
        <f>IFERROR(VLOOKUP(AU446,Listas!$E$85:$F$105,2,FALSE),"Alerta: Seleccione el Concepto de Gasto primero")</f>
        <v>0</v>
      </c>
      <c r="AW446" s="644">
        <v>72000000</v>
      </c>
      <c r="AX446" s="645"/>
      <c r="AY446" s="645"/>
      <c r="AZ446" s="645"/>
      <c r="BA446" s="646">
        <f t="shared" si="142"/>
        <v>72000000</v>
      </c>
      <c r="BB446" s="647"/>
      <c r="BC446" s="648"/>
      <c r="BD446" s="649"/>
      <c r="BE446" s="647"/>
      <c r="BF446" s="644"/>
      <c r="BG446" s="646">
        <f t="shared" si="143"/>
        <v>72000000</v>
      </c>
      <c r="BH446" s="650"/>
      <c r="BI446" s="647"/>
      <c r="BJ446" s="644"/>
      <c r="BK446" s="646">
        <f t="shared" si="144"/>
        <v>0</v>
      </c>
      <c r="BL446" s="651"/>
      <c r="BM446" s="652">
        <f t="shared" si="145"/>
        <v>1</v>
      </c>
      <c r="BN446" s="628"/>
      <c r="BO446" s="670"/>
      <c r="BP446" s="644"/>
      <c r="BQ446" s="644"/>
      <c r="BR446" s="644"/>
      <c r="BS446" s="644"/>
      <c r="BT446" s="644"/>
      <c r="BU446" s="644"/>
      <c r="BV446" s="644"/>
      <c r="BW446" s="644"/>
      <c r="BX446" s="644"/>
      <c r="BY446" s="644"/>
      <c r="BZ446" s="644"/>
      <c r="CA446" s="644"/>
      <c r="CB446" s="646">
        <f t="shared" si="146"/>
        <v>0</v>
      </c>
      <c r="CC446" s="646">
        <f t="shared" si="147"/>
        <v>0</v>
      </c>
      <c r="CD446" s="614"/>
    </row>
    <row r="447" spans="1:85" s="561" customFormat="1" ht="61.5" customHeight="1">
      <c r="A447" s="625" t="str">
        <f t="shared" si="129"/>
        <v xml:space="preserve">1114-140-FONT1114-01-01-0525-Bienes de Interés Cultural de tipo inmueble intervenidos </v>
      </c>
      <c r="B447" s="626" t="str">
        <f t="shared" si="130"/>
        <v>1114-140-FONT1114-01-01-0525</v>
      </c>
      <c r="C447" s="626" t="str">
        <f t="shared" si="131"/>
        <v xml:space="preserve">1114-140-FONT1114-Bienes de Interés Cultural de tipo inmueble intervenidos </v>
      </c>
      <c r="D447" s="626" t="str">
        <f t="shared" si="132"/>
        <v>1114-140-12-Otros Distrito-01-01-0525</v>
      </c>
      <c r="E447" s="626" t="str">
        <f t="shared" si="133"/>
        <v>Bienes de Interés Cultural de tipo inmueble intervenidos -12-Otros Distrito-0525-Recuperación y aprovechamiento de bienes de interés cultural</v>
      </c>
      <c r="F447" s="627">
        <v>391</v>
      </c>
      <c r="G447" s="628">
        <f t="shared" si="134"/>
        <v>391</v>
      </c>
      <c r="H447" s="629" t="b">
        <f t="shared" si="135"/>
        <v>0</v>
      </c>
      <c r="I447" s="630" t="s">
        <v>594</v>
      </c>
      <c r="J447" s="627" t="s">
        <v>180</v>
      </c>
      <c r="K447" s="631" t="str">
        <f>+IFERROR(VLOOKUP(J447,Listas!$A$108:$B$114,2,FALSE),"Alerta: Seleccione la celda en la comumna B con el nombre del proyecto")</f>
        <v>3-3-1-15-02-17-1114-140</v>
      </c>
      <c r="L447" s="632" t="s">
        <v>954</v>
      </c>
      <c r="M447" s="633" t="s">
        <v>985</v>
      </c>
      <c r="N447" s="634" t="str">
        <f t="shared" si="136"/>
        <v>(Cód. 391) Prestar servicios profesionales para apoyar las actividades técnicas y operativas para el desarrollo de los proyectos de protección e intervención del patrimonio a cargo de la Subdirección de Intervención.</v>
      </c>
      <c r="O447" s="635">
        <v>43494</v>
      </c>
      <c r="P447" s="636">
        <f>IFERROR(VLOOKUP(W447,'Estimación CRP'!$D$21:$E$30,2,FALSE),0)</f>
        <v>10</v>
      </c>
      <c r="Q447" s="637">
        <f>IF(O447="No aplica","No aplica",WORKDAY.INTL(O447,P447,1,'Estimación CRP'!A633:A649))</f>
        <v>43508</v>
      </c>
      <c r="R447" s="636">
        <f t="shared" si="137"/>
        <v>2</v>
      </c>
      <c r="S447" s="636">
        <f t="shared" si="138"/>
        <v>1</v>
      </c>
      <c r="T447" s="636">
        <f t="shared" si="139"/>
        <v>1</v>
      </c>
      <c r="U447" s="712">
        <v>11</v>
      </c>
      <c r="V447" s="638">
        <v>1</v>
      </c>
      <c r="W447" s="639" t="s">
        <v>274</v>
      </c>
      <c r="X447" s="640" t="str">
        <f>IFERROR(VLOOKUP(W447,Listas!$A$60:$B$73,2,FALSE),"Alerta: Seleccione primero Modalidad de selección")</f>
        <v>CCE-16</v>
      </c>
      <c r="Y447" s="641">
        <v>0</v>
      </c>
      <c r="Z447" s="641" t="s">
        <v>346</v>
      </c>
      <c r="AA447" s="641" t="s">
        <v>1343</v>
      </c>
      <c r="AB447" s="642">
        <f t="shared" si="140"/>
        <v>45320000</v>
      </c>
      <c r="AC447" s="642">
        <f t="shared" si="141"/>
        <v>45320000</v>
      </c>
      <c r="AD447" s="641">
        <v>0</v>
      </c>
      <c r="AE447" s="643">
        <v>0</v>
      </c>
      <c r="AF447" s="639" t="s">
        <v>276</v>
      </c>
      <c r="AG447" s="639" t="s">
        <v>277</v>
      </c>
      <c r="AH447" s="639" t="s">
        <v>573</v>
      </c>
      <c r="AI447" s="626" t="str">
        <f>IFERROR(VLOOKUP(AH447,Listas!$A$77:$C$83,2,FALSE),"Alerta: Seleccione primero el responsable")</f>
        <v>3550800</v>
      </c>
      <c r="AJ447" s="640" t="str">
        <f>IFERROR(VLOOKUP(AH447,Listas!$A$77:$C$83,3,FALSE),"Alerta: Seleccione primero el responsable")</f>
        <v>carolina.fernandez@idpc.gov.co</v>
      </c>
      <c r="AK447" s="640" t="str">
        <f>IF(J447="Funcionamiento Gastos Generales","No aplica",IF(J447="Funcionamiento Servicios Personales indirectos","No aplica",IFERROR(VLOOKUP(J447,Listas!$A$127:$E$139,3,FALSE),"Alerta: Seleccione la celda en la comumna B con el nombre del proyecto")))</f>
        <v>ME20181114</v>
      </c>
      <c r="AL447" s="640" t="str">
        <f>IF(J447="Funcionamiento Gastos Generales","No aplica",IF(J447="Funcionamiento Servicios Personales","No aplica",IFERROR(VLOOKUP(J447,Listas!$A$220:$D$224,2,FALSE),"Alerta: Seleccione la celda en la comumna B con el nombre del proyecto")))</f>
        <v>COMP1114</v>
      </c>
      <c r="AM447" s="640" t="str">
        <f>IF(J447="Funcionamiento Gastos Generales","No aplica",IF(J447="Funcionamiento Servicios Personales","No aplica",IFERROR(VLOOKUP(J447,Listas!$A$220:$D$224,3,FALSE),"Alerta: Seleccione la celda en la comumna B con el nombre del proyecto")))</f>
        <v>CONC1114</v>
      </c>
      <c r="AN447" s="633" t="s">
        <v>1054</v>
      </c>
      <c r="AO447" s="633" t="s">
        <v>62</v>
      </c>
      <c r="AP447" s="634" t="str">
        <f>IFERROR(VLOOKUP(J447,Listas!$A$182:$E$215,5,FALSE),"Alerta: Seleccione la celda en la comumna B con el nombre del proyecto")</f>
        <v>4. Obras de Intervención en Bienes muebles - inmuebles y sectores que conforman el patrimonio cultural del D.C.</v>
      </c>
      <c r="AQ447" s="634" t="str">
        <f>IF(J447="Funcionamiento Gastos Generales","No aplica",IF(J447="Funcionamiento Servicios Personales","No aplica",IFERROR(VLOOKUP(J447,Listas!$A$220:$D$224,4,FALSE),"Alerta: Seleccione la celda en la comumna B con el nombre del proyecto")))</f>
        <v>FONT1114</v>
      </c>
      <c r="AR447" s="633" t="s">
        <v>198</v>
      </c>
      <c r="AS447" s="634" t="str">
        <f>IFERROR(VLOOKUP(AU447,Listas!$E$85:$L$105,7,FALSE),"Alerta: Seleccione la celda en la comumna AI con el concepto de gasto")</f>
        <v>01-INFRAESTRUCTURA</v>
      </c>
      <c r="AT447" s="634" t="str">
        <f>IFERROR(VLOOKUP(AU447,Listas!$E$85:$L$105,8,FALSE),"Alerta: Seleccione la celda en la comumna AI con el concepto de gasto")</f>
        <v>01-CONSTRUCCION, ADECUACION Y AMPLIACION DE INFRAESTRUCTURA PROPIA DEL SECTOR</v>
      </c>
      <c r="AU447" s="633" t="s">
        <v>422</v>
      </c>
      <c r="AV447" s="634">
        <f>IFERROR(VLOOKUP(AU447,Listas!$E$85:$F$105,2,FALSE),"Alerta: Seleccione el Concepto de Gasto primero")</f>
        <v>0</v>
      </c>
      <c r="AW447" s="644">
        <v>45320000</v>
      </c>
      <c r="AX447" s="645"/>
      <c r="AY447" s="645"/>
      <c r="AZ447" s="645"/>
      <c r="BA447" s="646">
        <f t="shared" si="142"/>
        <v>45320000</v>
      </c>
      <c r="BB447" s="647"/>
      <c r="BC447" s="648"/>
      <c r="BD447" s="649"/>
      <c r="BE447" s="647"/>
      <c r="BF447" s="644"/>
      <c r="BG447" s="646">
        <f t="shared" si="143"/>
        <v>45320000</v>
      </c>
      <c r="BH447" s="650"/>
      <c r="BI447" s="647"/>
      <c r="BJ447" s="644"/>
      <c r="BK447" s="646">
        <f t="shared" si="144"/>
        <v>0</v>
      </c>
      <c r="BL447" s="651"/>
      <c r="BM447" s="652">
        <f t="shared" si="145"/>
        <v>1</v>
      </c>
      <c r="BN447" s="628"/>
      <c r="BO447" s="670"/>
      <c r="BP447" s="644"/>
      <c r="BQ447" s="644"/>
      <c r="BR447" s="644"/>
      <c r="BS447" s="644"/>
      <c r="BT447" s="644"/>
      <c r="BU447" s="644"/>
      <c r="BV447" s="644"/>
      <c r="BW447" s="644"/>
      <c r="BX447" s="644"/>
      <c r="BY447" s="644"/>
      <c r="BZ447" s="644"/>
      <c r="CA447" s="644"/>
      <c r="CB447" s="646">
        <f t="shared" si="146"/>
        <v>0</v>
      </c>
      <c r="CC447" s="646">
        <f t="shared" si="147"/>
        <v>0</v>
      </c>
      <c r="CD447" s="614"/>
    </row>
    <row r="448" spans="1:85" s="561" customFormat="1" ht="61.5" customHeight="1">
      <c r="A448" s="625" t="str">
        <f t="shared" si="129"/>
        <v xml:space="preserve">1114-140-FONT1114-01-01-0525-Bienes de Interés Cultural de tipo inmueble intervenidos </v>
      </c>
      <c r="B448" s="626" t="str">
        <f t="shared" si="130"/>
        <v>1114-140-FONT1114-01-01-0525</v>
      </c>
      <c r="C448" s="626" t="str">
        <f t="shared" si="131"/>
        <v xml:space="preserve">1114-140-FONT1114-Bienes de Interés Cultural de tipo inmueble intervenidos </v>
      </c>
      <c r="D448" s="626" t="str">
        <f t="shared" si="132"/>
        <v>1114-140-12-Otros Distrito-01-01-0525</v>
      </c>
      <c r="E448" s="626" t="str">
        <f t="shared" si="133"/>
        <v>Bienes de Interés Cultural de tipo inmueble intervenidos -12-Otros Distrito-0525-Recuperación y aprovechamiento de bienes de interés cultural</v>
      </c>
      <c r="F448" s="627">
        <v>392</v>
      </c>
      <c r="G448" s="628">
        <f t="shared" si="134"/>
        <v>392</v>
      </c>
      <c r="H448" s="629" t="b">
        <f t="shared" si="135"/>
        <v>0</v>
      </c>
      <c r="I448" s="630" t="s">
        <v>594</v>
      </c>
      <c r="J448" s="627" t="s">
        <v>180</v>
      </c>
      <c r="K448" s="631" t="str">
        <f>+IFERROR(VLOOKUP(J448,Listas!$A$108:$B$114,2,FALSE),"Alerta: Seleccione la celda en la comumna B con el nombre del proyecto")</f>
        <v>3-3-1-15-02-17-1114-140</v>
      </c>
      <c r="L448" s="632" t="s">
        <v>973</v>
      </c>
      <c r="M448" s="633" t="s">
        <v>985</v>
      </c>
      <c r="N448" s="634" t="str">
        <f t="shared" si="136"/>
        <v>(Cód. 392) Prestar servicios profesionales para apoyar las actividades técnicas y operativas para el desarrollo de los proyectos de protección e intervención del patrimonio a cargo de la Subdirección de Intervención.</v>
      </c>
      <c r="O448" s="635">
        <v>43485</v>
      </c>
      <c r="P448" s="636">
        <f>IFERROR(VLOOKUP(W448,'Estimación CRP'!$D$21:$E$30,2,FALSE),0)</f>
        <v>10</v>
      </c>
      <c r="Q448" s="637">
        <f>IF(O448="No aplica","No aplica",WORKDAY.INTL(O448,P448,1,'Estimación CRP'!A634:A650))</f>
        <v>43497</v>
      </c>
      <c r="R448" s="636">
        <f t="shared" si="137"/>
        <v>2</v>
      </c>
      <c r="S448" s="636">
        <f t="shared" si="138"/>
        <v>1</v>
      </c>
      <c r="T448" s="636">
        <f t="shared" si="139"/>
        <v>1</v>
      </c>
      <c r="U448" s="712">
        <v>9</v>
      </c>
      <c r="V448" s="638">
        <v>1</v>
      </c>
      <c r="W448" s="639" t="s">
        <v>274</v>
      </c>
      <c r="X448" s="640" t="str">
        <f>IFERROR(VLOOKUP(W448,Listas!$A$60:$B$73,2,FALSE),"Alerta: Seleccione primero Modalidad de selección")</f>
        <v>CCE-16</v>
      </c>
      <c r="Y448" s="641">
        <v>0</v>
      </c>
      <c r="Z448" s="641" t="s">
        <v>346</v>
      </c>
      <c r="AA448" s="641" t="s">
        <v>1343</v>
      </c>
      <c r="AB448" s="642">
        <f t="shared" si="140"/>
        <v>36450000</v>
      </c>
      <c r="AC448" s="642">
        <f t="shared" si="141"/>
        <v>36450000</v>
      </c>
      <c r="AD448" s="641">
        <v>0</v>
      </c>
      <c r="AE448" s="643">
        <v>0</v>
      </c>
      <c r="AF448" s="639" t="s">
        <v>276</v>
      </c>
      <c r="AG448" s="639" t="s">
        <v>277</v>
      </c>
      <c r="AH448" s="639" t="s">
        <v>573</v>
      </c>
      <c r="AI448" s="626" t="str">
        <f>IFERROR(VLOOKUP(AH448,Listas!$A$77:$C$83,2,FALSE),"Alerta: Seleccione primero el responsable")</f>
        <v>3550800</v>
      </c>
      <c r="AJ448" s="640" t="str">
        <f>IFERROR(VLOOKUP(AH448,Listas!$A$77:$C$83,3,FALSE),"Alerta: Seleccione primero el responsable")</f>
        <v>carolina.fernandez@idpc.gov.co</v>
      </c>
      <c r="AK448" s="640" t="str">
        <f>IF(J448="Funcionamiento Gastos Generales","No aplica",IF(J448="Funcionamiento Servicios Personales indirectos","No aplica",IFERROR(VLOOKUP(J448,Listas!$A$127:$E$139,3,FALSE),"Alerta: Seleccione la celda en la comumna B con el nombre del proyecto")))</f>
        <v>ME20181114</v>
      </c>
      <c r="AL448" s="640" t="str">
        <f>IF(J448="Funcionamiento Gastos Generales","No aplica",IF(J448="Funcionamiento Servicios Personales","No aplica",IFERROR(VLOOKUP(J448,Listas!$A$220:$D$224,2,FALSE),"Alerta: Seleccione la celda en la comumna B con el nombre del proyecto")))</f>
        <v>COMP1114</v>
      </c>
      <c r="AM448" s="640" t="str">
        <f>IF(J448="Funcionamiento Gastos Generales","No aplica",IF(J448="Funcionamiento Servicios Personales","No aplica",IFERROR(VLOOKUP(J448,Listas!$A$220:$D$224,3,FALSE),"Alerta: Seleccione la celda en la comumna B con el nombre del proyecto")))</f>
        <v>CONC1114</v>
      </c>
      <c r="AN448" s="633" t="s">
        <v>1054</v>
      </c>
      <c r="AO448" s="633" t="s">
        <v>62</v>
      </c>
      <c r="AP448" s="634" t="str">
        <f>IFERROR(VLOOKUP(J448,Listas!$A$182:$E$215,5,FALSE),"Alerta: Seleccione la celda en la comumna B con el nombre del proyecto")</f>
        <v>4. Obras de Intervención en Bienes muebles - inmuebles y sectores que conforman el patrimonio cultural del D.C.</v>
      </c>
      <c r="AQ448" s="634" t="str">
        <f>IF(J448="Funcionamiento Gastos Generales","No aplica",IF(J448="Funcionamiento Servicios Personales","No aplica",IFERROR(VLOOKUP(J448,Listas!$A$220:$D$224,4,FALSE),"Alerta: Seleccione la celda en la comumna B con el nombre del proyecto")))</f>
        <v>FONT1114</v>
      </c>
      <c r="AR448" s="633" t="s">
        <v>198</v>
      </c>
      <c r="AS448" s="634" t="str">
        <f>IFERROR(VLOOKUP(AU448,Listas!$E$85:$L$105,7,FALSE),"Alerta: Seleccione la celda en la comumna AI con el concepto de gasto")</f>
        <v>01-INFRAESTRUCTURA</v>
      </c>
      <c r="AT448" s="634" t="str">
        <f>IFERROR(VLOOKUP(AU448,Listas!$E$85:$L$105,8,FALSE),"Alerta: Seleccione la celda en la comumna AI con el concepto de gasto")</f>
        <v>01-CONSTRUCCION, ADECUACION Y AMPLIACION DE INFRAESTRUCTURA PROPIA DEL SECTOR</v>
      </c>
      <c r="AU448" s="633" t="s">
        <v>422</v>
      </c>
      <c r="AV448" s="634">
        <f>IFERROR(VLOOKUP(AU448,Listas!$E$85:$F$105,2,FALSE),"Alerta: Seleccione el Concepto de Gasto primero")</f>
        <v>0</v>
      </c>
      <c r="AW448" s="644">
        <v>36450000</v>
      </c>
      <c r="AX448" s="645"/>
      <c r="AY448" s="645"/>
      <c r="AZ448" s="645"/>
      <c r="BA448" s="646">
        <f t="shared" si="142"/>
        <v>36450000</v>
      </c>
      <c r="BB448" s="647"/>
      <c r="BC448" s="648"/>
      <c r="BD448" s="649"/>
      <c r="BE448" s="647"/>
      <c r="BF448" s="644"/>
      <c r="BG448" s="646">
        <f t="shared" si="143"/>
        <v>36450000</v>
      </c>
      <c r="BH448" s="650"/>
      <c r="BI448" s="647"/>
      <c r="BJ448" s="644"/>
      <c r="BK448" s="646">
        <f t="shared" si="144"/>
        <v>0</v>
      </c>
      <c r="BL448" s="651"/>
      <c r="BM448" s="652">
        <f t="shared" si="145"/>
        <v>1</v>
      </c>
      <c r="BN448" s="628"/>
      <c r="BO448" s="670"/>
      <c r="BP448" s="644"/>
      <c r="BQ448" s="644"/>
      <c r="BR448" s="644"/>
      <c r="BS448" s="644"/>
      <c r="BT448" s="644"/>
      <c r="BU448" s="644"/>
      <c r="BV448" s="644"/>
      <c r="BW448" s="644"/>
      <c r="BX448" s="644"/>
      <c r="BY448" s="644"/>
      <c r="BZ448" s="644"/>
      <c r="CA448" s="644"/>
      <c r="CB448" s="646">
        <f t="shared" si="146"/>
        <v>0</v>
      </c>
      <c r="CC448" s="646">
        <f t="shared" si="147"/>
        <v>0</v>
      </c>
      <c r="CD448" s="614"/>
    </row>
    <row r="449" spans="1:85" s="561" customFormat="1" ht="61.5" customHeight="1">
      <c r="A449" s="625" t="str">
        <f t="shared" si="129"/>
        <v>1114-140-FONT1114-03-04-0316-Actividades de seguimiento arqueológico en intervenciones y acciones sobre bienes de interés cultural</v>
      </c>
      <c r="B449" s="626" t="str">
        <f t="shared" si="130"/>
        <v>1114-140-FONT1114-03-04-0316</v>
      </c>
      <c r="C449" s="626" t="str">
        <f t="shared" si="131"/>
        <v>1114-140-FONT1114-Actividades de seguimiento arqueológico en intervenciones y acciones sobre bienes de interés cultural</v>
      </c>
      <c r="D449" s="626" t="str">
        <f t="shared" si="132"/>
        <v>1114-140-12-Otros Distrito-03-04-0316</v>
      </c>
      <c r="E449" s="626" t="str">
        <f t="shared" si="133"/>
        <v>Actividades de seguimiento arqueológico en intervenciones y acciones sobre bienes de interés cultural-12-Otros Distrito-0316-Personal de apoyo para las actividades de valoración, protección y conservación del Patrimonio Cultural</v>
      </c>
      <c r="F449" s="627">
        <v>393</v>
      </c>
      <c r="G449" s="628">
        <f t="shared" si="134"/>
        <v>393</v>
      </c>
      <c r="H449" s="629" t="b">
        <f t="shared" si="135"/>
        <v>0</v>
      </c>
      <c r="I449" s="630" t="s">
        <v>594</v>
      </c>
      <c r="J449" s="627" t="s">
        <v>180</v>
      </c>
      <c r="K449" s="631" t="str">
        <f>+IFERROR(VLOOKUP(J449,Listas!$A$108:$B$114,2,FALSE),"Alerta: Seleccione la celda en la comumna B con el nombre del proyecto")</f>
        <v>3-3-1-15-02-17-1114-140</v>
      </c>
      <c r="L449" s="632" t="s">
        <v>986</v>
      </c>
      <c r="M449" s="633" t="s">
        <v>987</v>
      </c>
      <c r="N449" s="634" t="str">
        <f t="shared" si="136"/>
        <v>(Cód. 393) Prestar servicios profesionales al Instituto Distrital de Patrimonio Cultural para apoyar el desarrollo y seguimiento del manejo arqueológico en los proyectos de Intervención en los que el Instituto se vea involucrado.</v>
      </c>
      <c r="O449" s="635">
        <v>43485</v>
      </c>
      <c r="P449" s="636">
        <f>IFERROR(VLOOKUP(W449,'Estimación CRP'!$D$21:$E$30,2,FALSE),0)</f>
        <v>10</v>
      </c>
      <c r="Q449" s="637">
        <f>IF(O449="No aplica","No aplica",WORKDAY.INTL(O449,P449,1,'Estimación CRP'!A635:A651))</f>
        <v>43497</v>
      </c>
      <c r="R449" s="636">
        <f t="shared" si="137"/>
        <v>2</v>
      </c>
      <c r="S449" s="636">
        <f t="shared" si="138"/>
        <v>1</v>
      </c>
      <c r="T449" s="636">
        <f t="shared" si="139"/>
        <v>1</v>
      </c>
      <c r="U449" s="712">
        <v>10</v>
      </c>
      <c r="V449" s="638">
        <v>1</v>
      </c>
      <c r="W449" s="639" t="s">
        <v>274</v>
      </c>
      <c r="X449" s="640" t="str">
        <f>IFERROR(VLOOKUP(W449,Listas!$A$60:$B$73,2,FALSE),"Alerta: Seleccione primero Modalidad de selección")</f>
        <v>CCE-16</v>
      </c>
      <c r="Y449" s="641">
        <v>0</v>
      </c>
      <c r="Z449" s="641" t="s">
        <v>346</v>
      </c>
      <c r="AA449" s="641" t="s">
        <v>1344</v>
      </c>
      <c r="AB449" s="642">
        <f t="shared" si="140"/>
        <v>55600000</v>
      </c>
      <c r="AC449" s="642">
        <f t="shared" si="141"/>
        <v>55600000</v>
      </c>
      <c r="AD449" s="641">
        <v>0</v>
      </c>
      <c r="AE449" s="643">
        <v>0</v>
      </c>
      <c r="AF449" s="639" t="s">
        <v>276</v>
      </c>
      <c r="AG449" s="639" t="s">
        <v>277</v>
      </c>
      <c r="AH449" s="639" t="s">
        <v>573</v>
      </c>
      <c r="AI449" s="626" t="str">
        <f>IFERROR(VLOOKUP(AH449,Listas!$A$77:$C$83,2,FALSE),"Alerta: Seleccione primero el responsable")</f>
        <v>3550800</v>
      </c>
      <c r="AJ449" s="640" t="str">
        <f>IFERROR(VLOOKUP(AH449,Listas!$A$77:$C$83,3,FALSE),"Alerta: Seleccione primero el responsable")</f>
        <v>carolina.fernandez@idpc.gov.co</v>
      </c>
      <c r="AK449" s="640" t="str">
        <f>IF(J449="Funcionamiento Gastos Generales","No aplica",IF(J449="Funcionamiento Servicios Personales indirectos","No aplica",IFERROR(VLOOKUP(J449,Listas!$A$127:$E$139,3,FALSE),"Alerta: Seleccione la celda en la comumna B con el nombre del proyecto")))</f>
        <v>ME20181114</v>
      </c>
      <c r="AL449" s="640" t="str">
        <f>IF(J449="Funcionamiento Gastos Generales","No aplica",IF(J449="Funcionamiento Servicios Personales","No aplica",IFERROR(VLOOKUP(J449,Listas!$A$220:$D$224,2,FALSE),"Alerta: Seleccione la celda en la comumna B con el nombre del proyecto")))</f>
        <v>COMP1114</v>
      </c>
      <c r="AM449" s="640" t="str">
        <f>IF(J449="Funcionamiento Gastos Generales","No aplica",IF(J449="Funcionamiento Servicios Personales","No aplica",IFERROR(VLOOKUP(J449,Listas!$A$220:$D$224,3,FALSE),"Alerta: Seleccione la celda en la comumna B con el nombre del proyecto")))</f>
        <v>CONC1114</v>
      </c>
      <c r="AN449" s="633" t="s">
        <v>1054</v>
      </c>
      <c r="AO449" s="633" t="s">
        <v>135</v>
      </c>
      <c r="AP449" s="634" t="str">
        <f>IFERROR(VLOOKUP(J449,Listas!$A$182:$E$215,5,FALSE),"Alerta: Seleccione la celda en la comumna B con el nombre del proyecto")</f>
        <v>4. Obras de Intervención en Bienes muebles - inmuebles y sectores que conforman el patrimonio cultural del D.C.</v>
      </c>
      <c r="AQ449" s="634" t="str">
        <f>IF(J449="Funcionamiento Gastos Generales","No aplica",IF(J449="Funcionamiento Servicios Personales","No aplica",IFERROR(VLOOKUP(J449,Listas!$A$220:$D$224,4,FALSE),"Alerta: Seleccione la celda en la comumna B con el nombre del proyecto")))</f>
        <v>FONT1114</v>
      </c>
      <c r="AR449" s="633" t="s">
        <v>198</v>
      </c>
      <c r="AS449" s="634" t="str">
        <f>IFERROR(VLOOKUP(AU449,Listas!$E$85:$L$105,7,FALSE),"Alerta: Seleccione la celda en la comumna AI con el concepto de gasto")</f>
        <v>03-RECURSO HUMANO</v>
      </c>
      <c r="AT449" s="634" t="str">
        <f>IFERROR(VLOOKUP(AU449,Listas!$E$85:$L$105,8,FALSE),"Alerta: Seleccione la celda en la comumna AI con el concepto de gasto")</f>
        <v>04-GASTOS DE PERSONAL OPERATIVO</v>
      </c>
      <c r="AU449" s="633" t="s">
        <v>228</v>
      </c>
      <c r="AV449" s="634">
        <f>IFERROR(VLOOKUP(AU449,Listas!$E$85:$F$105,2,FALSE),"Alerta: Seleccione el Concepto de Gasto primero")</f>
        <v>0</v>
      </c>
      <c r="AW449" s="644">
        <v>55600000</v>
      </c>
      <c r="AX449" s="645"/>
      <c r="AY449" s="645"/>
      <c r="AZ449" s="645"/>
      <c r="BA449" s="646">
        <f t="shared" si="142"/>
        <v>55600000</v>
      </c>
      <c r="BB449" s="647"/>
      <c r="BC449" s="648"/>
      <c r="BD449" s="649"/>
      <c r="BE449" s="647"/>
      <c r="BF449" s="644"/>
      <c r="BG449" s="646">
        <f t="shared" si="143"/>
        <v>55600000</v>
      </c>
      <c r="BH449" s="650"/>
      <c r="BI449" s="647"/>
      <c r="BJ449" s="644"/>
      <c r="BK449" s="646">
        <f t="shared" si="144"/>
        <v>0</v>
      </c>
      <c r="BL449" s="651"/>
      <c r="BM449" s="652">
        <f t="shared" si="145"/>
        <v>1</v>
      </c>
      <c r="BN449" s="628"/>
      <c r="BO449" s="670"/>
      <c r="BP449" s="644"/>
      <c r="BQ449" s="644"/>
      <c r="BR449" s="644"/>
      <c r="BS449" s="644"/>
      <c r="BT449" s="644"/>
      <c r="BU449" s="644"/>
      <c r="BV449" s="644"/>
      <c r="BW449" s="644"/>
      <c r="BX449" s="644"/>
      <c r="BY449" s="644"/>
      <c r="BZ449" s="644"/>
      <c r="CA449" s="644"/>
      <c r="CB449" s="646">
        <f t="shared" si="146"/>
        <v>0</v>
      </c>
      <c r="CC449" s="646">
        <f t="shared" si="147"/>
        <v>0</v>
      </c>
      <c r="CD449" s="614"/>
    </row>
    <row r="450" spans="1:85" s="561" customFormat="1" ht="61.5" customHeight="1">
      <c r="A450" s="625" t="str">
        <f t="shared" si="129"/>
        <v>1114-140-FONT1114-03-04-0316-Actividades de seguimiento arqueológico en intervenciones y acciones sobre bienes de interés cultural</v>
      </c>
      <c r="B450" s="626" t="str">
        <f t="shared" si="130"/>
        <v>1114-140-FONT1114-03-04-0316</v>
      </c>
      <c r="C450" s="626" t="str">
        <f t="shared" si="131"/>
        <v>1114-140-FONT1114-Actividades de seguimiento arqueológico en intervenciones y acciones sobre bienes de interés cultural</v>
      </c>
      <c r="D450" s="626" t="str">
        <f t="shared" si="132"/>
        <v>1114-140-12-Otros Distrito-03-04-0316</v>
      </c>
      <c r="E450" s="626" t="str">
        <f t="shared" si="133"/>
        <v>Actividades de seguimiento arqueológico en intervenciones y acciones sobre bienes de interés cultural-12-Otros Distrito-0316-Personal de apoyo para las actividades de valoración, protección y conservación del Patrimonio Cultural</v>
      </c>
      <c r="F450" s="627">
        <v>394</v>
      </c>
      <c r="G450" s="628">
        <f t="shared" si="134"/>
        <v>394</v>
      </c>
      <c r="H450" s="629" t="b">
        <f t="shared" si="135"/>
        <v>0</v>
      </c>
      <c r="I450" s="630" t="s">
        <v>594</v>
      </c>
      <c r="J450" s="627" t="s">
        <v>180</v>
      </c>
      <c r="K450" s="631" t="str">
        <f>+IFERROR(VLOOKUP(J450,Listas!$A$108:$B$114,2,FALSE),"Alerta: Seleccione la celda en la comumna B con el nombre del proyecto")</f>
        <v>3-3-1-15-02-17-1114-140</v>
      </c>
      <c r="L450" s="632" t="s">
        <v>986</v>
      </c>
      <c r="M450" s="633" t="s">
        <v>988</v>
      </c>
      <c r="N450" s="634" t="str">
        <f t="shared" si="136"/>
        <v>(Cód. 394) Prestar servicios profesionales al Instituto Distrital de Patrimonio Cultural para orientar el acompañamiento y seguimiento en el desarrollo del manejo arqueológico en los proyectos de Intervención en los que el Instituto se vea involucrado.</v>
      </c>
      <c r="O450" s="635">
        <v>43485</v>
      </c>
      <c r="P450" s="636">
        <f>IFERROR(VLOOKUP(W450,'Estimación CRP'!$D$21:$E$30,2,FALSE),0)</f>
        <v>10</v>
      </c>
      <c r="Q450" s="637">
        <f>IF(O450="No aplica","No aplica",WORKDAY.INTL(O450,P450,1,'Estimación CRP'!A636:A652))</f>
        <v>43497</v>
      </c>
      <c r="R450" s="636">
        <f t="shared" si="137"/>
        <v>2</v>
      </c>
      <c r="S450" s="636">
        <f t="shared" si="138"/>
        <v>1</v>
      </c>
      <c r="T450" s="636">
        <f t="shared" si="139"/>
        <v>1</v>
      </c>
      <c r="U450" s="712">
        <v>10</v>
      </c>
      <c r="V450" s="638">
        <v>1</v>
      </c>
      <c r="W450" s="639" t="s">
        <v>274</v>
      </c>
      <c r="X450" s="640" t="str">
        <f>IFERROR(VLOOKUP(W450,Listas!$A$60:$B$73,2,FALSE),"Alerta: Seleccione primero Modalidad de selección")</f>
        <v>CCE-16</v>
      </c>
      <c r="Y450" s="641">
        <v>0</v>
      </c>
      <c r="Z450" s="641" t="s">
        <v>346</v>
      </c>
      <c r="AA450" s="641" t="s">
        <v>1344</v>
      </c>
      <c r="AB450" s="642">
        <f t="shared" si="140"/>
        <v>66400000</v>
      </c>
      <c r="AC450" s="642">
        <f t="shared" si="141"/>
        <v>66400000</v>
      </c>
      <c r="AD450" s="641">
        <v>0</v>
      </c>
      <c r="AE450" s="643">
        <v>0</v>
      </c>
      <c r="AF450" s="639" t="s">
        <v>276</v>
      </c>
      <c r="AG450" s="639" t="s">
        <v>277</v>
      </c>
      <c r="AH450" s="639" t="s">
        <v>573</v>
      </c>
      <c r="AI450" s="626" t="str">
        <f>IFERROR(VLOOKUP(AH450,Listas!$A$77:$C$83,2,FALSE),"Alerta: Seleccione primero el responsable")</f>
        <v>3550800</v>
      </c>
      <c r="AJ450" s="640" t="str">
        <f>IFERROR(VLOOKUP(AH450,Listas!$A$77:$C$83,3,FALSE),"Alerta: Seleccione primero el responsable")</f>
        <v>carolina.fernandez@idpc.gov.co</v>
      </c>
      <c r="AK450" s="640" t="str">
        <f>IF(J450="Funcionamiento Gastos Generales","No aplica",IF(J450="Funcionamiento Servicios Personales indirectos","No aplica",IFERROR(VLOOKUP(J450,Listas!$A$127:$E$139,3,FALSE),"Alerta: Seleccione la celda en la comumna B con el nombre del proyecto")))</f>
        <v>ME20181114</v>
      </c>
      <c r="AL450" s="640" t="str">
        <f>IF(J450="Funcionamiento Gastos Generales","No aplica",IF(J450="Funcionamiento Servicios Personales","No aplica",IFERROR(VLOOKUP(J450,Listas!$A$220:$D$224,2,FALSE),"Alerta: Seleccione la celda en la comumna B con el nombre del proyecto")))</f>
        <v>COMP1114</v>
      </c>
      <c r="AM450" s="640" t="str">
        <f>IF(J450="Funcionamiento Gastos Generales","No aplica",IF(J450="Funcionamiento Servicios Personales","No aplica",IFERROR(VLOOKUP(J450,Listas!$A$220:$D$224,3,FALSE),"Alerta: Seleccione la celda en la comumna B con el nombre del proyecto")))</f>
        <v>CONC1114</v>
      </c>
      <c r="AN450" s="633" t="s">
        <v>1054</v>
      </c>
      <c r="AO450" s="633" t="s">
        <v>135</v>
      </c>
      <c r="AP450" s="634" t="str">
        <f>IFERROR(VLOOKUP(J450,Listas!$A$182:$E$215,5,FALSE),"Alerta: Seleccione la celda en la comumna B con el nombre del proyecto")</f>
        <v>4. Obras de Intervención en Bienes muebles - inmuebles y sectores que conforman el patrimonio cultural del D.C.</v>
      </c>
      <c r="AQ450" s="634" t="str">
        <f>IF(J450="Funcionamiento Gastos Generales","No aplica",IF(J450="Funcionamiento Servicios Personales","No aplica",IFERROR(VLOOKUP(J450,Listas!$A$220:$D$224,4,FALSE),"Alerta: Seleccione la celda en la comumna B con el nombre del proyecto")))</f>
        <v>FONT1114</v>
      </c>
      <c r="AR450" s="633" t="s">
        <v>198</v>
      </c>
      <c r="AS450" s="634" t="str">
        <f>IFERROR(VLOOKUP(AU450,Listas!$E$85:$L$105,7,FALSE),"Alerta: Seleccione la celda en la comumna AI con el concepto de gasto")</f>
        <v>03-RECURSO HUMANO</v>
      </c>
      <c r="AT450" s="634" t="str">
        <f>IFERROR(VLOOKUP(AU450,Listas!$E$85:$L$105,8,FALSE),"Alerta: Seleccione la celda en la comumna AI con el concepto de gasto")</f>
        <v>04-GASTOS DE PERSONAL OPERATIVO</v>
      </c>
      <c r="AU450" s="633" t="s">
        <v>228</v>
      </c>
      <c r="AV450" s="634">
        <f>IFERROR(VLOOKUP(AU450,Listas!$E$85:$F$105,2,FALSE),"Alerta: Seleccione el Concepto de Gasto primero")</f>
        <v>0</v>
      </c>
      <c r="AW450" s="644">
        <v>66400000</v>
      </c>
      <c r="AX450" s="645"/>
      <c r="AY450" s="645"/>
      <c r="AZ450" s="645"/>
      <c r="BA450" s="646">
        <f t="shared" si="142"/>
        <v>66400000</v>
      </c>
      <c r="BB450" s="647"/>
      <c r="BC450" s="648"/>
      <c r="BD450" s="649"/>
      <c r="BE450" s="647"/>
      <c r="BF450" s="644"/>
      <c r="BG450" s="646">
        <f t="shared" si="143"/>
        <v>66400000</v>
      </c>
      <c r="BH450" s="650"/>
      <c r="BI450" s="647"/>
      <c r="BJ450" s="644"/>
      <c r="BK450" s="646">
        <f t="shared" si="144"/>
        <v>0</v>
      </c>
      <c r="BL450" s="651"/>
      <c r="BM450" s="652">
        <f t="shared" si="145"/>
        <v>1</v>
      </c>
      <c r="BN450" s="628"/>
      <c r="BO450" s="670"/>
      <c r="BP450" s="644"/>
      <c r="BQ450" s="644"/>
      <c r="BR450" s="644"/>
      <c r="BS450" s="644"/>
      <c r="BT450" s="644"/>
      <c r="BU450" s="644"/>
      <c r="BV450" s="644"/>
      <c r="BW450" s="644"/>
      <c r="BX450" s="644"/>
      <c r="BY450" s="644"/>
      <c r="BZ450" s="644"/>
      <c r="CA450" s="644"/>
      <c r="CB450" s="646">
        <f t="shared" si="146"/>
        <v>0</v>
      </c>
      <c r="CC450" s="646">
        <f t="shared" si="147"/>
        <v>0</v>
      </c>
      <c r="CD450" s="614"/>
    </row>
    <row r="451" spans="1:85" s="561" customFormat="1" ht="61.5" customHeight="1">
      <c r="A451" s="625" t="str">
        <f t="shared" si="129"/>
        <v>1114-140-FONT1114-03-04-0316-Actividades de seguimiento arqueológico en intervenciones y acciones sobre bienes de interés cultural</v>
      </c>
      <c r="B451" s="626" t="str">
        <f t="shared" si="130"/>
        <v>1114-140-FONT1114-03-04-0316</v>
      </c>
      <c r="C451" s="626" t="str">
        <f t="shared" si="131"/>
        <v>1114-140-FONT1114-Actividades de seguimiento arqueológico en intervenciones y acciones sobre bienes de interés cultural</v>
      </c>
      <c r="D451" s="626" t="str">
        <f t="shared" si="132"/>
        <v>1114-140-12-Otros Distrito-03-04-0316</v>
      </c>
      <c r="E451" s="626" t="str">
        <f t="shared" si="133"/>
        <v>Actividades de seguimiento arqueológico en intervenciones y acciones sobre bienes de interés cultural-12-Otros Distrito-0316-Personal de apoyo para las actividades de valoración, protección y conservación del Patrimonio Cultural</v>
      </c>
      <c r="F451" s="627" t="s">
        <v>346</v>
      </c>
      <c r="G451" s="628" t="str">
        <f t="shared" si="134"/>
        <v>N.A.</v>
      </c>
      <c r="H451" s="629" t="b">
        <f t="shared" si="135"/>
        <v>0</v>
      </c>
      <c r="I451" s="630" t="s">
        <v>595</v>
      </c>
      <c r="J451" s="627" t="s">
        <v>180</v>
      </c>
      <c r="K451" s="631" t="str">
        <f>+IFERROR(VLOOKUP(J451,Listas!$A$108:$B$114,2,FALSE),"Alerta: Seleccione la celda en la comumna B con el nombre del proyecto")</f>
        <v>3-3-1-15-02-17-1114-140</v>
      </c>
      <c r="L451" s="632" t="s">
        <v>351</v>
      </c>
      <c r="M451" s="633" t="s">
        <v>931</v>
      </c>
      <c r="N451" s="634" t="str">
        <f t="shared" si="136"/>
        <v>(Cód. N.A.) Valor dirigido para reconocer la afiliación de riesgos laborales Nivel 5 de los contratistas de la Subdirección de Intervención.</v>
      </c>
      <c r="O451" s="635" t="s">
        <v>351</v>
      </c>
      <c r="P451" s="636">
        <f>IFERROR(VLOOKUP(W451,'Estimación CRP'!$D$21:$E$30,2,FALSE),0)</f>
        <v>10</v>
      </c>
      <c r="Q451" s="637" t="str">
        <f>IF(O451="No aplica","No aplica",WORKDAY.INTL(O451,P451,1,'Estimación CRP'!A637:A653))</f>
        <v>No aplica</v>
      </c>
      <c r="R451" s="636" t="str">
        <f t="shared" si="137"/>
        <v>No aplica</v>
      </c>
      <c r="S451" s="636" t="str">
        <f t="shared" si="138"/>
        <v>No aplica</v>
      </c>
      <c r="T451" s="636" t="str">
        <f t="shared" si="139"/>
        <v>No aplica</v>
      </c>
      <c r="U451" s="638">
        <v>10</v>
      </c>
      <c r="V451" s="638">
        <v>1</v>
      </c>
      <c r="W451" s="639" t="s">
        <v>274</v>
      </c>
      <c r="X451" s="640" t="str">
        <f>IFERROR(VLOOKUP(W451,Listas!$A$60:$B$73,2,FALSE),"Alerta: Seleccione primero Modalidad de selección")</f>
        <v>CCE-16</v>
      </c>
      <c r="Y451" s="641">
        <v>0</v>
      </c>
      <c r="Z451" s="641" t="s">
        <v>1066</v>
      </c>
      <c r="AA451" s="641" t="s">
        <v>1344</v>
      </c>
      <c r="AB451" s="642">
        <f t="shared" si="140"/>
        <v>4000000</v>
      </c>
      <c r="AC451" s="642">
        <f t="shared" si="141"/>
        <v>4000000</v>
      </c>
      <c r="AD451" s="641">
        <v>0</v>
      </c>
      <c r="AE451" s="643">
        <v>0</v>
      </c>
      <c r="AF451" s="639" t="s">
        <v>276</v>
      </c>
      <c r="AG451" s="639" t="s">
        <v>277</v>
      </c>
      <c r="AH451" s="639" t="s">
        <v>573</v>
      </c>
      <c r="AI451" s="626" t="str">
        <f>IFERROR(VLOOKUP(AH451,Listas!$A$77:$C$83,2,FALSE),"Alerta: Seleccione primero el responsable")</f>
        <v>3550800</v>
      </c>
      <c r="AJ451" s="640" t="str">
        <f>IFERROR(VLOOKUP(AH451,Listas!$A$77:$C$83,3,FALSE),"Alerta: Seleccione primero el responsable")</f>
        <v>carolina.fernandez@idpc.gov.co</v>
      </c>
      <c r="AK451" s="640" t="str">
        <f>IF(J451="Funcionamiento Gastos Generales","No aplica",IF(J451="Funcionamiento Servicios Personales indirectos","No aplica",IFERROR(VLOOKUP(J451,Listas!$A$127:$E$139,3,FALSE),"Alerta: Seleccione la celda en la comumna B con el nombre del proyecto")))</f>
        <v>ME20181114</v>
      </c>
      <c r="AL451" s="640" t="str">
        <f>IF(J451="Funcionamiento Gastos Generales","No aplica",IF(J451="Funcionamiento Servicios Personales","No aplica",IFERROR(VLOOKUP(J451,Listas!$A$220:$D$224,2,FALSE),"Alerta: Seleccione la celda en la comumna B con el nombre del proyecto")))</f>
        <v>COMP1114</v>
      </c>
      <c r="AM451" s="640" t="str">
        <f>IF(J451="Funcionamiento Gastos Generales","No aplica",IF(J451="Funcionamiento Servicios Personales","No aplica",IFERROR(VLOOKUP(J451,Listas!$A$220:$D$224,3,FALSE),"Alerta: Seleccione la celda en la comumna B con el nombre del proyecto")))</f>
        <v>CONC1114</v>
      </c>
      <c r="AN451" s="633" t="s">
        <v>1054</v>
      </c>
      <c r="AO451" s="633" t="s">
        <v>135</v>
      </c>
      <c r="AP451" s="634" t="str">
        <f>IFERROR(VLOOKUP(J451,Listas!$A$182:$E$215,5,FALSE),"Alerta: Seleccione la celda en la comumna B con el nombre del proyecto")</f>
        <v>4. Obras de Intervención en Bienes muebles - inmuebles y sectores que conforman el patrimonio cultural del D.C.</v>
      </c>
      <c r="AQ451" s="634" t="str">
        <f>IF(J451="Funcionamiento Gastos Generales","No aplica",IF(J451="Funcionamiento Servicios Personales","No aplica",IFERROR(VLOOKUP(J451,Listas!$A$220:$D$224,4,FALSE),"Alerta: Seleccione la celda en la comumna B con el nombre del proyecto")))</f>
        <v>FONT1114</v>
      </c>
      <c r="AR451" s="633" t="s">
        <v>198</v>
      </c>
      <c r="AS451" s="634" t="str">
        <f>IFERROR(VLOOKUP(AU451,Listas!$E$85:$L$105,7,FALSE),"Alerta: Seleccione la celda en la comumna AI con el concepto de gasto")</f>
        <v>03-RECURSO HUMANO</v>
      </c>
      <c r="AT451" s="634" t="str">
        <f>IFERROR(VLOOKUP(AU451,Listas!$E$85:$L$105,8,FALSE),"Alerta: Seleccione la celda en la comumna AI con el concepto de gasto")</f>
        <v>04-GASTOS DE PERSONAL OPERATIVO</v>
      </c>
      <c r="AU451" s="633" t="s">
        <v>228</v>
      </c>
      <c r="AV451" s="634">
        <f>IFERROR(VLOOKUP(AU451,Listas!$E$85:$F$105,2,FALSE),"Alerta: Seleccione el Concepto de Gasto primero")</f>
        <v>0</v>
      </c>
      <c r="AW451" s="644">
        <v>4000000</v>
      </c>
      <c r="AX451" s="645"/>
      <c r="AY451" s="645"/>
      <c r="AZ451" s="645"/>
      <c r="BA451" s="646">
        <f t="shared" si="142"/>
        <v>4000000</v>
      </c>
      <c r="BB451" s="647"/>
      <c r="BC451" s="648"/>
      <c r="BD451" s="649"/>
      <c r="BE451" s="647"/>
      <c r="BF451" s="644"/>
      <c r="BG451" s="646">
        <f t="shared" si="143"/>
        <v>4000000</v>
      </c>
      <c r="BH451" s="650"/>
      <c r="BI451" s="647"/>
      <c r="BJ451" s="644"/>
      <c r="BK451" s="646">
        <f t="shared" si="144"/>
        <v>0</v>
      </c>
      <c r="BL451" s="651"/>
      <c r="BM451" s="652">
        <f t="shared" si="145"/>
        <v>1</v>
      </c>
      <c r="BN451" s="628"/>
      <c r="BO451" s="670"/>
      <c r="BP451" s="644"/>
      <c r="BQ451" s="644"/>
      <c r="BR451" s="644"/>
      <c r="BS451" s="644"/>
      <c r="BT451" s="644"/>
      <c r="BU451" s="644"/>
      <c r="BV451" s="644"/>
      <c r="BW451" s="644"/>
      <c r="BX451" s="644"/>
      <c r="BY451" s="644"/>
      <c r="BZ451" s="644"/>
      <c r="CA451" s="644"/>
      <c r="CB451" s="646">
        <f t="shared" si="146"/>
        <v>0</v>
      </c>
      <c r="CC451" s="646">
        <f t="shared" si="147"/>
        <v>0</v>
      </c>
      <c r="CD451" s="614"/>
    </row>
    <row r="452" spans="1:85" s="653" customFormat="1" ht="61.5" customHeight="1">
      <c r="A452" s="625" t="str">
        <f t="shared" si="129"/>
        <v xml:space="preserve">1114-140-FONT1114-01-01-0525-Bienes de Interés Cultural de tipo inmueble intervenidos </v>
      </c>
      <c r="B452" s="626" t="str">
        <f t="shared" si="130"/>
        <v>1114-140-FONT1114-01-01-0525</v>
      </c>
      <c r="C452" s="626" t="str">
        <f t="shared" si="131"/>
        <v xml:space="preserve">1114-140-FONT1114-Bienes de Interés Cultural de tipo inmueble intervenidos </v>
      </c>
      <c r="D452" s="626" t="str">
        <f t="shared" si="132"/>
        <v>1114-140-12-Otros Distrito-01-01-0525</v>
      </c>
      <c r="E452" s="626" t="str">
        <f t="shared" si="133"/>
        <v>Bienes de Interés Cultural de tipo inmueble intervenidos -12-Otros Distrito-0525-Recuperación y aprovechamiento de bienes de interés cultural</v>
      </c>
      <c r="F452" s="627" t="s">
        <v>346</v>
      </c>
      <c r="G452" s="628" t="str">
        <f t="shared" si="134"/>
        <v>N.A.</v>
      </c>
      <c r="H452" s="629" t="b">
        <f t="shared" si="135"/>
        <v>1</v>
      </c>
      <c r="I452" s="630" t="s">
        <v>595</v>
      </c>
      <c r="J452" s="627" t="s">
        <v>180</v>
      </c>
      <c r="K452" s="631" t="str">
        <f>+IFERROR(VLOOKUP(J452,Listas!$A$108:$B$114,2,FALSE),"Alerta: Seleccione la celda en la comumna B con el nombre del proyecto")</f>
        <v>3-3-1-15-02-17-1114-140</v>
      </c>
      <c r="L452" s="632" t="s">
        <v>986</v>
      </c>
      <c r="M452" s="633" t="s">
        <v>931</v>
      </c>
      <c r="N452" s="634" t="str">
        <f t="shared" si="136"/>
        <v>(Cód. N.A.) Valor dirigido para reconocer la afiliación de riesgos laborales Nivel 5 de los contratistas de la Subdirección de Intervención.</v>
      </c>
      <c r="O452" s="635" t="s">
        <v>351</v>
      </c>
      <c r="P452" s="636">
        <f>IFERROR(VLOOKUP(W452,'Estimación CRP'!$D$21:$E$30,2,FALSE),0)</f>
        <v>10</v>
      </c>
      <c r="Q452" s="637" t="str">
        <f>IF(O452="No aplica","No aplica",WORKDAY.INTL(O452,P452,1,'Estimación CRP'!A638:A654))</f>
        <v>No aplica</v>
      </c>
      <c r="R452" s="636" t="str">
        <f t="shared" si="137"/>
        <v>No aplica</v>
      </c>
      <c r="S452" s="636" t="str">
        <f t="shared" si="138"/>
        <v>No aplica</v>
      </c>
      <c r="T452" s="636" t="str">
        <f t="shared" si="139"/>
        <v>No aplica</v>
      </c>
      <c r="U452" s="638">
        <v>11</v>
      </c>
      <c r="V452" s="638">
        <v>1</v>
      </c>
      <c r="W452" s="639" t="s">
        <v>274</v>
      </c>
      <c r="X452" s="640" t="str">
        <f>IFERROR(VLOOKUP(W452,Listas!$A$60:$B$73,2,FALSE),"Alerta: Seleccione primero Modalidad de selección")</f>
        <v>CCE-16</v>
      </c>
      <c r="Y452" s="641">
        <v>0</v>
      </c>
      <c r="Z452" s="641" t="s">
        <v>1066</v>
      </c>
      <c r="AA452" s="641"/>
      <c r="AB452" s="642">
        <f t="shared" si="140"/>
        <v>4810000</v>
      </c>
      <c r="AC452" s="642">
        <f t="shared" si="141"/>
        <v>4810000</v>
      </c>
      <c r="AD452" s="641">
        <v>0</v>
      </c>
      <c r="AE452" s="643">
        <v>0</v>
      </c>
      <c r="AF452" s="639" t="s">
        <v>276</v>
      </c>
      <c r="AG452" s="639" t="s">
        <v>277</v>
      </c>
      <c r="AH452" s="639" t="s">
        <v>573</v>
      </c>
      <c r="AI452" s="626" t="str">
        <f>IFERROR(VLOOKUP(AH452,Listas!$A$77:$C$83,2,FALSE),"Alerta: Seleccione primero el responsable")</f>
        <v>3550800</v>
      </c>
      <c r="AJ452" s="640" t="str">
        <f>IFERROR(VLOOKUP(AH452,Listas!$A$77:$C$83,3,FALSE),"Alerta: Seleccione primero el responsable")</f>
        <v>carolina.fernandez@idpc.gov.co</v>
      </c>
      <c r="AK452" s="640" t="str">
        <f>IF(J452="Funcionamiento Gastos Generales","No aplica",IF(J452="Funcionamiento Servicios Personales indirectos","No aplica",IFERROR(VLOOKUP(J452,Listas!$A$127:$E$139,3,FALSE),"Alerta: Seleccione la celda en la comumna B con el nombre del proyecto")))</f>
        <v>ME20181114</v>
      </c>
      <c r="AL452" s="640" t="str">
        <f>IF(J452="Funcionamiento Gastos Generales","No aplica",IF(J452="Funcionamiento Servicios Personales","No aplica",IFERROR(VLOOKUP(J452,Listas!$A$220:$D$224,2,FALSE),"Alerta: Seleccione la celda en la comumna B con el nombre del proyecto")))</f>
        <v>COMP1114</v>
      </c>
      <c r="AM452" s="640" t="str">
        <f>IF(J452="Funcionamiento Gastos Generales","No aplica",IF(J452="Funcionamiento Servicios Personales","No aplica",IFERROR(VLOOKUP(J452,Listas!$A$220:$D$224,3,FALSE),"Alerta: Seleccione la celda en la comumna B con el nombre del proyecto")))</f>
        <v>CONC1114</v>
      </c>
      <c r="AN452" s="633" t="s">
        <v>1054</v>
      </c>
      <c r="AO452" s="633" t="s">
        <v>62</v>
      </c>
      <c r="AP452" s="634" t="str">
        <f>IFERROR(VLOOKUP(J452,Listas!$A$182:$E$215,5,FALSE),"Alerta: Seleccione la celda en la comumna B con el nombre del proyecto")</f>
        <v>4. Obras de Intervención en Bienes muebles - inmuebles y sectores que conforman el patrimonio cultural del D.C.</v>
      </c>
      <c r="AQ452" s="634" t="str">
        <f>IF(J452="Funcionamiento Gastos Generales","No aplica",IF(J452="Funcionamiento Servicios Personales","No aplica",IFERROR(VLOOKUP(J452,Listas!$A$220:$D$224,4,FALSE),"Alerta: Seleccione la celda en la comumna B con el nombre del proyecto")))</f>
        <v>FONT1114</v>
      </c>
      <c r="AR452" s="633" t="s">
        <v>198</v>
      </c>
      <c r="AS452" s="634" t="str">
        <f>IFERROR(VLOOKUP(AU452,Listas!$E$85:$L$105,7,FALSE),"Alerta: Seleccione la celda en la comumna AI con el concepto de gasto")</f>
        <v>01-INFRAESTRUCTURA</v>
      </c>
      <c r="AT452" s="634" t="str">
        <f>IFERROR(VLOOKUP(AU452,Listas!$E$85:$L$105,8,FALSE),"Alerta: Seleccione la celda en la comumna AI con el concepto de gasto")</f>
        <v>01-CONSTRUCCION, ADECUACION Y AMPLIACION DE INFRAESTRUCTURA PROPIA DEL SECTOR</v>
      </c>
      <c r="AU452" s="633" t="s">
        <v>422</v>
      </c>
      <c r="AV452" s="634">
        <f>IFERROR(VLOOKUP(AU452,Listas!$E$85:$F$105,2,FALSE),"Alerta: Seleccione el Concepto de Gasto primero")</f>
        <v>0</v>
      </c>
      <c r="AW452" s="644">
        <v>4810000</v>
      </c>
      <c r="AX452" s="645"/>
      <c r="AY452" s="645"/>
      <c r="AZ452" s="645"/>
      <c r="BA452" s="646">
        <f t="shared" si="142"/>
        <v>4810000</v>
      </c>
      <c r="BB452" s="647"/>
      <c r="BC452" s="648"/>
      <c r="BD452" s="649"/>
      <c r="BE452" s="647"/>
      <c r="BF452" s="644"/>
      <c r="BG452" s="646">
        <f t="shared" si="143"/>
        <v>4810000</v>
      </c>
      <c r="BH452" s="650"/>
      <c r="BI452" s="647"/>
      <c r="BJ452" s="644"/>
      <c r="BK452" s="646">
        <f t="shared" si="144"/>
        <v>0</v>
      </c>
      <c r="BL452" s="651"/>
      <c r="BM452" s="652">
        <f t="shared" si="145"/>
        <v>1</v>
      </c>
      <c r="BN452" s="628"/>
      <c r="BO452" s="670"/>
      <c r="BP452" s="644"/>
      <c r="BQ452" s="644"/>
      <c r="BR452" s="644"/>
      <c r="BS452" s="644"/>
      <c r="BT452" s="644"/>
      <c r="BU452" s="644"/>
      <c r="BV452" s="644"/>
      <c r="BW452" s="644"/>
      <c r="BX452" s="644"/>
      <c r="BY452" s="644"/>
      <c r="BZ452" s="644"/>
      <c r="CA452" s="644"/>
      <c r="CB452" s="646">
        <f t="shared" si="146"/>
        <v>0</v>
      </c>
      <c r="CC452" s="646">
        <f t="shared" si="147"/>
        <v>0</v>
      </c>
      <c r="CD452" s="614"/>
    </row>
    <row r="453" spans="1:85" s="653" customFormat="1" ht="61.5" customHeight="1">
      <c r="A453" s="625" t="str">
        <f t="shared" si="129"/>
        <v>-0000-00-No aplica-Al-Al--</v>
      </c>
      <c r="B453" s="626" t="str">
        <f t="shared" si="130"/>
        <v>-0000-00-No aplica-Al-Al-</v>
      </c>
      <c r="C453" s="626" t="str">
        <f t="shared" si="131"/>
        <v>-0000-00-No aplica-</v>
      </c>
      <c r="D453" s="626" t="str">
        <f t="shared" si="132"/>
        <v>-0000-00--Al-Al-</v>
      </c>
      <c r="E453" s="626" t="str">
        <f t="shared" si="133"/>
        <v>--</v>
      </c>
      <c r="F453" s="627">
        <v>395</v>
      </c>
      <c r="G453" s="628">
        <f t="shared" si="134"/>
        <v>395</v>
      </c>
      <c r="H453" s="629" t="b">
        <f t="shared" si="135"/>
        <v>0</v>
      </c>
      <c r="I453" s="630" t="s">
        <v>594</v>
      </c>
      <c r="J453" s="627" t="s">
        <v>329</v>
      </c>
      <c r="K453" s="631" t="str">
        <f>+IFERROR(VLOOKUP(J453,Listas!$A$108:$B$114,2,FALSE),"Alerta: Seleccione la celda en la comumna B con el nombre del proyecto")</f>
        <v>3-1-2-00-00-00-0000-00</v>
      </c>
      <c r="L453" s="632" t="s">
        <v>690</v>
      </c>
      <c r="M453" s="633" t="s">
        <v>691</v>
      </c>
      <c r="N453" s="634" t="str">
        <f t="shared" si="136"/>
        <v>(Cód. 395) Contratar la prestación del servicio integral de aseo, cafetería y fumigación, incluidos los insumos, para las sedes del Instituto Distrital de Patrimonio Cultural.</v>
      </c>
      <c r="O453" s="635">
        <v>43501</v>
      </c>
      <c r="P453" s="636">
        <f>IFERROR(VLOOKUP(W453,'Estimación CRP'!$D$21:$E$30,2,FALSE),0)</f>
        <v>10</v>
      </c>
      <c r="Q453" s="637">
        <f>IF(O453="No aplica","No aplica",WORKDAY.INTL(O453,P453,1,'Estimación CRP'!A639:A655))</f>
        <v>43515</v>
      </c>
      <c r="R453" s="636">
        <f t="shared" si="137"/>
        <v>2</v>
      </c>
      <c r="S453" s="636">
        <f t="shared" si="138"/>
        <v>2</v>
      </c>
      <c r="T453" s="636">
        <f t="shared" si="139"/>
        <v>2</v>
      </c>
      <c r="U453" s="712">
        <v>10</v>
      </c>
      <c r="V453" s="638">
        <v>1</v>
      </c>
      <c r="W453" s="639" t="s">
        <v>349</v>
      </c>
      <c r="X453" s="640" t="str">
        <f>IFERROR(VLOOKUP(W453,Listas!$A$60:$B$73,2,FALSE),"Alerta: Seleccione primero Modalidad de selección")</f>
        <v>CCE-99</v>
      </c>
      <c r="Y453" s="641">
        <v>0</v>
      </c>
      <c r="Z453" s="641" t="s">
        <v>1163</v>
      </c>
      <c r="AA453" s="641" t="s">
        <v>1199</v>
      </c>
      <c r="AB453" s="642">
        <f t="shared" si="140"/>
        <v>120000000</v>
      </c>
      <c r="AC453" s="642">
        <f t="shared" si="141"/>
        <v>120000000</v>
      </c>
      <c r="AD453" s="641">
        <v>0</v>
      </c>
      <c r="AE453" s="643">
        <v>0</v>
      </c>
      <c r="AF453" s="639" t="s">
        <v>276</v>
      </c>
      <c r="AG453" s="639" t="s">
        <v>277</v>
      </c>
      <c r="AH453" s="639" t="s">
        <v>283</v>
      </c>
      <c r="AI453" s="626" t="str">
        <f>IFERROR(VLOOKUP(AH453,Listas!$A$77:$C$83,2,FALSE),"Alerta: Seleccione primero el responsable")</f>
        <v>3550800</v>
      </c>
      <c r="AJ453" s="640" t="str">
        <f>IFERROR(VLOOKUP(AH453,Listas!$A$77:$C$83,3,FALSE),"Alerta: Seleccione primero el responsable")</f>
        <v>juan.acosta@idpc.gov.co</v>
      </c>
      <c r="AK453" s="640" t="str">
        <f>IF(J453="Funcionamiento Gastos Generales","No aplica",IF(J453="Funcionamiento Servicios Personales indirectos","No aplica",IFERROR(VLOOKUP(J453,Listas!$A$127:$E$139,3,FALSE),"Alerta: Seleccione la celda en la comumna B con el nombre del proyecto")))</f>
        <v>No aplica</v>
      </c>
      <c r="AL453" s="640" t="str">
        <f>IF(J453="Funcionamiento Gastos Generales","No aplica",IF(J453="Funcionamiento Servicios Personales","No aplica",IFERROR(VLOOKUP(J453,Listas!$A$220:$D$224,2,FALSE),"Alerta: Seleccione la celda en la comumna B con el nombre del proyecto")))</f>
        <v>No aplica</v>
      </c>
      <c r="AM453" s="640" t="str">
        <f>IF(J453="Funcionamiento Gastos Generales","No aplica",IF(J453="Funcionamiento Servicios Personales","No aplica",IFERROR(VLOOKUP(J453,Listas!$A$220:$D$224,3,FALSE),"Alerta: Seleccione la celda en la comumna B con el nombre del proyecto")))</f>
        <v>No aplica</v>
      </c>
      <c r="AN453" s="633"/>
      <c r="AO453" s="633"/>
      <c r="AP453" s="634" t="str">
        <f>IFERROR(VLOOKUP(J453,Listas!$A$182:$E$215,5,FALSE),"Alerta: Seleccione la celda en la comumna B con el nombre del proyecto")</f>
        <v>Alerta: Seleccione la celda en la comumna B con el nombre del proyecto</v>
      </c>
      <c r="AQ453" s="634" t="str">
        <f>IF(J453="Funcionamiento Gastos Generales","No aplica",IF(J453="Funcionamiento Servicios Personales","No aplica",IFERROR(VLOOKUP(J453,Listas!$A$220:$D$224,4,FALSE),"Alerta: Seleccione la celda en la comumna B con el nombre del proyecto")))</f>
        <v>No aplica</v>
      </c>
      <c r="AR453" s="633"/>
      <c r="AS453" s="634" t="str">
        <f>IFERROR(VLOOKUP(AU453,Listas!$E$85:$L$105,7,FALSE),"Alerta: Seleccione la celda en la comumna AI con el concepto de gasto")</f>
        <v>Alerta: Seleccione la celda en la comumna AI con el concepto de gasto</v>
      </c>
      <c r="AT453" s="634" t="str">
        <f>IFERROR(VLOOKUP(AU453,Listas!$E$85:$L$105,8,FALSE),"Alerta: Seleccione la celda en la comumna AI con el concepto de gasto")</f>
        <v>Alerta: Seleccione la celda en la comumna AI con el concepto de gasto</v>
      </c>
      <c r="AU453" s="633"/>
      <c r="AV453" s="634" t="str">
        <f>IFERROR(VLOOKUP(AU453,Listas!$E$85:$F$105,2,FALSE),"Alerta: Seleccione el Concepto de Gasto primero")</f>
        <v>Alerta: Seleccione el Concepto de Gasto primero</v>
      </c>
      <c r="AW453" s="644">
        <v>120000000</v>
      </c>
      <c r="AX453" s="645"/>
      <c r="AY453" s="645"/>
      <c r="AZ453" s="645"/>
      <c r="BA453" s="646">
        <f t="shared" si="142"/>
        <v>120000000</v>
      </c>
      <c r="BB453" s="647"/>
      <c r="BC453" s="648"/>
      <c r="BD453" s="649"/>
      <c r="BE453" s="647"/>
      <c r="BF453" s="644"/>
      <c r="BG453" s="646">
        <f t="shared" si="143"/>
        <v>120000000</v>
      </c>
      <c r="BH453" s="650"/>
      <c r="BI453" s="647"/>
      <c r="BJ453" s="644"/>
      <c r="BK453" s="646">
        <f t="shared" si="144"/>
        <v>0</v>
      </c>
      <c r="BL453" s="651"/>
      <c r="BM453" s="652">
        <f t="shared" si="145"/>
        <v>1</v>
      </c>
      <c r="BN453" s="628"/>
      <c r="BO453" s="670"/>
      <c r="BP453" s="644"/>
      <c r="BQ453" s="644"/>
      <c r="BR453" s="644"/>
      <c r="BS453" s="644"/>
      <c r="BT453" s="644"/>
      <c r="BU453" s="644"/>
      <c r="BV453" s="644"/>
      <c r="BW453" s="644"/>
      <c r="BX453" s="644"/>
      <c r="BY453" s="644"/>
      <c r="BZ453" s="644"/>
      <c r="CA453" s="644"/>
      <c r="CB453" s="646">
        <f t="shared" si="146"/>
        <v>0</v>
      </c>
      <c r="CC453" s="646">
        <f t="shared" si="147"/>
        <v>0</v>
      </c>
      <c r="CD453" s="614"/>
    </row>
    <row r="454" spans="1:85" s="653" customFormat="1" ht="61.5" customHeight="1">
      <c r="A454" s="625" t="str">
        <f t="shared" si="129"/>
        <v>-0000-00-No aplica-Al-Al--</v>
      </c>
      <c r="B454" s="626" t="str">
        <f t="shared" si="130"/>
        <v>-0000-00-No aplica-Al-Al-</v>
      </c>
      <c r="C454" s="626" t="str">
        <f t="shared" si="131"/>
        <v>-0000-00-No aplica-</v>
      </c>
      <c r="D454" s="626" t="str">
        <f t="shared" si="132"/>
        <v>-0000-00--Al-Al-</v>
      </c>
      <c r="E454" s="626" t="str">
        <f t="shared" si="133"/>
        <v>--</v>
      </c>
      <c r="F454" s="627">
        <v>396</v>
      </c>
      <c r="G454" s="628">
        <f t="shared" si="134"/>
        <v>396</v>
      </c>
      <c r="H454" s="629" t="b">
        <f t="shared" si="135"/>
        <v>0</v>
      </c>
      <c r="I454" s="630" t="s">
        <v>594</v>
      </c>
      <c r="J454" s="627" t="s">
        <v>329</v>
      </c>
      <c r="K454" s="631" t="str">
        <f>+IFERROR(VLOOKUP(J454,Listas!$A$108:$B$114,2,FALSE),"Alerta: Seleccione la celda en la comumna B con el nombre del proyecto")</f>
        <v>3-1-2-00-00-00-0000-00</v>
      </c>
      <c r="L454" s="632">
        <v>84131501</v>
      </c>
      <c r="M454" s="633" t="s">
        <v>792</v>
      </c>
      <c r="N454" s="634" t="str">
        <f t="shared" si="136"/>
        <v>(Cód. 396) Contratar un programa de seguros que ampare los bienes e intereses patrimoniales del Instituto Distrital de Patrimonio Cultural y aquellos por los cuales sea o llegare a ser responsable.</v>
      </c>
      <c r="O454" s="635">
        <v>43586</v>
      </c>
      <c r="P454" s="636">
        <f>IFERROR(VLOOKUP(W454,'Estimación CRP'!$D$21:$E$30,2,FALSE),0)</f>
        <v>50</v>
      </c>
      <c r="Q454" s="637">
        <f>IF(O454="No aplica","No aplica",WORKDAY.INTL(O454,P454,1,'Estimación CRP'!A640:A656))</f>
        <v>43656</v>
      </c>
      <c r="R454" s="636">
        <f t="shared" si="137"/>
        <v>7</v>
      </c>
      <c r="S454" s="636">
        <f t="shared" si="138"/>
        <v>5</v>
      </c>
      <c r="T454" s="636">
        <f t="shared" si="139"/>
        <v>5</v>
      </c>
      <c r="U454" s="712">
        <v>8</v>
      </c>
      <c r="V454" s="638">
        <v>1</v>
      </c>
      <c r="W454" s="639" t="s">
        <v>258</v>
      </c>
      <c r="X454" s="640" t="str">
        <f>IFERROR(VLOOKUP(W454,Listas!$A$60:$B$73,2,FALSE),"Alerta: Seleccione primero Modalidad de selección")</f>
        <v>CCE-02</v>
      </c>
      <c r="Y454" s="641">
        <v>0</v>
      </c>
      <c r="Z454" s="641" t="s">
        <v>1266</v>
      </c>
      <c r="AA454" s="641" t="s">
        <v>1267</v>
      </c>
      <c r="AB454" s="642">
        <f t="shared" si="140"/>
        <v>250000000</v>
      </c>
      <c r="AC454" s="642">
        <f t="shared" si="141"/>
        <v>250000000</v>
      </c>
      <c r="AD454" s="641">
        <v>0</v>
      </c>
      <c r="AE454" s="643">
        <v>0</v>
      </c>
      <c r="AF454" s="639" t="s">
        <v>276</v>
      </c>
      <c r="AG454" s="639" t="s">
        <v>277</v>
      </c>
      <c r="AH454" s="639" t="s">
        <v>283</v>
      </c>
      <c r="AI454" s="626" t="str">
        <f>IFERROR(VLOOKUP(AH454,Listas!$A$77:$C$83,2,FALSE),"Alerta: Seleccione primero el responsable")</f>
        <v>3550800</v>
      </c>
      <c r="AJ454" s="640" t="str">
        <f>IFERROR(VLOOKUP(AH454,Listas!$A$77:$C$83,3,FALSE),"Alerta: Seleccione primero el responsable")</f>
        <v>juan.acosta@idpc.gov.co</v>
      </c>
      <c r="AK454" s="640" t="str">
        <f>IF(J454="Funcionamiento Gastos Generales","No aplica",IF(J454="Funcionamiento Servicios Personales indirectos","No aplica",IFERROR(VLOOKUP(J454,Listas!$A$127:$E$139,3,FALSE),"Alerta: Seleccione la celda en la comumna B con el nombre del proyecto")))</f>
        <v>No aplica</v>
      </c>
      <c r="AL454" s="640" t="str">
        <f>IF(J454="Funcionamiento Gastos Generales","No aplica",IF(J454="Funcionamiento Servicios Personales","No aplica",IFERROR(VLOOKUP(J454,Listas!$A$220:$D$224,2,FALSE),"Alerta: Seleccione la celda en la comumna B con el nombre del proyecto")))</f>
        <v>No aplica</v>
      </c>
      <c r="AM454" s="640" t="str">
        <f>IF(J454="Funcionamiento Gastos Generales","No aplica",IF(J454="Funcionamiento Servicios Personales","No aplica",IFERROR(VLOOKUP(J454,Listas!$A$220:$D$224,3,FALSE),"Alerta: Seleccione la celda en la comumna B con el nombre del proyecto")))</f>
        <v>No aplica</v>
      </c>
      <c r="AN454" s="633"/>
      <c r="AO454" s="633"/>
      <c r="AP454" s="634" t="str">
        <f>IFERROR(VLOOKUP(J454,Listas!$A$182:$E$215,5,FALSE),"Alerta: Seleccione la celda en la comumna B con el nombre del proyecto")</f>
        <v>Alerta: Seleccione la celda en la comumna B con el nombre del proyecto</v>
      </c>
      <c r="AQ454" s="634" t="str">
        <f>IF(J454="Funcionamiento Gastos Generales","No aplica",IF(J454="Funcionamiento Servicios Personales","No aplica",IFERROR(VLOOKUP(J454,Listas!$A$220:$D$224,4,FALSE),"Alerta: Seleccione la celda en la comumna B con el nombre del proyecto")))</f>
        <v>No aplica</v>
      </c>
      <c r="AR454" s="633"/>
      <c r="AS454" s="634" t="str">
        <f>IFERROR(VLOOKUP(AU454,Listas!$E$85:$L$105,7,FALSE),"Alerta: Seleccione la celda en la comumna AI con el concepto de gasto")</f>
        <v>Alerta: Seleccione la celda en la comumna AI con el concepto de gasto</v>
      </c>
      <c r="AT454" s="634" t="str">
        <f>IFERROR(VLOOKUP(AU454,Listas!$E$85:$L$105,8,FALSE),"Alerta: Seleccione la celda en la comumna AI con el concepto de gasto")</f>
        <v>Alerta: Seleccione la celda en la comumna AI con el concepto de gasto</v>
      </c>
      <c r="AU454" s="633"/>
      <c r="AV454" s="634" t="str">
        <f>IFERROR(VLOOKUP(AU454,Listas!$E$85:$F$105,2,FALSE),"Alerta: Seleccione el Concepto de Gasto primero")</f>
        <v>Alerta: Seleccione el Concepto de Gasto primero</v>
      </c>
      <c r="AW454" s="644">
        <v>250000000</v>
      </c>
      <c r="AX454" s="645"/>
      <c r="AY454" s="645"/>
      <c r="AZ454" s="645"/>
      <c r="BA454" s="646">
        <f t="shared" si="142"/>
        <v>250000000</v>
      </c>
      <c r="BB454" s="647"/>
      <c r="BC454" s="648"/>
      <c r="BD454" s="649"/>
      <c r="BE454" s="647"/>
      <c r="BF454" s="644"/>
      <c r="BG454" s="646">
        <f t="shared" si="143"/>
        <v>250000000</v>
      </c>
      <c r="BH454" s="650"/>
      <c r="BI454" s="647"/>
      <c r="BJ454" s="644"/>
      <c r="BK454" s="646">
        <f t="shared" si="144"/>
        <v>0</v>
      </c>
      <c r="BL454" s="651"/>
      <c r="BM454" s="652">
        <f t="shared" si="145"/>
        <v>1</v>
      </c>
      <c r="BN454" s="628"/>
      <c r="BO454" s="670"/>
      <c r="BP454" s="644"/>
      <c r="BQ454" s="644"/>
      <c r="BR454" s="644"/>
      <c r="BS454" s="644"/>
      <c r="BT454" s="644"/>
      <c r="BU454" s="644"/>
      <c r="BV454" s="644"/>
      <c r="BW454" s="644"/>
      <c r="BX454" s="644"/>
      <c r="BY454" s="644"/>
      <c r="BZ454" s="644"/>
      <c r="CA454" s="644"/>
      <c r="CB454" s="646">
        <f t="shared" si="146"/>
        <v>0</v>
      </c>
      <c r="CC454" s="646">
        <f t="shared" si="147"/>
        <v>0</v>
      </c>
      <c r="CD454" s="614"/>
    </row>
    <row r="455" spans="1:85" s="653" customFormat="1" ht="61.5" customHeight="1">
      <c r="A455" s="625" t="str">
        <f t="shared" si="129"/>
        <v>-0000-00-No aplica-Al-Al--</v>
      </c>
      <c r="B455" s="626" t="str">
        <f t="shared" si="130"/>
        <v>-0000-00-No aplica-Al-Al-</v>
      </c>
      <c r="C455" s="626" t="str">
        <f t="shared" si="131"/>
        <v>-0000-00-No aplica-</v>
      </c>
      <c r="D455" s="626" t="str">
        <f t="shared" si="132"/>
        <v>-0000-00--Al-Al-</v>
      </c>
      <c r="E455" s="626" t="str">
        <f t="shared" si="133"/>
        <v>--</v>
      </c>
      <c r="F455" s="627">
        <v>397</v>
      </c>
      <c r="G455" s="628">
        <f t="shared" si="134"/>
        <v>397</v>
      </c>
      <c r="H455" s="629" t="b">
        <f t="shared" si="135"/>
        <v>0</v>
      </c>
      <c r="I455" s="630" t="s">
        <v>594</v>
      </c>
      <c r="J455" s="627" t="s">
        <v>329</v>
      </c>
      <c r="K455" s="631" t="str">
        <f>+IFERROR(VLOOKUP(J455,Listas!$A$108:$B$114,2,FALSE),"Alerta: Seleccione la celda en la comumna B con el nombre del proyecto")</f>
        <v>3-1-2-00-00-00-0000-00</v>
      </c>
      <c r="L455" s="632" t="s">
        <v>705</v>
      </c>
      <c r="M455" s="633" t="s">
        <v>706</v>
      </c>
      <c r="N455" s="634" t="str">
        <f t="shared" si="136"/>
        <v>(Cód. 397) Prestación de los servicios de vigilancia y seguridad privada, en la modalidad de vigilancia fija armada, con medios técnicos y tecnológicos, a los bienes muebles e inmuebles que conforman el patrimonio de la entidad y de los cuales es o llegare a ser legalmente responsable.</v>
      </c>
      <c r="O455" s="635">
        <v>43539</v>
      </c>
      <c r="P455" s="636">
        <f>IFERROR(VLOOKUP(W455,'Estimación CRP'!$D$21:$E$30,2,FALSE),0)</f>
        <v>50</v>
      </c>
      <c r="Q455" s="637">
        <f>IF(O455="No aplica","No aplica",WORKDAY.INTL(O455,P455,1,'Estimación CRP'!A641:A657))</f>
        <v>43609</v>
      </c>
      <c r="R455" s="636">
        <f t="shared" si="137"/>
        <v>5</v>
      </c>
      <c r="S455" s="636">
        <f t="shared" si="138"/>
        <v>3</v>
      </c>
      <c r="T455" s="636">
        <f t="shared" si="139"/>
        <v>3</v>
      </c>
      <c r="U455" s="712">
        <v>7</v>
      </c>
      <c r="V455" s="638">
        <v>1</v>
      </c>
      <c r="W455" s="639" t="s">
        <v>258</v>
      </c>
      <c r="X455" s="640" t="str">
        <f>IFERROR(VLOOKUP(W455,Listas!$A$60:$B$73,2,FALSE),"Alerta: Seleccione primero Modalidad de selección")</f>
        <v>CCE-02</v>
      </c>
      <c r="Y455" s="641">
        <v>0</v>
      </c>
      <c r="Z455" s="641" t="s">
        <v>1182</v>
      </c>
      <c r="AA455" s="641" t="s">
        <v>1269</v>
      </c>
      <c r="AB455" s="642">
        <f t="shared" si="140"/>
        <v>193789594</v>
      </c>
      <c r="AC455" s="642">
        <f t="shared" si="141"/>
        <v>193789594</v>
      </c>
      <c r="AD455" s="641">
        <v>0</v>
      </c>
      <c r="AE455" s="643">
        <v>0</v>
      </c>
      <c r="AF455" s="639" t="s">
        <v>276</v>
      </c>
      <c r="AG455" s="639" t="s">
        <v>277</v>
      </c>
      <c r="AH455" s="639" t="s">
        <v>283</v>
      </c>
      <c r="AI455" s="626" t="str">
        <f>IFERROR(VLOOKUP(AH455,Listas!$A$77:$C$83,2,FALSE),"Alerta: Seleccione primero el responsable")</f>
        <v>3550800</v>
      </c>
      <c r="AJ455" s="640" t="str">
        <f>IFERROR(VLOOKUP(AH455,Listas!$A$77:$C$83,3,FALSE),"Alerta: Seleccione primero el responsable")</f>
        <v>juan.acosta@idpc.gov.co</v>
      </c>
      <c r="AK455" s="640" t="str">
        <f>IF(J455="Funcionamiento Gastos Generales","No aplica",IF(J455="Funcionamiento Servicios Personales indirectos","No aplica",IFERROR(VLOOKUP(J455,Listas!$A$127:$E$139,3,FALSE),"Alerta: Seleccione la celda en la comumna B con el nombre del proyecto")))</f>
        <v>No aplica</v>
      </c>
      <c r="AL455" s="640" t="str">
        <f>IF(J455="Funcionamiento Gastos Generales","No aplica",IF(J455="Funcionamiento Servicios Personales","No aplica",IFERROR(VLOOKUP(J455,Listas!$A$220:$D$224,2,FALSE),"Alerta: Seleccione la celda en la comumna B con el nombre del proyecto")))</f>
        <v>No aplica</v>
      </c>
      <c r="AM455" s="640" t="str">
        <f>IF(J455="Funcionamiento Gastos Generales","No aplica",IF(J455="Funcionamiento Servicios Personales","No aplica",IFERROR(VLOOKUP(J455,Listas!$A$220:$D$224,3,FALSE),"Alerta: Seleccione la celda en la comumna B con el nombre del proyecto")))</f>
        <v>No aplica</v>
      </c>
      <c r="AN455" s="633"/>
      <c r="AO455" s="633"/>
      <c r="AP455" s="634" t="str">
        <f>IFERROR(VLOOKUP(J455,Listas!$A$182:$E$215,5,FALSE),"Alerta: Seleccione la celda en la comumna B con el nombre del proyecto")</f>
        <v>Alerta: Seleccione la celda en la comumna B con el nombre del proyecto</v>
      </c>
      <c r="AQ455" s="634" t="str">
        <f>IF(J455="Funcionamiento Gastos Generales","No aplica",IF(J455="Funcionamiento Servicios Personales","No aplica",IFERROR(VLOOKUP(J455,Listas!$A$220:$D$224,4,FALSE),"Alerta: Seleccione la celda en la comumna B con el nombre del proyecto")))</f>
        <v>No aplica</v>
      </c>
      <c r="AR455" s="633"/>
      <c r="AS455" s="634" t="str">
        <f>IFERROR(VLOOKUP(AU455,Listas!$E$85:$L$105,7,FALSE),"Alerta: Seleccione la celda en la comumna AI con el concepto de gasto")</f>
        <v>Alerta: Seleccione la celda en la comumna AI con el concepto de gasto</v>
      </c>
      <c r="AT455" s="634" t="str">
        <f>IFERROR(VLOOKUP(AU455,Listas!$E$85:$L$105,8,FALSE),"Alerta: Seleccione la celda en la comumna AI con el concepto de gasto")</f>
        <v>Alerta: Seleccione la celda en la comumna AI con el concepto de gasto</v>
      </c>
      <c r="AU455" s="633"/>
      <c r="AV455" s="634" t="str">
        <f>IFERROR(VLOOKUP(AU455,Listas!$E$85:$F$105,2,FALSE),"Alerta: Seleccione el Concepto de Gasto primero")</f>
        <v>Alerta: Seleccione el Concepto de Gasto primero</v>
      </c>
      <c r="AW455" s="644">
        <v>193789594</v>
      </c>
      <c r="AX455" s="645"/>
      <c r="AY455" s="645"/>
      <c r="AZ455" s="645"/>
      <c r="BA455" s="646">
        <f t="shared" si="142"/>
        <v>193789594</v>
      </c>
      <c r="BB455" s="647"/>
      <c r="BC455" s="648"/>
      <c r="BD455" s="649"/>
      <c r="BE455" s="647"/>
      <c r="BF455" s="644"/>
      <c r="BG455" s="646">
        <f t="shared" si="143"/>
        <v>193789594</v>
      </c>
      <c r="BH455" s="650"/>
      <c r="BI455" s="647"/>
      <c r="BJ455" s="644"/>
      <c r="BK455" s="646">
        <f t="shared" si="144"/>
        <v>0</v>
      </c>
      <c r="BL455" s="651"/>
      <c r="BM455" s="652">
        <f t="shared" si="145"/>
        <v>1</v>
      </c>
      <c r="BN455" s="628"/>
      <c r="BO455" s="670"/>
      <c r="BP455" s="644"/>
      <c r="BQ455" s="644"/>
      <c r="BR455" s="644"/>
      <c r="BS455" s="644"/>
      <c r="BT455" s="644"/>
      <c r="BU455" s="644"/>
      <c r="BV455" s="644"/>
      <c r="BW455" s="644"/>
      <c r="BX455" s="644"/>
      <c r="BY455" s="644"/>
      <c r="BZ455" s="644"/>
      <c r="CA455" s="644"/>
      <c r="CB455" s="646">
        <f t="shared" si="146"/>
        <v>0</v>
      </c>
      <c r="CC455" s="646">
        <f t="shared" si="147"/>
        <v>0</v>
      </c>
      <c r="CD455" s="614"/>
    </row>
    <row r="456" spans="1:85" s="653" customFormat="1" ht="61.5" customHeight="1">
      <c r="A456" s="625" t="str">
        <f t="shared" si="129"/>
        <v>-0000-00-No aplica-Al-Al--</v>
      </c>
      <c r="B456" s="626" t="str">
        <f t="shared" si="130"/>
        <v>-0000-00-No aplica-Al-Al-</v>
      </c>
      <c r="C456" s="626" t="str">
        <f t="shared" si="131"/>
        <v>-0000-00-No aplica-</v>
      </c>
      <c r="D456" s="626" t="str">
        <f t="shared" si="132"/>
        <v>-0000-00--Al-Al-</v>
      </c>
      <c r="E456" s="626" t="str">
        <f t="shared" si="133"/>
        <v>--</v>
      </c>
      <c r="F456" s="627">
        <v>398</v>
      </c>
      <c r="G456" s="628">
        <f t="shared" si="134"/>
        <v>398</v>
      </c>
      <c r="H456" s="629" t="b">
        <f t="shared" si="135"/>
        <v>0</v>
      </c>
      <c r="I456" s="630" t="s">
        <v>594</v>
      </c>
      <c r="J456" s="627" t="s">
        <v>329</v>
      </c>
      <c r="K456" s="631" t="str">
        <f>+IFERROR(VLOOKUP(J456,Listas!$A$108:$B$114,2,FALSE),"Alerta: Seleccione la celda en la comumna B con el nombre del proyecto")</f>
        <v>3-1-2-00-00-00-0000-00</v>
      </c>
      <c r="L456" s="632" t="s">
        <v>705</v>
      </c>
      <c r="M456" s="633" t="s">
        <v>989</v>
      </c>
      <c r="N456" s="634" t="str">
        <f t="shared" si="136"/>
        <v>(Cód. 398) Adición y prorroga al contrato 305 de 2018 que tiene por objeto: prestación de los servicios de vigilancia y seguridad privada, en la modalidad de vigilancia fija armada, con medios técnicos y tecnológicos, a los bienes muebles e inmuebles que conforman el patrimonio de la entidad y de los cuales es o llegare a ser legalmente responsable.</v>
      </c>
      <c r="O456" s="635">
        <v>43481</v>
      </c>
      <c r="P456" s="636">
        <f>IFERROR(VLOOKUP(W456,'Estimación CRP'!$D$21:$E$30,2,FALSE),0)</f>
        <v>50</v>
      </c>
      <c r="Q456" s="637">
        <f>IF(O456="No aplica","No aplica",WORKDAY.INTL(O456,P456,1,'Estimación CRP'!A642:A658))</f>
        <v>43551</v>
      </c>
      <c r="R456" s="636">
        <f t="shared" si="137"/>
        <v>3</v>
      </c>
      <c r="S456" s="636">
        <f t="shared" si="138"/>
        <v>1</v>
      </c>
      <c r="T456" s="636">
        <f t="shared" si="139"/>
        <v>1</v>
      </c>
      <c r="U456" s="712">
        <f>3*30+15</f>
        <v>105</v>
      </c>
      <c r="V456" s="638">
        <v>0</v>
      </c>
      <c r="W456" s="639" t="s">
        <v>258</v>
      </c>
      <c r="X456" s="640" t="str">
        <f>IFERROR(VLOOKUP(W456,Listas!$A$60:$B$73,2,FALSE),"Alerta: Seleccione primero Modalidad de selección")</f>
        <v>CCE-02</v>
      </c>
      <c r="Y456" s="641">
        <v>0</v>
      </c>
      <c r="Z456" s="641" t="s">
        <v>1270</v>
      </c>
      <c r="AA456" s="641" t="s">
        <v>1269</v>
      </c>
      <c r="AB456" s="642">
        <f t="shared" si="140"/>
        <v>206210406</v>
      </c>
      <c r="AC456" s="642">
        <f t="shared" si="141"/>
        <v>206210406</v>
      </c>
      <c r="AD456" s="641">
        <v>0</v>
      </c>
      <c r="AE456" s="643">
        <v>0</v>
      </c>
      <c r="AF456" s="639" t="s">
        <v>276</v>
      </c>
      <c r="AG456" s="639" t="s">
        <v>277</v>
      </c>
      <c r="AH456" s="639" t="s">
        <v>283</v>
      </c>
      <c r="AI456" s="626" t="str">
        <f>IFERROR(VLOOKUP(AH456,Listas!$A$77:$C$83,2,FALSE),"Alerta: Seleccione primero el responsable")</f>
        <v>3550800</v>
      </c>
      <c r="AJ456" s="640" t="str">
        <f>IFERROR(VLOOKUP(AH456,Listas!$A$77:$C$83,3,FALSE),"Alerta: Seleccione primero el responsable")</f>
        <v>juan.acosta@idpc.gov.co</v>
      </c>
      <c r="AK456" s="640" t="str">
        <f>IF(J456="Funcionamiento Gastos Generales","No aplica",IF(J456="Funcionamiento Servicios Personales indirectos","No aplica",IFERROR(VLOOKUP(J456,Listas!$A$127:$E$139,3,FALSE),"Alerta: Seleccione la celda en la comumna B con el nombre del proyecto")))</f>
        <v>No aplica</v>
      </c>
      <c r="AL456" s="640" t="str">
        <f>IF(J456="Funcionamiento Gastos Generales","No aplica",IF(J456="Funcionamiento Servicios Personales","No aplica",IFERROR(VLOOKUP(J456,Listas!$A$220:$D$224,2,FALSE),"Alerta: Seleccione la celda en la comumna B con el nombre del proyecto")))</f>
        <v>No aplica</v>
      </c>
      <c r="AM456" s="640" t="str">
        <f>IF(J456="Funcionamiento Gastos Generales","No aplica",IF(J456="Funcionamiento Servicios Personales","No aplica",IFERROR(VLOOKUP(J456,Listas!$A$220:$D$224,3,FALSE),"Alerta: Seleccione la celda en la comumna B con el nombre del proyecto")))</f>
        <v>No aplica</v>
      </c>
      <c r="AN456" s="633"/>
      <c r="AO456" s="633"/>
      <c r="AP456" s="634" t="str">
        <f>IFERROR(VLOOKUP(J456,Listas!$A$182:$E$215,5,FALSE),"Alerta: Seleccione la celda en la comumna B con el nombre del proyecto")</f>
        <v>Alerta: Seleccione la celda en la comumna B con el nombre del proyecto</v>
      </c>
      <c r="AQ456" s="634" t="str">
        <f>IF(J456="Funcionamiento Gastos Generales","No aplica",IF(J456="Funcionamiento Servicios Personales","No aplica",IFERROR(VLOOKUP(J456,Listas!$A$220:$D$224,4,FALSE),"Alerta: Seleccione la celda en la comumna B con el nombre del proyecto")))</f>
        <v>No aplica</v>
      </c>
      <c r="AR456" s="633"/>
      <c r="AS456" s="634" t="str">
        <f>IFERROR(VLOOKUP(AU456,Listas!$E$85:$L$105,7,FALSE),"Alerta: Seleccione la celda en la comumna AI con el concepto de gasto")</f>
        <v>Alerta: Seleccione la celda en la comumna AI con el concepto de gasto</v>
      </c>
      <c r="AT456" s="634" t="str">
        <f>IFERROR(VLOOKUP(AU456,Listas!$E$85:$L$105,8,FALSE),"Alerta: Seleccione la celda en la comumna AI con el concepto de gasto")</f>
        <v>Alerta: Seleccione la celda en la comumna AI con el concepto de gasto</v>
      </c>
      <c r="AU456" s="633"/>
      <c r="AV456" s="634" t="str">
        <f>IFERROR(VLOOKUP(AU456,Listas!$E$85:$F$105,2,FALSE),"Alerta: Seleccione el Concepto de Gasto primero")</f>
        <v>Alerta: Seleccione el Concepto de Gasto primero</v>
      </c>
      <c r="AW456" s="644">
        <v>206210406</v>
      </c>
      <c r="AX456" s="645"/>
      <c r="AY456" s="645"/>
      <c r="AZ456" s="645"/>
      <c r="BA456" s="646">
        <f t="shared" si="142"/>
        <v>206210406</v>
      </c>
      <c r="BB456" s="647"/>
      <c r="BC456" s="648"/>
      <c r="BD456" s="649"/>
      <c r="BE456" s="647"/>
      <c r="BF456" s="644"/>
      <c r="BG456" s="646">
        <f t="shared" si="143"/>
        <v>206210406</v>
      </c>
      <c r="BH456" s="650"/>
      <c r="BI456" s="647"/>
      <c r="BJ456" s="644"/>
      <c r="BK456" s="646">
        <f t="shared" si="144"/>
        <v>0</v>
      </c>
      <c r="BL456" s="651"/>
      <c r="BM456" s="652">
        <f t="shared" si="145"/>
        <v>1</v>
      </c>
      <c r="BN456" s="628"/>
      <c r="BO456" s="670"/>
      <c r="BP456" s="644"/>
      <c r="BQ456" s="644"/>
      <c r="BR456" s="644"/>
      <c r="BS456" s="644"/>
      <c r="BT456" s="644"/>
      <c r="BU456" s="644"/>
      <c r="BV456" s="644"/>
      <c r="BW456" s="644"/>
      <c r="BX456" s="644"/>
      <c r="BY456" s="644"/>
      <c r="BZ456" s="644"/>
      <c r="CA456" s="644"/>
      <c r="CB456" s="646">
        <f t="shared" si="146"/>
        <v>0</v>
      </c>
      <c r="CC456" s="646">
        <f t="shared" si="147"/>
        <v>0</v>
      </c>
      <c r="CD456" s="614"/>
    </row>
    <row r="457" spans="1:85" s="653" customFormat="1" ht="61.5" customHeight="1">
      <c r="A457" s="625" t="str">
        <f t="shared" si="129"/>
        <v>-0000-00-No aplica-Al-Al--</v>
      </c>
      <c r="B457" s="626" t="str">
        <f t="shared" si="130"/>
        <v>-0000-00-No aplica-Al-Al-</v>
      </c>
      <c r="C457" s="626" t="str">
        <f t="shared" si="131"/>
        <v>-0000-00-No aplica-</v>
      </c>
      <c r="D457" s="626" t="str">
        <f t="shared" si="132"/>
        <v>-0000-00--Al-Al-</v>
      </c>
      <c r="E457" s="626" t="str">
        <f t="shared" si="133"/>
        <v>--</v>
      </c>
      <c r="F457" s="627">
        <v>399</v>
      </c>
      <c r="G457" s="628">
        <f t="shared" si="134"/>
        <v>399</v>
      </c>
      <c r="H457" s="629" t="b">
        <f t="shared" si="135"/>
        <v>0</v>
      </c>
      <c r="I457" s="630" t="s">
        <v>594</v>
      </c>
      <c r="J457" s="627" t="s">
        <v>329</v>
      </c>
      <c r="K457" s="631" t="str">
        <f>+IFERROR(VLOOKUP(J457,Listas!$A$108:$B$114,2,FALSE),"Alerta: Seleccione la celda en la comumna B con el nombre del proyecto")</f>
        <v>3-1-2-00-00-00-0000-00</v>
      </c>
      <c r="L457" s="632" t="s">
        <v>990</v>
      </c>
      <c r="M457" s="633" t="s">
        <v>991</v>
      </c>
      <c r="N457" s="634" t="str">
        <f t="shared" si="136"/>
        <v>(Cód. 399) Contratar el servicio de telefonía IP para las sedes del IDPC</v>
      </c>
      <c r="O457" s="635">
        <v>43631</v>
      </c>
      <c r="P457" s="636">
        <f>IFERROR(VLOOKUP(W457,'Estimación CRP'!$D$21:$E$30,2,FALSE),0)</f>
        <v>50</v>
      </c>
      <c r="Q457" s="637">
        <f>IF(O457="No aplica","No aplica",WORKDAY.INTL(O457,P457,1,'Estimación CRP'!A643:A659))</f>
        <v>43700</v>
      </c>
      <c r="R457" s="636">
        <f t="shared" si="137"/>
        <v>8</v>
      </c>
      <c r="S457" s="636">
        <f t="shared" si="138"/>
        <v>6</v>
      </c>
      <c r="T457" s="636">
        <f t="shared" si="139"/>
        <v>6</v>
      </c>
      <c r="U457" s="712">
        <v>1</v>
      </c>
      <c r="V457" s="638">
        <v>2</v>
      </c>
      <c r="W457" s="639" t="s">
        <v>258</v>
      </c>
      <c r="X457" s="640" t="str">
        <f>IFERROR(VLOOKUP(W457,Listas!$A$60:$B$73,2,FALSE),"Alerta: Seleccione primero Modalidad de selección")</f>
        <v>CCE-02</v>
      </c>
      <c r="Y457" s="641">
        <v>0</v>
      </c>
      <c r="Z457" s="641" t="s">
        <v>346</v>
      </c>
      <c r="AA457" s="641"/>
      <c r="AB457" s="642">
        <f t="shared" si="140"/>
        <v>100000000</v>
      </c>
      <c r="AC457" s="642">
        <f t="shared" si="141"/>
        <v>100000000</v>
      </c>
      <c r="AD457" s="641">
        <v>0</v>
      </c>
      <c r="AE457" s="643">
        <v>0</v>
      </c>
      <c r="AF457" s="639" t="s">
        <v>276</v>
      </c>
      <c r="AG457" s="639" t="s">
        <v>277</v>
      </c>
      <c r="AH457" s="639" t="s">
        <v>283</v>
      </c>
      <c r="AI457" s="626" t="str">
        <f>IFERROR(VLOOKUP(AH457,Listas!$A$77:$C$83,2,FALSE),"Alerta: Seleccione primero el responsable")</f>
        <v>3550800</v>
      </c>
      <c r="AJ457" s="640" t="str">
        <f>IFERROR(VLOOKUP(AH457,Listas!$A$77:$C$83,3,FALSE),"Alerta: Seleccione primero el responsable")</f>
        <v>juan.acosta@idpc.gov.co</v>
      </c>
      <c r="AK457" s="640" t="str">
        <f>IF(J457="Funcionamiento Gastos Generales","No aplica",IF(J457="Funcionamiento Servicios Personales indirectos","No aplica",IFERROR(VLOOKUP(J457,Listas!$A$127:$E$139,3,FALSE),"Alerta: Seleccione la celda en la comumna B con el nombre del proyecto")))</f>
        <v>No aplica</v>
      </c>
      <c r="AL457" s="640" t="str">
        <f>IF(J457="Funcionamiento Gastos Generales","No aplica",IF(J457="Funcionamiento Servicios Personales","No aplica",IFERROR(VLOOKUP(J457,Listas!$A$220:$D$224,2,FALSE),"Alerta: Seleccione la celda en la comumna B con el nombre del proyecto")))</f>
        <v>No aplica</v>
      </c>
      <c r="AM457" s="640" t="str">
        <f>IF(J457="Funcionamiento Gastos Generales","No aplica",IF(J457="Funcionamiento Servicios Personales","No aplica",IFERROR(VLOOKUP(J457,Listas!$A$220:$D$224,3,FALSE),"Alerta: Seleccione la celda en la comumna B con el nombre del proyecto")))</f>
        <v>No aplica</v>
      </c>
      <c r="AN457" s="633"/>
      <c r="AO457" s="633"/>
      <c r="AP457" s="634" t="str">
        <f>IFERROR(VLOOKUP(J457,Listas!$A$182:$E$215,5,FALSE),"Alerta: Seleccione la celda en la comumna B con el nombre del proyecto")</f>
        <v>Alerta: Seleccione la celda en la comumna B con el nombre del proyecto</v>
      </c>
      <c r="AQ457" s="634" t="str">
        <f>IF(J457="Funcionamiento Gastos Generales","No aplica",IF(J457="Funcionamiento Servicios Personales","No aplica",IFERROR(VLOOKUP(J457,Listas!$A$220:$D$224,4,FALSE),"Alerta: Seleccione la celda en la comumna B con el nombre del proyecto")))</f>
        <v>No aplica</v>
      </c>
      <c r="AR457" s="633"/>
      <c r="AS457" s="634" t="str">
        <f>IFERROR(VLOOKUP(AU457,Listas!$E$85:$L$105,7,FALSE),"Alerta: Seleccione la celda en la comumna AI con el concepto de gasto")</f>
        <v>Alerta: Seleccione la celda en la comumna AI con el concepto de gasto</v>
      </c>
      <c r="AT457" s="634" t="str">
        <f>IFERROR(VLOOKUP(AU457,Listas!$E$85:$L$105,8,FALSE),"Alerta: Seleccione la celda en la comumna AI con el concepto de gasto")</f>
        <v>Alerta: Seleccione la celda en la comumna AI con el concepto de gasto</v>
      </c>
      <c r="AU457" s="633"/>
      <c r="AV457" s="634" t="str">
        <f>IFERROR(VLOOKUP(AU457,Listas!$E$85:$F$105,2,FALSE),"Alerta: Seleccione el Concepto de Gasto primero")</f>
        <v>Alerta: Seleccione el Concepto de Gasto primero</v>
      </c>
      <c r="AW457" s="644">
        <v>100000000</v>
      </c>
      <c r="AX457" s="645"/>
      <c r="AY457" s="645"/>
      <c r="AZ457" s="645"/>
      <c r="BA457" s="646">
        <f t="shared" si="142"/>
        <v>100000000</v>
      </c>
      <c r="BB457" s="647"/>
      <c r="BC457" s="648"/>
      <c r="BD457" s="649"/>
      <c r="BE457" s="647"/>
      <c r="BF457" s="644"/>
      <c r="BG457" s="646">
        <f t="shared" si="143"/>
        <v>100000000</v>
      </c>
      <c r="BH457" s="650"/>
      <c r="BI457" s="647"/>
      <c r="BJ457" s="644"/>
      <c r="BK457" s="646">
        <f t="shared" si="144"/>
        <v>0</v>
      </c>
      <c r="BL457" s="651"/>
      <c r="BM457" s="652">
        <f t="shared" si="145"/>
        <v>1</v>
      </c>
      <c r="BN457" s="628"/>
      <c r="BO457" s="670"/>
      <c r="BP457" s="644"/>
      <c r="BQ457" s="644"/>
      <c r="BR457" s="644"/>
      <c r="BS457" s="644"/>
      <c r="BT457" s="644"/>
      <c r="BU457" s="644"/>
      <c r="BV457" s="644"/>
      <c r="BW457" s="644"/>
      <c r="BX457" s="644"/>
      <c r="BY457" s="644"/>
      <c r="BZ457" s="644"/>
      <c r="CA457" s="644"/>
      <c r="CB457" s="646">
        <f t="shared" si="146"/>
        <v>0</v>
      </c>
      <c r="CC457" s="646">
        <f t="shared" si="147"/>
        <v>0</v>
      </c>
      <c r="CD457" s="614"/>
    </row>
    <row r="458" spans="1:85" s="653" customFormat="1" ht="61.5" customHeight="1">
      <c r="A458" s="625" t="str">
        <f t="shared" si="129"/>
        <v>-0000-00-No aplica-Al-Al--</v>
      </c>
      <c r="B458" s="626" t="str">
        <f t="shared" si="130"/>
        <v>-0000-00-No aplica-Al-Al-</v>
      </c>
      <c r="C458" s="626" t="str">
        <f t="shared" si="131"/>
        <v>-0000-00-No aplica-</v>
      </c>
      <c r="D458" s="626" t="str">
        <f t="shared" si="132"/>
        <v>-0000-00--Al-Al-</v>
      </c>
      <c r="E458" s="626" t="str">
        <f t="shared" si="133"/>
        <v>--</v>
      </c>
      <c r="F458" s="627">
        <v>400</v>
      </c>
      <c r="G458" s="628">
        <f t="shared" si="134"/>
        <v>400</v>
      </c>
      <c r="H458" s="629" t="b">
        <f t="shared" si="135"/>
        <v>0</v>
      </c>
      <c r="I458" s="630" t="s">
        <v>594</v>
      </c>
      <c r="J458" s="627" t="s">
        <v>329</v>
      </c>
      <c r="K458" s="631" t="str">
        <f>+IFERROR(VLOOKUP(J458,Listas!$A$108:$B$114,2,FALSE),"Alerta: Seleccione la celda en la comumna B con el nombre del proyecto")</f>
        <v>3-1-2-00-00-00-0000-00</v>
      </c>
      <c r="L458" s="632" t="s">
        <v>798</v>
      </c>
      <c r="M458" s="633" t="s">
        <v>603</v>
      </c>
      <c r="N458" s="634" t="str">
        <f t="shared" si="136"/>
        <v>(Cód. 400) Adquisición de equipos de cómputo y periféricos requeridos para el desarrollo administrativo y misional del Instituto Distrital de Patrimonio Cultural.</v>
      </c>
      <c r="O458" s="635">
        <v>43539</v>
      </c>
      <c r="P458" s="636">
        <f>IFERROR(VLOOKUP(W458,'Estimación CRP'!$D$21:$E$30,2,FALSE),0)</f>
        <v>45</v>
      </c>
      <c r="Q458" s="637">
        <f>IF(O458="No aplica","No aplica",WORKDAY.INTL(O458,P458,1,'Estimación CRP'!A644:A660))</f>
        <v>43602</v>
      </c>
      <c r="R458" s="636">
        <f t="shared" si="137"/>
        <v>5</v>
      </c>
      <c r="S458" s="636">
        <f t="shared" si="138"/>
        <v>3</v>
      </c>
      <c r="T458" s="636">
        <f t="shared" si="139"/>
        <v>3</v>
      </c>
      <c r="U458" s="712">
        <v>1</v>
      </c>
      <c r="V458" s="638">
        <v>1</v>
      </c>
      <c r="W458" s="639" t="s">
        <v>347</v>
      </c>
      <c r="X458" s="640" t="str">
        <f>IFERROR(VLOOKUP(W458,Listas!$A$60:$B$73,2,FALSE),"Alerta: Seleccione primero Modalidad de selección")</f>
        <v>CCE-07</v>
      </c>
      <c r="Y458" s="641">
        <v>0</v>
      </c>
      <c r="Z458" s="641" t="s">
        <v>1069</v>
      </c>
      <c r="AA458" s="641"/>
      <c r="AB458" s="642">
        <f t="shared" si="140"/>
        <v>18000000</v>
      </c>
      <c r="AC458" s="642">
        <f t="shared" si="141"/>
        <v>18000000</v>
      </c>
      <c r="AD458" s="641">
        <v>0</v>
      </c>
      <c r="AE458" s="643">
        <v>0</v>
      </c>
      <c r="AF458" s="639" t="s">
        <v>276</v>
      </c>
      <c r="AG458" s="639" t="s">
        <v>277</v>
      </c>
      <c r="AH458" s="639" t="s">
        <v>283</v>
      </c>
      <c r="AI458" s="626" t="str">
        <f>IFERROR(VLOOKUP(AH458,Listas!$A$77:$C$83,2,FALSE),"Alerta: Seleccione primero el responsable")</f>
        <v>3550800</v>
      </c>
      <c r="AJ458" s="640" t="str">
        <f>IFERROR(VLOOKUP(AH458,Listas!$A$77:$C$83,3,FALSE),"Alerta: Seleccione primero el responsable")</f>
        <v>juan.acosta@idpc.gov.co</v>
      </c>
      <c r="AK458" s="640" t="str">
        <f>IF(J458="Funcionamiento Gastos Generales","No aplica",IF(J458="Funcionamiento Servicios Personales indirectos","No aplica",IFERROR(VLOOKUP(J458,Listas!$A$127:$E$139,3,FALSE),"Alerta: Seleccione la celda en la comumna B con el nombre del proyecto")))</f>
        <v>No aplica</v>
      </c>
      <c r="AL458" s="640" t="str">
        <f>IF(J458="Funcionamiento Gastos Generales","No aplica",IF(J458="Funcionamiento Servicios Personales","No aplica",IFERROR(VLOOKUP(J458,Listas!$A$220:$D$224,2,FALSE),"Alerta: Seleccione la celda en la comumna B con el nombre del proyecto")))</f>
        <v>No aplica</v>
      </c>
      <c r="AM458" s="640" t="str">
        <f>IF(J458="Funcionamiento Gastos Generales","No aplica",IF(J458="Funcionamiento Servicios Personales","No aplica",IFERROR(VLOOKUP(J458,Listas!$A$220:$D$224,3,FALSE),"Alerta: Seleccione la celda en la comumna B con el nombre del proyecto")))</f>
        <v>No aplica</v>
      </c>
      <c r="AN458" s="633"/>
      <c r="AO458" s="633"/>
      <c r="AP458" s="634" t="str">
        <f>IFERROR(VLOOKUP(J458,Listas!$A$182:$E$215,5,FALSE),"Alerta: Seleccione la celda en la comumna B con el nombre del proyecto")</f>
        <v>Alerta: Seleccione la celda en la comumna B con el nombre del proyecto</v>
      </c>
      <c r="AQ458" s="634" t="str">
        <f>IF(J458="Funcionamiento Gastos Generales","No aplica",IF(J458="Funcionamiento Servicios Personales","No aplica",IFERROR(VLOOKUP(J458,Listas!$A$220:$D$224,4,FALSE),"Alerta: Seleccione la celda en la comumna B con el nombre del proyecto")))</f>
        <v>No aplica</v>
      </c>
      <c r="AR458" s="633"/>
      <c r="AS458" s="634" t="str">
        <f>IFERROR(VLOOKUP(AU458,Listas!$E$85:$L$105,7,FALSE),"Alerta: Seleccione la celda en la comumna AI con el concepto de gasto")</f>
        <v>Alerta: Seleccione la celda en la comumna AI con el concepto de gasto</v>
      </c>
      <c r="AT458" s="634" t="str">
        <f>IFERROR(VLOOKUP(AU458,Listas!$E$85:$L$105,8,FALSE),"Alerta: Seleccione la celda en la comumna AI con el concepto de gasto")</f>
        <v>Alerta: Seleccione la celda en la comumna AI con el concepto de gasto</v>
      </c>
      <c r="AU458" s="633"/>
      <c r="AV458" s="634" t="str">
        <f>IFERROR(VLOOKUP(AU458,Listas!$E$85:$F$105,2,FALSE),"Alerta: Seleccione el Concepto de Gasto primero")</f>
        <v>Alerta: Seleccione el Concepto de Gasto primero</v>
      </c>
      <c r="AW458" s="644">
        <v>18000000</v>
      </c>
      <c r="AX458" s="645"/>
      <c r="AY458" s="645"/>
      <c r="AZ458" s="645"/>
      <c r="BA458" s="646">
        <f t="shared" si="142"/>
        <v>18000000</v>
      </c>
      <c r="BB458" s="647"/>
      <c r="BC458" s="648"/>
      <c r="BD458" s="649"/>
      <c r="BE458" s="647"/>
      <c r="BF458" s="644"/>
      <c r="BG458" s="646">
        <f t="shared" si="143"/>
        <v>18000000</v>
      </c>
      <c r="BH458" s="650"/>
      <c r="BI458" s="647"/>
      <c r="BJ458" s="644"/>
      <c r="BK458" s="646">
        <f t="shared" si="144"/>
        <v>0</v>
      </c>
      <c r="BL458" s="651"/>
      <c r="BM458" s="652">
        <f t="shared" si="145"/>
        <v>1</v>
      </c>
      <c r="BN458" s="628"/>
      <c r="BO458" s="670"/>
      <c r="BP458" s="644"/>
      <c r="BQ458" s="644"/>
      <c r="BR458" s="644"/>
      <c r="BS458" s="644"/>
      <c r="BT458" s="644"/>
      <c r="BU458" s="644"/>
      <c r="BV458" s="644"/>
      <c r="BW458" s="644"/>
      <c r="BX458" s="644"/>
      <c r="BY458" s="644"/>
      <c r="BZ458" s="644"/>
      <c r="CA458" s="644"/>
      <c r="CB458" s="646">
        <f t="shared" si="146"/>
        <v>0</v>
      </c>
      <c r="CC458" s="646">
        <f t="shared" si="147"/>
        <v>0</v>
      </c>
      <c r="CD458" s="614"/>
    </row>
    <row r="459" spans="1:85" s="653" customFormat="1" ht="61.5" customHeight="1">
      <c r="A459" s="625" t="str">
        <f t="shared" si="129"/>
        <v>-0000-00-No aplica-Al-Al--</v>
      </c>
      <c r="B459" s="626" t="str">
        <f t="shared" si="130"/>
        <v>-0000-00-No aplica-Al-Al-</v>
      </c>
      <c r="C459" s="626" t="str">
        <f t="shared" si="131"/>
        <v>-0000-00-No aplica-</v>
      </c>
      <c r="D459" s="626" t="str">
        <f t="shared" si="132"/>
        <v>-0000-00--Al-Al-</v>
      </c>
      <c r="E459" s="626" t="str">
        <f t="shared" si="133"/>
        <v>--</v>
      </c>
      <c r="F459" s="627">
        <v>401</v>
      </c>
      <c r="G459" s="628">
        <f t="shared" si="134"/>
        <v>401</v>
      </c>
      <c r="H459" s="629" t="b">
        <f t="shared" si="135"/>
        <v>0</v>
      </c>
      <c r="I459" s="630" t="s">
        <v>594</v>
      </c>
      <c r="J459" s="627" t="s">
        <v>329</v>
      </c>
      <c r="K459" s="631" t="str">
        <f>+IFERROR(VLOOKUP(J459,Listas!$A$108:$B$114,2,FALSE),"Alerta: Seleccione la celda en la comumna B con el nombre del proyecto")</f>
        <v>3-1-2-00-00-00-0000-00</v>
      </c>
      <c r="L459" s="632" t="s">
        <v>799</v>
      </c>
      <c r="M459" s="633" t="s">
        <v>800</v>
      </c>
      <c r="N459" s="634" t="str">
        <f t="shared" si="136"/>
        <v>(Cód. 401) Contratar el alquiler e instalación de computadores de escritorio con su respectiva configuración y puesta en funcionamiento en las instalaciones del Instituto Distrital de Patrimonio Cultural.</v>
      </c>
      <c r="O459" s="635">
        <v>43539</v>
      </c>
      <c r="P459" s="636">
        <f>IFERROR(VLOOKUP(W459,'Estimación CRP'!$D$21:$E$30,2,FALSE),0)</f>
        <v>10</v>
      </c>
      <c r="Q459" s="637">
        <f>IF(O459="No aplica","No aplica",WORKDAY.INTL(O459,P459,1,'Estimación CRP'!A645:A661))</f>
        <v>43553</v>
      </c>
      <c r="R459" s="636">
        <f t="shared" si="137"/>
        <v>3</v>
      </c>
      <c r="S459" s="636">
        <f t="shared" si="138"/>
        <v>3</v>
      </c>
      <c r="T459" s="636">
        <f t="shared" si="139"/>
        <v>3</v>
      </c>
      <c r="U459" s="712">
        <v>7</v>
      </c>
      <c r="V459" s="638">
        <v>1</v>
      </c>
      <c r="W459" s="639" t="s">
        <v>349</v>
      </c>
      <c r="X459" s="640" t="str">
        <f>IFERROR(VLOOKUP(W459,Listas!$A$60:$B$73,2,FALSE),"Alerta: Seleccione primero Modalidad de selección")</f>
        <v>CCE-99</v>
      </c>
      <c r="Y459" s="641">
        <v>0</v>
      </c>
      <c r="Z459" s="641" t="s">
        <v>1272</v>
      </c>
      <c r="AA459" s="641"/>
      <c r="AB459" s="642">
        <f t="shared" si="140"/>
        <v>40000000</v>
      </c>
      <c r="AC459" s="642">
        <f t="shared" si="141"/>
        <v>40000000</v>
      </c>
      <c r="AD459" s="641">
        <v>0</v>
      </c>
      <c r="AE459" s="643">
        <v>0</v>
      </c>
      <c r="AF459" s="639" t="s">
        <v>276</v>
      </c>
      <c r="AG459" s="639" t="s">
        <v>277</v>
      </c>
      <c r="AH459" s="639" t="s">
        <v>283</v>
      </c>
      <c r="AI459" s="626" t="str">
        <f>IFERROR(VLOOKUP(AH459,Listas!$A$77:$C$83,2,FALSE),"Alerta: Seleccione primero el responsable")</f>
        <v>3550800</v>
      </c>
      <c r="AJ459" s="640" t="str">
        <f>IFERROR(VLOOKUP(AH459,Listas!$A$77:$C$83,3,FALSE),"Alerta: Seleccione primero el responsable")</f>
        <v>juan.acosta@idpc.gov.co</v>
      </c>
      <c r="AK459" s="640" t="str">
        <f>IF(J459="Funcionamiento Gastos Generales","No aplica",IF(J459="Funcionamiento Servicios Personales indirectos","No aplica",IFERROR(VLOOKUP(J459,Listas!$A$127:$E$139,3,FALSE),"Alerta: Seleccione la celda en la comumna B con el nombre del proyecto")))</f>
        <v>No aplica</v>
      </c>
      <c r="AL459" s="640" t="str">
        <f>IF(J459="Funcionamiento Gastos Generales","No aplica",IF(J459="Funcionamiento Servicios Personales","No aplica",IFERROR(VLOOKUP(J459,Listas!$A$220:$D$224,2,FALSE),"Alerta: Seleccione la celda en la comumna B con el nombre del proyecto")))</f>
        <v>No aplica</v>
      </c>
      <c r="AM459" s="640" t="str">
        <f>IF(J459="Funcionamiento Gastos Generales","No aplica",IF(J459="Funcionamiento Servicios Personales","No aplica",IFERROR(VLOOKUP(J459,Listas!$A$220:$D$224,3,FALSE),"Alerta: Seleccione la celda en la comumna B con el nombre del proyecto")))</f>
        <v>No aplica</v>
      </c>
      <c r="AN459" s="633"/>
      <c r="AO459" s="633"/>
      <c r="AP459" s="634" t="str">
        <f>IFERROR(VLOOKUP(J459,Listas!$A$182:$E$215,5,FALSE),"Alerta: Seleccione la celda en la comumna B con el nombre del proyecto")</f>
        <v>Alerta: Seleccione la celda en la comumna B con el nombre del proyecto</v>
      </c>
      <c r="AQ459" s="634" t="str">
        <f>IF(J459="Funcionamiento Gastos Generales","No aplica",IF(J459="Funcionamiento Servicios Personales","No aplica",IFERROR(VLOOKUP(J459,Listas!$A$220:$D$224,4,FALSE),"Alerta: Seleccione la celda en la comumna B con el nombre del proyecto")))</f>
        <v>No aplica</v>
      </c>
      <c r="AR459" s="633"/>
      <c r="AS459" s="634" t="str">
        <f>IFERROR(VLOOKUP(AU459,Listas!$E$85:$L$105,7,FALSE),"Alerta: Seleccione la celda en la comumna AI con el concepto de gasto")</f>
        <v>Alerta: Seleccione la celda en la comumna AI con el concepto de gasto</v>
      </c>
      <c r="AT459" s="634" t="str">
        <f>IFERROR(VLOOKUP(AU459,Listas!$E$85:$L$105,8,FALSE),"Alerta: Seleccione la celda en la comumna AI con el concepto de gasto")</f>
        <v>Alerta: Seleccione la celda en la comumna AI con el concepto de gasto</v>
      </c>
      <c r="AU459" s="633"/>
      <c r="AV459" s="634" t="str">
        <f>IFERROR(VLOOKUP(AU459,Listas!$E$85:$F$105,2,FALSE),"Alerta: Seleccione el Concepto de Gasto primero")</f>
        <v>Alerta: Seleccione el Concepto de Gasto primero</v>
      </c>
      <c r="AW459" s="644">
        <v>40000000</v>
      </c>
      <c r="AX459" s="645"/>
      <c r="AY459" s="645"/>
      <c r="AZ459" s="645"/>
      <c r="BA459" s="646">
        <f t="shared" si="142"/>
        <v>40000000</v>
      </c>
      <c r="BB459" s="647"/>
      <c r="BC459" s="648"/>
      <c r="BD459" s="649"/>
      <c r="BE459" s="647"/>
      <c r="BF459" s="644"/>
      <c r="BG459" s="646">
        <f t="shared" si="143"/>
        <v>40000000</v>
      </c>
      <c r="BH459" s="650"/>
      <c r="BI459" s="647"/>
      <c r="BJ459" s="644"/>
      <c r="BK459" s="646">
        <f t="shared" si="144"/>
        <v>0</v>
      </c>
      <c r="BL459" s="651"/>
      <c r="BM459" s="652">
        <f t="shared" si="145"/>
        <v>1</v>
      </c>
      <c r="BN459" s="628"/>
      <c r="BO459" s="670"/>
      <c r="BP459" s="644"/>
      <c r="BQ459" s="644"/>
      <c r="BR459" s="644"/>
      <c r="BS459" s="644"/>
      <c r="BT459" s="644"/>
      <c r="BU459" s="644"/>
      <c r="BV459" s="644"/>
      <c r="BW459" s="644"/>
      <c r="BX459" s="644"/>
      <c r="BY459" s="644"/>
      <c r="BZ459" s="644"/>
      <c r="CA459" s="644"/>
      <c r="CB459" s="646">
        <f t="shared" si="146"/>
        <v>0</v>
      </c>
      <c r="CC459" s="646">
        <f t="shared" si="147"/>
        <v>0</v>
      </c>
      <c r="CD459" s="614"/>
    </row>
    <row r="460" spans="1:85" s="653" customFormat="1" ht="61.5" customHeight="1">
      <c r="A460" s="625" t="str">
        <f t="shared" si="129"/>
        <v>-0000-00-No aplica-Al-Al--</v>
      </c>
      <c r="B460" s="626" t="str">
        <f t="shared" si="130"/>
        <v>-0000-00-No aplica-Al-Al-</v>
      </c>
      <c r="C460" s="626" t="str">
        <f t="shared" si="131"/>
        <v>-0000-00-No aplica-</v>
      </c>
      <c r="D460" s="626" t="str">
        <f t="shared" si="132"/>
        <v>-0000-00--Al-Al-</v>
      </c>
      <c r="E460" s="626" t="str">
        <f t="shared" si="133"/>
        <v>--</v>
      </c>
      <c r="F460" s="627">
        <v>402</v>
      </c>
      <c r="G460" s="628">
        <f t="shared" si="134"/>
        <v>402</v>
      </c>
      <c r="H460" s="629" t="b">
        <f t="shared" si="135"/>
        <v>0</v>
      </c>
      <c r="I460" s="630" t="s">
        <v>594</v>
      </c>
      <c r="J460" s="627" t="s">
        <v>329</v>
      </c>
      <c r="K460" s="631" t="str">
        <f>+IFERROR(VLOOKUP(J460,Listas!$A$108:$B$114,2,FALSE),"Alerta: Seleccione la celda en la comumna B con el nombre del proyecto")</f>
        <v>3-1-2-00-00-00-0000-00</v>
      </c>
      <c r="L460" s="632" t="s">
        <v>802</v>
      </c>
      <c r="M460" s="633" t="s">
        <v>803</v>
      </c>
      <c r="N460" s="634" t="str">
        <f t="shared" si="136"/>
        <v>(Cód. 402) Contratar la renovación y ampliación del almacenamiento de la solución de respaldo de información para el Instituto Distrital de Patrimonio Cultural.</v>
      </c>
      <c r="O460" s="635">
        <v>43511</v>
      </c>
      <c r="P460" s="636">
        <f>IFERROR(VLOOKUP(W460,'Estimación CRP'!$D$21:$E$30,2,FALSE),0)</f>
        <v>45</v>
      </c>
      <c r="Q460" s="637">
        <f>IF(O460="No aplica","No aplica",WORKDAY.INTL(O460,P460,1,'Estimación CRP'!A646:A662))</f>
        <v>43574</v>
      </c>
      <c r="R460" s="636">
        <f t="shared" si="137"/>
        <v>4</v>
      </c>
      <c r="S460" s="636">
        <f t="shared" si="138"/>
        <v>2</v>
      </c>
      <c r="T460" s="636">
        <f t="shared" si="139"/>
        <v>2</v>
      </c>
      <c r="U460" s="712">
        <v>10</v>
      </c>
      <c r="V460" s="638">
        <v>1</v>
      </c>
      <c r="W460" s="639" t="s">
        <v>348</v>
      </c>
      <c r="X460" s="640" t="str">
        <f>IFERROR(VLOOKUP(W460,Listas!$A$60:$B$73,2,FALSE),"Alerta: Seleccione primero Modalidad de selección")</f>
        <v>CCE-06</v>
      </c>
      <c r="Y460" s="641">
        <v>0</v>
      </c>
      <c r="Z460" s="641" t="s">
        <v>1273</v>
      </c>
      <c r="AA460" s="641"/>
      <c r="AB460" s="642">
        <f t="shared" si="140"/>
        <v>32000000</v>
      </c>
      <c r="AC460" s="642">
        <f t="shared" si="141"/>
        <v>32000000</v>
      </c>
      <c r="AD460" s="641">
        <v>0</v>
      </c>
      <c r="AE460" s="643">
        <v>0</v>
      </c>
      <c r="AF460" s="639" t="s">
        <v>276</v>
      </c>
      <c r="AG460" s="639" t="s">
        <v>277</v>
      </c>
      <c r="AH460" s="639" t="s">
        <v>283</v>
      </c>
      <c r="AI460" s="626" t="str">
        <f>IFERROR(VLOOKUP(AH460,Listas!$A$77:$C$83,2,FALSE),"Alerta: Seleccione primero el responsable")</f>
        <v>3550800</v>
      </c>
      <c r="AJ460" s="640" t="str">
        <f>IFERROR(VLOOKUP(AH460,Listas!$A$77:$C$83,3,FALSE),"Alerta: Seleccione primero el responsable")</f>
        <v>juan.acosta@idpc.gov.co</v>
      </c>
      <c r="AK460" s="640" t="str">
        <f>IF(J460="Funcionamiento Gastos Generales","No aplica",IF(J460="Funcionamiento Servicios Personales indirectos","No aplica",IFERROR(VLOOKUP(J460,Listas!$A$127:$E$139,3,FALSE),"Alerta: Seleccione la celda en la comumna B con el nombre del proyecto")))</f>
        <v>No aplica</v>
      </c>
      <c r="AL460" s="640" t="str">
        <f>IF(J460="Funcionamiento Gastos Generales","No aplica",IF(J460="Funcionamiento Servicios Personales","No aplica",IFERROR(VLOOKUP(J460,Listas!$A$220:$D$224,2,FALSE),"Alerta: Seleccione la celda en la comumna B con el nombre del proyecto")))</f>
        <v>No aplica</v>
      </c>
      <c r="AM460" s="640" t="str">
        <f>IF(J460="Funcionamiento Gastos Generales","No aplica",IF(J460="Funcionamiento Servicios Personales","No aplica",IFERROR(VLOOKUP(J460,Listas!$A$220:$D$224,3,FALSE),"Alerta: Seleccione la celda en la comumna B con el nombre del proyecto")))</f>
        <v>No aplica</v>
      </c>
      <c r="AN460" s="633"/>
      <c r="AO460" s="633"/>
      <c r="AP460" s="634" t="str">
        <f>IFERROR(VLOOKUP(J460,Listas!$A$182:$E$215,5,FALSE),"Alerta: Seleccione la celda en la comumna B con el nombre del proyecto")</f>
        <v>Alerta: Seleccione la celda en la comumna B con el nombre del proyecto</v>
      </c>
      <c r="AQ460" s="634" t="str">
        <f>IF(J460="Funcionamiento Gastos Generales","No aplica",IF(J460="Funcionamiento Servicios Personales","No aplica",IFERROR(VLOOKUP(J460,Listas!$A$220:$D$224,4,FALSE),"Alerta: Seleccione la celda en la comumna B con el nombre del proyecto")))</f>
        <v>No aplica</v>
      </c>
      <c r="AR460" s="633"/>
      <c r="AS460" s="634" t="str">
        <f>IFERROR(VLOOKUP(AU460,Listas!$E$85:$L$105,7,FALSE),"Alerta: Seleccione la celda en la comumna AI con el concepto de gasto")</f>
        <v>Alerta: Seleccione la celda en la comumna AI con el concepto de gasto</v>
      </c>
      <c r="AT460" s="634" t="str">
        <f>IFERROR(VLOOKUP(AU460,Listas!$E$85:$L$105,8,FALSE),"Alerta: Seleccione la celda en la comumna AI con el concepto de gasto")</f>
        <v>Alerta: Seleccione la celda en la comumna AI con el concepto de gasto</v>
      </c>
      <c r="AU460" s="633"/>
      <c r="AV460" s="634" t="str">
        <f>IFERROR(VLOOKUP(AU460,Listas!$E$85:$F$105,2,FALSE),"Alerta: Seleccione el Concepto de Gasto primero")</f>
        <v>Alerta: Seleccione el Concepto de Gasto primero</v>
      </c>
      <c r="AW460" s="644">
        <v>32000000</v>
      </c>
      <c r="AX460" s="645"/>
      <c r="AY460" s="645"/>
      <c r="AZ460" s="645"/>
      <c r="BA460" s="646">
        <f t="shared" si="142"/>
        <v>32000000</v>
      </c>
      <c r="BB460" s="647"/>
      <c r="BC460" s="648"/>
      <c r="BD460" s="649"/>
      <c r="BE460" s="647"/>
      <c r="BF460" s="644"/>
      <c r="BG460" s="646">
        <f t="shared" si="143"/>
        <v>32000000</v>
      </c>
      <c r="BH460" s="650"/>
      <c r="BI460" s="647"/>
      <c r="BJ460" s="644"/>
      <c r="BK460" s="646">
        <f t="shared" si="144"/>
        <v>0</v>
      </c>
      <c r="BL460" s="651"/>
      <c r="BM460" s="652">
        <f t="shared" si="145"/>
        <v>1</v>
      </c>
      <c r="BN460" s="628"/>
      <c r="BO460" s="670"/>
      <c r="BP460" s="644"/>
      <c r="BQ460" s="644"/>
      <c r="BR460" s="644"/>
      <c r="BS460" s="644"/>
      <c r="BT460" s="644"/>
      <c r="BU460" s="644"/>
      <c r="BV460" s="644"/>
      <c r="BW460" s="644"/>
      <c r="BX460" s="644"/>
      <c r="BY460" s="644"/>
      <c r="BZ460" s="644"/>
      <c r="CA460" s="644"/>
      <c r="CB460" s="646">
        <f t="shared" si="146"/>
        <v>0</v>
      </c>
      <c r="CC460" s="646">
        <f t="shared" si="147"/>
        <v>0</v>
      </c>
      <c r="CD460" s="614"/>
      <c r="CG460" s="561" t="s">
        <v>589</v>
      </c>
    </row>
    <row r="461" spans="1:85" s="653" customFormat="1" ht="61.5" customHeight="1">
      <c r="A461" s="625" t="str">
        <f t="shared" si="129"/>
        <v>-0000-00-No aplica-Al-Al--</v>
      </c>
      <c r="B461" s="626" t="str">
        <f t="shared" si="130"/>
        <v>-0000-00-No aplica-Al-Al-</v>
      </c>
      <c r="C461" s="626" t="str">
        <f t="shared" si="131"/>
        <v>-0000-00-No aplica-</v>
      </c>
      <c r="D461" s="626" t="str">
        <f t="shared" si="132"/>
        <v>-0000-00--Al-Al-</v>
      </c>
      <c r="E461" s="626" t="str">
        <f t="shared" si="133"/>
        <v>--</v>
      </c>
      <c r="F461" s="627">
        <v>403</v>
      </c>
      <c r="G461" s="628">
        <f t="shared" si="134"/>
        <v>403</v>
      </c>
      <c r="H461" s="629" t="b">
        <f t="shared" si="135"/>
        <v>0</v>
      </c>
      <c r="I461" s="630" t="s">
        <v>594</v>
      </c>
      <c r="J461" s="627" t="s">
        <v>329</v>
      </c>
      <c r="K461" s="631" t="str">
        <f>+IFERROR(VLOOKUP(J461,Listas!$A$108:$B$114,2,FALSE),"Alerta: Seleccione la celda en la comumna B con el nombre del proyecto")</f>
        <v>3-1-2-00-00-00-0000-00</v>
      </c>
      <c r="L461" s="632" t="s">
        <v>651</v>
      </c>
      <c r="M461" s="633" t="s">
        <v>992</v>
      </c>
      <c r="N461" s="634" t="str">
        <f t="shared" si="136"/>
        <v>(Cód. 403) Contratar insumos de ferretería, materiales y herramientas requeridas para la ejecución de intervenciones técnicas necesarias para el enlucimiento de fachadas, limpieza y mantenimiento de los Bienes de Interés Cultural muebles en espacio público e instalaciones que se utilizan para la prestación del servicio del Instituto Distrital de Patrimonio Cultural en la ciudad de Bogotá D.C.</v>
      </c>
      <c r="O461" s="635">
        <v>43511</v>
      </c>
      <c r="P461" s="636">
        <f>IFERROR(VLOOKUP(W461,'Estimación CRP'!$D$21:$E$30,2,FALSE),0)</f>
        <v>45</v>
      </c>
      <c r="Q461" s="637">
        <f>IF(O461="No aplica","No aplica",WORKDAY.INTL(O461,P461,1,'Estimación CRP'!A647:A663))</f>
        <v>43574</v>
      </c>
      <c r="R461" s="636">
        <f t="shared" si="137"/>
        <v>4</v>
      </c>
      <c r="S461" s="636">
        <f t="shared" si="138"/>
        <v>2</v>
      </c>
      <c r="T461" s="636">
        <f t="shared" si="139"/>
        <v>2</v>
      </c>
      <c r="U461" s="712">
        <v>9</v>
      </c>
      <c r="V461" s="638">
        <v>1</v>
      </c>
      <c r="W461" s="639" t="s">
        <v>347</v>
      </c>
      <c r="X461" s="640" t="str">
        <f>IFERROR(VLOOKUP(W461,Listas!$A$60:$B$73,2,FALSE),"Alerta: Seleccione primero Modalidad de selección")</f>
        <v>CCE-07</v>
      </c>
      <c r="Y461" s="641">
        <v>0</v>
      </c>
      <c r="Z461" s="641" t="s">
        <v>1122</v>
      </c>
      <c r="AA461" s="641"/>
      <c r="AB461" s="642">
        <f t="shared" si="140"/>
        <v>32000000</v>
      </c>
      <c r="AC461" s="642">
        <f t="shared" si="141"/>
        <v>32000000</v>
      </c>
      <c r="AD461" s="641">
        <v>0</v>
      </c>
      <c r="AE461" s="643">
        <v>0</v>
      </c>
      <c r="AF461" s="639" t="s">
        <v>276</v>
      </c>
      <c r="AG461" s="639" t="s">
        <v>277</v>
      </c>
      <c r="AH461" s="639" t="s">
        <v>283</v>
      </c>
      <c r="AI461" s="626" t="str">
        <f>IFERROR(VLOOKUP(AH461,Listas!$A$77:$C$83,2,FALSE),"Alerta: Seleccione primero el responsable")</f>
        <v>3550800</v>
      </c>
      <c r="AJ461" s="640" t="str">
        <f>IFERROR(VLOOKUP(AH461,Listas!$A$77:$C$83,3,FALSE),"Alerta: Seleccione primero el responsable")</f>
        <v>juan.acosta@idpc.gov.co</v>
      </c>
      <c r="AK461" s="640" t="str">
        <f>IF(J461="Funcionamiento Gastos Generales","No aplica",IF(J461="Funcionamiento Servicios Personales indirectos","No aplica",IFERROR(VLOOKUP(J461,Listas!$A$127:$E$139,3,FALSE),"Alerta: Seleccione la celda en la comumna B con el nombre del proyecto")))</f>
        <v>No aplica</v>
      </c>
      <c r="AL461" s="640" t="str">
        <f>IF(J461="Funcionamiento Gastos Generales","No aplica",IF(J461="Funcionamiento Servicios Personales","No aplica",IFERROR(VLOOKUP(J461,Listas!$A$220:$D$224,2,FALSE),"Alerta: Seleccione la celda en la comumna B con el nombre del proyecto")))</f>
        <v>No aplica</v>
      </c>
      <c r="AM461" s="640" t="str">
        <f>IF(J461="Funcionamiento Gastos Generales","No aplica",IF(J461="Funcionamiento Servicios Personales","No aplica",IFERROR(VLOOKUP(J461,Listas!$A$220:$D$224,3,FALSE),"Alerta: Seleccione la celda en la comumna B con el nombre del proyecto")))</f>
        <v>No aplica</v>
      </c>
      <c r="AN461" s="633"/>
      <c r="AO461" s="633"/>
      <c r="AP461" s="634" t="str">
        <f>IFERROR(VLOOKUP(J461,Listas!$A$182:$E$215,5,FALSE),"Alerta: Seleccione la celda en la comumna B con el nombre del proyecto")</f>
        <v>Alerta: Seleccione la celda en la comumna B con el nombre del proyecto</v>
      </c>
      <c r="AQ461" s="634" t="str">
        <f>IF(J461="Funcionamiento Gastos Generales","No aplica",IF(J461="Funcionamiento Servicios Personales","No aplica",IFERROR(VLOOKUP(J461,Listas!$A$220:$D$224,4,FALSE),"Alerta: Seleccione la celda en la comumna B con el nombre del proyecto")))</f>
        <v>No aplica</v>
      </c>
      <c r="AR461" s="633"/>
      <c r="AS461" s="634" t="str">
        <f>IFERROR(VLOOKUP(AU461,Listas!$E$85:$L$105,7,FALSE),"Alerta: Seleccione la celda en la comumna AI con el concepto de gasto")</f>
        <v>Alerta: Seleccione la celda en la comumna AI con el concepto de gasto</v>
      </c>
      <c r="AT461" s="634" t="str">
        <f>IFERROR(VLOOKUP(AU461,Listas!$E$85:$L$105,8,FALSE),"Alerta: Seleccione la celda en la comumna AI con el concepto de gasto")</f>
        <v>Alerta: Seleccione la celda en la comumna AI con el concepto de gasto</v>
      </c>
      <c r="AU461" s="633"/>
      <c r="AV461" s="634" t="str">
        <f>IFERROR(VLOOKUP(AU461,Listas!$E$85:$F$105,2,FALSE),"Alerta: Seleccione el Concepto de Gasto primero")</f>
        <v>Alerta: Seleccione el Concepto de Gasto primero</v>
      </c>
      <c r="AW461" s="644">
        <v>32000000</v>
      </c>
      <c r="AX461" s="645"/>
      <c r="AY461" s="645"/>
      <c r="AZ461" s="645"/>
      <c r="BA461" s="646">
        <f t="shared" si="142"/>
        <v>32000000</v>
      </c>
      <c r="BB461" s="647"/>
      <c r="BC461" s="648"/>
      <c r="BD461" s="649"/>
      <c r="BE461" s="647"/>
      <c r="BF461" s="644"/>
      <c r="BG461" s="646">
        <f t="shared" si="143"/>
        <v>32000000</v>
      </c>
      <c r="BH461" s="650"/>
      <c r="BI461" s="647"/>
      <c r="BJ461" s="644"/>
      <c r="BK461" s="646">
        <f t="shared" si="144"/>
        <v>0</v>
      </c>
      <c r="BL461" s="651"/>
      <c r="BM461" s="652">
        <f t="shared" si="145"/>
        <v>1</v>
      </c>
      <c r="BN461" s="628"/>
      <c r="BO461" s="670"/>
      <c r="BP461" s="644"/>
      <c r="BQ461" s="644"/>
      <c r="BR461" s="644"/>
      <c r="BS461" s="644"/>
      <c r="BT461" s="644"/>
      <c r="BU461" s="644"/>
      <c r="BV461" s="644"/>
      <c r="BW461" s="644"/>
      <c r="BX461" s="644"/>
      <c r="BY461" s="644"/>
      <c r="BZ461" s="644"/>
      <c r="CA461" s="644"/>
      <c r="CB461" s="646">
        <f t="shared" si="146"/>
        <v>0</v>
      </c>
      <c r="CC461" s="646">
        <f t="shared" si="147"/>
        <v>0</v>
      </c>
      <c r="CD461" s="614"/>
    </row>
    <row r="462" spans="1:85" s="653" customFormat="1" ht="61.5" customHeight="1">
      <c r="A462" s="625" t="str">
        <f t="shared" si="129"/>
        <v>-0000-00-No aplica-Al-Al--</v>
      </c>
      <c r="B462" s="626" t="str">
        <f t="shared" si="130"/>
        <v>-0000-00-No aplica-Al-Al-</v>
      </c>
      <c r="C462" s="626" t="str">
        <f t="shared" si="131"/>
        <v>-0000-00-No aplica-</v>
      </c>
      <c r="D462" s="626" t="str">
        <f t="shared" si="132"/>
        <v>-0000-00--Al-Al-</v>
      </c>
      <c r="E462" s="626" t="str">
        <f t="shared" si="133"/>
        <v>--</v>
      </c>
      <c r="F462" s="627">
        <v>404</v>
      </c>
      <c r="G462" s="628">
        <f t="shared" si="134"/>
        <v>404</v>
      </c>
      <c r="H462" s="629" t="b">
        <f t="shared" si="135"/>
        <v>0</v>
      </c>
      <c r="I462" s="630" t="s">
        <v>594</v>
      </c>
      <c r="J462" s="627" t="s">
        <v>329</v>
      </c>
      <c r="K462" s="631" t="str">
        <f>+IFERROR(VLOOKUP(J462,Listas!$A$108:$B$114,2,FALSE),"Alerta: Seleccione la celda en la comumna B con el nombre del proyecto")</f>
        <v>3-1-2-00-00-00-0000-00</v>
      </c>
      <c r="L462" s="632" t="s">
        <v>672</v>
      </c>
      <c r="M462" s="633" t="s">
        <v>993</v>
      </c>
      <c r="N462" s="634" t="str">
        <f t="shared" si="136"/>
        <v>(Cód. 404) Contratar el actualización, mantenimiento y soporte del Software SIIGO del Instituto Distrital de Patrimonio Cultural.</v>
      </c>
      <c r="O462" s="635">
        <v>43511</v>
      </c>
      <c r="P462" s="636">
        <f>IFERROR(VLOOKUP(W462,'Estimación CRP'!$D$21:$E$30,2,FALSE),0)</f>
        <v>10</v>
      </c>
      <c r="Q462" s="637">
        <f>IF(O462="No aplica","No aplica",WORKDAY.INTL(O462,P462,1,'Estimación CRP'!A648:A664))</f>
        <v>43525</v>
      </c>
      <c r="R462" s="636">
        <f t="shared" si="137"/>
        <v>3</v>
      </c>
      <c r="S462" s="636">
        <f t="shared" si="138"/>
        <v>2</v>
      </c>
      <c r="T462" s="636">
        <f t="shared" si="139"/>
        <v>2</v>
      </c>
      <c r="U462" s="712">
        <v>1</v>
      </c>
      <c r="V462" s="638">
        <v>2</v>
      </c>
      <c r="W462" s="639" t="s">
        <v>269</v>
      </c>
      <c r="X462" s="640" t="str">
        <f>IFERROR(VLOOKUP(W462,Listas!$A$60:$B$73,2,FALSE),"Alerta: Seleccione primero Modalidad de selección")</f>
        <v>CCE-16</v>
      </c>
      <c r="Y462" s="641">
        <v>0</v>
      </c>
      <c r="Z462" s="641" t="s">
        <v>1142</v>
      </c>
      <c r="AA462" s="641"/>
      <c r="AB462" s="642">
        <f t="shared" si="140"/>
        <v>15000000</v>
      </c>
      <c r="AC462" s="642">
        <f t="shared" si="141"/>
        <v>15000000</v>
      </c>
      <c r="AD462" s="641">
        <v>0</v>
      </c>
      <c r="AE462" s="643">
        <v>0</v>
      </c>
      <c r="AF462" s="639" t="s">
        <v>276</v>
      </c>
      <c r="AG462" s="639" t="s">
        <v>277</v>
      </c>
      <c r="AH462" s="639" t="s">
        <v>283</v>
      </c>
      <c r="AI462" s="626" t="str">
        <f>IFERROR(VLOOKUP(AH462,Listas!$A$77:$C$83,2,FALSE),"Alerta: Seleccione primero el responsable")</f>
        <v>3550800</v>
      </c>
      <c r="AJ462" s="640" t="str">
        <f>IFERROR(VLOOKUP(AH462,Listas!$A$77:$C$83,3,FALSE),"Alerta: Seleccione primero el responsable")</f>
        <v>juan.acosta@idpc.gov.co</v>
      </c>
      <c r="AK462" s="640" t="str">
        <f>IF(J462="Funcionamiento Gastos Generales","No aplica",IF(J462="Funcionamiento Servicios Personales indirectos","No aplica",IFERROR(VLOOKUP(J462,Listas!$A$127:$E$139,3,FALSE),"Alerta: Seleccione la celda en la comumna B con el nombre del proyecto")))</f>
        <v>No aplica</v>
      </c>
      <c r="AL462" s="640" t="str">
        <f>IF(J462="Funcionamiento Gastos Generales","No aplica",IF(J462="Funcionamiento Servicios Personales","No aplica",IFERROR(VLOOKUP(J462,Listas!$A$220:$D$224,2,FALSE),"Alerta: Seleccione la celda en la comumna B con el nombre del proyecto")))</f>
        <v>No aplica</v>
      </c>
      <c r="AM462" s="640" t="str">
        <f>IF(J462="Funcionamiento Gastos Generales","No aplica",IF(J462="Funcionamiento Servicios Personales","No aplica",IFERROR(VLOOKUP(J462,Listas!$A$220:$D$224,3,FALSE),"Alerta: Seleccione la celda en la comumna B con el nombre del proyecto")))</f>
        <v>No aplica</v>
      </c>
      <c r="AN462" s="633"/>
      <c r="AO462" s="633"/>
      <c r="AP462" s="634" t="str">
        <f>IFERROR(VLOOKUP(J462,Listas!$A$182:$E$215,5,FALSE),"Alerta: Seleccione la celda en la comumna B con el nombre del proyecto")</f>
        <v>Alerta: Seleccione la celda en la comumna B con el nombre del proyecto</v>
      </c>
      <c r="AQ462" s="634" t="str">
        <f>IF(J462="Funcionamiento Gastos Generales","No aplica",IF(J462="Funcionamiento Servicios Personales","No aplica",IFERROR(VLOOKUP(J462,Listas!$A$220:$D$224,4,FALSE),"Alerta: Seleccione la celda en la comumna B con el nombre del proyecto")))</f>
        <v>No aplica</v>
      </c>
      <c r="AR462" s="633"/>
      <c r="AS462" s="634" t="str">
        <f>IFERROR(VLOOKUP(AU462,Listas!$E$85:$L$105,7,FALSE),"Alerta: Seleccione la celda en la comumna AI con el concepto de gasto")</f>
        <v>Alerta: Seleccione la celda en la comumna AI con el concepto de gasto</v>
      </c>
      <c r="AT462" s="634" t="str">
        <f>IFERROR(VLOOKUP(AU462,Listas!$E$85:$L$105,8,FALSE),"Alerta: Seleccione la celda en la comumna AI con el concepto de gasto")</f>
        <v>Alerta: Seleccione la celda en la comumna AI con el concepto de gasto</v>
      </c>
      <c r="AU462" s="633"/>
      <c r="AV462" s="634" t="str">
        <f>IFERROR(VLOOKUP(AU462,Listas!$E$85:$F$105,2,FALSE),"Alerta: Seleccione el Concepto de Gasto primero")</f>
        <v>Alerta: Seleccione el Concepto de Gasto primero</v>
      </c>
      <c r="AW462" s="644">
        <v>15000000</v>
      </c>
      <c r="AX462" s="645"/>
      <c r="AY462" s="645"/>
      <c r="AZ462" s="645"/>
      <c r="BA462" s="646">
        <f t="shared" si="142"/>
        <v>15000000</v>
      </c>
      <c r="BB462" s="647"/>
      <c r="BC462" s="648"/>
      <c r="BD462" s="649"/>
      <c r="BE462" s="647"/>
      <c r="BF462" s="644"/>
      <c r="BG462" s="646">
        <f t="shared" si="143"/>
        <v>15000000</v>
      </c>
      <c r="BH462" s="650"/>
      <c r="BI462" s="647"/>
      <c r="BJ462" s="644"/>
      <c r="BK462" s="646">
        <f t="shared" si="144"/>
        <v>0</v>
      </c>
      <c r="BL462" s="651"/>
      <c r="BM462" s="652">
        <f t="shared" si="145"/>
        <v>1</v>
      </c>
      <c r="BN462" s="628"/>
      <c r="BO462" s="670"/>
      <c r="BP462" s="644"/>
      <c r="BQ462" s="644"/>
      <c r="BR462" s="644"/>
      <c r="BS462" s="644"/>
      <c r="BT462" s="644"/>
      <c r="BU462" s="644"/>
      <c r="BV462" s="644"/>
      <c r="BW462" s="644"/>
      <c r="BX462" s="644"/>
      <c r="BY462" s="644"/>
      <c r="BZ462" s="644"/>
      <c r="CA462" s="644"/>
      <c r="CB462" s="646">
        <f t="shared" si="146"/>
        <v>0</v>
      </c>
      <c r="CC462" s="646">
        <f t="shared" si="147"/>
        <v>0</v>
      </c>
      <c r="CD462" s="614"/>
    </row>
    <row r="463" spans="1:85" s="653" customFormat="1" ht="61.5" customHeight="1">
      <c r="A463" s="625" t="str">
        <f t="shared" si="129"/>
        <v>-0000-00-No aplica-Al-Al--</v>
      </c>
      <c r="B463" s="626" t="str">
        <f t="shared" si="130"/>
        <v>-0000-00-No aplica-Al-Al-</v>
      </c>
      <c r="C463" s="626" t="str">
        <f t="shared" si="131"/>
        <v>-0000-00-No aplica-</v>
      </c>
      <c r="D463" s="626" t="str">
        <f t="shared" si="132"/>
        <v>-0000-00--Al-Al-</v>
      </c>
      <c r="E463" s="626" t="str">
        <f t="shared" si="133"/>
        <v>--</v>
      </c>
      <c r="F463" s="627">
        <v>405</v>
      </c>
      <c r="G463" s="628">
        <f t="shared" si="134"/>
        <v>405</v>
      </c>
      <c r="H463" s="629" t="b">
        <f t="shared" si="135"/>
        <v>0</v>
      </c>
      <c r="I463" s="630" t="s">
        <v>594</v>
      </c>
      <c r="J463" s="627" t="s">
        <v>329</v>
      </c>
      <c r="K463" s="631" t="str">
        <f>+IFERROR(VLOOKUP(J463,Listas!$A$108:$B$114,2,FALSE),"Alerta: Seleccione la celda en la comumna B con el nombre del proyecto")</f>
        <v>3-1-2-00-00-00-0000-00</v>
      </c>
      <c r="L463" s="632" t="s">
        <v>994</v>
      </c>
      <c r="M463" s="633" t="s">
        <v>995</v>
      </c>
      <c r="N463" s="634" t="str">
        <f t="shared" si="136"/>
        <v>(Cód. 405) Adquirir la renovación de las licencias, soporte y capacitación del Equipo de Seguridad Perimetral Fortigate 100D de propiedad del Instituto Distrital de Patrimonio Cultural.</v>
      </c>
      <c r="O463" s="635">
        <v>43511</v>
      </c>
      <c r="P463" s="636">
        <f>IFERROR(VLOOKUP(W463,'Estimación CRP'!$D$21:$E$30,2,FALSE),0)</f>
        <v>25</v>
      </c>
      <c r="Q463" s="637">
        <f>IF(O463="No aplica","No aplica",WORKDAY.INTL(O463,P463,1,'Estimación CRP'!A649:A665))</f>
        <v>43546</v>
      </c>
      <c r="R463" s="636">
        <f t="shared" si="137"/>
        <v>3</v>
      </c>
      <c r="S463" s="636">
        <f t="shared" si="138"/>
        <v>2</v>
      </c>
      <c r="T463" s="636">
        <f t="shared" si="139"/>
        <v>2</v>
      </c>
      <c r="U463" s="712">
        <v>1</v>
      </c>
      <c r="V463" s="638">
        <v>2</v>
      </c>
      <c r="W463" s="639" t="s">
        <v>267</v>
      </c>
      <c r="X463" s="640" t="str">
        <f>IFERROR(VLOOKUP(W463,Listas!$A$60:$B$73,2,FALSE),"Alerta: Seleccione primero Modalidad de selección")</f>
        <v>CCE-10</v>
      </c>
      <c r="Y463" s="641">
        <v>0</v>
      </c>
      <c r="Z463" s="641" t="s">
        <v>1142</v>
      </c>
      <c r="AA463" s="641"/>
      <c r="AB463" s="642">
        <f t="shared" si="140"/>
        <v>13000000</v>
      </c>
      <c r="AC463" s="642">
        <f t="shared" si="141"/>
        <v>13000000</v>
      </c>
      <c r="AD463" s="641">
        <v>0</v>
      </c>
      <c r="AE463" s="643">
        <v>0</v>
      </c>
      <c r="AF463" s="639" t="s">
        <v>276</v>
      </c>
      <c r="AG463" s="639" t="s">
        <v>277</v>
      </c>
      <c r="AH463" s="639" t="s">
        <v>283</v>
      </c>
      <c r="AI463" s="626" t="str">
        <f>IFERROR(VLOOKUP(AH463,Listas!$A$77:$C$83,2,FALSE),"Alerta: Seleccione primero el responsable")</f>
        <v>3550800</v>
      </c>
      <c r="AJ463" s="640" t="str">
        <f>IFERROR(VLOOKUP(AH463,Listas!$A$77:$C$83,3,FALSE),"Alerta: Seleccione primero el responsable")</f>
        <v>juan.acosta@idpc.gov.co</v>
      </c>
      <c r="AK463" s="640" t="str">
        <f>IF(J463="Funcionamiento Gastos Generales","No aplica",IF(J463="Funcionamiento Servicios Personales indirectos","No aplica",IFERROR(VLOOKUP(J463,Listas!$A$127:$E$139,3,FALSE),"Alerta: Seleccione la celda en la comumna B con el nombre del proyecto")))</f>
        <v>No aplica</v>
      </c>
      <c r="AL463" s="640" t="str">
        <f>IF(J463="Funcionamiento Gastos Generales","No aplica",IF(J463="Funcionamiento Servicios Personales","No aplica",IFERROR(VLOOKUP(J463,Listas!$A$220:$D$224,2,FALSE),"Alerta: Seleccione la celda en la comumna B con el nombre del proyecto")))</f>
        <v>No aplica</v>
      </c>
      <c r="AM463" s="640" t="str">
        <f>IF(J463="Funcionamiento Gastos Generales","No aplica",IF(J463="Funcionamiento Servicios Personales","No aplica",IFERROR(VLOOKUP(J463,Listas!$A$220:$D$224,3,FALSE),"Alerta: Seleccione la celda en la comumna B con el nombre del proyecto")))</f>
        <v>No aplica</v>
      </c>
      <c r="AN463" s="633"/>
      <c r="AO463" s="633"/>
      <c r="AP463" s="634" t="str">
        <f>IFERROR(VLOOKUP(J463,Listas!$A$182:$E$215,5,FALSE),"Alerta: Seleccione la celda en la comumna B con el nombre del proyecto")</f>
        <v>Alerta: Seleccione la celda en la comumna B con el nombre del proyecto</v>
      </c>
      <c r="AQ463" s="634" t="str">
        <f>IF(J463="Funcionamiento Gastos Generales","No aplica",IF(J463="Funcionamiento Servicios Personales","No aplica",IFERROR(VLOOKUP(J463,Listas!$A$220:$D$224,4,FALSE),"Alerta: Seleccione la celda en la comumna B con el nombre del proyecto")))</f>
        <v>No aplica</v>
      </c>
      <c r="AR463" s="633"/>
      <c r="AS463" s="634" t="str">
        <f>IFERROR(VLOOKUP(AU463,Listas!$E$85:$L$105,7,FALSE),"Alerta: Seleccione la celda en la comumna AI con el concepto de gasto")</f>
        <v>Alerta: Seleccione la celda en la comumna AI con el concepto de gasto</v>
      </c>
      <c r="AT463" s="634" t="str">
        <f>IFERROR(VLOOKUP(AU463,Listas!$E$85:$L$105,8,FALSE),"Alerta: Seleccione la celda en la comumna AI con el concepto de gasto")</f>
        <v>Alerta: Seleccione la celda en la comumna AI con el concepto de gasto</v>
      </c>
      <c r="AU463" s="633"/>
      <c r="AV463" s="634" t="str">
        <f>IFERROR(VLOOKUP(AU463,Listas!$E$85:$F$105,2,FALSE),"Alerta: Seleccione el Concepto de Gasto primero")</f>
        <v>Alerta: Seleccione el Concepto de Gasto primero</v>
      </c>
      <c r="AW463" s="644">
        <v>13000000</v>
      </c>
      <c r="AX463" s="645"/>
      <c r="AY463" s="645"/>
      <c r="AZ463" s="645"/>
      <c r="BA463" s="646">
        <f t="shared" si="142"/>
        <v>13000000</v>
      </c>
      <c r="BB463" s="647"/>
      <c r="BC463" s="648"/>
      <c r="BD463" s="649"/>
      <c r="BE463" s="647"/>
      <c r="BF463" s="644"/>
      <c r="BG463" s="646">
        <f t="shared" si="143"/>
        <v>13000000</v>
      </c>
      <c r="BH463" s="650"/>
      <c r="BI463" s="647"/>
      <c r="BJ463" s="644"/>
      <c r="BK463" s="646">
        <f t="shared" si="144"/>
        <v>0</v>
      </c>
      <c r="BL463" s="651"/>
      <c r="BM463" s="652">
        <f t="shared" si="145"/>
        <v>1</v>
      </c>
      <c r="BN463" s="628"/>
      <c r="BO463" s="670"/>
      <c r="BP463" s="644"/>
      <c r="BQ463" s="644"/>
      <c r="BR463" s="644"/>
      <c r="BS463" s="644"/>
      <c r="BT463" s="644"/>
      <c r="BU463" s="644"/>
      <c r="BV463" s="644"/>
      <c r="BW463" s="644"/>
      <c r="BX463" s="644"/>
      <c r="BY463" s="644"/>
      <c r="BZ463" s="644"/>
      <c r="CA463" s="644"/>
      <c r="CB463" s="646">
        <f t="shared" si="146"/>
        <v>0</v>
      </c>
      <c r="CC463" s="646">
        <f t="shared" si="147"/>
        <v>0</v>
      </c>
      <c r="CD463" s="614"/>
    </row>
    <row r="464" spans="1:85" s="653" customFormat="1" ht="61.5" customHeight="1">
      <c r="A464" s="625" t="str">
        <f t="shared" si="129"/>
        <v>-0000-00-No aplica-Al-Al--</v>
      </c>
      <c r="B464" s="626" t="str">
        <f t="shared" si="130"/>
        <v>-0000-00-No aplica-Al-Al-</v>
      </c>
      <c r="C464" s="626" t="str">
        <f t="shared" si="131"/>
        <v>-0000-00-No aplica-</v>
      </c>
      <c r="D464" s="626" t="str">
        <f t="shared" si="132"/>
        <v>-0000-00--Al-Al-</v>
      </c>
      <c r="E464" s="626" t="str">
        <f t="shared" si="133"/>
        <v>--</v>
      </c>
      <c r="F464" s="627">
        <v>406</v>
      </c>
      <c r="G464" s="628">
        <f t="shared" si="134"/>
        <v>406</v>
      </c>
      <c r="H464" s="629" t="b">
        <f t="shared" si="135"/>
        <v>0</v>
      </c>
      <c r="I464" s="630" t="s">
        <v>594</v>
      </c>
      <c r="J464" s="627" t="s">
        <v>329</v>
      </c>
      <c r="K464" s="631" t="str">
        <f>+IFERROR(VLOOKUP(J464,Listas!$A$108:$B$114,2,FALSE),"Alerta: Seleccione la celda en la comumna B con el nombre del proyecto")</f>
        <v>3-1-2-00-00-00-0000-00</v>
      </c>
      <c r="L464" s="632" t="s">
        <v>804</v>
      </c>
      <c r="M464" s="633" t="s">
        <v>673</v>
      </c>
      <c r="N464" s="634" t="str">
        <f t="shared" si="136"/>
        <v>(Cód. 406) Contratar la adquisición de licencias de software para los equipos de cómputo de Instituto Distrital de Patrimonio Cultural.</v>
      </c>
      <c r="O464" s="635">
        <v>43539</v>
      </c>
      <c r="P464" s="636">
        <f>IFERROR(VLOOKUP(W464,'Estimación CRP'!$D$21:$E$30,2,FALSE),0)</f>
        <v>45</v>
      </c>
      <c r="Q464" s="637">
        <f>IF(O464="No aplica","No aplica",WORKDAY.INTL(O464,P464,1,'Estimación CRP'!A650:A666))</f>
        <v>43602</v>
      </c>
      <c r="R464" s="636">
        <f t="shared" si="137"/>
        <v>5</v>
      </c>
      <c r="S464" s="636">
        <f t="shared" si="138"/>
        <v>3</v>
      </c>
      <c r="T464" s="636">
        <f t="shared" si="139"/>
        <v>3</v>
      </c>
      <c r="U464" s="712">
        <v>1</v>
      </c>
      <c r="V464" s="638">
        <v>2</v>
      </c>
      <c r="W464" s="639" t="s">
        <v>348</v>
      </c>
      <c r="X464" s="640" t="str">
        <f>IFERROR(VLOOKUP(W464,Listas!$A$60:$B$73,2,FALSE),"Alerta: Seleccione primero Modalidad de selección")</f>
        <v>CCE-06</v>
      </c>
      <c r="Y464" s="641">
        <v>0</v>
      </c>
      <c r="Z464" s="641" t="s">
        <v>1142</v>
      </c>
      <c r="AA464" s="641"/>
      <c r="AB464" s="642">
        <f t="shared" si="140"/>
        <v>35000000</v>
      </c>
      <c r="AC464" s="642">
        <f t="shared" si="141"/>
        <v>35000000</v>
      </c>
      <c r="AD464" s="641">
        <v>0</v>
      </c>
      <c r="AE464" s="643">
        <v>0</v>
      </c>
      <c r="AF464" s="639" t="s">
        <v>276</v>
      </c>
      <c r="AG464" s="639" t="s">
        <v>277</v>
      </c>
      <c r="AH464" s="639" t="s">
        <v>283</v>
      </c>
      <c r="AI464" s="626" t="str">
        <f>IFERROR(VLOOKUP(AH464,Listas!$A$77:$C$83,2,FALSE),"Alerta: Seleccione primero el responsable")</f>
        <v>3550800</v>
      </c>
      <c r="AJ464" s="640" t="str">
        <f>IFERROR(VLOOKUP(AH464,Listas!$A$77:$C$83,3,FALSE),"Alerta: Seleccione primero el responsable")</f>
        <v>juan.acosta@idpc.gov.co</v>
      </c>
      <c r="AK464" s="640" t="str">
        <f>IF(J464="Funcionamiento Gastos Generales","No aplica",IF(J464="Funcionamiento Servicios Personales indirectos","No aplica",IFERROR(VLOOKUP(J464,Listas!$A$127:$E$139,3,FALSE),"Alerta: Seleccione la celda en la comumna B con el nombre del proyecto")))</f>
        <v>No aplica</v>
      </c>
      <c r="AL464" s="640" t="str">
        <f>IF(J464="Funcionamiento Gastos Generales","No aplica",IF(J464="Funcionamiento Servicios Personales","No aplica",IFERROR(VLOOKUP(J464,Listas!$A$220:$D$224,2,FALSE),"Alerta: Seleccione la celda en la comumna B con el nombre del proyecto")))</f>
        <v>No aplica</v>
      </c>
      <c r="AM464" s="640" t="str">
        <f>IF(J464="Funcionamiento Gastos Generales","No aplica",IF(J464="Funcionamiento Servicios Personales","No aplica",IFERROR(VLOOKUP(J464,Listas!$A$220:$D$224,3,FALSE),"Alerta: Seleccione la celda en la comumna B con el nombre del proyecto")))</f>
        <v>No aplica</v>
      </c>
      <c r="AN464" s="633"/>
      <c r="AO464" s="633"/>
      <c r="AP464" s="634" t="str">
        <f>IFERROR(VLOOKUP(J464,Listas!$A$182:$E$215,5,FALSE),"Alerta: Seleccione la celda en la comumna B con el nombre del proyecto")</f>
        <v>Alerta: Seleccione la celda en la comumna B con el nombre del proyecto</v>
      </c>
      <c r="AQ464" s="634" t="str">
        <f>IF(J464="Funcionamiento Gastos Generales","No aplica",IF(J464="Funcionamiento Servicios Personales","No aplica",IFERROR(VLOOKUP(J464,Listas!$A$220:$D$224,4,FALSE),"Alerta: Seleccione la celda en la comumna B con el nombre del proyecto")))</f>
        <v>No aplica</v>
      </c>
      <c r="AR464" s="633"/>
      <c r="AS464" s="634" t="str">
        <f>IFERROR(VLOOKUP(AU464,Listas!$E$85:$L$105,7,FALSE),"Alerta: Seleccione la celda en la comumna AI con el concepto de gasto")</f>
        <v>Alerta: Seleccione la celda en la comumna AI con el concepto de gasto</v>
      </c>
      <c r="AT464" s="634" t="str">
        <f>IFERROR(VLOOKUP(AU464,Listas!$E$85:$L$105,8,FALSE),"Alerta: Seleccione la celda en la comumna AI con el concepto de gasto")</f>
        <v>Alerta: Seleccione la celda en la comumna AI con el concepto de gasto</v>
      </c>
      <c r="AU464" s="633"/>
      <c r="AV464" s="634" t="str">
        <f>IFERROR(VLOOKUP(AU464,Listas!$E$85:$F$105,2,FALSE),"Alerta: Seleccione el Concepto de Gasto primero")</f>
        <v>Alerta: Seleccione el Concepto de Gasto primero</v>
      </c>
      <c r="AW464" s="644">
        <v>35000000</v>
      </c>
      <c r="AX464" s="645"/>
      <c r="AY464" s="645"/>
      <c r="AZ464" s="645"/>
      <c r="BA464" s="646">
        <f t="shared" si="142"/>
        <v>35000000</v>
      </c>
      <c r="BB464" s="647"/>
      <c r="BC464" s="648"/>
      <c r="BD464" s="649"/>
      <c r="BE464" s="647"/>
      <c r="BF464" s="644"/>
      <c r="BG464" s="646">
        <f t="shared" si="143"/>
        <v>35000000</v>
      </c>
      <c r="BH464" s="650"/>
      <c r="BI464" s="647"/>
      <c r="BJ464" s="644"/>
      <c r="BK464" s="646">
        <f t="shared" si="144"/>
        <v>0</v>
      </c>
      <c r="BL464" s="651"/>
      <c r="BM464" s="652">
        <f t="shared" si="145"/>
        <v>1</v>
      </c>
      <c r="BN464" s="628"/>
      <c r="BO464" s="670"/>
      <c r="BP464" s="644"/>
      <c r="BQ464" s="644"/>
      <c r="BR464" s="644"/>
      <c r="BS464" s="644"/>
      <c r="BT464" s="644"/>
      <c r="BU464" s="644"/>
      <c r="BV464" s="644"/>
      <c r="BW464" s="644"/>
      <c r="BX464" s="644"/>
      <c r="BY464" s="644"/>
      <c r="BZ464" s="644"/>
      <c r="CA464" s="644"/>
      <c r="CB464" s="646">
        <f t="shared" si="146"/>
        <v>0</v>
      </c>
      <c r="CC464" s="646">
        <f t="shared" si="147"/>
        <v>0</v>
      </c>
      <c r="CD464" s="614"/>
    </row>
    <row r="465" spans="1:82" s="653" customFormat="1" ht="61.5" customHeight="1">
      <c r="A465" s="625" t="str">
        <f t="shared" si="129"/>
        <v>-0000-00-No aplica-Al-Al--</v>
      </c>
      <c r="B465" s="626" t="str">
        <f t="shared" si="130"/>
        <v>-0000-00-No aplica-Al-Al-</v>
      </c>
      <c r="C465" s="626" t="str">
        <f t="shared" si="131"/>
        <v>-0000-00-No aplica-</v>
      </c>
      <c r="D465" s="626" t="str">
        <f t="shared" si="132"/>
        <v>-0000-00--Al-Al-</v>
      </c>
      <c r="E465" s="626" t="str">
        <f t="shared" si="133"/>
        <v>--</v>
      </c>
      <c r="F465" s="627">
        <v>407</v>
      </c>
      <c r="G465" s="628">
        <f t="shared" si="134"/>
        <v>407</v>
      </c>
      <c r="H465" s="629" t="b">
        <f t="shared" si="135"/>
        <v>0</v>
      </c>
      <c r="I465" s="630" t="s">
        <v>594</v>
      </c>
      <c r="J465" s="627" t="s">
        <v>329</v>
      </c>
      <c r="K465" s="631" t="str">
        <f>+IFERROR(VLOOKUP(J465,Listas!$A$108:$B$114,2,FALSE),"Alerta: Seleccione la celda en la comumna B con el nombre del proyecto")</f>
        <v>3-1-2-00-00-00-0000-00</v>
      </c>
      <c r="L465" s="632" t="s">
        <v>996</v>
      </c>
      <c r="M465" s="633" t="s">
        <v>997</v>
      </c>
      <c r="N465" s="634" t="str">
        <f t="shared" si="136"/>
        <v>(Cód. 407) Adquirir la renovación y actualización de licencias de software antivirus del Instituto Distrital de Patrimonio Cultural.</v>
      </c>
      <c r="O465" s="635">
        <v>43556</v>
      </c>
      <c r="P465" s="636">
        <f>IFERROR(VLOOKUP(W465,'Estimación CRP'!$D$21:$E$30,2,FALSE),0)</f>
        <v>25</v>
      </c>
      <c r="Q465" s="637">
        <f>IF(O465="No aplica","No aplica",WORKDAY.INTL(O465,P465,1,'Estimación CRP'!A651:A667))</f>
        <v>43591</v>
      </c>
      <c r="R465" s="636">
        <f t="shared" si="137"/>
        <v>5</v>
      </c>
      <c r="S465" s="636">
        <f t="shared" si="138"/>
        <v>4</v>
      </c>
      <c r="T465" s="636">
        <f t="shared" si="139"/>
        <v>4</v>
      </c>
      <c r="U465" s="712">
        <v>10</v>
      </c>
      <c r="V465" s="638">
        <v>1</v>
      </c>
      <c r="W465" s="639" t="s">
        <v>267</v>
      </c>
      <c r="X465" s="640" t="str">
        <f>IFERROR(VLOOKUP(W465,Listas!$A$60:$B$73,2,FALSE),"Alerta: Seleccione primero Modalidad de selección")</f>
        <v>CCE-10</v>
      </c>
      <c r="Y465" s="641">
        <v>0</v>
      </c>
      <c r="Z465" s="641" t="s">
        <v>1142</v>
      </c>
      <c r="AA465" s="641"/>
      <c r="AB465" s="642">
        <f t="shared" si="140"/>
        <v>20000000</v>
      </c>
      <c r="AC465" s="642">
        <f t="shared" si="141"/>
        <v>20000000</v>
      </c>
      <c r="AD465" s="641">
        <v>0</v>
      </c>
      <c r="AE465" s="643">
        <v>0</v>
      </c>
      <c r="AF465" s="639" t="s">
        <v>276</v>
      </c>
      <c r="AG465" s="639" t="s">
        <v>277</v>
      </c>
      <c r="AH465" s="639" t="s">
        <v>283</v>
      </c>
      <c r="AI465" s="626" t="str">
        <f>IFERROR(VLOOKUP(AH465,Listas!$A$77:$C$83,2,FALSE),"Alerta: Seleccione primero el responsable")</f>
        <v>3550800</v>
      </c>
      <c r="AJ465" s="640" t="str">
        <f>IFERROR(VLOOKUP(AH465,Listas!$A$77:$C$83,3,FALSE),"Alerta: Seleccione primero el responsable")</f>
        <v>juan.acosta@idpc.gov.co</v>
      </c>
      <c r="AK465" s="640" t="str">
        <f>IF(J465="Funcionamiento Gastos Generales","No aplica",IF(J465="Funcionamiento Servicios Personales indirectos","No aplica",IFERROR(VLOOKUP(J465,Listas!$A$127:$E$139,3,FALSE),"Alerta: Seleccione la celda en la comumna B con el nombre del proyecto")))</f>
        <v>No aplica</v>
      </c>
      <c r="AL465" s="640" t="str">
        <f>IF(J465="Funcionamiento Gastos Generales","No aplica",IF(J465="Funcionamiento Servicios Personales","No aplica",IFERROR(VLOOKUP(J465,Listas!$A$220:$D$224,2,FALSE),"Alerta: Seleccione la celda en la comumna B con el nombre del proyecto")))</f>
        <v>No aplica</v>
      </c>
      <c r="AM465" s="640" t="str">
        <f>IF(J465="Funcionamiento Gastos Generales","No aplica",IF(J465="Funcionamiento Servicios Personales","No aplica",IFERROR(VLOOKUP(J465,Listas!$A$220:$D$224,3,FALSE),"Alerta: Seleccione la celda en la comumna B con el nombre del proyecto")))</f>
        <v>No aplica</v>
      </c>
      <c r="AN465" s="633"/>
      <c r="AO465" s="633"/>
      <c r="AP465" s="634" t="str">
        <f>IFERROR(VLOOKUP(J465,Listas!$A$182:$E$215,5,FALSE),"Alerta: Seleccione la celda en la comumna B con el nombre del proyecto")</f>
        <v>Alerta: Seleccione la celda en la comumna B con el nombre del proyecto</v>
      </c>
      <c r="AQ465" s="634" t="str">
        <f>IF(J465="Funcionamiento Gastos Generales","No aplica",IF(J465="Funcionamiento Servicios Personales","No aplica",IFERROR(VLOOKUP(J465,Listas!$A$220:$D$224,4,FALSE),"Alerta: Seleccione la celda en la comumna B con el nombre del proyecto")))</f>
        <v>No aplica</v>
      </c>
      <c r="AR465" s="633"/>
      <c r="AS465" s="634" t="str">
        <f>IFERROR(VLOOKUP(AU465,Listas!$E$85:$L$105,7,FALSE),"Alerta: Seleccione la celda en la comumna AI con el concepto de gasto")</f>
        <v>Alerta: Seleccione la celda en la comumna AI con el concepto de gasto</v>
      </c>
      <c r="AT465" s="634" t="str">
        <f>IFERROR(VLOOKUP(AU465,Listas!$E$85:$L$105,8,FALSE),"Alerta: Seleccione la celda en la comumna AI con el concepto de gasto")</f>
        <v>Alerta: Seleccione la celda en la comumna AI con el concepto de gasto</v>
      </c>
      <c r="AU465" s="633"/>
      <c r="AV465" s="634" t="str">
        <f>IFERROR(VLOOKUP(AU465,Listas!$E$85:$F$105,2,FALSE),"Alerta: Seleccione el Concepto de Gasto primero")</f>
        <v>Alerta: Seleccione el Concepto de Gasto primero</v>
      </c>
      <c r="AW465" s="644">
        <v>20000000</v>
      </c>
      <c r="AX465" s="645"/>
      <c r="AY465" s="645"/>
      <c r="AZ465" s="645"/>
      <c r="BA465" s="646">
        <f t="shared" si="142"/>
        <v>20000000</v>
      </c>
      <c r="BB465" s="647"/>
      <c r="BC465" s="648"/>
      <c r="BD465" s="649"/>
      <c r="BE465" s="647"/>
      <c r="BF465" s="644"/>
      <c r="BG465" s="646">
        <f t="shared" si="143"/>
        <v>20000000</v>
      </c>
      <c r="BH465" s="650"/>
      <c r="BI465" s="647"/>
      <c r="BJ465" s="644"/>
      <c r="BK465" s="646">
        <f t="shared" si="144"/>
        <v>0</v>
      </c>
      <c r="BL465" s="651"/>
      <c r="BM465" s="652">
        <f t="shared" si="145"/>
        <v>1</v>
      </c>
      <c r="BN465" s="628"/>
      <c r="BO465" s="670"/>
      <c r="BP465" s="644"/>
      <c r="BQ465" s="644"/>
      <c r="BR465" s="644"/>
      <c r="BS465" s="644"/>
      <c r="BT465" s="644"/>
      <c r="BU465" s="644"/>
      <c r="BV465" s="644"/>
      <c r="BW465" s="644"/>
      <c r="BX465" s="644"/>
      <c r="BY465" s="644"/>
      <c r="BZ465" s="644"/>
      <c r="CA465" s="644"/>
      <c r="CB465" s="646">
        <f t="shared" si="146"/>
        <v>0</v>
      </c>
      <c r="CC465" s="646">
        <f t="shared" si="147"/>
        <v>0</v>
      </c>
      <c r="CD465" s="614"/>
    </row>
    <row r="466" spans="1:82" s="653" customFormat="1" ht="61.5" customHeight="1">
      <c r="A466" s="625" t="str">
        <f t="shared" si="129"/>
        <v>-0000-00-No aplica-Al-Al--</v>
      </c>
      <c r="B466" s="626" t="str">
        <f t="shared" si="130"/>
        <v>-0000-00-No aplica-Al-Al-</v>
      </c>
      <c r="C466" s="626" t="str">
        <f t="shared" si="131"/>
        <v>-0000-00-No aplica-</v>
      </c>
      <c r="D466" s="626" t="str">
        <f t="shared" si="132"/>
        <v>-0000-00--Al-Al-</v>
      </c>
      <c r="E466" s="626" t="str">
        <f t="shared" si="133"/>
        <v>--</v>
      </c>
      <c r="F466" s="627">
        <v>408</v>
      </c>
      <c r="G466" s="628">
        <f t="shared" si="134"/>
        <v>408</v>
      </c>
      <c r="H466" s="629" t="b">
        <f t="shared" si="135"/>
        <v>0</v>
      </c>
      <c r="I466" s="630" t="s">
        <v>594</v>
      </c>
      <c r="J466" s="627" t="s">
        <v>329</v>
      </c>
      <c r="K466" s="631" t="str">
        <f>+IFERROR(VLOOKUP(J466,Listas!$A$108:$B$114,2,FALSE),"Alerta: Seleccione la celda en la comumna B con el nombre del proyecto")</f>
        <v>3-1-2-00-00-00-0000-00</v>
      </c>
      <c r="L466" s="632" t="s">
        <v>672</v>
      </c>
      <c r="M466" s="633" t="s">
        <v>998</v>
      </c>
      <c r="N466" s="634" t="str">
        <f t="shared" si="136"/>
        <v>(Cód. 408) Contratar la actualización, mantenimiento y soporte del software de talento humano y nómina del Instituto Distrital de Patrimonio Cultural.</v>
      </c>
      <c r="O466" s="635">
        <v>43600</v>
      </c>
      <c r="P466" s="636">
        <f>IFERROR(VLOOKUP(W466,'Estimación CRP'!$D$21:$E$30,2,FALSE),0)</f>
        <v>0</v>
      </c>
      <c r="Q466" s="637">
        <f>IF(O466="No aplica","No aplica",WORKDAY.INTL(O466,P466,1,'Estimación CRP'!A652:A668))</f>
        <v>43600</v>
      </c>
      <c r="R466" s="636">
        <f t="shared" si="137"/>
        <v>5</v>
      </c>
      <c r="S466" s="636">
        <f t="shared" si="138"/>
        <v>5</v>
      </c>
      <c r="T466" s="636">
        <f t="shared" si="139"/>
        <v>5</v>
      </c>
      <c r="U466" s="712">
        <v>1</v>
      </c>
      <c r="V466" s="638">
        <v>2</v>
      </c>
      <c r="W466" s="639" t="s">
        <v>263</v>
      </c>
      <c r="X466" s="640" t="str">
        <f>IFERROR(VLOOKUP(W466,Listas!$A$60:$B$73,2,FALSE),"Alerta: Seleccione primero Modalidad de selección")</f>
        <v>CCE-05</v>
      </c>
      <c r="Y466" s="641">
        <v>0</v>
      </c>
      <c r="Z466" s="641" t="s">
        <v>1142</v>
      </c>
      <c r="AA466" s="641"/>
      <c r="AB466" s="642">
        <f t="shared" si="140"/>
        <v>6000000</v>
      </c>
      <c r="AC466" s="642">
        <f t="shared" si="141"/>
        <v>6000000</v>
      </c>
      <c r="AD466" s="641">
        <v>0</v>
      </c>
      <c r="AE466" s="643">
        <v>0</v>
      </c>
      <c r="AF466" s="639" t="s">
        <v>276</v>
      </c>
      <c r="AG466" s="639" t="s">
        <v>277</v>
      </c>
      <c r="AH466" s="639" t="s">
        <v>283</v>
      </c>
      <c r="AI466" s="626" t="str">
        <f>IFERROR(VLOOKUP(AH466,Listas!$A$77:$C$83,2,FALSE),"Alerta: Seleccione primero el responsable")</f>
        <v>3550800</v>
      </c>
      <c r="AJ466" s="640" t="str">
        <f>IFERROR(VLOOKUP(AH466,Listas!$A$77:$C$83,3,FALSE),"Alerta: Seleccione primero el responsable")</f>
        <v>juan.acosta@idpc.gov.co</v>
      </c>
      <c r="AK466" s="640" t="str">
        <f>IF(J466="Funcionamiento Gastos Generales","No aplica",IF(J466="Funcionamiento Servicios Personales indirectos","No aplica",IFERROR(VLOOKUP(J466,Listas!$A$127:$E$139,3,FALSE),"Alerta: Seleccione la celda en la comumna B con el nombre del proyecto")))</f>
        <v>No aplica</v>
      </c>
      <c r="AL466" s="640" t="str">
        <f>IF(J466="Funcionamiento Gastos Generales","No aplica",IF(J466="Funcionamiento Servicios Personales","No aplica",IFERROR(VLOOKUP(J466,Listas!$A$220:$D$224,2,FALSE),"Alerta: Seleccione la celda en la comumna B con el nombre del proyecto")))</f>
        <v>No aplica</v>
      </c>
      <c r="AM466" s="640" t="str">
        <f>IF(J466="Funcionamiento Gastos Generales","No aplica",IF(J466="Funcionamiento Servicios Personales","No aplica",IFERROR(VLOOKUP(J466,Listas!$A$220:$D$224,3,FALSE),"Alerta: Seleccione la celda en la comumna B con el nombre del proyecto")))</f>
        <v>No aplica</v>
      </c>
      <c r="AN466" s="633"/>
      <c r="AO466" s="633"/>
      <c r="AP466" s="634" t="str">
        <f>IFERROR(VLOOKUP(J466,Listas!$A$182:$E$215,5,FALSE),"Alerta: Seleccione la celda en la comumna B con el nombre del proyecto")</f>
        <v>Alerta: Seleccione la celda en la comumna B con el nombre del proyecto</v>
      </c>
      <c r="AQ466" s="634" t="str">
        <f>IF(J466="Funcionamiento Gastos Generales","No aplica",IF(J466="Funcionamiento Servicios Personales","No aplica",IFERROR(VLOOKUP(J466,Listas!$A$220:$D$224,4,FALSE),"Alerta: Seleccione la celda en la comumna B con el nombre del proyecto")))</f>
        <v>No aplica</v>
      </c>
      <c r="AR466" s="633"/>
      <c r="AS466" s="634" t="str">
        <f>IFERROR(VLOOKUP(AU466,Listas!$E$85:$L$105,7,FALSE),"Alerta: Seleccione la celda en la comumna AI con el concepto de gasto")</f>
        <v>Alerta: Seleccione la celda en la comumna AI con el concepto de gasto</v>
      </c>
      <c r="AT466" s="634" t="str">
        <f>IFERROR(VLOOKUP(AU466,Listas!$E$85:$L$105,8,FALSE),"Alerta: Seleccione la celda en la comumna AI con el concepto de gasto")</f>
        <v>Alerta: Seleccione la celda en la comumna AI con el concepto de gasto</v>
      </c>
      <c r="AU466" s="633"/>
      <c r="AV466" s="634" t="str">
        <f>IFERROR(VLOOKUP(AU466,Listas!$E$85:$F$105,2,FALSE),"Alerta: Seleccione el Concepto de Gasto primero")</f>
        <v>Alerta: Seleccione el Concepto de Gasto primero</v>
      </c>
      <c r="AW466" s="644">
        <v>6000000</v>
      </c>
      <c r="AX466" s="645"/>
      <c r="AY466" s="645"/>
      <c r="AZ466" s="645"/>
      <c r="BA466" s="646">
        <f t="shared" si="142"/>
        <v>6000000</v>
      </c>
      <c r="BB466" s="647"/>
      <c r="BC466" s="648"/>
      <c r="BD466" s="649"/>
      <c r="BE466" s="647"/>
      <c r="BF466" s="644"/>
      <c r="BG466" s="646">
        <f t="shared" si="143"/>
        <v>6000000</v>
      </c>
      <c r="BH466" s="650"/>
      <c r="BI466" s="647"/>
      <c r="BJ466" s="644"/>
      <c r="BK466" s="646">
        <f t="shared" si="144"/>
        <v>0</v>
      </c>
      <c r="BL466" s="651"/>
      <c r="BM466" s="652">
        <f t="shared" si="145"/>
        <v>1</v>
      </c>
      <c r="BN466" s="628"/>
      <c r="BO466" s="670"/>
      <c r="BP466" s="644"/>
      <c r="BQ466" s="644"/>
      <c r="BR466" s="644"/>
      <c r="BS466" s="644"/>
      <c r="BT466" s="644"/>
      <c r="BU466" s="644"/>
      <c r="BV466" s="644"/>
      <c r="BW466" s="644"/>
      <c r="BX466" s="644"/>
      <c r="BY466" s="644"/>
      <c r="BZ466" s="644"/>
      <c r="CA466" s="644"/>
      <c r="CB466" s="646">
        <f t="shared" si="146"/>
        <v>0</v>
      </c>
      <c r="CC466" s="646">
        <f t="shared" si="147"/>
        <v>0</v>
      </c>
      <c r="CD466" s="614"/>
    </row>
    <row r="467" spans="1:82" s="653" customFormat="1" ht="61.5" customHeight="1">
      <c r="A467" s="625" t="str">
        <f t="shared" si="129"/>
        <v>-0000-00-No aplica-Al-Al--</v>
      </c>
      <c r="B467" s="626" t="str">
        <f t="shared" si="130"/>
        <v>-0000-00-No aplica-Al-Al-</v>
      </c>
      <c r="C467" s="626" t="str">
        <f t="shared" si="131"/>
        <v>-0000-00-No aplica-</v>
      </c>
      <c r="D467" s="626" t="str">
        <f t="shared" si="132"/>
        <v>-0000-00--Al-Al-</v>
      </c>
      <c r="E467" s="626" t="str">
        <f t="shared" si="133"/>
        <v>--</v>
      </c>
      <c r="F467" s="627">
        <v>409</v>
      </c>
      <c r="G467" s="628">
        <f t="shared" si="134"/>
        <v>409</v>
      </c>
      <c r="H467" s="629" t="b">
        <f t="shared" si="135"/>
        <v>0</v>
      </c>
      <c r="I467" s="630" t="s">
        <v>594</v>
      </c>
      <c r="J467" s="627" t="s">
        <v>329</v>
      </c>
      <c r="K467" s="631" t="str">
        <f>+IFERROR(VLOOKUP(J467,Listas!$A$108:$B$114,2,FALSE),"Alerta: Seleccione la celda en la comumna B con el nombre del proyecto")</f>
        <v>3-1-2-00-00-00-0000-00</v>
      </c>
      <c r="L467" s="632" t="s">
        <v>999</v>
      </c>
      <c r="M467" s="633" t="s">
        <v>1000</v>
      </c>
      <c r="N467" s="634" t="str">
        <f t="shared" si="136"/>
        <v>(Cód. 409) Prestación de servicios para el mantenimiento preventivo y correctivo del ascensor de casa Museo de Bogotá Calle 10 No.3-45-51-55.</v>
      </c>
      <c r="O467" s="635">
        <v>43511</v>
      </c>
      <c r="P467" s="636">
        <f>IFERROR(VLOOKUP(W467,'Estimación CRP'!$D$21:$E$30,2,FALSE),0)</f>
        <v>25</v>
      </c>
      <c r="Q467" s="637">
        <f>IF(O467="No aplica","No aplica",WORKDAY.INTL(O467,P467,1,'Estimación CRP'!A653:A669))</f>
        <v>43546</v>
      </c>
      <c r="R467" s="636">
        <f t="shared" si="137"/>
        <v>3</v>
      </c>
      <c r="S467" s="636">
        <f t="shared" si="138"/>
        <v>2</v>
      </c>
      <c r="T467" s="636">
        <f t="shared" si="139"/>
        <v>2</v>
      </c>
      <c r="U467" s="712">
        <v>10</v>
      </c>
      <c r="V467" s="638">
        <v>1</v>
      </c>
      <c r="W467" s="639" t="s">
        <v>267</v>
      </c>
      <c r="X467" s="640" t="str">
        <f>IFERROR(VLOOKUP(W467,Listas!$A$60:$B$73,2,FALSE),"Alerta: Seleccione primero Modalidad de selección")</f>
        <v>CCE-10</v>
      </c>
      <c r="Y467" s="641">
        <v>0</v>
      </c>
      <c r="Z467" s="641" t="s">
        <v>1345</v>
      </c>
      <c r="AA467" s="641"/>
      <c r="AB467" s="642">
        <f t="shared" si="140"/>
        <v>9000000</v>
      </c>
      <c r="AC467" s="642">
        <f t="shared" si="141"/>
        <v>9000000</v>
      </c>
      <c r="AD467" s="641">
        <v>0</v>
      </c>
      <c r="AE467" s="643">
        <v>0</v>
      </c>
      <c r="AF467" s="639" t="s">
        <v>276</v>
      </c>
      <c r="AG467" s="639" t="s">
        <v>277</v>
      </c>
      <c r="AH467" s="639" t="s">
        <v>283</v>
      </c>
      <c r="AI467" s="626" t="str">
        <f>IFERROR(VLOOKUP(AH467,Listas!$A$77:$C$83,2,FALSE),"Alerta: Seleccione primero el responsable")</f>
        <v>3550800</v>
      </c>
      <c r="AJ467" s="640" t="str">
        <f>IFERROR(VLOOKUP(AH467,Listas!$A$77:$C$83,3,FALSE),"Alerta: Seleccione primero el responsable")</f>
        <v>juan.acosta@idpc.gov.co</v>
      </c>
      <c r="AK467" s="640" t="str">
        <f>IF(J467="Funcionamiento Gastos Generales","No aplica",IF(J467="Funcionamiento Servicios Personales indirectos","No aplica",IFERROR(VLOOKUP(J467,Listas!$A$127:$E$139,3,FALSE),"Alerta: Seleccione la celda en la comumna B con el nombre del proyecto")))</f>
        <v>No aplica</v>
      </c>
      <c r="AL467" s="640" t="str">
        <f>IF(J467="Funcionamiento Gastos Generales","No aplica",IF(J467="Funcionamiento Servicios Personales","No aplica",IFERROR(VLOOKUP(J467,Listas!$A$220:$D$224,2,FALSE),"Alerta: Seleccione la celda en la comumna B con el nombre del proyecto")))</f>
        <v>No aplica</v>
      </c>
      <c r="AM467" s="640" t="str">
        <f>IF(J467="Funcionamiento Gastos Generales","No aplica",IF(J467="Funcionamiento Servicios Personales","No aplica",IFERROR(VLOOKUP(J467,Listas!$A$220:$D$224,3,FALSE),"Alerta: Seleccione la celda en la comumna B con el nombre del proyecto")))</f>
        <v>No aplica</v>
      </c>
      <c r="AN467" s="633"/>
      <c r="AO467" s="633"/>
      <c r="AP467" s="634" t="str">
        <f>IFERROR(VLOOKUP(J467,Listas!$A$182:$E$215,5,FALSE),"Alerta: Seleccione la celda en la comumna B con el nombre del proyecto")</f>
        <v>Alerta: Seleccione la celda en la comumna B con el nombre del proyecto</v>
      </c>
      <c r="AQ467" s="634" t="str">
        <f>IF(J467="Funcionamiento Gastos Generales","No aplica",IF(J467="Funcionamiento Servicios Personales","No aplica",IFERROR(VLOOKUP(J467,Listas!$A$220:$D$224,4,FALSE),"Alerta: Seleccione la celda en la comumna B con el nombre del proyecto")))</f>
        <v>No aplica</v>
      </c>
      <c r="AR467" s="633"/>
      <c r="AS467" s="634" t="str">
        <f>IFERROR(VLOOKUP(AU467,Listas!$E$85:$L$105,7,FALSE),"Alerta: Seleccione la celda en la comumna AI con el concepto de gasto")</f>
        <v>Alerta: Seleccione la celda en la comumna AI con el concepto de gasto</v>
      </c>
      <c r="AT467" s="634" t="str">
        <f>IFERROR(VLOOKUP(AU467,Listas!$E$85:$L$105,8,FALSE),"Alerta: Seleccione la celda en la comumna AI con el concepto de gasto")</f>
        <v>Alerta: Seleccione la celda en la comumna AI con el concepto de gasto</v>
      </c>
      <c r="AU467" s="633"/>
      <c r="AV467" s="634" t="str">
        <f>IFERROR(VLOOKUP(AU467,Listas!$E$85:$F$105,2,FALSE),"Alerta: Seleccione el Concepto de Gasto primero")</f>
        <v>Alerta: Seleccione el Concepto de Gasto primero</v>
      </c>
      <c r="AW467" s="644">
        <v>9000000</v>
      </c>
      <c r="AX467" s="645"/>
      <c r="AY467" s="645"/>
      <c r="AZ467" s="645"/>
      <c r="BA467" s="646">
        <f t="shared" si="142"/>
        <v>9000000</v>
      </c>
      <c r="BB467" s="647"/>
      <c r="BC467" s="648"/>
      <c r="BD467" s="649"/>
      <c r="BE467" s="647"/>
      <c r="BF467" s="644"/>
      <c r="BG467" s="646">
        <f t="shared" si="143"/>
        <v>9000000</v>
      </c>
      <c r="BH467" s="650"/>
      <c r="BI467" s="647"/>
      <c r="BJ467" s="644"/>
      <c r="BK467" s="646">
        <f t="shared" si="144"/>
        <v>0</v>
      </c>
      <c r="BL467" s="651"/>
      <c r="BM467" s="652">
        <f t="shared" si="145"/>
        <v>1</v>
      </c>
      <c r="BN467" s="628"/>
      <c r="BO467" s="670"/>
      <c r="BP467" s="644"/>
      <c r="BQ467" s="644"/>
      <c r="BR467" s="644"/>
      <c r="BS467" s="644"/>
      <c r="BT467" s="644"/>
      <c r="BU467" s="644"/>
      <c r="BV467" s="644"/>
      <c r="BW467" s="644"/>
      <c r="BX467" s="644"/>
      <c r="BY467" s="644"/>
      <c r="BZ467" s="644"/>
      <c r="CA467" s="644"/>
      <c r="CB467" s="646">
        <f t="shared" si="146"/>
        <v>0</v>
      </c>
      <c r="CC467" s="646">
        <f t="shared" si="147"/>
        <v>0</v>
      </c>
      <c r="CD467" s="614"/>
    </row>
    <row r="468" spans="1:82" s="653" customFormat="1" ht="61.5" customHeight="1">
      <c r="A468" s="625" t="str">
        <f t="shared" si="129"/>
        <v>-0000-00-No aplica-Al-Al--</v>
      </c>
      <c r="B468" s="626" t="str">
        <f t="shared" si="130"/>
        <v>-0000-00-No aplica-Al-Al-</v>
      </c>
      <c r="C468" s="626" t="str">
        <f t="shared" si="131"/>
        <v>-0000-00-No aplica-</v>
      </c>
      <c r="D468" s="626" t="str">
        <f t="shared" si="132"/>
        <v>-0000-00--Al-Al-</v>
      </c>
      <c r="E468" s="626" t="str">
        <f t="shared" si="133"/>
        <v>--</v>
      </c>
      <c r="F468" s="627">
        <v>410</v>
      </c>
      <c r="G468" s="628">
        <f t="shared" si="134"/>
        <v>410</v>
      </c>
      <c r="H468" s="629" t="b">
        <f t="shared" si="135"/>
        <v>0</v>
      </c>
      <c r="I468" s="630" t="s">
        <v>594</v>
      </c>
      <c r="J468" s="627" t="s">
        <v>329</v>
      </c>
      <c r="K468" s="631" t="str">
        <f>+IFERROR(VLOOKUP(J468,Listas!$A$108:$B$114,2,FALSE),"Alerta: Seleccione la celda en la comumna B con el nombre del proyecto")</f>
        <v>3-1-2-00-00-00-0000-00</v>
      </c>
      <c r="L468" s="632" t="s">
        <v>999</v>
      </c>
      <c r="M468" s="633" t="s">
        <v>1001</v>
      </c>
      <c r="N468" s="634" t="str">
        <f t="shared" si="136"/>
        <v>(Cód. 410) Prestación de servicios para el mantenimiento preventivo y correctivo del ascensor de casa Museo de Bogotá Cra 4 No.10-02.</v>
      </c>
      <c r="O468" s="635">
        <v>43539</v>
      </c>
      <c r="P468" s="636">
        <f>IFERROR(VLOOKUP(W468,'Estimación CRP'!$D$21:$E$30,2,FALSE),0)</f>
        <v>25</v>
      </c>
      <c r="Q468" s="637">
        <f>IF(O468="No aplica","No aplica",WORKDAY.INTL(O468,P468,1,'Estimación CRP'!A654:A670))</f>
        <v>43574</v>
      </c>
      <c r="R468" s="636">
        <f t="shared" si="137"/>
        <v>4</v>
      </c>
      <c r="S468" s="636">
        <f t="shared" si="138"/>
        <v>3</v>
      </c>
      <c r="T468" s="636">
        <f t="shared" si="139"/>
        <v>3</v>
      </c>
      <c r="U468" s="712">
        <v>10</v>
      </c>
      <c r="V468" s="638">
        <v>1</v>
      </c>
      <c r="W468" s="639" t="s">
        <v>267</v>
      </c>
      <c r="X468" s="640" t="str">
        <f>IFERROR(VLOOKUP(W468,Listas!$A$60:$B$73,2,FALSE),"Alerta: Seleccione primero Modalidad de selección")</f>
        <v>CCE-10</v>
      </c>
      <c r="Y468" s="641">
        <v>0</v>
      </c>
      <c r="Z468" s="641" t="s">
        <v>1345</v>
      </c>
      <c r="AA468" s="641"/>
      <c r="AB468" s="642">
        <f t="shared" si="140"/>
        <v>5500000</v>
      </c>
      <c r="AC468" s="642">
        <f t="shared" si="141"/>
        <v>5500000</v>
      </c>
      <c r="AD468" s="641">
        <v>0</v>
      </c>
      <c r="AE468" s="643">
        <v>0</v>
      </c>
      <c r="AF468" s="639" t="s">
        <v>276</v>
      </c>
      <c r="AG468" s="639" t="s">
        <v>277</v>
      </c>
      <c r="AH468" s="639" t="s">
        <v>283</v>
      </c>
      <c r="AI468" s="626" t="str">
        <f>IFERROR(VLOOKUP(AH468,Listas!$A$77:$C$83,2,FALSE),"Alerta: Seleccione primero el responsable")</f>
        <v>3550800</v>
      </c>
      <c r="AJ468" s="640" t="str">
        <f>IFERROR(VLOOKUP(AH468,Listas!$A$77:$C$83,3,FALSE),"Alerta: Seleccione primero el responsable")</f>
        <v>juan.acosta@idpc.gov.co</v>
      </c>
      <c r="AK468" s="640" t="str">
        <f>IF(J468="Funcionamiento Gastos Generales","No aplica",IF(J468="Funcionamiento Servicios Personales indirectos","No aplica",IFERROR(VLOOKUP(J468,Listas!$A$127:$E$139,3,FALSE),"Alerta: Seleccione la celda en la comumna B con el nombre del proyecto")))</f>
        <v>No aplica</v>
      </c>
      <c r="AL468" s="640" t="str">
        <f>IF(J468="Funcionamiento Gastos Generales","No aplica",IF(J468="Funcionamiento Servicios Personales","No aplica",IFERROR(VLOOKUP(J468,Listas!$A$220:$D$224,2,FALSE),"Alerta: Seleccione la celda en la comumna B con el nombre del proyecto")))</f>
        <v>No aplica</v>
      </c>
      <c r="AM468" s="640" t="str">
        <f>IF(J468="Funcionamiento Gastos Generales","No aplica",IF(J468="Funcionamiento Servicios Personales","No aplica",IFERROR(VLOOKUP(J468,Listas!$A$220:$D$224,3,FALSE),"Alerta: Seleccione la celda en la comumna B con el nombre del proyecto")))</f>
        <v>No aplica</v>
      </c>
      <c r="AN468" s="633"/>
      <c r="AO468" s="633"/>
      <c r="AP468" s="634" t="str">
        <f>IFERROR(VLOOKUP(J468,Listas!$A$182:$E$215,5,FALSE),"Alerta: Seleccione la celda en la comumna B con el nombre del proyecto")</f>
        <v>Alerta: Seleccione la celda en la comumna B con el nombre del proyecto</v>
      </c>
      <c r="AQ468" s="634" t="str">
        <f>IF(J468="Funcionamiento Gastos Generales","No aplica",IF(J468="Funcionamiento Servicios Personales","No aplica",IFERROR(VLOOKUP(J468,Listas!$A$220:$D$224,4,FALSE),"Alerta: Seleccione la celda en la comumna B con el nombre del proyecto")))</f>
        <v>No aplica</v>
      </c>
      <c r="AR468" s="633"/>
      <c r="AS468" s="634" t="str">
        <f>IFERROR(VLOOKUP(AU468,Listas!$E$85:$L$105,7,FALSE),"Alerta: Seleccione la celda en la comumna AI con el concepto de gasto")</f>
        <v>Alerta: Seleccione la celda en la comumna AI con el concepto de gasto</v>
      </c>
      <c r="AT468" s="634" t="str">
        <f>IFERROR(VLOOKUP(AU468,Listas!$E$85:$L$105,8,FALSE),"Alerta: Seleccione la celda en la comumna AI con el concepto de gasto")</f>
        <v>Alerta: Seleccione la celda en la comumna AI con el concepto de gasto</v>
      </c>
      <c r="AU468" s="633"/>
      <c r="AV468" s="634" t="str">
        <f>IFERROR(VLOOKUP(AU468,Listas!$E$85:$F$105,2,FALSE),"Alerta: Seleccione el Concepto de Gasto primero")</f>
        <v>Alerta: Seleccione el Concepto de Gasto primero</v>
      </c>
      <c r="AW468" s="644">
        <v>5500000</v>
      </c>
      <c r="AX468" s="645"/>
      <c r="AY468" s="645"/>
      <c r="AZ468" s="645"/>
      <c r="BA468" s="646">
        <f t="shared" si="142"/>
        <v>5500000</v>
      </c>
      <c r="BB468" s="647"/>
      <c r="BC468" s="648"/>
      <c r="BD468" s="649"/>
      <c r="BE468" s="647"/>
      <c r="BF468" s="644"/>
      <c r="BG468" s="646">
        <f t="shared" si="143"/>
        <v>5500000</v>
      </c>
      <c r="BH468" s="650"/>
      <c r="BI468" s="647"/>
      <c r="BJ468" s="644"/>
      <c r="BK468" s="646">
        <f t="shared" si="144"/>
        <v>0</v>
      </c>
      <c r="BL468" s="651"/>
      <c r="BM468" s="652">
        <f t="shared" si="145"/>
        <v>1</v>
      </c>
      <c r="BN468" s="628"/>
      <c r="BO468" s="670"/>
      <c r="BP468" s="644"/>
      <c r="BQ468" s="644"/>
      <c r="BR468" s="644"/>
      <c r="BS468" s="644"/>
      <c r="BT468" s="644"/>
      <c r="BU468" s="644"/>
      <c r="BV468" s="644"/>
      <c r="BW468" s="644"/>
      <c r="BX468" s="644"/>
      <c r="BY468" s="644"/>
      <c r="BZ468" s="644"/>
      <c r="CA468" s="644"/>
      <c r="CB468" s="646">
        <f t="shared" si="146"/>
        <v>0</v>
      </c>
      <c r="CC468" s="646">
        <f t="shared" si="147"/>
        <v>0</v>
      </c>
      <c r="CD468" s="614"/>
    </row>
    <row r="469" spans="1:82" s="653" customFormat="1" ht="61.5" customHeight="1">
      <c r="A469" s="625" t="str">
        <f t="shared" si="129"/>
        <v>-0000-00-No aplica-Al-Al--</v>
      </c>
      <c r="B469" s="626" t="str">
        <f t="shared" si="130"/>
        <v>-0000-00-No aplica-Al-Al-</v>
      </c>
      <c r="C469" s="626" t="str">
        <f t="shared" si="131"/>
        <v>-0000-00-No aplica-</v>
      </c>
      <c r="D469" s="626" t="str">
        <f t="shared" si="132"/>
        <v>-0000-00--Al-Al-</v>
      </c>
      <c r="E469" s="626" t="str">
        <f t="shared" si="133"/>
        <v>--</v>
      </c>
      <c r="F469" s="627">
        <v>411</v>
      </c>
      <c r="G469" s="628">
        <f t="shared" si="134"/>
        <v>411</v>
      </c>
      <c r="H469" s="629" t="b">
        <f t="shared" si="135"/>
        <v>0</v>
      </c>
      <c r="I469" s="630" t="s">
        <v>594</v>
      </c>
      <c r="J469" s="627" t="s">
        <v>329</v>
      </c>
      <c r="K469" s="631" t="str">
        <f>+IFERROR(VLOOKUP(J469,Listas!$A$108:$B$114,2,FALSE),"Alerta: Seleccione la celda en la comumna B con el nombre del proyecto")</f>
        <v>3-1-2-00-00-00-0000-00</v>
      </c>
      <c r="L469" s="632" t="s">
        <v>999</v>
      </c>
      <c r="M469" s="633" t="s">
        <v>1002</v>
      </c>
      <c r="N469" s="634" t="str">
        <f t="shared" si="136"/>
        <v>(Cód. 411) Contratar el mantenimiento correctivo preventivo del ascensor de carga de la sede demoninada el Palomar del Príncipe del Instituto Distrital de Patrimonio Cultural.</v>
      </c>
      <c r="O469" s="635">
        <v>43539</v>
      </c>
      <c r="P469" s="636">
        <f>IFERROR(VLOOKUP(W469,'Estimación CRP'!$D$21:$E$30,2,FALSE),0)</f>
        <v>25</v>
      </c>
      <c r="Q469" s="637">
        <f>IF(O469="No aplica","No aplica",WORKDAY.INTL(O469,P469,1,'Estimación CRP'!A655:A671))</f>
        <v>43574</v>
      </c>
      <c r="R469" s="636">
        <f t="shared" si="137"/>
        <v>4</v>
      </c>
      <c r="S469" s="636">
        <f t="shared" si="138"/>
        <v>3</v>
      </c>
      <c r="T469" s="636">
        <f t="shared" si="139"/>
        <v>3</v>
      </c>
      <c r="U469" s="712">
        <v>8</v>
      </c>
      <c r="V469" s="638">
        <v>1</v>
      </c>
      <c r="W469" s="639" t="s">
        <v>267</v>
      </c>
      <c r="X469" s="640" t="str">
        <f>IFERROR(VLOOKUP(W469,Listas!$A$60:$B$73,2,FALSE),"Alerta: Seleccione primero Modalidad de selección")</f>
        <v>CCE-10</v>
      </c>
      <c r="Y469" s="641">
        <v>0</v>
      </c>
      <c r="Z469" s="641" t="s">
        <v>1345</v>
      </c>
      <c r="AA469" s="641"/>
      <c r="AB469" s="642">
        <f t="shared" si="140"/>
        <v>5000000</v>
      </c>
      <c r="AC469" s="642">
        <f t="shared" si="141"/>
        <v>5000000</v>
      </c>
      <c r="AD469" s="641">
        <v>0</v>
      </c>
      <c r="AE469" s="643">
        <v>0</v>
      </c>
      <c r="AF469" s="639" t="s">
        <v>276</v>
      </c>
      <c r="AG469" s="639" t="s">
        <v>277</v>
      </c>
      <c r="AH469" s="639" t="s">
        <v>283</v>
      </c>
      <c r="AI469" s="626" t="str">
        <f>IFERROR(VLOOKUP(AH469,Listas!$A$77:$C$83,2,FALSE),"Alerta: Seleccione primero el responsable")</f>
        <v>3550800</v>
      </c>
      <c r="AJ469" s="640" t="str">
        <f>IFERROR(VLOOKUP(AH469,Listas!$A$77:$C$83,3,FALSE),"Alerta: Seleccione primero el responsable")</f>
        <v>juan.acosta@idpc.gov.co</v>
      </c>
      <c r="AK469" s="640" t="str">
        <f>IF(J469="Funcionamiento Gastos Generales","No aplica",IF(J469="Funcionamiento Servicios Personales indirectos","No aplica",IFERROR(VLOOKUP(J469,Listas!$A$127:$E$139,3,FALSE),"Alerta: Seleccione la celda en la comumna B con el nombre del proyecto")))</f>
        <v>No aplica</v>
      </c>
      <c r="AL469" s="640" t="str">
        <f>IF(J469="Funcionamiento Gastos Generales","No aplica",IF(J469="Funcionamiento Servicios Personales","No aplica",IFERROR(VLOOKUP(J469,Listas!$A$220:$D$224,2,FALSE),"Alerta: Seleccione la celda en la comumna B con el nombre del proyecto")))</f>
        <v>No aplica</v>
      </c>
      <c r="AM469" s="640" t="str">
        <f>IF(J469="Funcionamiento Gastos Generales","No aplica",IF(J469="Funcionamiento Servicios Personales","No aplica",IFERROR(VLOOKUP(J469,Listas!$A$220:$D$224,3,FALSE),"Alerta: Seleccione la celda en la comumna B con el nombre del proyecto")))</f>
        <v>No aplica</v>
      </c>
      <c r="AN469" s="633"/>
      <c r="AO469" s="633"/>
      <c r="AP469" s="634" t="str">
        <f>IFERROR(VLOOKUP(J469,Listas!$A$182:$E$215,5,FALSE),"Alerta: Seleccione la celda en la comumna B con el nombre del proyecto")</f>
        <v>Alerta: Seleccione la celda en la comumna B con el nombre del proyecto</v>
      </c>
      <c r="AQ469" s="634" t="str">
        <f>IF(J469="Funcionamiento Gastos Generales","No aplica",IF(J469="Funcionamiento Servicios Personales","No aplica",IFERROR(VLOOKUP(J469,Listas!$A$220:$D$224,4,FALSE),"Alerta: Seleccione la celda en la comumna B con el nombre del proyecto")))</f>
        <v>No aplica</v>
      </c>
      <c r="AR469" s="633"/>
      <c r="AS469" s="634" t="str">
        <f>IFERROR(VLOOKUP(AU469,Listas!$E$85:$L$105,7,FALSE),"Alerta: Seleccione la celda en la comumna AI con el concepto de gasto")</f>
        <v>Alerta: Seleccione la celda en la comumna AI con el concepto de gasto</v>
      </c>
      <c r="AT469" s="634" t="str">
        <f>IFERROR(VLOOKUP(AU469,Listas!$E$85:$L$105,8,FALSE),"Alerta: Seleccione la celda en la comumna AI con el concepto de gasto")</f>
        <v>Alerta: Seleccione la celda en la comumna AI con el concepto de gasto</v>
      </c>
      <c r="AU469" s="633"/>
      <c r="AV469" s="634" t="str">
        <f>IFERROR(VLOOKUP(AU469,Listas!$E$85:$F$105,2,FALSE),"Alerta: Seleccione el Concepto de Gasto primero")</f>
        <v>Alerta: Seleccione el Concepto de Gasto primero</v>
      </c>
      <c r="AW469" s="644">
        <v>5000000</v>
      </c>
      <c r="AX469" s="645"/>
      <c r="AY469" s="645"/>
      <c r="AZ469" s="645"/>
      <c r="BA469" s="646">
        <f t="shared" si="142"/>
        <v>5000000</v>
      </c>
      <c r="BB469" s="647"/>
      <c r="BC469" s="648"/>
      <c r="BD469" s="649"/>
      <c r="BE469" s="647"/>
      <c r="BF469" s="644"/>
      <c r="BG469" s="646">
        <f t="shared" si="143"/>
        <v>5000000</v>
      </c>
      <c r="BH469" s="650"/>
      <c r="BI469" s="647"/>
      <c r="BJ469" s="644"/>
      <c r="BK469" s="646">
        <f t="shared" si="144"/>
        <v>0</v>
      </c>
      <c r="BL469" s="651"/>
      <c r="BM469" s="652">
        <f t="shared" si="145"/>
        <v>1</v>
      </c>
      <c r="BN469" s="628"/>
      <c r="BO469" s="670"/>
      <c r="BP469" s="644"/>
      <c r="BQ469" s="644"/>
      <c r="BR469" s="644"/>
      <c r="BS469" s="644"/>
      <c r="BT469" s="644"/>
      <c r="BU469" s="644"/>
      <c r="BV469" s="644"/>
      <c r="BW469" s="644"/>
      <c r="BX469" s="644"/>
      <c r="BY469" s="644"/>
      <c r="BZ469" s="644"/>
      <c r="CA469" s="644"/>
      <c r="CB469" s="646">
        <f t="shared" si="146"/>
        <v>0</v>
      </c>
      <c r="CC469" s="646">
        <f t="shared" si="147"/>
        <v>0</v>
      </c>
      <c r="CD469" s="614"/>
    </row>
    <row r="470" spans="1:82" s="653" customFormat="1" ht="61.5" customHeight="1">
      <c r="A470" s="625" t="str">
        <f t="shared" si="129"/>
        <v>-0000-00-No aplica-Al-Al--</v>
      </c>
      <c r="B470" s="626" t="str">
        <f t="shared" si="130"/>
        <v>-0000-00-No aplica-Al-Al-</v>
      </c>
      <c r="C470" s="626" t="str">
        <f t="shared" si="131"/>
        <v>-0000-00-No aplica-</v>
      </c>
      <c r="D470" s="626" t="str">
        <f t="shared" si="132"/>
        <v>-0000-00--Al-Al-</v>
      </c>
      <c r="E470" s="626" t="str">
        <f t="shared" si="133"/>
        <v>--</v>
      </c>
      <c r="F470" s="627">
        <v>412</v>
      </c>
      <c r="G470" s="628">
        <f t="shared" si="134"/>
        <v>412</v>
      </c>
      <c r="H470" s="629" t="b">
        <f t="shared" si="135"/>
        <v>0</v>
      </c>
      <c r="I470" s="630" t="s">
        <v>594</v>
      </c>
      <c r="J470" s="627" t="s">
        <v>329</v>
      </c>
      <c r="K470" s="631" t="str">
        <f>+IFERROR(VLOOKUP(J470,Listas!$A$108:$B$114,2,FALSE),"Alerta: Seleccione la celda en la comumna B con el nombre del proyecto")</f>
        <v>3-1-2-00-00-00-0000-00</v>
      </c>
      <c r="L470" s="632" t="s">
        <v>1003</v>
      </c>
      <c r="M470" s="633" t="s">
        <v>1004</v>
      </c>
      <c r="N470" s="634" t="str">
        <f t="shared" si="136"/>
        <v>(Cód. 412) Contratar el mantenimiento preventivo y correctivo de equipos de cómputo, impresoras, servidores, plantas telefónicas y UPS del Instituto Distrital de Patrimonio Cultural.</v>
      </c>
      <c r="O470" s="635">
        <v>43511</v>
      </c>
      <c r="P470" s="636">
        <f>IFERROR(VLOOKUP(W470,'Estimación CRP'!$D$21:$E$30,2,FALSE),0)</f>
        <v>25</v>
      </c>
      <c r="Q470" s="637">
        <f>IF(O470="No aplica","No aplica",WORKDAY.INTL(O470,P470,1,'Estimación CRP'!A656:A672))</f>
        <v>43546</v>
      </c>
      <c r="R470" s="636">
        <f t="shared" si="137"/>
        <v>3</v>
      </c>
      <c r="S470" s="636">
        <f t="shared" si="138"/>
        <v>2</v>
      </c>
      <c r="T470" s="636">
        <f t="shared" si="139"/>
        <v>2</v>
      </c>
      <c r="U470" s="712">
        <v>10</v>
      </c>
      <c r="V470" s="638">
        <v>1</v>
      </c>
      <c r="W470" s="639" t="s">
        <v>267</v>
      </c>
      <c r="X470" s="640" t="str">
        <f>IFERROR(VLOOKUP(W470,Listas!$A$60:$B$73,2,FALSE),"Alerta: Seleccione primero Modalidad de selección")</f>
        <v>CCE-10</v>
      </c>
      <c r="Y470" s="641">
        <v>0</v>
      </c>
      <c r="Z470" s="641" t="s">
        <v>1346</v>
      </c>
      <c r="AA470" s="641"/>
      <c r="AB470" s="642">
        <f t="shared" si="140"/>
        <v>21000000</v>
      </c>
      <c r="AC470" s="642">
        <f t="shared" si="141"/>
        <v>21000000</v>
      </c>
      <c r="AD470" s="641">
        <v>0</v>
      </c>
      <c r="AE470" s="643">
        <v>0</v>
      </c>
      <c r="AF470" s="639" t="s">
        <v>276</v>
      </c>
      <c r="AG470" s="639" t="s">
        <v>277</v>
      </c>
      <c r="AH470" s="639" t="s">
        <v>283</v>
      </c>
      <c r="AI470" s="626" t="str">
        <f>IFERROR(VLOOKUP(AH470,Listas!$A$77:$C$83,2,FALSE),"Alerta: Seleccione primero el responsable")</f>
        <v>3550800</v>
      </c>
      <c r="AJ470" s="640" t="str">
        <f>IFERROR(VLOOKUP(AH470,Listas!$A$77:$C$83,3,FALSE),"Alerta: Seleccione primero el responsable")</f>
        <v>juan.acosta@idpc.gov.co</v>
      </c>
      <c r="AK470" s="640" t="str">
        <f>IF(J470="Funcionamiento Gastos Generales","No aplica",IF(J470="Funcionamiento Servicios Personales indirectos","No aplica",IFERROR(VLOOKUP(J470,Listas!$A$127:$E$139,3,FALSE),"Alerta: Seleccione la celda en la comumna B con el nombre del proyecto")))</f>
        <v>No aplica</v>
      </c>
      <c r="AL470" s="640" t="str">
        <f>IF(J470="Funcionamiento Gastos Generales","No aplica",IF(J470="Funcionamiento Servicios Personales","No aplica",IFERROR(VLOOKUP(J470,Listas!$A$220:$D$224,2,FALSE),"Alerta: Seleccione la celda en la comumna B con el nombre del proyecto")))</f>
        <v>No aplica</v>
      </c>
      <c r="AM470" s="640" t="str">
        <f>IF(J470="Funcionamiento Gastos Generales","No aplica",IF(J470="Funcionamiento Servicios Personales","No aplica",IFERROR(VLOOKUP(J470,Listas!$A$220:$D$224,3,FALSE),"Alerta: Seleccione la celda en la comumna B con el nombre del proyecto")))</f>
        <v>No aplica</v>
      </c>
      <c r="AN470" s="633"/>
      <c r="AO470" s="633"/>
      <c r="AP470" s="634" t="str">
        <f>IFERROR(VLOOKUP(J470,Listas!$A$182:$E$215,5,FALSE),"Alerta: Seleccione la celda en la comumna B con el nombre del proyecto")</f>
        <v>Alerta: Seleccione la celda en la comumna B con el nombre del proyecto</v>
      </c>
      <c r="AQ470" s="634" t="str">
        <f>IF(J470="Funcionamiento Gastos Generales","No aplica",IF(J470="Funcionamiento Servicios Personales","No aplica",IFERROR(VLOOKUP(J470,Listas!$A$220:$D$224,4,FALSE),"Alerta: Seleccione la celda en la comumna B con el nombre del proyecto")))</f>
        <v>No aplica</v>
      </c>
      <c r="AR470" s="633"/>
      <c r="AS470" s="634" t="str">
        <f>IFERROR(VLOOKUP(AU470,Listas!$E$85:$L$105,7,FALSE),"Alerta: Seleccione la celda en la comumna AI con el concepto de gasto")</f>
        <v>Alerta: Seleccione la celda en la comumna AI con el concepto de gasto</v>
      </c>
      <c r="AT470" s="634" t="str">
        <f>IFERROR(VLOOKUP(AU470,Listas!$E$85:$L$105,8,FALSE),"Alerta: Seleccione la celda en la comumna AI con el concepto de gasto")</f>
        <v>Alerta: Seleccione la celda en la comumna AI con el concepto de gasto</v>
      </c>
      <c r="AU470" s="633"/>
      <c r="AV470" s="634" t="str">
        <f>IFERROR(VLOOKUP(AU470,Listas!$E$85:$F$105,2,FALSE),"Alerta: Seleccione el Concepto de Gasto primero")</f>
        <v>Alerta: Seleccione el Concepto de Gasto primero</v>
      </c>
      <c r="AW470" s="644">
        <v>21000000</v>
      </c>
      <c r="AX470" s="645"/>
      <c r="AY470" s="645"/>
      <c r="AZ470" s="645"/>
      <c r="BA470" s="646">
        <f t="shared" si="142"/>
        <v>21000000</v>
      </c>
      <c r="BB470" s="647"/>
      <c r="BC470" s="648"/>
      <c r="BD470" s="649"/>
      <c r="BE470" s="647"/>
      <c r="BF470" s="644"/>
      <c r="BG470" s="646">
        <f t="shared" si="143"/>
        <v>21000000</v>
      </c>
      <c r="BH470" s="650"/>
      <c r="BI470" s="647"/>
      <c r="BJ470" s="644"/>
      <c r="BK470" s="646">
        <f t="shared" si="144"/>
        <v>0</v>
      </c>
      <c r="BL470" s="651"/>
      <c r="BM470" s="652">
        <f t="shared" si="145"/>
        <v>1</v>
      </c>
      <c r="BN470" s="628"/>
      <c r="BO470" s="670"/>
      <c r="BP470" s="644"/>
      <c r="BQ470" s="644"/>
      <c r="BR470" s="644"/>
      <c r="BS470" s="644"/>
      <c r="BT470" s="644"/>
      <c r="BU470" s="644"/>
      <c r="BV470" s="644"/>
      <c r="BW470" s="644"/>
      <c r="BX470" s="644"/>
      <c r="BY470" s="644"/>
      <c r="BZ470" s="644"/>
      <c r="CA470" s="644"/>
      <c r="CB470" s="646">
        <f t="shared" si="146"/>
        <v>0</v>
      </c>
      <c r="CC470" s="646">
        <f t="shared" si="147"/>
        <v>0</v>
      </c>
      <c r="CD470" s="614"/>
    </row>
    <row r="471" spans="1:82" s="653" customFormat="1" ht="61.5" customHeight="1">
      <c r="A471" s="625" t="str">
        <f t="shared" si="129"/>
        <v>-0000-00-No aplica-Al-Al--</v>
      </c>
      <c r="B471" s="626" t="str">
        <f t="shared" si="130"/>
        <v>-0000-00-No aplica-Al-Al-</v>
      </c>
      <c r="C471" s="626" t="str">
        <f t="shared" si="131"/>
        <v>-0000-00-No aplica-</v>
      </c>
      <c r="D471" s="626" t="str">
        <f t="shared" si="132"/>
        <v>-0000-00--Al-Al-</v>
      </c>
      <c r="E471" s="626" t="str">
        <f t="shared" si="133"/>
        <v>--</v>
      </c>
      <c r="F471" s="627">
        <v>413</v>
      </c>
      <c r="G471" s="628">
        <f t="shared" si="134"/>
        <v>413</v>
      </c>
      <c r="H471" s="629" t="b">
        <f t="shared" si="135"/>
        <v>0</v>
      </c>
      <c r="I471" s="630" t="s">
        <v>594</v>
      </c>
      <c r="J471" s="627" t="s">
        <v>329</v>
      </c>
      <c r="K471" s="631" t="str">
        <f>+IFERROR(VLOOKUP(J471,Listas!$A$108:$B$114,2,FALSE),"Alerta: Seleccione la celda en la comumna B con el nombre del proyecto")</f>
        <v>3-1-2-00-00-00-0000-00</v>
      </c>
      <c r="L471" s="632" t="s">
        <v>1005</v>
      </c>
      <c r="M471" s="633" t="s">
        <v>1006</v>
      </c>
      <c r="N471" s="634" t="str">
        <f t="shared" si="136"/>
        <v>(Cód. 413) Adquisición de certificados de firma digital para el componente tecnológico que soporta el proceso de gestión de pagos del sistema OPGET, de la Secretaría Distrital de Hacienda, firmas de archivos digitales a entidades estatales, respectivo dispositivo criptográfico de almacenamiento del certificado digital (Token).</v>
      </c>
      <c r="O471" s="635">
        <v>43587</v>
      </c>
      <c r="P471" s="636">
        <f>IFERROR(VLOOKUP(W471,'Estimación CRP'!$D$21:$E$30,2,FALSE),0)</f>
        <v>25</v>
      </c>
      <c r="Q471" s="637">
        <f>IF(O471="No aplica","No aplica",WORKDAY.INTL(O471,P471,1,'Estimación CRP'!A657:A673))</f>
        <v>43622</v>
      </c>
      <c r="R471" s="636">
        <f t="shared" si="137"/>
        <v>6</v>
      </c>
      <c r="S471" s="636">
        <f t="shared" si="138"/>
        <v>5</v>
      </c>
      <c r="T471" s="636">
        <f t="shared" si="139"/>
        <v>5</v>
      </c>
      <c r="U471" s="712">
        <v>1</v>
      </c>
      <c r="V471" s="638">
        <v>2</v>
      </c>
      <c r="W471" s="639" t="s">
        <v>267</v>
      </c>
      <c r="X471" s="640" t="str">
        <f>IFERROR(VLOOKUP(W471,Listas!$A$60:$B$73,2,FALSE),"Alerta: Seleccione primero Modalidad de selección")</f>
        <v>CCE-10</v>
      </c>
      <c r="Y471" s="641">
        <v>0</v>
      </c>
      <c r="Z471" s="641" t="s">
        <v>346</v>
      </c>
      <c r="AA471" s="641"/>
      <c r="AB471" s="642">
        <f t="shared" si="140"/>
        <v>1300000</v>
      </c>
      <c r="AC471" s="642">
        <f t="shared" si="141"/>
        <v>1300000</v>
      </c>
      <c r="AD471" s="641">
        <v>0</v>
      </c>
      <c r="AE471" s="643">
        <v>0</v>
      </c>
      <c r="AF471" s="639" t="s">
        <v>276</v>
      </c>
      <c r="AG471" s="639" t="s">
        <v>277</v>
      </c>
      <c r="AH471" s="639" t="s">
        <v>283</v>
      </c>
      <c r="AI471" s="626" t="str">
        <f>IFERROR(VLOOKUP(AH471,Listas!$A$77:$C$83,2,FALSE),"Alerta: Seleccione primero el responsable")</f>
        <v>3550800</v>
      </c>
      <c r="AJ471" s="640" t="str">
        <f>IFERROR(VLOOKUP(AH471,Listas!$A$77:$C$83,3,FALSE),"Alerta: Seleccione primero el responsable")</f>
        <v>juan.acosta@idpc.gov.co</v>
      </c>
      <c r="AK471" s="640" t="str">
        <f>IF(J471="Funcionamiento Gastos Generales","No aplica",IF(J471="Funcionamiento Servicios Personales indirectos","No aplica",IFERROR(VLOOKUP(J471,Listas!$A$127:$E$139,3,FALSE),"Alerta: Seleccione la celda en la comumna B con el nombre del proyecto")))</f>
        <v>No aplica</v>
      </c>
      <c r="AL471" s="640" t="str">
        <f>IF(J471="Funcionamiento Gastos Generales","No aplica",IF(J471="Funcionamiento Servicios Personales","No aplica",IFERROR(VLOOKUP(J471,Listas!$A$220:$D$224,2,FALSE),"Alerta: Seleccione la celda en la comumna B con el nombre del proyecto")))</f>
        <v>No aplica</v>
      </c>
      <c r="AM471" s="640" t="str">
        <f>IF(J471="Funcionamiento Gastos Generales","No aplica",IF(J471="Funcionamiento Servicios Personales","No aplica",IFERROR(VLOOKUP(J471,Listas!$A$220:$D$224,3,FALSE),"Alerta: Seleccione la celda en la comumna B con el nombre del proyecto")))</f>
        <v>No aplica</v>
      </c>
      <c r="AN471" s="633"/>
      <c r="AO471" s="633"/>
      <c r="AP471" s="634" t="str">
        <f>IFERROR(VLOOKUP(J471,Listas!$A$182:$E$215,5,FALSE),"Alerta: Seleccione la celda en la comumna B con el nombre del proyecto")</f>
        <v>Alerta: Seleccione la celda en la comumna B con el nombre del proyecto</v>
      </c>
      <c r="AQ471" s="634" t="str">
        <f>IF(J471="Funcionamiento Gastos Generales","No aplica",IF(J471="Funcionamiento Servicios Personales","No aplica",IFERROR(VLOOKUP(J471,Listas!$A$220:$D$224,4,FALSE),"Alerta: Seleccione la celda en la comumna B con el nombre del proyecto")))</f>
        <v>No aplica</v>
      </c>
      <c r="AR471" s="633"/>
      <c r="AS471" s="634" t="str">
        <f>IFERROR(VLOOKUP(AU471,Listas!$E$85:$L$105,7,FALSE),"Alerta: Seleccione la celda en la comumna AI con el concepto de gasto")</f>
        <v>Alerta: Seleccione la celda en la comumna AI con el concepto de gasto</v>
      </c>
      <c r="AT471" s="634" t="str">
        <f>IFERROR(VLOOKUP(AU471,Listas!$E$85:$L$105,8,FALSE),"Alerta: Seleccione la celda en la comumna AI con el concepto de gasto")</f>
        <v>Alerta: Seleccione la celda en la comumna AI con el concepto de gasto</v>
      </c>
      <c r="AU471" s="633"/>
      <c r="AV471" s="634" t="str">
        <f>IFERROR(VLOOKUP(AU471,Listas!$E$85:$F$105,2,FALSE),"Alerta: Seleccione el Concepto de Gasto primero")</f>
        <v>Alerta: Seleccione el Concepto de Gasto primero</v>
      </c>
      <c r="AW471" s="644">
        <v>1300000</v>
      </c>
      <c r="AX471" s="645"/>
      <c r="AY471" s="645"/>
      <c r="AZ471" s="645"/>
      <c r="BA471" s="646">
        <f t="shared" si="142"/>
        <v>1300000</v>
      </c>
      <c r="BB471" s="647"/>
      <c r="BC471" s="648"/>
      <c r="BD471" s="649"/>
      <c r="BE471" s="647"/>
      <c r="BF471" s="644"/>
      <c r="BG471" s="646">
        <f t="shared" si="143"/>
        <v>1300000</v>
      </c>
      <c r="BH471" s="650"/>
      <c r="BI471" s="647"/>
      <c r="BJ471" s="644"/>
      <c r="BK471" s="646">
        <f t="shared" si="144"/>
        <v>0</v>
      </c>
      <c r="BL471" s="651"/>
      <c r="BM471" s="652">
        <f t="shared" si="145"/>
        <v>1</v>
      </c>
      <c r="BN471" s="628"/>
      <c r="BO471" s="670"/>
      <c r="BP471" s="644"/>
      <c r="BQ471" s="644"/>
      <c r="BR471" s="644"/>
      <c r="BS471" s="644"/>
      <c r="BT471" s="644"/>
      <c r="BU471" s="644"/>
      <c r="BV471" s="644"/>
      <c r="BW471" s="644"/>
      <c r="BX471" s="644"/>
      <c r="BY471" s="644"/>
      <c r="BZ471" s="644"/>
      <c r="CA471" s="644"/>
      <c r="CB471" s="646">
        <f t="shared" si="146"/>
        <v>0</v>
      </c>
      <c r="CC471" s="646">
        <f t="shared" si="147"/>
        <v>0</v>
      </c>
      <c r="CD471" s="614"/>
    </row>
    <row r="472" spans="1:82" s="653" customFormat="1" ht="61.5" customHeight="1">
      <c r="A472" s="625" t="str">
        <f t="shared" si="129"/>
        <v>-0000-00-No aplica-Al-Al--</v>
      </c>
      <c r="B472" s="626" t="str">
        <f t="shared" si="130"/>
        <v>-0000-00-No aplica-Al-Al-</v>
      </c>
      <c r="C472" s="626" t="str">
        <f t="shared" si="131"/>
        <v>-0000-00-No aplica-</v>
      </c>
      <c r="D472" s="626" t="str">
        <f t="shared" si="132"/>
        <v>-0000-00--Al-Al-</v>
      </c>
      <c r="E472" s="626" t="str">
        <f t="shared" si="133"/>
        <v>--</v>
      </c>
      <c r="F472" s="627">
        <v>414</v>
      </c>
      <c r="G472" s="628">
        <f t="shared" si="134"/>
        <v>414</v>
      </c>
      <c r="H472" s="629" t="b">
        <f t="shared" si="135"/>
        <v>0</v>
      </c>
      <c r="I472" s="630" t="s">
        <v>594</v>
      </c>
      <c r="J472" s="627" t="s">
        <v>329</v>
      </c>
      <c r="K472" s="631" t="str">
        <f>+IFERROR(VLOOKUP(J472,Listas!$A$108:$B$114,2,FALSE),"Alerta: Seleccione la celda en la comumna B con el nombre del proyecto")</f>
        <v>3-1-2-00-00-00-0000-00</v>
      </c>
      <c r="L472" s="632" t="s">
        <v>1007</v>
      </c>
      <c r="M472" s="633" t="s">
        <v>1008</v>
      </c>
      <c r="N472" s="634" t="str">
        <f t="shared" si="136"/>
        <v>(Cód. 414) Contratar el suministro de llantas para los vehículos del Instituto Distrital de Patrimonio Cultural.</v>
      </c>
      <c r="O472" s="635">
        <v>43613</v>
      </c>
      <c r="P472" s="636">
        <f>IFERROR(VLOOKUP(W472,'Estimación CRP'!$D$21:$E$30,2,FALSE),0)</f>
        <v>10</v>
      </c>
      <c r="Q472" s="637">
        <f>IF(O472="No aplica","No aplica",WORKDAY.INTL(O472,P472,1,'Estimación CRP'!A658:A674))</f>
        <v>43627</v>
      </c>
      <c r="R472" s="636">
        <f t="shared" si="137"/>
        <v>6</v>
      </c>
      <c r="S472" s="636">
        <f t="shared" si="138"/>
        <v>5</v>
      </c>
      <c r="T472" s="636">
        <f t="shared" si="139"/>
        <v>5</v>
      </c>
      <c r="U472" s="712">
        <v>1</v>
      </c>
      <c r="V472" s="638">
        <v>1</v>
      </c>
      <c r="W472" s="639" t="s">
        <v>349</v>
      </c>
      <c r="X472" s="640" t="str">
        <f>IFERROR(VLOOKUP(W472,Listas!$A$60:$B$73,2,FALSE),"Alerta: Seleccione primero Modalidad de selección")</f>
        <v>CCE-99</v>
      </c>
      <c r="Y472" s="641">
        <v>0</v>
      </c>
      <c r="Z472" s="641" t="s">
        <v>346</v>
      </c>
      <c r="AA472" s="641"/>
      <c r="AB472" s="642">
        <f t="shared" si="140"/>
        <v>3000000</v>
      </c>
      <c r="AC472" s="642">
        <f t="shared" si="141"/>
        <v>3000000</v>
      </c>
      <c r="AD472" s="641">
        <v>0</v>
      </c>
      <c r="AE472" s="643">
        <v>0</v>
      </c>
      <c r="AF472" s="639" t="s">
        <v>276</v>
      </c>
      <c r="AG472" s="639" t="s">
        <v>277</v>
      </c>
      <c r="AH472" s="639" t="s">
        <v>283</v>
      </c>
      <c r="AI472" s="626" t="str">
        <f>IFERROR(VLOOKUP(AH472,Listas!$A$77:$C$83,2,FALSE),"Alerta: Seleccione primero el responsable")</f>
        <v>3550800</v>
      </c>
      <c r="AJ472" s="640" t="str">
        <f>IFERROR(VLOOKUP(AH472,Listas!$A$77:$C$83,3,FALSE),"Alerta: Seleccione primero el responsable")</f>
        <v>juan.acosta@idpc.gov.co</v>
      </c>
      <c r="AK472" s="640" t="str">
        <f>IF(J472="Funcionamiento Gastos Generales","No aplica",IF(J472="Funcionamiento Servicios Personales indirectos","No aplica",IFERROR(VLOOKUP(J472,Listas!$A$127:$E$139,3,FALSE),"Alerta: Seleccione la celda en la comumna B con el nombre del proyecto")))</f>
        <v>No aplica</v>
      </c>
      <c r="AL472" s="640" t="str">
        <f>IF(J472="Funcionamiento Gastos Generales","No aplica",IF(J472="Funcionamiento Servicios Personales","No aplica",IFERROR(VLOOKUP(J472,Listas!$A$220:$D$224,2,FALSE),"Alerta: Seleccione la celda en la comumna B con el nombre del proyecto")))</f>
        <v>No aplica</v>
      </c>
      <c r="AM472" s="640" t="str">
        <f>IF(J472="Funcionamiento Gastos Generales","No aplica",IF(J472="Funcionamiento Servicios Personales","No aplica",IFERROR(VLOOKUP(J472,Listas!$A$220:$D$224,3,FALSE),"Alerta: Seleccione la celda en la comumna B con el nombre del proyecto")))</f>
        <v>No aplica</v>
      </c>
      <c r="AN472" s="633"/>
      <c r="AO472" s="633"/>
      <c r="AP472" s="634" t="str">
        <f>IFERROR(VLOOKUP(J472,Listas!$A$182:$E$215,5,FALSE),"Alerta: Seleccione la celda en la comumna B con el nombre del proyecto")</f>
        <v>Alerta: Seleccione la celda en la comumna B con el nombre del proyecto</v>
      </c>
      <c r="AQ472" s="634" t="str">
        <f>IF(J472="Funcionamiento Gastos Generales","No aplica",IF(J472="Funcionamiento Servicios Personales","No aplica",IFERROR(VLOOKUP(J472,Listas!$A$220:$D$224,4,FALSE),"Alerta: Seleccione la celda en la comumna B con el nombre del proyecto")))</f>
        <v>No aplica</v>
      </c>
      <c r="AR472" s="633"/>
      <c r="AS472" s="634" t="str">
        <f>IFERROR(VLOOKUP(AU472,Listas!$E$85:$L$105,7,FALSE),"Alerta: Seleccione la celda en la comumna AI con el concepto de gasto")</f>
        <v>Alerta: Seleccione la celda en la comumna AI con el concepto de gasto</v>
      </c>
      <c r="AT472" s="634" t="str">
        <f>IFERROR(VLOOKUP(AU472,Listas!$E$85:$L$105,8,FALSE),"Alerta: Seleccione la celda en la comumna AI con el concepto de gasto")</f>
        <v>Alerta: Seleccione la celda en la comumna AI con el concepto de gasto</v>
      </c>
      <c r="AU472" s="633"/>
      <c r="AV472" s="634" t="str">
        <f>IFERROR(VLOOKUP(AU472,Listas!$E$85:$F$105,2,FALSE),"Alerta: Seleccione el Concepto de Gasto primero")</f>
        <v>Alerta: Seleccione el Concepto de Gasto primero</v>
      </c>
      <c r="AW472" s="644">
        <v>3000000</v>
      </c>
      <c r="AX472" s="645"/>
      <c r="AY472" s="645"/>
      <c r="AZ472" s="645"/>
      <c r="BA472" s="646">
        <f t="shared" si="142"/>
        <v>3000000</v>
      </c>
      <c r="BB472" s="647"/>
      <c r="BC472" s="648"/>
      <c r="BD472" s="649"/>
      <c r="BE472" s="647"/>
      <c r="BF472" s="644"/>
      <c r="BG472" s="646">
        <f t="shared" si="143"/>
        <v>3000000</v>
      </c>
      <c r="BH472" s="650"/>
      <c r="BI472" s="647"/>
      <c r="BJ472" s="644"/>
      <c r="BK472" s="646">
        <f t="shared" si="144"/>
        <v>0</v>
      </c>
      <c r="BL472" s="651"/>
      <c r="BM472" s="652">
        <f t="shared" si="145"/>
        <v>1</v>
      </c>
      <c r="BN472" s="628"/>
      <c r="BO472" s="670"/>
      <c r="BP472" s="644"/>
      <c r="BQ472" s="644"/>
      <c r="BR472" s="644"/>
      <c r="BS472" s="644"/>
      <c r="BT472" s="644"/>
      <c r="BU472" s="644"/>
      <c r="BV472" s="644"/>
      <c r="BW472" s="644"/>
      <c r="BX472" s="644"/>
      <c r="BY472" s="644"/>
      <c r="BZ472" s="644"/>
      <c r="CA472" s="644"/>
      <c r="CB472" s="646">
        <f t="shared" si="146"/>
        <v>0</v>
      </c>
      <c r="CC472" s="646">
        <f t="shared" si="147"/>
        <v>0</v>
      </c>
      <c r="CD472" s="614"/>
    </row>
    <row r="473" spans="1:82" s="653" customFormat="1" ht="61.5" customHeight="1">
      <c r="A473" s="625" t="str">
        <f t="shared" si="129"/>
        <v>-0000-00-No aplica-Al-Al--</v>
      </c>
      <c r="B473" s="626" t="str">
        <f t="shared" si="130"/>
        <v>-0000-00-No aplica-Al-Al-</v>
      </c>
      <c r="C473" s="626" t="str">
        <f t="shared" si="131"/>
        <v>-0000-00-No aplica-</v>
      </c>
      <c r="D473" s="626" t="str">
        <f t="shared" si="132"/>
        <v>-0000-00--Al-Al-</v>
      </c>
      <c r="E473" s="626" t="str">
        <f t="shared" si="133"/>
        <v>--</v>
      </c>
      <c r="F473" s="627">
        <v>415</v>
      </c>
      <c r="G473" s="628">
        <f t="shared" si="134"/>
        <v>415</v>
      </c>
      <c r="H473" s="629" t="b">
        <f t="shared" si="135"/>
        <v>0</v>
      </c>
      <c r="I473" s="630" t="s">
        <v>594</v>
      </c>
      <c r="J473" s="627" t="s">
        <v>329</v>
      </c>
      <c r="K473" s="631" t="str">
        <f>+IFERROR(VLOOKUP(J473,Listas!$A$108:$B$114,2,FALSE),"Alerta: Seleccione la celda en la comumna B con el nombre del proyecto")</f>
        <v>3-1-2-00-00-00-0000-00</v>
      </c>
      <c r="L473" s="632" t="s">
        <v>1009</v>
      </c>
      <c r="M473" s="633" t="s">
        <v>1010</v>
      </c>
      <c r="N473" s="634" t="str">
        <f t="shared" si="136"/>
        <v>(Cód. 415) Contratar el suministro de combustible para los vehículos del Instituto Distrital de Patrimonio Cultural.</v>
      </c>
      <c r="O473" s="635">
        <v>43726</v>
      </c>
      <c r="P473" s="636">
        <f>IFERROR(VLOOKUP(W473,'Estimación CRP'!$D$21:$E$30,2,FALSE),0)</f>
        <v>10</v>
      </c>
      <c r="Q473" s="637">
        <f>IF(O473="No aplica","No aplica",WORKDAY.INTL(O473,P473,1,'Estimación CRP'!A659:A675))</f>
        <v>43740</v>
      </c>
      <c r="R473" s="636">
        <f t="shared" si="137"/>
        <v>10</v>
      </c>
      <c r="S473" s="636">
        <f t="shared" si="138"/>
        <v>9</v>
      </c>
      <c r="T473" s="636">
        <f t="shared" si="139"/>
        <v>9</v>
      </c>
      <c r="U473" s="712">
        <v>4</v>
      </c>
      <c r="V473" s="638">
        <v>1</v>
      </c>
      <c r="W473" s="639" t="s">
        <v>349</v>
      </c>
      <c r="X473" s="640" t="str">
        <f>IFERROR(VLOOKUP(W473,Listas!$A$60:$B$73,2,FALSE),"Alerta: Seleccione primero Modalidad de selección")</f>
        <v>CCE-99</v>
      </c>
      <c r="Y473" s="641">
        <v>0</v>
      </c>
      <c r="Z473" s="641" t="s">
        <v>346</v>
      </c>
      <c r="AA473" s="641"/>
      <c r="AB473" s="642">
        <f t="shared" si="140"/>
        <v>6000000</v>
      </c>
      <c r="AC473" s="642">
        <f t="shared" si="141"/>
        <v>6000000</v>
      </c>
      <c r="AD473" s="641">
        <v>0</v>
      </c>
      <c r="AE473" s="643">
        <v>0</v>
      </c>
      <c r="AF473" s="639" t="s">
        <v>276</v>
      </c>
      <c r="AG473" s="639" t="s">
        <v>277</v>
      </c>
      <c r="AH473" s="639" t="s">
        <v>283</v>
      </c>
      <c r="AI473" s="626" t="str">
        <f>IFERROR(VLOOKUP(AH473,Listas!$A$77:$C$83,2,FALSE),"Alerta: Seleccione primero el responsable")</f>
        <v>3550800</v>
      </c>
      <c r="AJ473" s="640" t="str">
        <f>IFERROR(VLOOKUP(AH473,Listas!$A$77:$C$83,3,FALSE),"Alerta: Seleccione primero el responsable")</f>
        <v>juan.acosta@idpc.gov.co</v>
      </c>
      <c r="AK473" s="640" t="str">
        <f>IF(J473="Funcionamiento Gastos Generales","No aplica",IF(J473="Funcionamiento Servicios Personales indirectos","No aplica",IFERROR(VLOOKUP(J473,Listas!$A$127:$E$139,3,FALSE),"Alerta: Seleccione la celda en la comumna B con el nombre del proyecto")))</f>
        <v>No aplica</v>
      </c>
      <c r="AL473" s="640" t="str">
        <f>IF(J473="Funcionamiento Gastos Generales","No aplica",IF(J473="Funcionamiento Servicios Personales","No aplica",IFERROR(VLOOKUP(J473,Listas!$A$220:$D$224,2,FALSE),"Alerta: Seleccione la celda en la comumna B con el nombre del proyecto")))</f>
        <v>No aplica</v>
      </c>
      <c r="AM473" s="640" t="str">
        <f>IF(J473="Funcionamiento Gastos Generales","No aplica",IF(J473="Funcionamiento Servicios Personales","No aplica",IFERROR(VLOOKUP(J473,Listas!$A$220:$D$224,3,FALSE),"Alerta: Seleccione la celda en la comumna B con el nombre del proyecto")))</f>
        <v>No aplica</v>
      </c>
      <c r="AN473" s="633"/>
      <c r="AO473" s="633"/>
      <c r="AP473" s="634" t="str">
        <f>IFERROR(VLOOKUP(J473,Listas!$A$182:$E$215,5,FALSE),"Alerta: Seleccione la celda en la comumna B con el nombre del proyecto")</f>
        <v>Alerta: Seleccione la celda en la comumna B con el nombre del proyecto</v>
      </c>
      <c r="AQ473" s="634" t="str">
        <f>IF(J473="Funcionamiento Gastos Generales","No aplica",IF(J473="Funcionamiento Servicios Personales","No aplica",IFERROR(VLOOKUP(J473,Listas!$A$220:$D$224,4,FALSE),"Alerta: Seleccione la celda en la comumna B con el nombre del proyecto")))</f>
        <v>No aplica</v>
      </c>
      <c r="AR473" s="633"/>
      <c r="AS473" s="634" t="str">
        <f>IFERROR(VLOOKUP(AU473,Listas!$E$85:$L$105,7,FALSE),"Alerta: Seleccione la celda en la comumna AI con el concepto de gasto")</f>
        <v>Alerta: Seleccione la celda en la comumna AI con el concepto de gasto</v>
      </c>
      <c r="AT473" s="634" t="str">
        <f>IFERROR(VLOOKUP(AU473,Listas!$E$85:$L$105,8,FALSE),"Alerta: Seleccione la celda en la comumna AI con el concepto de gasto")</f>
        <v>Alerta: Seleccione la celda en la comumna AI con el concepto de gasto</v>
      </c>
      <c r="AU473" s="633"/>
      <c r="AV473" s="634" t="str">
        <f>IFERROR(VLOOKUP(AU473,Listas!$E$85:$F$105,2,FALSE),"Alerta: Seleccione el Concepto de Gasto primero")</f>
        <v>Alerta: Seleccione el Concepto de Gasto primero</v>
      </c>
      <c r="AW473" s="644">
        <v>6000000</v>
      </c>
      <c r="AX473" s="645"/>
      <c r="AY473" s="645"/>
      <c r="AZ473" s="645"/>
      <c r="BA473" s="646">
        <f t="shared" si="142"/>
        <v>6000000</v>
      </c>
      <c r="BB473" s="647"/>
      <c r="BC473" s="648"/>
      <c r="BD473" s="649"/>
      <c r="BE473" s="647"/>
      <c r="BF473" s="644"/>
      <c r="BG473" s="646">
        <f t="shared" si="143"/>
        <v>6000000</v>
      </c>
      <c r="BH473" s="650"/>
      <c r="BI473" s="647"/>
      <c r="BJ473" s="644"/>
      <c r="BK473" s="646">
        <f t="shared" si="144"/>
        <v>0</v>
      </c>
      <c r="BL473" s="651"/>
      <c r="BM473" s="652">
        <f t="shared" si="145"/>
        <v>1</v>
      </c>
      <c r="BN473" s="628"/>
      <c r="BO473" s="670"/>
      <c r="BP473" s="644"/>
      <c r="BQ473" s="644"/>
      <c r="BR473" s="644"/>
      <c r="BS473" s="644"/>
      <c r="BT473" s="644"/>
      <c r="BU473" s="644"/>
      <c r="BV473" s="644"/>
      <c r="BW473" s="644"/>
      <c r="BX473" s="644"/>
      <c r="BY473" s="644"/>
      <c r="BZ473" s="644"/>
      <c r="CA473" s="644"/>
      <c r="CB473" s="646">
        <f t="shared" si="146"/>
        <v>0</v>
      </c>
      <c r="CC473" s="646">
        <f t="shared" si="147"/>
        <v>0</v>
      </c>
      <c r="CD473" s="614"/>
    </row>
    <row r="474" spans="1:82" s="653" customFormat="1" ht="61.5" customHeight="1">
      <c r="A474" s="625" t="str">
        <f t="shared" si="129"/>
        <v>-0000-00-No aplica-Al-Al--</v>
      </c>
      <c r="B474" s="626" t="str">
        <f t="shared" si="130"/>
        <v>-0000-00-No aplica-Al-Al-</v>
      </c>
      <c r="C474" s="626" t="str">
        <f t="shared" si="131"/>
        <v>-0000-00-No aplica-</v>
      </c>
      <c r="D474" s="626" t="str">
        <f t="shared" si="132"/>
        <v>-0000-00--Al-Al-</v>
      </c>
      <c r="E474" s="626" t="str">
        <f t="shared" si="133"/>
        <v>--</v>
      </c>
      <c r="F474" s="627">
        <v>416</v>
      </c>
      <c r="G474" s="628">
        <f t="shared" si="134"/>
        <v>416</v>
      </c>
      <c r="H474" s="629" t="b">
        <f t="shared" si="135"/>
        <v>0</v>
      </c>
      <c r="I474" s="630" t="s">
        <v>594</v>
      </c>
      <c r="J474" s="627" t="s">
        <v>329</v>
      </c>
      <c r="K474" s="631" t="str">
        <f>+IFERROR(VLOOKUP(J474,Listas!$A$108:$B$114,2,FALSE),"Alerta: Seleccione la celda en la comumna B con el nombre del proyecto")</f>
        <v>3-1-2-00-00-00-0000-00</v>
      </c>
      <c r="L474" s="632" t="s">
        <v>1011</v>
      </c>
      <c r="M474" s="633" t="s">
        <v>1012</v>
      </c>
      <c r="N474" s="634" t="str">
        <f t="shared" si="136"/>
        <v>(Cód. 416) Contratar el arrendamiento de equipos de fotocopiado multifuncional, incluido el mantenimiento y soporte técnico preventivo y correctivo programado, con suministro de tóner permanente, así como soporte técnico extraordinario cada vez que se requiera</v>
      </c>
      <c r="O474" s="635">
        <v>43511</v>
      </c>
      <c r="P474" s="636">
        <f>IFERROR(VLOOKUP(W474,'Estimación CRP'!$D$21:$E$30,2,FALSE),0)</f>
        <v>25</v>
      </c>
      <c r="Q474" s="637">
        <f>IF(O474="No aplica","No aplica",WORKDAY.INTL(O474,P474,1,'Estimación CRP'!A660:A676))</f>
        <v>43546</v>
      </c>
      <c r="R474" s="636">
        <f t="shared" si="137"/>
        <v>3</v>
      </c>
      <c r="S474" s="636">
        <f t="shared" si="138"/>
        <v>2</v>
      </c>
      <c r="T474" s="636">
        <f t="shared" si="139"/>
        <v>2</v>
      </c>
      <c r="U474" s="712">
        <v>10</v>
      </c>
      <c r="V474" s="638">
        <v>1</v>
      </c>
      <c r="W474" s="639" t="s">
        <v>267</v>
      </c>
      <c r="X474" s="640" t="str">
        <f>IFERROR(VLOOKUP(W474,Listas!$A$60:$B$73,2,FALSE),"Alerta: Seleccione primero Modalidad de selección")</f>
        <v>CCE-10</v>
      </c>
      <c r="Y474" s="641">
        <v>0</v>
      </c>
      <c r="Z474" s="641" t="s">
        <v>346</v>
      </c>
      <c r="AA474" s="641"/>
      <c r="AB474" s="642">
        <f t="shared" si="140"/>
        <v>15000000</v>
      </c>
      <c r="AC474" s="642">
        <f t="shared" si="141"/>
        <v>15000000</v>
      </c>
      <c r="AD474" s="641">
        <v>0</v>
      </c>
      <c r="AE474" s="643">
        <v>0</v>
      </c>
      <c r="AF474" s="639" t="s">
        <v>276</v>
      </c>
      <c r="AG474" s="639" t="s">
        <v>277</v>
      </c>
      <c r="AH474" s="639" t="s">
        <v>283</v>
      </c>
      <c r="AI474" s="626" t="str">
        <f>IFERROR(VLOOKUP(AH474,Listas!$A$77:$C$83,2,FALSE),"Alerta: Seleccione primero el responsable")</f>
        <v>3550800</v>
      </c>
      <c r="AJ474" s="640" t="str">
        <f>IFERROR(VLOOKUP(AH474,Listas!$A$77:$C$83,3,FALSE),"Alerta: Seleccione primero el responsable")</f>
        <v>juan.acosta@idpc.gov.co</v>
      </c>
      <c r="AK474" s="640" t="str">
        <f>IF(J474="Funcionamiento Gastos Generales","No aplica",IF(J474="Funcionamiento Servicios Personales indirectos","No aplica",IFERROR(VLOOKUP(J474,Listas!$A$127:$E$139,3,FALSE),"Alerta: Seleccione la celda en la comumna B con el nombre del proyecto")))</f>
        <v>No aplica</v>
      </c>
      <c r="AL474" s="640" t="str">
        <f>IF(J474="Funcionamiento Gastos Generales","No aplica",IF(J474="Funcionamiento Servicios Personales","No aplica",IFERROR(VLOOKUP(J474,Listas!$A$220:$D$224,2,FALSE),"Alerta: Seleccione la celda en la comumna B con el nombre del proyecto")))</f>
        <v>No aplica</v>
      </c>
      <c r="AM474" s="640" t="str">
        <f>IF(J474="Funcionamiento Gastos Generales","No aplica",IF(J474="Funcionamiento Servicios Personales","No aplica",IFERROR(VLOOKUP(J474,Listas!$A$220:$D$224,3,FALSE),"Alerta: Seleccione la celda en la comumna B con el nombre del proyecto")))</f>
        <v>No aplica</v>
      </c>
      <c r="AN474" s="633"/>
      <c r="AO474" s="633"/>
      <c r="AP474" s="634" t="str">
        <f>IFERROR(VLOOKUP(J474,Listas!$A$182:$E$215,5,FALSE),"Alerta: Seleccione la celda en la comumna B con el nombre del proyecto")</f>
        <v>Alerta: Seleccione la celda en la comumna B con el nombre del proyecto</v>
      </c>
      <c r="AQ474" s="634" t="str">
        <f>IF(J474="Funcionamiento Gastos Generales","No aplica",IF(J474="Funcionamiento Servicios Personales","No aplica",IFERROR(VLOOKUP(J474,Listas!$A$220:$D$224,4,FALSE),"Alerta: Seleccione la celda en la comumna B con el nombre del proyecto")))</f>
        <v>No aplica</v>
      </c>
      <c r="AR474" s="633"/>
      <c r="AS474" s="634" t="str">
        <f>IFERROR(VLOOKUP(AU474,Listas!$E$85:$L$105,7,FALSE),"Alerta: Seleccione la celda en la comumna AI con el concepto de gasto")</f>
        <v>Alerta: Seleccione la celda en la comumna AI con el concepto de gasto</v>
      </c>
      <c r="AT474" s="634" t="str">
        <f>IFERROR(VLOOKUP(AU474,Listas!$E$85:$L$105,8,FALSE),"Alerta: Seleccione la celda en la comumna AI con el concepto de gasto")</f>
        <v>Alerta: Seleccione la celda en la comumna AI con el concepto de gasto</v>
      </c>
      <c r="AU474" s="633"/>
      <c r="AV474" s="634" t="str">
        <f>IFERROR(VLOOKUP(AU474,Listas!$E$85:$F$105,2,FALSE),"Alerta: Seleccione el Concepto de Gasto primero")</f>
        <v>Alerta: Seleccione el Concepto de Gasto primero</v>
      </c>
      <c r="AW474" s="644">
        <v>15000000</v>
      </c>
      <c r="AX474" s="645"/>
      <c r="AY474" s="645"/>
      <c r="AZ474" s="645"/>
      <c r="BA474" s="646">
        <f t="shared" si="142"/>
        <v>15000000</v>
      </c>
      <c r="BB474" s="647"/>
      <c r="BC474" s="648"/>
      <c r="BD474" s="649"/>
      <c r="BE474" s="647"/>
      <c r="BF474" s="644"/>
      <c r="BG474" s="646">
        <f t="shared" si="143"/>
        <v>15000000</v>
      </c>
      <c r="BH474" s="650"/>
      <c r="BI474" s="647"/>
      <c r="BJ474" s="644"/>
      <c r="BK474" s="646">
        <f t="shared" si="144"/>
        <v>0</v>
      </c>
      <c r="BL474" s="651"/>
      <c r="BM474" s="652">
        <f t="shared" si="145"/>
        <v>1</v>
      </c>
      <c r="BN474" s="628"/>
      <c r="BO474" s="670"/>
      <c r="BP474" s="644"/>
      <c r="BQ474" s="644"/>
      <c r="BR474" s="644"/>
      <c r="BS474" s="644"/>
      <c r="BT474" s="644"/>
      <c r="BU474" s="644"/>
      <c r="BV474" s="644"/>
      <c r="BW474" s="644"/>
      <c r="BX474" s="644"/>
      <c r="BY474" s="644"/>
      <c r="BZ474" s="644"/>
      <c r="CA474" s="644"/>
      <c r="CB474" s="646">
        <f t="shared" si="146"/>
        <v>0</v>
      </c>
      <c r="CC474" s="646">
        <f t="shared" si="147"/>
        <v>0</v>
      </c>
      <c r="CD474" s="614"/>
    </row>
    <row r="475" spans="1:82" s="653" customFormat="1" ht="61.5" customHeight="1">
      <c r="A475" s="625" t="str">
        <f t="shared" si="129"/>
        <v>-0000-00-No aplica-Al-Al--</v>
      </c>
      <c r="B475" s="626" t="str">
        <f t="shared" si="130"/>
        <v>-0000-00-No aplica-Al-Al-</v>
      </c>
      <c r="C475" s="626" t="str">
        <f t="shared" si="131"/>
        <v>-0000-00-No aplica-</v>
      </c>
      <c r="D475" s="626" t="str">
        <f t="shared" si="132"/>
        <v>-0000-00--Al-Al-</v>
      </c>
      <c r="E475" s="626" t="str">
        <f t="shared" si="133"/>
        <v>--</v>
      </c>
      <c r="F475" s="627">
        <v>417</v>
      </c>
      <c r="G475" s="628">
        <f t="shared" si="134"/>
        <v>417</v>
      </c>
      <c r="H475" s="629" t="b">
        <f t="shared" si="135"/>
        <v>0</v>
      </c>
      <c r="I475" s="630" t="s">
        <v>594</v>
      </c>
      <c r="J475" s="627" t="s">
        <v>329</v>
      </c>
      <c r="K475" s="631" t="str">
        <f>+IFERROR(VLOOKUP(J475,Listas!$A$108:$B$114,2,FALSE),"Alerta: Seleccione la celda en la comumna B con el nombre del proyecto")</f>
        <v>3-1-2-00-00-00-0000-00</v>
      </c>
      <c r="L475" s="632" t="s">
        <v>1013</v>
      </c>
      <c r="M475" s="633" t="s">
        <v>1014</v>
      </c>
      <c r="N475" s="634" t="str">
        <f t="shared" si="136"/>
        <v>(Cód. 417) Contratar la prestación de servicios de mensajería externa para el Instituto Distrital de Patrimonio Cultural.</v>
      </c>
      <c r="O475" s="635">
        <v>43557</v>
      </c>
      <c r="P475" s="636">
        <f>IFERROR(VLOOKUP(W475,'Estimación CRP'!$D$21:$E$30,2,FALSE),0)</f>
        <v>25</v>
      </c>
      <c r="Q475" s="637">
        <f>IF(O475="No aplica","No aplica",WORKDAY.INTL(O475,P475,1,'Estimación CRP'!A661:A677))</f>
        <v>43592</v>
      </c>
      <c r="R475" s="636">
        <f t="shared" si="137"/>
        <v>5</v>
      </c>
      <c r="S475" s="636">
        <f t="shared" si="138"/>
        <v>4</v>
      </c>
      <c r="T475" s="636">
        <f t="shared" si="139"/>
        <v>4</v>
      </c>
      <c r="U475" s="712">
        <v>10</v>
      </c>
      <c r="V475" s="638">
        <v>1</v>
      </c>
      <c r="W475" s="639" t="s">
        <v>267</v>
      </c>
      <c r="X475" s="640" t="str">
        <f>IFERROR(VLOOKUP(W475,Listas!$A$60:$B$73,2,FALSE),"Alerta: Seleccione primero Modalidad de selección")</f>
        <v>CCE-10</v>
      </c>
      <c r="Y475" s="641">
        <v>0</v>
      </c>
      <c r="Z475" s="641" t="s">
        <v>346</v>
      </c>
      <c r="AA475" s="641"/>
      <c r="AB475" s="642">
        <f t="shared" si="140"/>
        <v>15000000</v>
      </c>
      <c r="AC475" s="642">
        <f t="shared" si="141"/>
        <v>15000000</v>
      </c>
      <c r="AD475" s="641">
        <v>0</v>
      </c>
      <c r="AE475" s="643">
        <v>0</v>
      </c>
      <c r="AF475" s="639" t="s">
        <v>276</v>
      </c>
      <c r="AG475" s="639" t="s">
        <v>277</v>
      </c>
      <c r="AH475" s="639" t="s">
        <v>283</v>
      </c>
      <c r="AI475" s="626" t="str">
        <f>IFERROR(VLOOKUP(AH475,Listas!$A$77:$C$83,2,FALSE),"Alerta: Seleccione primero el responsable")</f>
        <v>3550800</v>
      </c>
      <c r="AJ475" s="640" t="str">
        <f>IFERROR(VLOOKUP(AH475,Listas!$A$77:$C$83,3,FALSE),"Alerta: Seleccione primero el responsable")</f>
        <v>juan.acosta@idpc.gov.co</v>
      </c>
      <c r="AK475" s="640" t="str">
        <f>IF(J475="Funcionamiento Gastos Generales","No aplica",IF(J475="Funcionamiento Servicios Personales indirectos","No aplica",IFERROR(VLOOKUP(J475,Listas!$A$127:$E$139,3,FALSE),"Alerta: Seleccione la celda en la comumna B con el nombre del proyecto")))</f>
        <v>No aplica</v>
      </c>
      <c r="AL475" s="640" t="str">
        <f>IF(J475="Funcionamiento Gastos Generales","No aplica",IF(J475="Funcionamiento Servicios Personales","No aplica",IFERROR(VLOOKUP(J475,Listas!$A$220:$D$224,2,FALSE),"Alerta: Seleccione la celda en la comumna B con el nombre del proyecto")))</f>
        <v>No aplica</v>
      </c>
      <c r="AM475" s="640" t="str">
        <f>IF(J475="Funcionamiento Gastos Generales","No aplica",IF(J475="Funcionamiento Servicios Personales","No aplica",IFERROR(VLOOKUP(J475,Listas!$A$220:$D$224,3,FALSE),"Alerta: Seleccione la celda en la comumna B con el nombre del proyecto")))</f>
        <v>No aplica</v>
      </c>
      <c r="AN475" s="633"/>
      <c r="AO475" s="633"/>
      <c r="AP475" s="634" t="str">
        <f>IFERROR(VLOOKUP(J475,Listas!$A$182:$E$215,5,FALSE),"Alerta: Seleccione la celda en la comumna B con el nombre del proyecto")</f>
        <v>Alerta: Seleccione la celda en la comumna B con el nombre del proyecto</v>
      </c>
      <c r="AQ475" s="634" t="str">
        <f>IF(J475="Funcionamiento Gastos Generales","No aplica",IF(J475="Funcionamiento Servicios Personales","No aplica",IFERROR(VLOOKUP(J475,Listas!$A$220:$D$224,4,FALSE),"Alerta: Seleccione la celda en la comumna B con el nombre del proyecto")))</f>
        <v>No aplica</v>
      </c>
      <c r="AR475" s="633"/>
      <c r="AS475" s="634" t="str">
        <f>IFERROR(VLOOKUP(AU475,Listas!$E$85:$L$105,7,FALSE),"Alerta: Seleccione la celda en la comumna AI con el concepto de gasto")</f>
        <v>Alerta: Seleccione la celda en la comumna AI con el concepto de gasto</v>
      </c>
      <c r="AT475" s="634" t="str">
        <f>IFERROR(VLOOKUP(AU475,Listas!$E$85:$L$105,8,FALSE),"Alerta: Seleccione la celda en la comumna AI con el concepto de gasto")</f>
        <v>Alerta: Seleccione la celda en la comumna AI con el concepto de gasto</v>
      </c>
      <c r="AU475" s="633"/>
      <c r="AV475" s="634" t="str">
        <f>IFERROR(VLOOKUP(AU475,Listas!$E$85:$F$105,2,FALSE),"Alerta: Seleccione el Concepto de Gasto primero")</f>
        <v>Alerta: Seleccione el Concepto de Gasto primero</v>
      </c>
      <c r="AW475" s="644">
        <v>15000000</v>
      </c>
      <c r="AX475" s="645"/>
      <c r="AY475" s="645"/>
      <c r="AZ475" s="645"/>
      <c r="BA475" s="646">
        <f t="shared" si="142"/>
        <v>15000000</v>
      </c>
      <c r="BB475" s="647"/>
      <c r="BC475" s="648"/>
      <c r="BD475" s="649"/>
      <c r="BE475" s="647"/>
      <c r="BF475" s="644"/>
      <c r="BG475" s="646">
        <f t="shared" si="143"/>
        <v>15000000</v>
      </c>
      <c r="BH475" s="650"/>
      <c r="BI475" s="647"/>
      <c r="BJ475" s="644"/>
      <c r="BK475" s="646">
        <f t="shared" si="144"/>
        <v>0</v>
      </c>
      <c r="BL475" s="651"/>
      <c r="BM475" s="652">
        <f t="shared" si="145"/>
        <v>1</v>
      </c>
      <c r="BN475" s="628"/>
      <c r="BO475" s="670"/>
      <c r="BP475" s="644"/>
      <c r="BQ475" s="644"/>
      <c r="BR475" s="644"/>
      <c r="BS475" s="644"/>
      <c r="BT475" s="644"/>
      <c r="BU475" s="644"/>
      <c r="BV475" s="644"/>
      <c r="BW475" s="644"/>
      <c r="BX475" s="644"/>
      <c r="BY475" s="644"/>
      <c r="BZ475" s="644"/>
      <c r="CA475" s="644"/>
      <c r="CB475" s="646">
        <f t="shared" si="146"/>
        <v>0</v>
      </c>
      <c r="CC475" s="646">
        <f t="shared" si="147"/>
        <v>0</v>
      </c>
      <c r="CD475" s="614"/>
    </row>
    <row r="476" spans="1:82" s="653" customFormat="1" ht="61.5" customHeight="1">
      <c r="A476" s="625" t="str">
        <f t="shared" si="129"/>
        <v>-0000-00-No aplica-Al-Al--</v>
      </c>
      <c r="B476" s="626" t="str">
        <f t="shared" si="130"/>
        <v>-0000-00-No aplica-Al-Al-</v>
      </c>
      <c r="C476" s="626" t="str">
        <f t="shared" si="131"/>
        <v>-0000-00-No aplica-</v>
      </c>
      <c r="D476" s="626" t="str">
        <f t="shared" si="132"/>
        <v>-0000-00--Al-Al-</v>
      </c>
      <c r="E476" s="626" t="str">
        <f t="shared" si="133"/>
        <v>--</v>
      </c>
      <c r="F476" s="627">
        <v>418</v>
      </c>
      <c r="G476" s="628">
        <f t="shared" si="134"/>
        <v>418</v>
      </c>
      <c r="H476" s="629" t="b">
        <f t="shared" si="135"/>
        <v>0</v>
      </c>
      <c r="I476" s="630" t="s">
        <v>594</v>
      </c>
      <c r="J476" s="627" t="s">
        <v>329</v>
      </c>
      <c r="K476" s="631" t="str">
        <f>+IFERROR(VLOOKUP(J476,Listas!$A$108:$B$114,2,FALSE),"Alerta: Seleccione la celda en la comumna B con el nombre del proyecto")</f>
        <v>3-1-2-00-00-00-0000-00</v>
      </c>
      <c r="L476" s="632" t="s">
        <v>1015</v>
      </c>
      <c r="M476" s="633" t="s">
        <v>1016</v>
      </c>
      <c r="N476" s="634" t="str">
        <f t="shared" si="136"/>
        <v>(Cód. 418) Contratar la renovación de los servicios de Google Apps y Google Vault (copias de respaldo) que incluye el correo electrónico, herramientas de colaboración y comunicación para el dominio Instituto Distrital de Patrimonio Cultural.gov.co del Instituto Distrital de Patrimonio Cultural, basado en tecnologías de computación en la nube.</v>
      </c>
      <c r="O476" s="635">
        <v>43556</v>
      </c>
      <c r="P476" s="636">
        <f>IFERROR(VLOOKUP(W476,'Estimación CRP'!$D$21:$E$30,2,FALSE),0)</f>
        <v>10</v>
      </c>
      <c r="Q476" s="637">
        <f>IF(O476="No aplica","No aplica",WORKDAY.INTL(O476,P476,1,'Estimación CRP'!A662:A678))</f>
        <v>43570</v>
      </c>
      <c r="R476" s="636">
        <f t="shared" si="137"/>
        <v>4</v>
      </c>
      <c r="S476" s="636">
        <f t="shared" si="138"/>
        <v>4</v>
      </c>
      <c r="T476" s="636">
        <f t="shared" si="139"/>
        <v>4</v>
      </c>
      <c r="U476" s="712">
        <v>1</v>
      </c>
      <c r="V476" s="638">
        <v>2</v>
      </c>
      <c r="W476" s="639" t="s">
        <v>349</v>
      </c>
      <c r="X476" s="640" t="str">
        <f>IFERROR(VLOOKUP(W476,Listas!$A$60:$B$73,2,FALSE),"Alerta: Seleccione primero Modalidad de selección")</f>
        <v>CCE-99</v>
      </c>
      <c r="Y476" s="641">
        <v>0</v>
      </c>
      <c r="Z476" s="641" t="s">
        <v>346</v>
      </c>
      <c r="AA476" s="641"/>
      <c r="AB476" s="642">
        <f t="shared" si="140"/>
        <v>100000000</v>
      </c>
      <c r="AC476" s="642">
        <f t="shared" si="141"/>
        <v>100000000</v>
      </c>
      <c r="AD476" s="641">
        <v>0</v>
      </c>
      <c r="AE476" s="643">
        <v>0</v>
      </c>
      <c r="AF476" s="639" t="s">
        <v>276</v>
      </c>
      <c r="AG476" s="639" t="s">
        <v>277</v>
      </c>
      <c r="AH476" s="639" t="s">
        <v>283</v>
      </c>
      <c r="AI476" s="626" t="str">
        <f>IFERROR(VLOOKUP(AH476,Listas!$A$77:$C$83,2,FALSE),"Alerta: Seleccione primero el responsable")</f>
        <v>3550800</v>
      </c>
      <c r="AJ476" s="640" t="str">
        <f>IFERROR(VLOOKUP(AH476,Listas!$A$77:$C$83,3,FALSE),"Alerta: Seleccione primero el responsable")</f>
        <v>juan.acosta@idpc.gov.co</v>
      </c>
      <c r="AK476" s="640" t="str">
        <f>IF(J476="Funcionamiento Gastos Generales","No aplica",IF(J476="Funcionamiento Servicios Personales indirectos","No aplica",IFERROR(VLOOKUP(J476,Listas!$A$127:$E$139,3,FALSE),"Alerta: Seleccione la celda en la comumna B con el nombre del proyecto")))</f>
        <v>No aplica</v>
      </c>
      <c r="AL476" s="640" t="str">
        <f>IF(J476="Funcionamiento Gastos Generales","No aplica",IF(J476="Funcionamiento Servicios Personales","No aplica",IFERROR(VLOOKUP(J476,Listas!$A$220:$D$224,2,FALSE),"Alerta: Seleccione la celda en la comumna B con el nombre del proyecto")))</f>
        <v>No aplica</v>
      </c>
      <c r="AM476" s="640" t="str">
        <f>IF(J476="Funcionamiento Gastos Generales","No aplica",IF(J476="Funcionamiento Servicios Personales","No aplica",IFERROR(VLOOKUP(J476,Listas!$A$220:$D$224,3,FALSE),"Alerta: Seleccione la celda en la comumna B con el nombre del proyecto")))</f>
        <v>No aplica</v>
      </c>
      <c r="AN476" s="633"/>
      <c r="AO476" s="633"/>
      <c r="AP476" s="634" t="str">
        <f>IFERROR(VLOOKUP(J476,Listas!$A$182:$E$215,5,FALSE),"Alerta: Seleccione la celda en la comumna B con el nombre del proyecto")</f>
        <v>Alerta: Seleccione la celda en la comumna B con el nombre del proyecto</v>
      </c>
      <c r="AQ476" s="634" t="str">
        <f>IF(J476="Funcionamiento Gastos Generales","No aplica",IF(J476="Funcionamiento Servicios Personales","No aplica",IFERROR(VLOOKUP(J476,Listas!$A$220:$D$224,4,FALSE),"Alerta: Seleccione la celda en la comumna B con el nombre del proyecto")))</f>
        <v>No aplica</v>
      </c>
      <c r="AR476" s="633"/>
      <c r="AS476" s="634" t="str">
        <f>IFERROR(VLOOKUP(AU476,Listas!$E$85:$L$105,7,FALSE),"Alerta: Seleccione la celda en la comumna AI con el concepto de gasto")</f>
        <v>Alerta: Seleccione la celda en la comumna AI con el concepto de gasto</v>
      </c>
      <c r="AT476" s="634" t="str">
        <f>IFERROR(VLOOKUP(AU476,Listas!$E$85:$L$105,8,FALSE),"Alerta: Seleccione la celda en la comumna AI con el concepto de gasto")</f>
        <v>Alerta: Seleccione la celda en la comumna AI con el concepto de gasto</v>
      </c>
      <c r="AU476" s="633"/>
      <c r="AV476" s="634" t="str">
        <f>IFERROR(VLOOKUP(AU476,Listas!$E$85:$F$105,2,FALSE),"Alerta: Seleccione el Concepto de Gasto primero")</f>
        <v>Alerta: Seleccione el Concepto de Gasto primero</v>
      </c>
      <c r="AW476" s="644">
        <v>100000000</v>
      </c>
      <c r="AX476" s="645"/>
      <c r="AY476" s="645"/>
      <c r="AZ476" s="645"/>
      <c r="BA476" s="646">
        <f t="shared" si="142"/>
        <v>100000000</v>
      </c>
      <c r="BB476" s="647"/>
      <c r="BC476" s="648"/>
      <c r="BD476" s="649"/>
      <c r="BE476" s="647"/>
      <c r="BF476" s="644"/>
      <c r="BG476" s="646">
        <f t="shared" si="143"/>
        <v>100000000</v>
      </c>
      <c r="BH476" s="650"/>
      <c r="BI476" s="647"/>
      <c r="BJ476" s="644"/>
      <c r="BK476" s="646">
        <f t="shared" si="144"/>
        <v>0</v>
      </c>
      <c r="BL476" s="651"/>
      <c r="BM476" s="652">
        <f t="shared" si="145"/>
        <v>1</v>
      </c>
      <c r="BN476" s="628"/>
      <c r="BO476" s="670"/>
      <c r="BP476" s="644"/>
      <c r="BQ476" s="644"/>
      <c r="BR476" s="644"/>
      <c r="BS476" s="644"/>
      <c r="BT476" s="644"/>
      <c r="BU476" s="644"/>
      <c r="BV476" s="644"/>
      <c r="BW476" s="644"/>
      <c r="BX476" s="644"/>
      <c r="BY476" s="644"/>
      <c r="BZ476" s="644"/>
      <c r="CA476" s="644"/>
      <c r="CB476" s="646">
        <f t="shared" si="146"/>
        <v>0</v>
      </c>
      <c r="CC476" s="646">
        <f t="shared" si="147"/>
        <v>0</v>
      </c>
      <c r="CD476" s="614"/>
    </row>
    <row r="477" spans="1:82" s="653" customFormat="1" ht="61.5" customHeight="1">
      <c r="A477" s="625" t="str">
        <f t="shared" si="129"/>
        <v>-0000-00-No aplica-Al-Al--</v>
      </c>
      <c r="B477" s="626" t="str">
        <f t="shared" si="130"/>
        <v>-0000-00-No aplica-Al-Al-</v>
      </c>
      <c r="C477" s="626" t="str">
        <f t="shared" si="131"/>
        <v>-0000-00-No aplica-</v>
      </c>
      <c r="D477" s="626" t="str">
        <f t="shared" si="132"/>
        <v>-0000-00--Al-Al-</v>
      </c>
      <c r="E477" s="626" t="str">
        <f t="shared" si="133"/>
        <v>--</v>
      </c>
      <c r="F477" s="627">
        <v>419</v>
      </c>
      <c r="G477" s="628">
        <f t="shared" si="134"/>
        <v>419</v>
      </c>
      <c r="H477" s="629" t="b">
        <f t="shared" si="135"/>
        <v>0</v>
      </c>
      <c r="I477" s="630" t="s">
        <v>594</v>
      </c>
      <c r="J477" s="627" t="s">
        <v>329</v>
      </c>
      <c r="K477" s="631" t="str">
        <f>+IFERROR(VLOOKUP(J477,Listas!$A$108:$B$114,2,FALSE),"Alerta: Seleccione la celda en la comumna B con el nombre del proyecto")</f>
        <v>3-1-2-00-00-00-0000-00</v>
      </c>
      <c r="L477" s="632" t="s">
        <v>1017</v>
      </c>
      <c r="M477" s="633" t="s">
        <v>1018</v>
      </c>
      <c r="N477" s="634" t="str">
        <f t="shared" si="136"/>
        <v>(Cód. 419) Suscripción a libro electrónico denominado Contratación Estatal en Colombia www.contratacionestatal.com en la modalidad de licencia de uso.</v>
      </c>
      <c r="O477" s="635">
        <v>43480</v>
      </c>
      <c r="P477" s="636">
        <f>IFERROR(VLOOKUP(W477,'Estimación CRP'!$D$21:$E$30,2,FALSE),0)</f>
        <v>0</v>
      </c>
      <c r="Q477" s="637">
        <f>IF(O477="No aplica","No aplica",WORKDAY.INTL(O477,P477,1,'Estimación CRP'!A663:A679))</f>
        <v>43480</v>
      </c>
      <c r="R477" s="636">
        <f t="shared" si="137"/>
        <v>1</v>
      </c>
      <c r="S477" s="636">
        <f t="shared" si="138"/>
        <v>1</v>
      </c>
      <c r="T477" s="636">
        <f t="shared" si="139"/>
        <v>1</v>
      </c>
      <c r="U477" s="712">
        <v>1</v>
      </c>
      <c r="V477" s="638">
        <v>2</v>
      </c>
      <c r="W477" s="639" t="s">
        <v>263</v>
      </c>
      <c r="X477" s="640" t="str">
        <f>IFERROR(VLOOKUP(W477,Listas!$A$60:$B$73,2,FALSE),"Alerta: Seleccione primero Modalidad de selección")</f>
        <v>CCE-05</v>
      </c>
      <c r="Y477" s="641">
        <v>0</v>
      </c>
      <c r="Z477" s="641" t="s">
        <v>346</v>
      </c>
      <c r="AA477" s="641"/>
      <c r="AB477" s="642">
        <f t="shared" si="140"/>
        <v>1000000</v>
      </c>
      <c r="AC477" s="642">
        <f t="shared" si="141"/>
        <v>1000000</v>
      </c>
      <c r="AD477" s="641">
        <v>0</v>
      </c>
      <c r="AE477" s="643">
        <v>0</v>
      </c>
      <c r="AF477" s="639" t="s">
        <v>276</v>
      </c>
      <c r="AG477" s="639" t="s">
        <v>277</v>
      </c>
      <c r="AH477" s="639" t="s">
        <v>283</v>
      </c>
      <c r="AI477" s="626" t="str">
        <f>IFERROR(VLOOKUP(AH477,Listas!$A$77:$C$83,2,FALSE),"Alerta: Seleccione primero el responsable")</f>
        <v>3550800</v>
      </c>
      <c r="AJ477" s="640" t="str">
        <f>IFERROR(VLOOKUP(AH477,Listas!$A$77:$C$83,3,FALSE),"Alerta: Seleccione primero el responsable")</f>
        <v>juan.acosta@idpc.gov.co</v>
      </c>
      <c r="AK477" s="640" t="str">
        <f>IF(J477="Funcionamiento Gastos Generales","No aplica",IF(J477="Funcionamiento Servicios Personales indirectos","No aplica",IFERROR(VLOOKUP(J477,Listas!$A$127:$E$139,3,FALSE),"Alerta: Seleccione la celda en la comumna B con el nombre del proyecto")))</f>
        <v>No aplica</v>
      </c>
      <c r="AL477" s="640" t="str">
        <f>IF(J477="Funcionamiento Gastos Generales","No aplica",IF(J477="Funcionamiento Servicios Personales","No aplica",IFERROR(VLOOKUP(J477,Listas!$A$220:$D$224,2,FALSE),"Alerta: Seleccione la celda en la comumna B con el nombre del proyecto")))</f>
        <v>No aplica</v>
      </c>
      <c r="AM477" s="640" t="str">
        <f>IF(J477="Funcionamiento Gastos Generales","No aplica",IF(J477="Funcionamiento Servicios Personales","No aplica",IFERROR(VLOOKUP(J477,Listas!$A$220:$D$224,3,FALSE),"Alerta: Seleccione la celda en la comumna B con el nombre del proyecto")))</f>
        <v>No aplica</v>
      </c>
      <c r="AN477" s="633"/>
      <c r="AO477" s="633"/>
      <c r="AP477" s="634" t="str">
        <f>IFERROR(VLOOKUP(J477,Listas!$A$182:$E$215,5,FALSE),"Alerta: Seleccione la celda en la comumna B con el nombre del proyecto")</f>
        <v>Alerta: Seleccione la celda en la comumna B con el nombre del proyecto</v>
      </c>
      <c r="AQ477" s="634" t="str">
        <f>IF(J477="Funcionamiento Gastos Generales","No aplica",IF(J477="Funcionamiento Servicios Personales","No aplica",IFERROR(VLOOKUP(J477,Listas!$A$220:$D$224,4,FALSE),"Alerta: Seleccione la celda en la comumna B con el nombre del proyecto")))</f>
        <v>No aplica</v>
      </c>
      <c r="AR477" s="633"/>
      <c r="AS477" s="634" t="str">
        <f>IFERROR(VLOOKUP(AU477,Listas!$E$85:$L$105,7,FALSE),"Alerta: Seleccione la celda en la comumna AI con el concepto de gasto")</f>
        <v>Alerta: Seleccione la celda en la comumna AI con el concepto de gasto</v>
      </c>
      <c r="AT477" s="634" t="str">
        <f>IFERROR(VLOOKUP(AU477,Listas!$E$85:$L$105,8,FALSE),"Alerta: Seleccione la celda en la comumna AI con el concepto de gasto")</f>
        <v>Alerta: Seleccione la celda en la comumna AI con el concepto de gasto</v>
      </c>
      <c r="AU477" s="633"/>
      <c r="AV477" s="634" t="str">
        <f>IFERROR(VLOOKUP(AU477,Listas!$E$85:$F$105,2,FALSE),"Alerta: Seleccione el Concepto de Gasto primero")</f>
        <v>Alerta: Seleccione el Concepto de Gasto primero</v>
      </c>
      <c r="AW477" s="644">
        <v>1000000</v>
      </c>
      <c r="AX477" s="645"/>
      <c r="AY477" s="645"/>
      <c r="AZ477" s="645"/>
      <c r="BA477" s="646">
        <f t="shared" si="142"/>
        <v>1000000</v>
      </c>
      <c r="BB477" s="647"/>
      <c r="BC477" s="648"/>
      <c r="BD477" s="649"/>
      <c r="BE477" s="647"/>
      <c r="BF477" s="644"/>
      <c r="BG477" s="646">
        <f t="shared" si="143"/>
        <v>1000000</v>
      </c>
      <c r="BH477" s="650"/>
      <c r="BI477" s="647"/>
      <c r="BJ477" s="644"/>
      <c r="BK477" s="646">
        <f t="shared" si="144"/>
        <v>0</v>
      </c>
      <c r="BL477" s="651"/>
      <c r="BM477" s="652">
        <f t="shared" si="145"/>
        <v>1</v>
      </c>
      <c r="BN477" s="628"/>
      <c r="BO477" s="670"/>
      <c r="BP477" s="644"/>
      <c r="BQ477" s="644"/>
      <c r="BR477" s="644"/>
      <c r="BS477" s="644"/>
      <c r="BT477" s="644"/>
      <c r="BU477" s="644"/>
      <c r="BV477" s="644"/>
      <c r="BW477" s="644"/>
      <c r="BX477" s="644"/>
      <c r="BY477" s="644"/>
      <c r="BZ477" s="644"/>
      <c r="CA477" s="644"/>
      <c r="CB477" s="646">
        <f t="shared" si="146"/>
        <v>0</v>
      </c>
      <c r="CC477" s="646">
        <f t="shared" si="147"/>
        <v>0</v>
      </c>
      <c r="CD477" s="614"/>
    </row>
    <row r="478" spans="1:82" s="653" customFormat="1" ht="61.5" customHeight="1">
      <c r="A478" s="625" t="str">
        <f t="shared" si="129"/>
        <v>-0000-00-No aplica-Al-Al--</v>
      </c>
      <c r="B478" s="626" t="str">
        <f t="shared" si="130"/>
        <v>-0000-00-No aplica-Al-Al-</v>
      </c>
      <c r="C478" s="626" t="str">
        <f t="shared" si="131"/>
        <v>-0000-00-No aplica-</v>
      </c>
      <c r="D478" s="626" t="str">
        <f t="shared" si="132"/>
        <v>-0000-00--Al-Al-</v>
      </c>
      <c r="E478" s="626" t="str">
        <f t="shared" si="133"/>
        <v>--</v>
      </c>
      <c r="F478" s="627">
        <v>420</v>
      </c>
      <c r="G478" s="628">
        <f t="shared" si="134"/>
        <v>420</v>
      </c>
      <c r="H478" s="629" t="b">
        <f t="shared" si="135"/>
        <v>0</v>
      </c>
      <c r="I478" s="630" t="s">
        <v>594</v>
      </c>
      <c r="J478" s="627" t="s">
        <v>329</v>
      </c>
      <c r="K478" s="631" t="str">
        <f>+IFERROR(VLOOKUP(J478,Listas!$A$108:$B$114,2,FALSE),"Alerta: Seleccione la celda en la comumna B con el nombre del proyecto")</f>
        <v>3-1-2-00-00-00-0000-00</v>
      </c>
      <c r="L478" s="632" t="s">
        <v>1019</v>
      </c>
      <c r="M478" s="633" t="s">
        <v>1020</v>
      </c>
      <c r="N478" s="634" t="str">
        <f t="shared" si="136"/>
        <v>(Cód. 420) Prestación de servicios para el mantenimiento preventivo y correctivo de los vehículos del Instituto Distrital de Patrimonio Cultural, con suministros de repuestos, baterías y accesorios.</v>
      </c>
      <c r="O478" s="635">
        <v>43539</v>
      </c>
      <c r="P478" s="636">
        <f>IFERROR(VLOOKUP(W478,'Estimación CRP'!$D$21:$E$30,2,FALSE),0)</f>
        <v>25</v>
      </c>
      <c r="Q478" s="637">
        <f>IF(O478="No aplica","No aplica",WORKDAY.INTL(O478,P478,1,'Estimación CRP'!A664:A680))</f>
        <v>43574</v>
      </c>
      <c r="R478" s="636">
        <f t="shared" si="137"/>
        <v>4</v>
      </c>
      <c r="S478" s="636">
        <f t="shared" si="138"/>
        <v>3</v>
      </c>
      <c r="T478" s="636">
        <f t="shared" si="139"/>
        <v>3</v>
      </c>
      <c r="U478" s="712">
        <v>10</v>
      </c>
      <c r="V478" s="638">
        <v>1</v>
      </c>
      <c r="W478" s="639" t="s">
        <v>267</v>
      </c>
      <c r="X478" s="640" t="str">
        <f>IFERROR(VLOOKUP(W478,Listas!$A$60:$B$73,2,FALSE),"Alerta: Seleccione primero Modalidad de selección")</f>
        <v>CCE-10</v>
      </c>
      <c r="Y478" s="641">
        <v>0</v>
      </c>
      <c r="Z478" s="641" t="s">
        <v>346</v>
      </c>
      <c r="AA478" s="641"/>
      <c r="AB478" s="642">
        <f t="shared" si="140"/>
        <v>23000000</v>
      </c>
      <c r="AC478" s="642">
        <f t="shared" si="141"/>
        <v>23000000</v>
      </c>
      <c r="AD478" s="641">
        <v>0</v>
      </c>
      <c r="AE478" s="643">
        <v>0</v>
      </c>
      <c r="AF478" s="639" t="s">
        <v>276</v>
      </c>
      <c r="AG478" s="639" t="s">
        <v>277</v>
      </c>
      <c r="AH478" s="639" t="s">
        <v>283</v>
      </c>
      <c r="AI478" s="626" t="str">
        <f>IFERROR(VLOOKUP(AH478,Listas!$A$77:$C$83,2,FALSE),"Alerta: Seleccione primero el responsable")</f>
        <v>3550800</v>
      </c>
      <c r="AJ478" s="640" t="str">
        <f>IFERROR(VLOOKUP(AH478,Listas!$A$77:$C$83,3,FALSE),"Alerta: Seleccione primero el responsable")</f>
        <v>juan.acosta@idpc.gov.co</v>
      </c>
      <c r="AK478" s="640" t="str">
        <f>IF(J478="Funcionamiento Gastos Generales","No aplica",IF(J478="Funcionamiento Servicios Personales indirectos","No aplica",IFERROR(VLOOKUP(J478,Listas!$A$127:$E$139,3,FALSE),"Alerta: Seleccione la celda en la comumna B con el nombre del proyecto")))</f>
        <v>No aplica</v>
      </c>
      <c r="AL478" s="640" t="str">
        <f>IF(J478="Funcionamiento Gastos Generales","No aplica",IF(J478="Funcionamiento Servicios Personales","No aplica",IFERROR(VLOOKUP(J478,Listas!$A$220:$D$224,2,FALSE),"Alerta: Seleccione la celda en la comumna B con el nombre del proyecto")))</f>
        <v>No aplica</v>
      </c>
      <c r="AM478" s="640" t="str">
        <f>IF(J478="Funcionamiento Gastos Generales","No aplica",IF(J478="Funcionamiento Servicios Personales","No aplica",IFERROR(VLOOKUP(J478,Listas!$A$220:$D$224,3,FALSE),"Alerta: Seleccione la celda en la comumna B con el nombre del proyecto")))</f>
        <v>No aplica</v>
      </c>
      <c r="AN478" s="633"/>
      <c r="AO478" s="633"/>
      <c r="AP478" s="634" t="str">
        <f>IFERROR(VLOOKUP(J478,Listas!$A$182:$E$215,5,FALSE),"Alerta: Seleccione la celda en la comumna B con el nombre del proyecto")</f>
        <v>Alerta: Seleccione la celda en la comumna B con el nombre del proyecto</v>
      </c>
      <c r="AQ478" s="634" t="str">
        <f>IF(J478="Funcionamiento Gastos Generales","No aplica",IF(J478="Funcionamiento Servicios Personales","No aplica",IFERROR(VLOOKUP(J478,Listas!$A$220:$D$224,4,FALSE),"Alerta: Seleccione la celda en la comumna B con el nombre del proyecto")))</f>
        <v>No aplica</v>
      </c>
      <c r="AR478" s="633"/>
      <c r="AS478" s="634" t="str">
        <f>IFERROR(VLOOKUP(AU478,Listas!$E$85:$L$105,7,FALSE),"Alerta: Seleccione la celda en la comumna AI con el concepto de gasto")</f>
        <v>Alerta: Seleccione la celda en la comumna AI con el concepto de gasto</v>
      </c>
      <c r="AT478" s="634" t="str">
        <f>IFERROR(VLOOKUP(AU478,Listas!$E$85:$L$105,8,FALSE),"Alerta: Seleccione la celda en la comumna AI con el concepto de gasto")</f>
        <v>Alerta: Seleccione la celda en la comumna AI con el concepto de gasto</v>
      </c>
      <c r="AU478" s="633"/>
      <c r="AV478" s="634" t="str">
        <f>IFERROR(VLOOKUP(AU478,Listas!$E$85:$F$105,2,FALSE),"Alerta: Seleccione el Concepto de Gasto primero")</f>
        <v>Alerta: Seleccione el Concepto de Gasto primero</v>
      </c>
      <c r="AW478" s="644">
        <v>23000000</v>
      </c>
      <c r="AX478" s="645"/>
      <c r="AY478" s="645"/>
      <c r="AZ478" s="645"/>
      <c r="BA478" s="646">
        <f t="shared" si="142"/>
        <v>23000000</v>
      </c>
      <c r="BB478" s="647"/>
      <c r="BC478" s="648"/>
      <c r="BD478" s="649"/>
      <c r="BE478" s="647"/>
      <c r="BF478" s="644"/>
      <c r="BG478" s="646">
        <f t="shared" si="143"/>
        <v>23000000</v>
      </c>
      <c r="BH478" s="650"/>
      <c r="BI478" s="647"/>
      <c r="BJ478" s="644"/>
      <c r="BK478" s="646">
        <f t="shared" si="144"/>
        <v>0</v>
      </c>
      <c r="BL478" s="651"/>
      <c r="BM478" s="652">
        <f t="shared" si="145"/>
        <v>1</v>
      </c>
      <c r="BN478" s="628"/>
      <c r="BO478" s="670"/>
      <c r="BP478" s="644"/>
      <c r="BQ478" s="644"/>
      <c r="BR478" s="644"/>
      <c r="BS478" s="644"/>
      <c r="BT478" s="644"/>
      <c r="BU478" s="644"/>
      <c r="BV478" s="644"/>
      <c r="BW478" s="644"/>
      <c r="BX478" s="644"/>
      <c r="BY478" s="644"/>
      <c r="BZ478" s="644"/>
      <c r="CA478" s="644"/>
      <c r="CB478" s="646">
        <f t="shared" si="146"/>
        <v>0</v>
      </c>
      <c r="CC478" s="646">
        <f t="shared" si="147"/>
        <v>0</v>
      </c>
      <c r="CD478" s="614"/>
    </row>
    <row r="479" spans="1:82" s="653" customFormat="1" ht="61.5" customHeight="1">
      <c r="A479" s="625" t="str">
        <f t="shared" si="129"/>
        <v>-0000-00-No aplica-Al-Al--</v>
      </c>
      <c r="B479" s="626" t="str">
        <f t="shared" si="130"/>
        <v>-0000-00-No aplica-Al-Al-</v>
      </c>
      <c r="C479" s="626" t="str">
        <f t="shared" si="131"/>
        <v>-0000-00-No aplica-</v>
      </c>
      <c r="D479" s="626" t="str">
        <f t="shared" si="132"/>
        <v>-0000-00--Al-Al-</v>
      </c>
      <c r="E479" s="626" t="str">
        <f t="shared" si="133"/>
        <v>--</v>
      </c>
      <c r="F479" s="627">
        <v>421</v>
      </c>
      <c r="G479" s="628">
        <f t="shared" si="134"/>
        <v>421</v>
      </c>
      <c r="H479" s="629" t="b">
        <f t="shared" si="135"/>
        <v>0</v>
      </c>
      <c r="I479" s="630" t="s">
        <v>594</v>
      </c>
      <c r="J479" s="627" t="s">
        <v>329</v>
      </c>
      <c r="K479" s="631" t="str">
        <f>+IFERROR(VLOOKUP(J479,Listas!$A$108:$B$114,2,FALSE),"Alerta: Seleccione la celda en la comumna B con el nombre del proyecto")</f>
        <v>3-1-2-00-00-00-0000-00</v>
      </c>
      <c r="L479" s="632" t="s">
        <v>1021</v>
      </c>
      <c r="M479" s="633" t="s">
        <v>1022</v>
      </c>
      <c r="N479" s="634" t="str">
        <f t="shared" si="136"/>
        <v>(Cód. 421) Contratar la revisión, recarga y mantenimiento de los extintores del Instituto Distrital de Patrimonio Cultural.</v>
      </c>
      <c r="O479" s="635">
        <v>43661</v>
      </c>
      <c r="P479" s="636">
        <f>IFERROR(VLOOKUP(W479,'Estimación CRP'!$D$21:$E$30,2,FALSE),0)</f>
        <v>25</v>
      </c>
      <c r="Q479" s="637">
        <f>IF(O479="No aplica","No aplica",WORKDAY.INTL(O479,P479,1,'Estimación CRP'!A665:A681))</f>
        <v>43696</v>
      </c>
      <c r="R479" s="636">
        <f t="shared" si="137"/>
        <v>8</v>
      </c>
      <c r="S479" s="636">
        <f t="shared" si="138"/>
        <v>7</v>
      </c>
      <c r="T479" s="636">
        <f t="shared" si="139"/>
        <v>7</v>
      </c>
      <c r="U479" s="712">
        <v>1</v>
      </c>
      <c r="V479" s="638">
        <v>1</v>
      </c>
      <c r="W479" s="639" t="s">
        <v>267</v>
      </c>
      <c r="X479" s="640" t="str">
        <f>IFERROR(VLOOKUP(W479,Listas!$A$60:$B$73,2,FALSE),"Alerta: Seleccione primero Modalidad de selección")</f>
        <v>CCE-10</v>
      </c>
      <c r="Y479" s="641">
        <v>0</v>
      </c>
      <c r="Z479" s="641" t="s">
        <v>346</v>
      </c>
      <c r="AA479" s="641"/>
      <c r="AB479" s="642">
        <f t="shared" si="140"/>
        <v>5000000</v>
      </c>
      <c r="AC479" s="642">
        <f t="shared" si="141"/>
        <v>5000000</v>
      </c>
      <c r="AD479" s="641">
        <v>0</v>
      </c>
      <c r="AE479" s="643">
        <v>0</v>
      </c>
      <c r="AF479" s="639" t="s">
        <v>276</v>
      </c>
      <c r="AG479" s="639" t="s">
        <v>277</v>
      </c>
      <c r="AH479" s="639" t="s">
        <v>283</v>
      </c>
      <c r="AI479" s="626" t="str">
        <f>IFERROR(VLOOKUP(AH479,Listas!$A$77:$C$83,2,FALSE),"Alerta: Seleccione primero el responsable")</f>
        <v>3550800</v>
      </c>
      <c r="AJ479" s="640" t="str">
        <f>IFERROR(VLOOKUP(AH479,Listas!$A$77:$C$83,3,FALSE),"Alerta: Seleccione primero el responsable")</f>
        <v>juan.acosta@idpc.gov.co</v>
      </c>
      <c r="AK479" s="640" t="str">
        <f>IF(J479="Funcionamiento Gastos Generales","No aplica",IF(J479="Funcionamiento Servicios Personales indirectos","No aplica",IFERROR(VLOOKUP(J479,Listas!$A$127:$E$139,3,FALSE),"Alerta: Seleccione la celda en la comumna B con el nombre del proyecto")))</f>
        <v>No aplica</v>
      </c>
      <c r="AL479" s="640" t="str">
        <f>IF(J479="Funcionamiento Gastos Generales","No aplica",IF(J479="Funcionamiento Servicios Personales","No aplica",IFERROR(VLOOKUP(J479,Listas!$A$220:$D$224,2,FALSE),"Alerta: Seleccione la celda en la comumna B con el nombre del proyecto")))</f>
        <v>No aplica</v>
      </c>
      <c r="AM479" s="640" t="str">
        <f>IF(J479="Funcionamiento Gastos Generales","No aplica",IF(J479="Funcionamiento Servicios Personales","No aplica",IFERROR(VLOOKUP(J479,Listas!$A$220:$D$224,3,FALSE),"Alerta: Seleccione la celda en la comumna B con el nombre del proyecto")))</f>
        <v>No aplica</v>
      </c>
      <c r="AN479" s="633"/>
      <c r="AO479" s="633"/>
      <c r="AP479" s="634" t="str">
        <f>IFERROR(VLOOKUP(J479,Listas!$A$182:$E$215,5,FALSE),"Alerta: Seleccione la celda en la comumna B con el nombre del proyecto")</f>
        <v>Alerta: Seleccione la celda en la comumna B con el nombre del proyecto</v>
      </c>
      <c r="AQ479" s="634" t="str">
        <f>IF(J479="Funcionamiento Gastos Generales","No aplica",IF(J479="Funcionamiento Servicios Personales","No aplica",IFERROR(VLOOKUP(J479,Listas!$A$220:$D$224,4,FALSE),"Alerta: Seleccione la celda en la comumna B con el nombre del proyecto")))</f>
        <v>No aplica</v>
      </c>
      <c r="AR479" s="633"/>
      <c r="AS479" s="634" t="str">
        <f>IFERROR(VLOOKUP(AU479,Listas!$E$85:$L$105,7,FALSE),"Alerta: Seleccione la celda en la comumna AI con el concepto de gasto")</f>
        <v>Alerta: Seleccione la celda en la comumna AI con el concepto de gasto</v>
      </c>
      <c r="AT479" s="634" t="str">
        <f>IFERROR(VLOOKUP(AU479,Listas!$E$85:$L$105,8,FALSE),"Alerta: Seleccione la celda en la comumna AI con el concepto de gasto")</f>
        <v>Alerta: Seleccione la celda en la comumna AI con el concepto de gasto</v>
      </c>
      <c r="AU479" s="633"/>
      <c r="AV479" s="634" t="str">
        <f>IFERROR(VLOOKUP(AU479,Listas!$E$85:$F$105,2,FALSE),"Alerta: Seleccione el Concepto de Gasto primero")</f>
        <v>Alerta: Seleccione el Concepto de Gasto primero</v>
      </c>
      <c r="AW479" s="644">
        <v>5000000</v>
      </c>
      <c r="AX479" s="645"/>
      <c r="AY479" s="645"/>
      <c r="AZ479" s="645"/>
      <c r="BA479" s="646">
        <f t="shared" si="142"/>
        <v>5000000</v>
      </c>
      <c r="BB479" s="647"/>
      <c r="BC479" s="648"/>
      <c r="BD479" s="649"/>
      <c r="BE479" s="647"/>
      <c r="BF479" s="644"/>
      <c r="BG479" s="646">
        <f t="shared" si="143"/>
        <v>5000000</v>
      </c>
      <c r="BH479" s="650"/>
      <c r="BI479" s="647"/>
      <c r="BJ479" s="644"/>
      <c r="BK479" s="646">
        <f t="shared" si="144"/>
        <v>0</v>
      </c>
      <c r="BL479" s="651"/>
      <c r="BM479" s="652">
        <f t="shared" si="145"/>
        <v>1</v>
      </c>
      <c r="BN479" s="628"/>
      <c r="BO479" s="670"/>
      <c r="BP479" s="644"/>
      <c r="BQ479" s="644"/>
      <c r="BR479" s="644"/>
      <c r="BS479" s="644"/>
      <c r="BT479" s="644"/>
      <c r="BU479" s="644"/>
      <c r="BV479" s="644"/>
      <c r="BW479" s="644"/>
      <c r="BX479" s="644"/>
      <c r="BY479" s="644"/>
      <c r="BZ479" s="644"/>
      <c r="CA479" s="644"/>
      <c r="CB479" s="646">
        <f t="shared" si="146"/>
        <v>0</v>
      </c>
      <c r="CC479" s="646">
        <f t="shared" si="147"/>
        <v>0</v>
      </c>
      <c r="CD479" s="614"/>
    </row>
    <row r="480" spans="1:82" s="653" customFormat="1" ht="61.5" customHeight="1">
      <c r="A480" s="625" t="str">
        <f t="shared" ref="A480:A543" si="148">+CONCATENATE(B480,"-",AO480)</f>
        <v>-0000-00-No aplica-Al-Al--</v>
      </c>
      <c r="B480" s="626" t="str">
        <f t="shared" ref="B480:B543" si="149">CONCATENATE(RIGHT(K480,8),"-",AQ480,"-",LEFT(AS480,2),"-",LEFT(AT480,2),"-",LEFT(AU480,4))</f>
        <v>-0000-00-No aplica-Al-Al-</v>
      </c>
      <c r="C480" s="626" t="str">
        <f t="shared" ref="C480:C543" si="150">+CONCATENATE(RIGHT(K480,8),"-",AQ480,"-",AO480)</f>
        <v>-0000-00-No aplica-</v>
      </c>
      <c r="D480" s="626" t="str">
        <f t="shared" ref="D480:D543" si="151">+CONCATENATE(RIGHT(K480,8),"-",AR480,"-",LEFT(AS480,2),"-",LEFT(AT480,2),"-",LEFT(AU480,4))</f>
        <v>-0000-00--Al-Al-</v>
      </c>
      <c r="E480" s="626" t="str">
        <f t="shared" si="133"/>
        <v>--</v>
      </c>
      <c r="F480" s="627">
        <v>422</v>
      </c>
      <c r="G480" s="628">
        <f t="shared" si="134"/>
        <v>422</v>
      </c>
      <c r="H480" s="629" t="b">
        <f t="shared" si="135"/>
        <v>0</v>
      </c>
      <c r="I480" s="630" t="s">
        <v>594</v>
      </c>
      <c r="J480" s="627" t="s">
        <v>329</v>
      </c>
      <c r="K480" s="631" t="str">
        <f>+IFERROR(VLOOKUP(J480,Listas!$A$108:$B$114,2,FALSE),"Alerta: Seleccione la celda en la comumna B con el nombre del proyecto")</f>
        <v>3-1-2-00-00-00-0000-00</v>
      </c>
      <c r="L480" s="632" t="s">
        <v>1023</v>
      </c>
      <c r="M480" s="633" t="s">
        <v>1024</v>
      </c>
      <c r="N480" s="634" t="str">
        <f t="shared" si="136"/>
        <v>(Cód. 422) Prestar servicios para el mantenimiento preventivo y correctivo de las bombas hidráulicas y lavado de tanques de los inmuebles de propiedad del Instituto Distrital de Patrimonio Cultural.</v>
      </c>
      <c r="O480" s="635">
        <v>43539</v>
      </c>
      <c r="P480" s="636">
        <f>IFERROR(VLOOKUP(W480,'Estimación CRP'!$D$21:$E$30,2,FALSE),0)</f>
        <v>25</v>
      </c>
      <c r="Q480" s="637">
        <f>IF(O480="No aplica","No aplica",WORKDAY.INTL(O480,P480,1,'Estimación CRP'!A666:A682))</f>
        <v>43574</v>
      </c>
      <c r="R480" s="636">
        <f t="shared" si="137"/>
        <v>4</v>
      </c>
      <c r="S480" s="636">
        <f t="shared" si="138"/>
        <v>3</v>
      </c>
      <c r="T480" s="636">
        <f t="shared" si="139"/>
        <v>3</v>
      </c>
      <c r="U480" s="712">
        <v>10</v>
      </c>
      <c r="V480" s="638">
        <v>1</v>
      </c>
      <c r="W480" s="639" t="s">
        <v>267</v>
      </c>
      <c r="X480" s="640" t="str">
        <f>IFERROR(VLOOKUP(W480,Listas!$A$60:$B$73,2,FALSE),"Alerta: Seleccione primero Modalidad de selección")</f>
        <v>CCE-10</v>
      </c>
      <c r="Y480" s="641">
        <v>0</v>
      </c>
      <c r="Z480" s="641" t="s">
        <v>346</v>
      </c>
      <c r="AA480" s="641"/>
      <c r="AB480" s="642">
        <f t="shared" si="140"/>
        <v>20000000</v>
      </c>
      <c r="AC480" s="642">
        <f t="shared" si="141"/>
        <v>20000000</v>
      </c>
      <c r="AD480" s="641">
        <v>0</v>
      </c>
      <c r="AE480" s="643">
        <v>0</v>
      </c>
      <c r="AF480" s="639" t="s">
        <v>276</v>
      </c>
      <c r="AG480" s="639" t="s">
        <v>277</v>
      </c>
      <c r="AH480" s="639" t="s">
        <v>283</v>
      </c>
      <c r="AI480" s="626" t="str">
        <f>IFERROR(VLOOKUP(AH480,Listas!$A$77:$C$83,2,FALSE),"Alerta: Seleccione primero el responsable")</f>
        <v>3550800</v>
      </c>
      <c r="AJ480" s="640" t="str">
        <f>IFERROR(VLOOKUP(AH480,Listas!$A$77:$C$83,3,FALSE),"Alerta: Seleccione primero el responsable")</f>
        <v>juan.acosta@idpc.gov.co</v>
      </c>
      <c r="AK480" s="640" t="str">
        <f>IF(J480="Funcionamiento Gastos Generales","No aplica",IF(J480="Funcionamiento Servicios Personales indirectos","No aplica",IFERROR(VLOOKUP(J480,Listas!$A$127:$E$139,3,FALSE),"Alerta: Seleccione la celda en la comumna B con el nombre del proyecto")))</f>
        <v>No aplica</v>
      </c>
      <c r="AL480" s="640" t="str">
        <f>IF(J480="Funcionamiento Gastos Generales","No aplica",IF(J480="Funcionamiento Servicios Personales","No aplica",IFERROR(VLOOKUP(J480,Listas!$A$220:$D$224,2,FALSE),"Alerta: Seleccione la celda en la comumna B con el nombre del proyecto")))</f>
        <v>No aplica</v>
      </c>
      <c r="AM480" s="640" t="str">
        <f>IF(J480="Funcionamiento Gastos Generales","No aplica",IF(J480="Funcionamiento Servicios Personales","No aplica",IFERROR(VLOOKUP(J480,Listas!$A$220:$D$224,3,FALSE),"Alerta: Seleccione la celda en la comumna B con el nombre del proyecto")))</f>
        <v>No aplica</v>
      </c>
      <c r="AN480" s="633"/>
      <c r="AO480" s="633"/>
      <c r="AP480" s="634" t="str">
        <f>IFERROR(VLOOKUP(J480,Listas!$A$182:$E$215,5,FALSE),"Alerta: Seleccione la celda en la comumna B con el nombre del proyecto")</f>
        <v>Alerta: Seleccione la celda en la comumna B con el nombre del proyecto</v>
      </c>
      <c r="AQ480" s="634" t="str">
        <f>IF(J480="Funcionamiento Gastos Generales","No aplica",IF(J480="Funcionamiento Servicios Personales","No aplica",IFERROR(VLOOKUP(J480,Listas!$A$220:$D$224,4,FALSE),"Alerta: Seleccione la celda en la comumna B con el nombre del proyecto")))</f>
        <v>No aplica</v>
      </c>
      <c r="AR480" s="633"/>
      <c r="AS480" s="634" t="str">
        <f>IFERROR(VLOOKUP(AU480,Listas!$E$85:$L$105,7,FALSE),"Alerta: Seleccione la celda en la comumna AI con el concepto de gasto")</f>
        <v>Alerta: Seleccione la celda en la comumna AI con el concepto de gasto</v>
      </c>
      <c r="AT480" s="634" t="str">
        <f>IFERROR(VLOOKUP(AU480,Listas!$E$85:$L$105,8,FALSE),"Alerta: Seleccione la celda en la comumna AI con el concepto de gasto")</f>
        <v>Alerta: Seleccione la celda en la comumna AI con el concepto de gasto</v>
      </c>
      <c r="AU480" s="633"/>
      <c r="AV480" s="634" t="str">
        <f>IFERROR(VLOOKUP(AU480,Listas!$E$85:$F$105,2,FALSE),"Alerta: Seleccione el Concepto de Gasto primero")</f>
        <v>Alerta: Seleccione el Concepto de Gasto primero</v>
      </c>
      <c r="AW480" s="644">
        <v>20000000</v>
      </c>
      <c r="AX480" s="645"/>
      <c r="AY480" s="645"/>
      <c r="AZ480" s="645"/>
      <c r="BA480" s="646">
        <f t="shared" si="142"/>
        <v>20000000</v>
      </c>
      <c r="BB480" s="647"/>
      <c r="BC480" s="648"/>
      <c r="BD480" s="649"/>
      <c r="BE480" s="647"/>
      <c r="BF480" s="644"/>
      <c r="BG480" s="646">
        <f t="shared" si="143"/>
        <v>20000000</v>
      </c>
      <c r="BH480" s="650"/>
      <c r="BI480" s="647"/>
      <c r="BJ480" s="644"/>
      <c r="BK480" s="646">
        <f t="shared" si="144"/>
        <v>0</v>
      </c>
      <c r="BL480" s="651"/>
      <c r="BM480" s="652">
        <f t="shared" si="145"/>
        <v>1</v>
      </c>
      <c r="BN480" s="628"/>
      <c r="BO480" s="670"/>
      <c r="BP480" s="644"/>
      <c r="BQ480" s="644"/>
      <c r="BR480" s="644"/>
      <c r="BS480" s="644"/>
      <c r="BT480" s="644"/>
      <c r="BU480" s="644"/>
      <c r="BV480" s="644"/>
      <c r="BW480" s="644"/>
      <c r="BX480" s="644"/>
      <c r="BY480" s="644"/>
      <c r="BZ480" s="644"/>
      <c r="CA480" s="644"/>
      <c r="CB480" s="646">
        <f t="shared" si="146"/>
        <v>0</v>
      </c>
      <c r="CC480" s="646">
        <f t="shared" si="147"/>
        <v>0</v>
      </c>
      <c r="CD480" s="614"/>
    </row>
    <row r="481" spans="1:85" s="653" customFormat="1" ht="61.5" customHeight="1">
      <c r="A481" s="625" t="str">
        <f t="shared" si="148"/>
        <v>-0000-00-No aplica-Al-Al--</v>
      </c>
      <c r="B481" s="626" t="str">
        <f t="shared" si="149"/>
        <v>-0000-00-No aplica-Al-Al-</v>
      </c>
      <c r="C481" s="626" t="str">
        <f t="shared" si="150"/>
        <v>-0000-00-No aplica-</v>
      </c>
      <c r="D481" s="626" t="str">
        <f t="shared" si="151"/>
        <v>-0000-00--Al-Al-</v>
      </c>
      <c r="E481" s="626" t="str">
        <f t="shared" ref="E481:E544" si="152">+CONCATENATE(AO481,"-",AR481,"-",AU481)</f>
        <v>--</v>
      </c>
      <c r="F481" s="627">
        <v>423</v>
      </c>
      <c r="G481" s="628">
        <f t="shared" ref="G481:G544" si="153">+F481</f>
        <v>423</v>
      </c>
      <c r="H481" s="629" t="b">
        <f t="shared" ref="H481:H544" si="154">+G481=G480</f>
        <v>0</v>
      </c>
      <c r="I481" s="630" t="s">
        <v>594</v>
      </c>
      <c r="J481" s="627" t="s">
        <v>329</v>
      </c>
      <c r="K481" s="631" t="str">
        <f>+IFERROR(VLOOKUP(J481,Listas!$A$108:$B$114,2,FALSE),"Alerta: Seleccione la celda en la comumna B con el nombre del proyecto")</f>
        <v>3-1-2-00-00-00-0000-00</v>
      </c>
      <c r="L481" s="632">
        <v>80141607</v>
      </c>
      <c r="M481" s="633" t="s">
        <v>1025</v>
      </c>
      <c r="N481" s="634" t="str">
        <f t="shared" ref="N481:N544" si="155">+CONCATENATE("(Cód. ",F481,") ",M481)</f>
        <v>(Cód. 423) Contratar el servicio de catering y apoyo logístico para los eventos institucionales.</v>
      </c>
      <c r="O481" s="635">
        <v>43539</v>
      </c>
      <c r="P481" s="636">
        <f>IFERROR(VLOOKUP(W481,'Estimación CRP'!$D$21:$E$30,2,FALSE),0)</f>
        <v>25</v>
      </c>
      <c r="Q481" s="637">
        <f>IF(O481="No aplica","No aplica",WORKDAY.INTL(O481,P481,1,'Estimación CRP'!A667:A683))</f>
        <v>43574</v>
      </c>
      <c r="R481" s="636">
        <f t="shared" ref="R481:R544" si="156">IF(O481="No aplica","No aplica",MONTH(Q481))</f>
        <v>4</v>
      </c>
      <c r="S481" s="636">
        <f t="shared" ref="S481:S544" si="157">IF(O481="No aplica","No aplica",MONTH(O481))</f>
        <v>3</v>
      </c>
      <c r="T481" s="636">
        <f t="shared" ref="T481:T544" si="158">IF(O481="No aplica","No aplica",S481)</f>
        <v>3</v>
      </c>
      <c r="U481" s="712">
        <v>7</v>
      </c>
      <c r="V481" s="638">
        <v>1</v>
      </c>
      <c r="W481" s="639" t="s">
        <v>267</v>
      </c>
      <c r="X481" s="640" t="str">
        <f>IFERROR(VLOOKUP(W481,Listas!$A$60:$B$73,2,FALSE),"Alerta: Seleccione primero Modalidad de selección")</f>
        <v>CCE-10</v>
      </c>
      <c r="Y481" s="641">
        <v>0</v>
      </c>
      <c r="Z481" s="641" t="s">
        <v>1071</v>
      </c>
      <c r="AA481" s="641"/>
      <c r="AB481" s="642">
        <f t="shared" ref="AB481:AB544" si="159">+BA481</f>
        <v>8000000</v>
      </c>
      <c r="AC481" s="642">
        <f t="shared" ref="AC481:AC544" si="160">+AB481</f>
        <v>8000000</v>
      </c>
      <c r="AD481" s="641">
        <v>0</v>
      </c>
      <c r="AE481" s="643">
        <v>0</v>
      </c>
      <c r="AF481" s="639" t="s">
        <v>276</v>
      </c>
      <c r="AG481" s="639" t="s">
        <v>277</v>
      </c>
      <c r="AH481" s="639" t="s">
        <v>283</v>
      </c>
      <c r="AI481" s="626" t="str">
        <f>IFERROR(VLOOKUP(AH481,Listas!$A$77:$C$83,2,FALSE),"Alerta: Seleccione primero el responsable")</f>
        <v>3550800</v>
      </c>
      <c r="AJ481" s="640" t="str">
        <f>IFERROR(VLOOKUP(AH481,Listas!$A$77:$C$83,3,FALSE),"Alerta: Seleccione primero el responsable")</f>
        <v>juan.acosta@idpc.gov.co</v>
      </c>
      <c r="AK481" s="640" t="str">
        <f>IF(J481="Funcionamiento Gastos Generales","No aplica",IF(J481="Funcionamiento Servicios Personales indirectos","No aplica",IFERROR(VLOOKUP(J481,Listas!$A$127:$E$139,3,FALSE),"Alerta: Seleccione la celda en la comumna B con el nombre del proyecto")))</f>
        <v>No aplica</v>
      </c>
      <c r="AL481" s="640" t="str">
        <f>IF(J481="Funcionamiento Gastos Generales","No aplica",IF(J481="Funcionamiento Servicios Personales","No aplica",IFERROR(VLOOKUP(J481,Listas!$A$220:$D$224,2,FALSE),"Alerta: Seleccione la celda en la comumna B con el nombre del proyecto")))</f>
        <v>No aplica</v>
      </c>
      <c r="AM481" s="640" t="str">
        <f>IF(J481="Funcionamiento Gastos Generales","No aplica",IF(J481="Funcionamiento Servicios Personales","No aplica",IFERROR(VLOOKUP(J481,Listas!$A$220:$D$224,3,FALSE),"Alerta: Seleccione la celda en la comumna B con el nombre del proyecto")))</f>
        <v>No aplica</v>
      </c>
      <c r="AN481" s="633"/>
      <c r="AO481" s="633"/>
      <c r="AP481" s="634" t="str">
        <f>IFERROR(VLOOKUP(J481,Listas!$A$182:$E$215,5,FALSE),"Alerta: Seleccione la celda en la comumna B con el nombre del proyecto")</f>
        <v>Alerta: Seleccione la celda en la comumna B con el nombre del proyecto</v>
      </c>
      <c r="AQ481" s="634" t="str">
        <f>IF(J481="Funcionamiento Gastos Generales","No aplica",IF(J481="Funcionamiento Servicios Personales","No aplica",IFERROR(VLOOKUP(J481,Listas!$A$220:$D$224,4,FALSE),"Alerta: Seleccione la celda en la comumna B con el nombre del proyecto")))</f>
        <v>No aplica</v>
      </c>
      <c r="AR481" s="633"/>
      <c r="AS481" s="634" t="str">
        <f>IFERROR(VLOOKUP(AU481,Listas!$E$85:$L$105,7,FALSE),"Alerta: Seleccione la celda en la comumna AI con el concepto de gasto")</f>
        <v>Alerta: Seleccione la celda en la comumna AI con el concepto de gasto</v>
      </c>
      <c r="AT481" s="634" t="str">
        <f>IFERROR(VLOOKUP(AU481,Listas!$E$85:$L$105,8,FALSE),"Alerta: Seleccione la celda en la comumna AI con el concepto de gasto")</f>
        <v>Alerta: Seleccione la celda en la comumna AI con el concepto de gasto</v>
      </c>
      <c r="AU481" s="633"/>
      <c r="AV481" s="634" t="str">
        <f>IFERROR(VLOOKUP(AU481,Listas!$E$85:$F$105,2,FALSE),"Alerta: Seleccione el Concepto de Gasto primero")</f>
        <v>Alerta: Seleccione el Concepto de Gasto primero</v>
      </c>
      <c r="AW481" s="644">
        <v>8000000</v>
      </c>
      <c r="AX481" s="645"/>
      <c r="AY481" s="645"/>
      <c r="AZ481" s="645"/>
      <c r="BA481" s="646">
        <f t="shared" ref="BA481:BA544" si="161">+AW481+AX481+AY481-AZ481</f>
        <v>8000000</v>
      </c>
      <c r="BB481" s="647"/>
      <c r="BC481" s="648"/>
      <c r="BD481" s="649"/>
      <c r="BE481" s="647"/>
      <c r="BF481" s="644"/>
      <c r="BG481" s="646">
        <f t="shared" ref="BG481:BG544" si="162">+BA481-BF481</f>
        <v>8000000</v>
      </c>
      <c r="BH481" s="650"/>
      <c r="BI481" s="647"/>
      <c r="BJ481" s="644"/>
      <c r="BK481" s="646">
        <f t="shared" ref="BK481:BK544" si="163">BF481-BJ481</f>
        <v>0</v>
      </c>
      <c r="BL481" s="651"/>
      <c r="BM481" s="652">
        <f t="shared" ref="BM481:BM544" si="164">MONTH(BL481)</f>
        <v>1</v>
      </c>
      <c r="BN481" s="628"/>
      <c r="BO481" s="670"/>
      <c r="BP481" s="644"/>
      <c r="BQ481" s="644"/>
      <c r="BR481" s="644"/>
      <c r="BS481" s="644"/>
      <c r="BT481" s="644"/>
      <c r="BU481" s="644"/>
      <c r="BV481" s="644"/>
      <c r="BW481" s="644"/>
      <c r="BX481" s="644"/>
      <c r="BY481" s="644"/>
      <c r="BZ481" s="644"/>
      <c r="CA481" s="644"/>
      <c r="CB481" s="646">
        <f t="shared" ref="CB481:CB544" si="165">+SUM(BP481:CA481)</f>
        <v>0</v>
      </c>
      <c r="CC481" s="646">
        <f t="shared" ref="CC481:CC544" si="166">BJ481-CB481</f>
        <v>0</v>
      </c>
      <c r="CD481" s="614"/>
    </row>
    <row r="482" spans="1:85" s="653" customFormat="1" ht="61.5" customHeight="1">
      <c r="A482" s="625" t="str">
        <f t="shared" si="148"/>
        <v>-0000-00-No aplica-Al-Al--</v>
      </c>
      <c r="B482" s="626" t="str">
        <f t="shared" si="149"/>
        <v>-0000-00-No aplica-Al-Al-</v>
      </c>
      <c r="C482" s="626" t="str">
        <f t="shared" si="150"/>
        <v>-0000-00-No aplica-</v>
      </c>
      <c r="D482" s="626" t="str">
        <f t="shared" si="151"/>
        <v>-0000-00--Al-Al-</v>
      </c>
      <c r="E482" s="626" t="str">
        <f t="shared" si="152"/>
        <v>--</v>
      </c>
      <c r="F482" s="627">
        <v>424</v>
      </c>
      <c r="G482" s="628">
        <f t="shared" si="153"/>
        <v>424</v>
      </c>
      <c r="H482" s="629" t="b">
        <f t="shared" si="154"/>
        <v>0</v>
      </c>
      <c r="I482" s="630" t="s">
        <v>594</v>
      </c>
      <c r="J482" s="627" t="s">
        <v>329</v>
      </c>
      <c r="K482" s="631" t="str">
        <f>+IFERROR(VLOOKUP(J482,Listas!$A$108:$B$114,2,FALSE),"Alerta: Seleccione la celda en la comumna B con el nombre del proyecto")</f>
        <v>3-1-2-00-00-00-0000-00</v>
      </c>
      <c r="L482" s="632" t="s">
        <v>1026</v>
      </c>
      <c r="M482" s="633" t="s">
        <v>1027</v>
      </c>
      <c r="N482" s="634" t="str">
        <f t="shared" si="155"/>
        <v>(Cód. 424) Contratar la prestación de servicio de recolección, transporte, tratamiento y/o disposición final de los residuos peligrosos producidos durante la gestión del Instituto Distrital de Patrimonio Cultural.</v>
      </c>
      <c r="O482" s="635">
        <v>43539</v>
      </c>
      <c r="P482" s="636">
        <f>IFERROR(VLOOKUP(W482,'Estimación CRP'!$D$21:$E$30,2,FALSE),0)</f>
        <v>25</v>
      </c>
      <c r="Q482" s="637">
        <f>IF(O482="No aplica","No aplica",WORKDAY.INTL(O482,P482,1,'Estimación CRP'!A668:A684))</f>
        <v>43574</v>
      </c>
      <c r="R482" s="636">
        <f t="shared" si="156"/>
        <v>4</v>
      </c>
      <c r="S482" s="636">
        <f t="shared" si="157"/>
        <v>3</v>
      </c>
      <c r="T482" s="636">
        <f t="shared" si="158"/>
        <v>3</v>
      </c>
      <c r="U482" s="712">
        <v>8</v>
      </c>
      <c r="V482" s="638">
        <v>1</v>
      </c>
      <c r="W482" s="639" t="s">
        <v>267</v>
      </c>
      <c r="X482" s="640" t="str">
        <f>IFERROR(VLOOKUP(W482,Listas!$A$60:$B$73,2,FALSE),"Alerta: Seleccione primero Modalidad de selección")</f>
        <v>CCE-10</v>
      </c>
      <c r="Y482" s="641">
        <v>0</v>
      </c>
      <c r="Z482" s="641" t="s">
        <v>346</v>
      </c>
      <c r="AA482" s="641"/>
      <c r="AB482" s="642">
        <f t="shared" si="159"/>
        <v>3000000</v>
      </c>
      <c r="AC482" s="642">
        <f t="shared" si="160"/>
        <v>3000000</v>
      </c>
      <c r="AD482" s="641">
        <v>0</v>
      </c>
      <c r="AE482" s="643">
        <v>0</v>
      </c>
      <c r="AF482" s="639" t="s">
        <v>276</v>
      </c>
      <c r="AG482" s="639" t="s">
        <v>277</v>
      </c>
      <c r="AH482" s="639" t="s">
        <v>283</v>
      </c>
      <c r="AI482" s="626" t="str">
        <f>IFERROR(VLOOKUP(AH482,Listas!$A$77:$C$83,2,FALSE),"Alerta: Seleccione primero el responsable")</f>
        <v>3550800</v>
      </c>
      <c r="AJ482" s="640" t="str">
        <f>IFERROR(VLOOKUP(AH482,Listas!$A$77:$C$83,3,FALSE),"Alerta: Seleccione primero el responsable")</f>
        <v>juan.acosta@idpc.gov.co</v>
      </c>
      <c r="AK482" s="640" t="str">
        <f>IF(J482="Funcionamiento Gastos Generales","No aplica",IF(J482="Funcionamiento Servicios Personales indirectos","No aplica",IFERROR(VLOOKUP(J482,Listas!$A$127:$E$139,3,FALSE),"Alerta: Seleccione la celda en la comumna B con el nombre del proyecto")))</f>
        <v>No aplica</v>
      </c>
      <c r="AL482" s="640" t="str">
        <f>IF(J482="Funcionamiento Gastos Generales","No aplica",IF(J482="Funcionamiento Servicios Personales","No aplica",IFERROR(VLOOKUP(J482,Listas!$A$220:$D$224,2,FALSE),"Alerta: Seleccione la celda en la comumna B con el nombre del proyecto")))</f>
        <v>No aplica</v>
      </c>
      <c r="AM482" s="640" t="str">
        <f>IF(J482="Funcionamiento Gastos Generales","No aplica",IF(J482="Funcionamiento Servicios Personales","No aplica",IFERROR(VLOOKUP(J482,Listas!$A$220:$D$224,3,FALSE),"Alerta: Seleccione la celda en la comumna B con el nombre del proyecto")))</f>
        <v>No aplica</v>
      </c>
      <c r="AN482" s="633"/>
      <c r="AO482" s="633"/>
      <c r="AP482" s="634" t="str">
        <f>IFERROR(VLOOKUP(J482,Listas!$A$182:$E$215,5,FALSE),"Alerta: Seleccione la celda en la comumna B con el nombre del proyecto")</f>
        <v>Alerta: Seleccione la celda en la comumna B con el nombre del proyecto</v>
      </c>
      <c r="AQ482" s="634" t="str">
        <f>IF(J482="Funcionamiento Gastos Generales","No aplica",IF(J482="Funcionamiento Servicios Personales","No aplica",IFERROR(VLOOKUP(J482,Listas!$A$220:$D$224,4,FALSE),"Alerta: Seleccione la celda en la comumna B con el nombre del proyecto")))</f>
        <v>No aplica</v>
      </c>
      <c r="AR482" s="633"/>
      <c r="AS482" s="634" t="str">
        <f>IFERROR(VLOOKUP(AU482,Listas!$E$85:$L$105,7,FALSE),"Alerta: Seleccione la celda en la comumna AI con el concepto de gasto")</f>
        <v>Alerta: Seleccione la celda en la comumna AI con el concepto de gasto</v>
      </c>
      <c r="AT482" s="634" t="str">
        <f>IFERROR(VLOOKUP(AU482,Listas!$E$85:$L$105,8,FALSE),"Alerta: Seleccione la celda en la comumna AI con el concepto de gasto")</f>
        <v>Alerta: Seleccione la celda en la comumna AI con el concepto de gasto</v>
      </c>
      <c r="AU482" s="633"/>
      <c r="AV482" s="634" t="str">
        <f>IFERROR(VLOOKUP(AU482,Listas!$E$85:$F$105,2,FALSE),"Alerta: Seleccione el Concepto de Gasto primero")</f>
        <v>Alerta: Seleccione el Concepto de Gasto primero</v>
      </c>
      <c r="AW482" s="644">
        <v>3000000</v>
      </c>
      <c r="AX482" s="645"/>
      <c r="AY482" s="645"/>
      <c r="AZ482" s="645"/>
      <c r="BA482" s="646">
        <f t="shared" si="161"/>
        <v>3000000</v>
      </c>
      <c r="BB482" s="647"/>
      <c r="BC482" s="648"/>
      <c r="BD482" s="649"/>
      <c r="BE482" s="647"/>
      <c r="BF482" s="644"/>
      <c r="BG482" s="646">
        <f t="shared" si="162"/>
        <v>3000000</v>
      </c>
      <c r="BH482" s="650"/>
      <c r="BI482" s="647"/>
      <c r="BJ482" s="644"/>
      <c r="BK482" s="646">
        <f t="shared" si="163"/>
        <v>0</v>
      </c>
      <c r="BL482" s="651"/>
      <c r="BM482" s="652">
        <f t="shared" si="164"/>
        <v>1</v>
      </c>
      <c r="BN482" s="628"/>
      <c r="BO482" s="670"/>
      <c r="BP482" s="644"/>
      <c r="BQ482" s="644"/>
      <c r="BR482" s="644"/>
      <c r="BS482" s="644"/>
      <c r="BT482" s="644"/>
      <c r="BU482" s="644"/>
      <c r="BV482" s="644"/>
      <c r="BW482" s="644"/>
      <c r="BX482" s="644"/>
      <c r="BY482" s="644"/>
      <c r="BZ482" s="644"/>
      <c r="CA482" s="644"/>
      <c r="CB482" s="646">
        <f t="shared" si="165"/>
        <v>0</v>
      </c>
      <c r="CC482" s="646">
        <f t="shared" si="166"/>
        <v>0</v>
      </c>
      <c r="CD482" s="614"/>
    </row>
    <row r="483" spans="1:85" s="653" customFormat="1" ht="61.5" customHeight="1">
      <c r="A483" s="625" t="str">
        <f t="shared" si="148"/>
        <v>-0000-00-No aplica-Al-Al--</v>
      </c>
      <c r="B483" s="626" t="str">
        <f t="shared" si="149"/>
        <v>-0000-00-No aplica-Al-Al-</v>
      </c>
      <c r="C483" s="626" t="str">
        <f t="shared" si="150"/>
        <v>-0000-00-No aplica-</v>
      </c>
      <c r="D483" s="626" t="str">
        <f t="shared" si="151"/>
        <v>-0000-00--Al-Al-</v>
      </c>
      <c r="E483" s="626" t="str">
        <f t="shared" si="152"/>
        <v>--</v>
      </c>
      <c r="F483" s="627">
        <v>425</v>
      </c>
      <c r="G483" s="628">
        <f t="shared" si="153"/>
        <v>425</v>
      </c>
      <c r="H483" s="629" t="b">
        <f t="shared" si="154"/>
        <v>0</v>
      </c>
      <c r="I483" s="630" t="s">
        <v>594</v>
      </c>
      <c r="J483" s="627" t="s">
        <v>329</v>
      </c>
      <c r="K483" s="631" t="str">
        <f>+IFERROR(VLOOKUP(J483,Listas!$A$108:$B$114,2,FALSE),"Alerta: Seleccione la celda en la comumna B con el nombre del proyecto")</f>
        <v>3-1-2-00-00-00-0000-00</v>
      </c>
      <c r="L483" s="632" t="s">
        <v>1028</v>
      </c>
      <c r="M483" s="633" t="s">
        <v>1029</v>
      </c>
      <c r="N483" s="634" t="str">
        <f t="shared" si="155"/>
        <v>(Cód. 425) Contratar la prestación de servicios para desarrollar y/o adquirir los bienes y servicios de capacitación, bienestar e incentivos y exámenes médicos ocupacionales para los funcionarios del Instituto Distrital de Patrimonio Cultural.</v>
      </c>
      <c r="O483" s="635">
        <v>43539</v>
      </c>
      <c r="P483" s="636">
        <f>IFERROR(VLOOKUP(W483,'Estimación CRP'!$D$21:$E$30,2,FALSE),0)</f>
        <v>0</v>
      </c>
      <c r="Q483" s="637">
        <f>IF(O483="No aplica","No aplica",WORKDAY.INTL(O483,P483,1,'Estimación CRP'!A669:A685))</f>
        <v>43539</v>
      </c>
      <c r="R483" s="636">
        <f t="shared" si="156"/>
        <v>3</v>
      </c>
      <c r="S483" s="636">
        <f t="shared" si="157"/>
        <v>3</v>
      </c>
      <c r="T483" s="636">
        <f t="shared" si="158"/>
        <v>3</v>
      </c>
      <c r="U483" s="712">
        <v>1</v>
      </c>
      <c r="V483" s="638">
        <v>1</v>
      </c>
      <c r="W483" s="639" t="s">
        <v>263</v>
      </c>
      <c r="X483" s="640" t="str">
        <f>IFERROR(VLOOKUP(W483,Listas!$A$60:$B$73,2,FALSE),"Alerta: Seleccione primero Modalidad de selección")</f>
        <v>CCE-05</v>
      </c>
      <c r="Y483" s="641">
        <v>0</v>
      </c>
      <c r="Z483" s="641" t="s">
        <v>346</v>
      </c>
      <c r="AA483" s="641"/>
      <c r="AB483" s="642">
        <f t="shared" si="159"/>
        <v>45000000</v>
      </c>
      <c r="AC483" s="642">
        <f t="shared" si="160"/>
        <v>45000000</v>
      </c>
      <c r="AD483" s="641">
        <v>0</v>
      </c>
      <c r="AE483" s="643">
        <v>0</v>
      </c>
      <c r="AF483" s="639" t="s">
        <v>276</v>
      </c>
      <c r="AG483" s="639" t="s">
        <v>277</v>
      </c>
      <c r="AH483" s="639" t="s">
        <v>283</v>
      </c>
      <c r="AI483" s="626" t="str">
        <f>IFERROR(VLOOKUP(AH483,Listas!$A$77:$C$83,2,FALSE),"Alerta: Seleccione primero el responsable")</f>
        <v>3550800</v>
      </c>
      <c r="AJ483" s="640" t="str">
        <f>IFERROR(VLOOKUP(AH483,Listas!$A$77:$C$83,3,FALSE),"Alerta: Seleccione primero el responsable")</f>
        <v>juan.acosta@idpc.gov.co</v>
      </c>
      <c r="AK483" s="640" t="str">
        <f>IF(J483="Funcionamiento Gastos Generales","No aplica",IF(J483="Funcionamiento Servicios Personales indirectos","No aplica",IFERROR(VLOOKUP(J483,Listas!$A$127:$E$139,3,FALSE),"Alerta: Seleccione la celda en la comumna B con el nombre del proyecto")))</f>
        <v>No aplica</v>
      </c>
      <c r="AL483" s="640" t="str">
        <f>IF(J483="Funcionamiento Gastos Generales","No aplica",IF(J483="Funcionamiento Servicios Personales","No aplica",IFERROR(VLOOKUP(J483,Listas!$A$220:$D$224,2,FALSE),"Alerta: Seleccione la celda en la comumna B con el nombre del proyecto")))</f>
        <v>No aplica</v>
      </c>
      <c r="AM483" s="640" t="str">
        <f>IF(J483="Funcionamiento Gastos Generales","No aplica",IF(J483="Funcionamiento Servicios Personales","No aplica",IFERROR(VLOOKUP(J483,Listas!$A$220:$D$224,3,FALSE),"Alerta: Seleccione la celda en la comumna B con el nombre del proyecto")))</f>
        <v>No aplica</v>
      </c>
      <c r="AN483" s="633"/>
      <c r="AO483" s="633"/>
      <c r="AP483" s="634" t="str">
        <f>IFERROR(VLOOKUP(J483,Listas!$A$182:$E$215,5,FALSE),"Alerta: Seleccione la celda en la comumna B con el nombre del proyecto")</f>
        <v>Alerta: Seleccione la celda en la comumna B con el nombre del proyecto</v>
      </c>
      <c r="AQ483" s="634" t="str">
        <f>IF(J483="Funcionamiento Gastos Generales","No aplica",IF(J483="Funcionamiento Servicios Personales","No aplica",IFERROR(VLOOKUP(J483,Listas!$A$220:$D$224,4,FALSE),"Alerta: Seleccione la celda en la comumna B con el nombre del proyecto")))</f>
        <v>No aplica</v>
      </c>
      <c r="AR483" s="633"/>
      <c r="AS483" s="634" t="str">
        <f>IFERROR(VLOOKUP(AU483,Listas!$E$85:$L$105,7,FALSE),"Alerta: Seleccione la celda en la comumna AI con el concepto de gasto")</f>
        <v>Alerta: Seleccione la celda en la comumna AI con el concepto de gasto</v>
      </c>
      <c r="AT483" s="634" t="str">
        <f>IFERROR(VLOOKUP(AU483,Listas!$E$85:$L$105,8,FALSE),"Alerta: Seleccione la celda en la comumna AI con el concepto de gasto")</f>
        <v>Alerta: Seleccione la celda en la comumna AI con el concepto de gasto</v>
      </c>
      <c r="AU483" s="633"/>
      <c r="AV483" s="634" t="str">
        <f>IFERROR(VLOOKUP(AU483,Listas!$E$85:$F$105,2,FALSE),"Alerta: Seleccione el Concepto de Gasto primero")</f>
        <v>Alerta: Seleccione el Concepto de Gasto primero</v>
      </c>
      <c r="AW483" s="644">
        <v>45000000</v>
      </c>
      <c r="AX483" s="645"/>
      <c r="AY483" s="645"/>
      <c r="AZ483" s="645"/>
      <c r="BA483" s="646">
        <f t="shared" si="161"/>
        <v>45000000</v>
      </c>
      <c r="BB483" s="647"/>
      <c r="BC483" s="648"/>
      <c r="BD483" s="649"/>
      <c r="BE483" s="647"/>
      <c r="BF483" s="644"/>
      <c r="BG483" s="646">
        <f t="shared" si="162"/>
        <v>45000000</v>
      </c>
      <c r="BH483" s="650"/>
      <c r="BI483" s="647"/>
      <c r="BJ483" s="644"/>
      <c r="BK483" s="646">
        <f t="shared" si="163"/>
        <v>0</v>
      </c>
      <c r="BL483" s="651"/>
      <c r="BM483" s="652">
        <f t="shared" si="164"/>
        <v>1</v>
      </c>
      <c r="BN483" s="628"/>
      <c r="BO483" s="670"/>
      <c r="BP483" s="644"/>
      <c r="BQ483" s="644"/>
      <c r="BR483" s="644"/>
      <c r="BS483" s="644"/>
      <c r="BT483" s="644"/>
      <c r="BU483" s="644"/>
      <c r="BV483" s="644"/>
      <c r="BW483" s="644"/>
      <c r="BX483" s="644"/>
      <c r="BY483" s="644"/>
      <c r="BZ483" s="644"/>
      <c r="CA483" s="644"/>
      <c r="CB483" s="646">
        <f t="shared" si="165"/>
        <v>0</v>
      </c>
      <c r="CC483" s="646">
        <f t="shared" si="166"/>
        <v>0</v>
      </c>
      <c r="CD483" s="614"/>
      <c r="CG483" s="561" t="s">
        <v>589</v>
      </c>
    </row>
    <row r="484" spans="1:85" s="653" customFormat="1" ht="61.5" customHeight="1">
      <c r="A484" s="625" t="str">
        <f t="shared" si="148"/>
        <v>-0000-00-No aplica-Al-Al--</v>
      </c>
      <c r="B484" s="626" t="str">
        <f t="shared" si="149"/>
        <v>-0000-00-No aplica-Al-Al-</v>
      </c>
      <c r="C484" s="626" t="str">
        <f t="shared" si="150"/>
        <v>-0000-00-No aplica-</v>
      </c>
      <c r="D484" s="626" t="str">
        <f t="shared" si="151"/>
        <v>-0000-00--Al-Al-</v>
      </c>
      <c r="E484" s="626" t="str">
        <f t="shared" si="152"/>
        <v>--</v>
      </c>
      <c r="F484" s="627" t="s">
        <v>346</v>
      </c>
      <c r="G484" s="628" t="str">
        <f t="shared" si="153"/>
        <v>N.A.</v>
      </c>
      <c r="H484" s="629" t="b">
        <f t="shared" si="154"/>
        <v>0</v>
      </c>
      <c r="I484" s="630" t="s">
        <v>595</v>
      </c>
      <c r="J484" s="627" t="s">
        <v>329</v>
      </c>
      <c r="K484" s="631" t="str">
        <f>+IFERROR(VLOOKUP(J484,Listas!$A$108:$B$114,2,FALSE),"Alerta: Seleccione la celda en la comumna B con el nombre del proyecto")</f>
        <v>3-1-2-00-00-00-0000-00</v>
      </c>
      <c r="L484" s="632" t="s">
        <v>351</v>
      </c>
      <c r="M484" s="633" t="s">
        <v>1030</v>
      </c>
      <c r="N484" s="634" t="str">
        <f t="shared" si="155"/>
        <v>(Cód. N.A.) Caja menor</v>
      </c>
      <c r="O484" s="635">
        <v>43467</v>
      </c>
      <c r="P484" s="636">
        <f>IFERROR(VLOOKUP(W484,'Estimación CRP'!$D$21:$E$30,2,FALSE),0)</f>
        <v>0</v>
      </c>
      <c r="Q484" s="637">
        <f>IF(O484="No aplica","No aplica",WORKDAY.INTL(O484,P484,1,'Estimación CRP'!A670:A686))</f>
        <v>43467</v>
      </c>
      <c r="R484" s="636">
        <f t="shared" si="156"/>
        <v>1</v>
      </c>
      <c r="S484" s="636">
        <f t="shared" si="157"/>
        <v>1</v>
      </c>
      <c r="T484" s="636">
        <f t="shared" si="158"/>
        <v>1</v>
      </c>
      <c r="U484" s="638">
        <v>1</v>
      </c>
      <c r="V484" s="638">
        <v>2</v>
      </c>
      <c r="W484" s="639" t="s">
        <v>351</v>
      </c>
      <c r="X484" s="640" t="str">
        <f>IFERROR(VLOOKUP(W484,Listas!$A$60:$B$73,2,FALSE),"Alerta: Seleccione primero Modalidad de selección")</f>
        <v>No aplica</v>
      </c>
      <c r="Y484" s="641">
        <v>0</v>
      </c>
      <c r="Z484" s="641" t="s">
        <v>346</v>
      </c>
      <c r="AA484" s="641"/>
      <c r="AB484" s="642">
        <f t="shared" si="159"/>
        <v>17800000</v>
      </c>
      <c r="AC484" s="642">
        <f t="shared" si="160"/>
        <v>17800000</v>
      </c>
      <c r="AD484" s="641">
        <v>0</v>
      </c>
      <c r="AE484" s="643">
        <v>0</v>
      </c>
      <c r="AF484" s="639" t="s">
        <v>276</v>
      </c>
      <c r="AG484" s="639" t="s">
        <v>277</v>
      </c>
      <c r="AH484" s="639" t="s">
        <v>283</v>
      </c>
      <c r="AI484" s="626" t="str">
        <f>IFERROR(VLOOKUP(AH484,Listas!$A$77:$C$83,2,FALSE),"Alerta: Seleccione primero el responsable")</f>
        <v>3550800</v>
      </c>
      <c r="AJ484" s="640" t="str">
        <f>IFERROR(VLOOKUP(AH484,Listas!$A$77:$C$83,3,FALSE),"Alerta: Seleccione primero el responsable")</f>
        <v>juan.acosta@idpc.gov.co</v>
      </c>
      <c r="AK484" s="640" t="str">
        <f>IF(J484="Funcionamiento Gastos Generales","No aplica",IF(J484="Funcionamiento Servicios Personales indirectos","No aplica",IFERROR(VLOOKUP(J484,Listas!$A$127:$E$139,3,FALSE),"Alerta: Seleccione la celda en la comumna B con el nombre del proyecto")))</f>
        <v>No aplica</v>
      </c>
      <c r="AL484" s="640" t="str">
        <f>IF(J484="Funcionamiento Gastos Generales","No aplica",IF(J484="Funcionamiento Servicios Personales","No aplica",IFERROR(VLOOKUP(J484,Listas!$A$220:$D$224,2,FALSE),"Alerta: Seleccione la celda en la comumna B con el nombre del proyecto")))</f>
        <v>No aplica</v>
      </c>
      <c r="AM484" s="640" t="str">
        <f>IF(J484="Funcionamiento Gastos Generales","No aplica",IF(J484="Funcionamiento Servicios Personales","No aplica",IFERROR(VLOOKUP(J484,Listas!$A$220:$D$224,3,FALSE),"Alerta: Seleccione la celda en la comumna B con el nombre del proyecto")))</f>
        <v>No aplica</v>
      </c>
      <c r="AN484" s="633"/>
      <c r="AO484" s="633"/>
      <c r="AP484" s="634" t="str">
        <f>IFERROR(VLOOKUP(J484,Listas!$A$182:$E$215,5,FALSE),"Alerta: Seleccione la celda en la comumna B con el nombre del proyecto")</f>
        <v>Alerta: Seleccione la celda en la comumna B con el nombre del proyecto</v>
      </c>
      <c r="AQ484" s="634" t="str">
        <f>IF(J484="Funcionamiento Gastos Generales","No aplica",IF(J484="Funcionamiento Servicios Personales","No aplica",IFERROR(VLOOKUP(J484,Listas!$A$220:$D$224,4,FALSE),"Alerta: Seleccione la celda en la comumna B con el nombre del proyecto")))</f>
        <v>No aplica</v>
      </c>
      <c r="AR484" s="633"/>
      <c r="AS484" s="634" t="str">
        <f>IFERROR(VLOOKUP(AU484,Listas!$E$85:$L$105,7,FALSE),"Alerta: Seleccione la celda en la comumna AI con el concepto de gasto")</f>
        <v>Alerta: Seleccione la celda en la comumna AI con el concepto de gasto</v>
      </c>
      <c r="AT484" s="634" t="str">
        <f>IFERROR(VLOOKUP(AU484,Listas!$E$85:$L$105,8,FALSE),"Alerta: Seleccione la celda en la comumna AI con el concepto de gasto")</f>
        <v>Alerta: Seleccione la celda en la comumna AI con el concepto de gasto</v>
      </c>
      <c r="AU484" s="633"/>
      <c r="AV484" s="634" t="str">
        <f>IFERROR(VLOOKUP(AU484,Listas!$E$85:$F$105,2,FALSE),"Alerta: Seleccione el Concepto de Gasto primero")</f>
        <v>Alerta: Seleccione el Concepto de Gasto primero</v>
      </c>
      <c r="AW484" s="644">
        <v>17800000</v>
      </c>
      <c r="AX484" s="645"/>
      <c r="AY484" s="645"/>
      <c r="AZ484" s="645"/>
      <c r="BA484" s="646">
        <f t="shared" si="161"/>
        <v>17800000</v>
      </c>
      <c r="BB484" s="647"/>
      <c r="BC484" s="648"/>
      <c r="BD484" s="649"/>
      <c r="BE484" s="647"/>
      <c r="BF484" s="644"/>
      <c r="BG484" s="646">
        <f t="shared" si="162"/>
        <v>17800000</v>
      </c>
      <c r="BH484" s="650"/>
      <c r="BI484" s="647"/>
      <c r="BJ484" s="644"/>
      <c r="BK484" s="646">
        <f t="shared" si="163"/>
        <v>0</v>
      </c>
      <c r="BL484" s="651"/>
      <c r="BM484" s="652">
        <f t="shared" si="164"/>
        <v>1</v>
      </c>
      <c r="BN484" s="628"/>
      <c r="BO484" s="670"/>
      <c r="BP484" s="644"/>
      <c r="BQ484" s="644"/>
      <c r="BR484" s="644"/>
      <c r="BS484" s="644"/>
      <c r="BT484" s="644"/>
      <c r="BU484" s="644"/>
      <c r="BV484" s="644"/>
      <c r="BW484" s="644"/>
      <c r="BX484" s="644"/>
      <c r="BY484" s="644"/>
      <c r="BZ484" s="644"/>
      <c r="CA484" s="644"/>
      <c r="CB484" s="646">
        <f t="shared" si="165"/>
        <v>0</v>
      </c>
      <c r="CC484" s="646">
        <f t="shared" si="166"/>
        <v>0</v>
      </c>
      <c r="CD484" s="614"/>
      <c r="CG484" s="561" t="s">
        <v>589</v>
      </c>
    </row>
    <row r="485" spans="1:85" s="653" customFormat="1" ht="61.5" customHeight="1">
      <c r="A485" s="625" t="str">
        <f t="shared" si="148"/>
        <v>-0000-00-No aplica-Al-Al--</v>
      </c>
      <c r="B485" s="626" t="str">
        <f t="shared" si="149"/>
        <v>-0000-00-No aplica-Al-Al-</v>
      </c>
      <c r="C485" s="626" t="str">
        <f t="shared" si="150"/>
        <v>-0000-00-No aplica-</v>
      </c>
      <c r="D485" s="626" t="str">
        <f t="shared" si="151"/>
        <v>-0000-00--Al-Al-</v>
      </c>
      <c r="E485" s="626" t="str">
        <f t="shared" si="152"/>
        <v>--</v>
      </c>
      <c r="F485" s="627">
        <v>426</v>
      </c>
      <c r="G485" s="628">
        <f t="shared" si="153"/>
        <v>426</v>
      </c>
      <c r="H485" s="629" t="b">
        <f t="shared" si="154"/>
        <v>0</v>
      </c>
      <c r="I485" s="630" t="s">
        <v>594</v>
      </c>
      <c r="J485" s="627" t="s">
        <v>329</v>
      </c>
      <c r="K485" s="631" t="str">
        <f>+IFERROR(VLOOKUP(J485,Listas!$A$108:$B$114,2,FALSE),"Alerta: Seleccione la celda en la comumna B con el nombre del proyecto")</f>
        <v>3-1-2-00-00-00-0000-00</v>
      </c>
      <c r="L485" s="632" t="s">
        <v>610</v>
      </c>
      <c r="M485" s="633" t="s">
        <v>611</v>
      </c>
      <c r="N485" s="634" t="str">
        <f t="shared" si="155"/>
        <v>(Cód. 426) Suministro de papelería, elementos de oficina, útiles escolares y material fungible requeridos para el desarrollo administrativo y misional del Instituto Distrital de Patrimonio Cultural.</v>
      </c>
      <c r="O485" s="635">
        <v>43539</v>
      </c>
      <c r="P485" s="636">
        <f>IFERROR(VLOOKUP(W485,'Estimación CRP'!$D$21:$E$30,2,FALSE),0)</f>
        <v>45</v>
      </c>
      <c r="Q485" s="637">
        <f>IF(O485="No aplica","No aplica",WORKDAY.INTL(O485,P485,1,'Estimación CRP'!A671:A687))</f>
        <v>43602</v>
      </c>
      <c r="R485" s="636">
        <f t="shared" si="156"/>
        <v>5</v>
      </c>
      <c r="S485" s="636">
        <f t="shared" si="157"/>
        <v>3</v>
      </c>
      <c r="T485" s="636">
        <f t="shared" si="158"/>
        <v>3</v>
      </c>
      <c r="U485" s="712">
        <v>10</v>
      </c>
      <c r="V485" s="638">
        <v>1</v>
      </c>
      <c r="W485" s="639" t="s">
        <v>347</v>
      </c>
      <c r="X485" s="640" t="str">
        <f>IFERROR(VLOOKUP(W485,Listas!$A$60:$B$73,2,FALSE),"Alerta: Seleccione primero Modalidad de selección")</f>
        <v>CCE-07</v>
      </c>
      <c r="Y485" s="641">
        <v>0</v>
      </c>
      <c r="Z485" s="641" t="s">
        <v>1078</v>
      </c>
      <c r="AA485" s="641"/>
      <c r="AB485" s="642">
        <f t="shared" si="159"/>
        <v>35000000</v>
      </c>
      <c r="AC485" s="642">
        <f t="shared" si="160"/>
        <v>35000000</v>
      </c>
      <c r="AD485" s="641">
        <v>0</v>
      </c>
      <c r="AE485" s="643">
        <v>0</v>
      </c>
      <c r="AF485" s="639" t="s">
        <v>276</v>
      </c>
      <c r="AG485" s="639" t="s">
        <v>277</v>
      </c>
      <c r="AH485" s="639" t="s">
        <v>283</v>
      </c>
      <c r="AI485" s="626" t="str">
        <f>IFERROR(VLOOKUP(AH485,Listas!$A$77:$C$83,2,FALSE),"Alerta: Seleccione primero el responsable")</f>
        <v>3550800</v>
      </c>
      <c r="AJ485" s="640" t="str">
        <f>IFERROR(VLOOKUP(AH485,Listas!$A$77:$C$83,3,FALSE),"Alerta: Seleccione primero el responsable")</f>
        <v>juan.acosta@idpc.gov.co</v>
      </c>
      <c r="AK485" s="640" t="str">
        <f>IF(J485="Funcionamiento Gastos Generales","No aplica",IF(J485="Funcionamiento Servicios Personales indirectos","No aplica",IFERROR(VLOOKUP(J485,Listas!$A$127:$E$139,3,FALSE),"Alerta: Seleccione la celda en la comumna B con el nombre del proyecto")))</f>
        <v>No aplica</v>
      </c>
      <c r="AL485" s="640" t="str">
        <f>IF(J485="Funcionamiento Gastos Generales","No aplica",IF(J485="Funcionamiento Servicios Personales","No aplica",IFERROR(VLOOKUP(J485,Listas!$A$220:$D$224,2,FALSE),"Alerta: Seleccione la celda en la comumna B con el nombre del proyecto")))</f>
        <v>No aplica</v>
      </c>
      <c r="AM485" s="640" t="str">
        <f>IF(J485="Funcionamiento Gastos Generales","No aplica",IF(J485="Funcionamiento Servicios Personales","No aplica",IFERROR(VLOOKUP(J485,Listas!$A$220:$D$224,3,FALSE),"Alerta: Seleccione la celda en la comumna B con el nombre del proyecto")))</f>
        <v>No aplica</v>
      </c>
      <c r="AN485" s="633"/>
      <c r="AO485" s="633"/>
      <c r="AP485" s="634" t="str">
        <f>IFERROR(VLOOKUP(J485,Listas!$A$182:$E$215,5,FALSE),"Alerta: Seleccione la celda en la comumna B con el nombre del proyecto")</f>
        <v>Alerta: Seleccione la celda en la comumna B con el nombre del proyecto</v>
      </c>
      <c r="AQ485" s="634" t="str">
        <f>IF(J485="Funcionamiento Gastos Generales","No aplica",IF(J485="Funcionamiento Servicios Personales","No aplica",IFERROR(VLOOKUP(J485,Listas!$A$220:$D$224,4,FALSE),"Alerta: Seleccione la celda en la comumna B con el nombre del proyecto")))</f>
        <v>No aplica</v>
      </c>
      <c r="AR485" s="633"/>
      <c r="AS485" s="634" t="str">
        <f>IFERROR(VLOOKUP(AU485,Listas!$E$85:$L$105,7,FALSE),"Alerta: Seleccione la celda en la comumna AI con el concepto de gasto")</f>
        <v>Alerta: Seleccione la celda en la comumna AI con el concepto de gasto</v>
      </c>
      <c r="AT485" s="634" t="str">
        <f>IFERROR(VLOOKUP(AU485,Listas!$E$85:$L$105,8,FALSE),"Alerta: Seleccione la celda en la comumna AI con el concepto de gasto")</f>
        <v>Alerta: Seleccione la celda en la comumna AI con el concepto de gasto</v>
      </c>
      <c r="AU485" s="633"/>
      <c r="AV485" s="634" t="str">
        <f>IFERROR(VLOOKUP(AU485,Listas!$E$85:$F$105,2,FALSE),"Alerta: Seleccione el Concepto de Gasto primero")</f>
        <v>Alerta: Seleccione el Concepto de Gasto primero</v>
      </c>
      <c r="AW485" s="644">
        <v>35000000</v>
      </c>
      <c r="AX485" s="645"/>
      <c r="AY485" s="645"/>
      <c r="AZ485" s="645"/>
      <c r="BA485" s="646">
        <f t="shared" si="161"/>
        <v>35000000</v>
      </c>
      <c r="BB485" s="647"/>
      <c r="BC485" s="648"/>
      <c r="BD485" s="649"/>
      <c r="BE485" s="647"/>
      <c r="BF485" s="644"/>
      <c r="BG485" s="646">
        <f t="shared" si="162"/>
        <v>35000000</v>
      </c>
      <c r="BH485" s="650"/>
      <c r="BI485" s="647"/>
      <c r="BJ485" s="644"/>
      <c r="BK485" s="646">
        <f t="shared" si="163"/>
        <v>0</v>
      </c>
      <c r="BL485" s="651"/>
      <c r="BM485" s="652">
        <f t="shared" si="164"/>
        <v>1</v>
      </c>
      <c r="BN485" s="628"/>
      <c r="BO485" s="670"/>
      <c r="BP485" s="644"/>
      <c r="BQ485" s="644"/>
      <c r="BR485" s="644"/>
      <c r="BS485" s="644"/>
      <c r="BT485" s="644"/>
      <c r="BU485" s="644"/>
      <c r="BV485" s="644"/>
      <c r="BW485" s="644"/>
      <c r="BX485" s="644"/>
      <c r="BY485" s="644"/>
      <c r="BZ485" s="644"/>
      <c r="CA485" s="644"/>
      <c r="CB485" s="646">
        <f t="shared" si="165"/>
        <v>0</v>
      </c>
      <c r="CC485" s="646">
        <f t="shared" si="166"/>
        <v>0</v>
      </c>
      <c r="CD485" s="614"/>
    </row>
    <row r="486" spans="1:85" s="653" customFormat="1" ht="61.5" customHeight="1">
      <c r="A486" s="625" t="str">
        <f t="shared" si="148"/>
        <v>-0000-00-No aplica-Al-Al--</v>
      </c>
      <c r="B486" s="626" t="str">
        <f t="shared" si="149"/>
        <v>-0000-00-No aplica-Al-Al-</v>
      </c>
      <c r="C486" s="626" t="str">
        <f t="shared" si="150"/>
        <v>-0000-00-No aplica-</v>
      </c>
      <c r="D486" s="626" t="str">
        <f t="shared" si="151"/>
        <v>-0000-00--Al-Al-</v>
      </c>
      <c r="E486" s="626" t="str">
        <f t="shared" si="152"/>
        <v>--</v>
      </c>
      <c r="F486" s="627" t="s">
        <v>346</v>
      </c>
      <c r="G486" s="628" t="str">
        <f t="shared" si="153"/>
        <v>N.A.</v>
      </c>
      <c r="H486" s="629" t="b">
        <f t="shared" si="154"/>
        <v>0</v>
      </c>
      <c r="I486" s="630" t="s">
        <v>595</v>
      </c>
      <c r="J486" s="627" t="s">
        <v>329</v>
      </c>
      <c r="K486" s="631" t="str">
        <f>+IFERROR(VLOOKUP(J486,Listas!$A$108:$B$114,2,FALSE),"Alerta: Seleccione la celda en la comumna B con el nombre del proyecto")</f>
        <v>3-1-2-00-00-00-0000-00</v>
      </c>
      <c r="L486" s="632" t="s">
        <v>351</v>
      </c>
      <c r="M486" s="633" t="s">
        <v>806</v>
      </c>
      <c r="N486" s="634" t="str">
        <f t="shared" si="155"/>
        <v>(Cód. N.A.) Servicios Públicos</v>
      </c>
      <c r="O486" s="635">
        <v>43467</v>
      </c>
      <c r="P486" s="636">
        <f>IFERROR(VLOOKUP(W486,'Estimación CRP'!$D$21:$E$30,2,FALSE),0)</f>
        <v>0</v>
      </c>
      <c r="Q486" s="637">
        <f>IF(O486="No aplica","No aplica",WORKDAY.INTL(O486,P486,1,'Estimación CRP'!A672:A688))</f>
        <v>43467</v>
      </c>
      <c r="R486" s="636">
        <f t="shared" si="156"/>
        <v>1</v>
      </c>
      <c r="S486" s="636">
        <f t="shared" si="157"/>
        <v>1</v>
      </c>
      <c r="T486" s="636">
        <f t="shared" si="158"/>
        <v>1</v>
      </c>
      <c r="U486" s="638">
        <v>1</v>
      </c>
      <c r="V486" s="638">
        <v>2</v>
      </c>
      <c r="W486" s="639" t="s">
        <v>351</v>
      </c>
      <c r="X486" s="640" t="str">
        <f>IFERROR(VLOOKUP(W486,Listas!$A$60:$B$73,2,FALSE),"Alerta: Seleccione primero Modalidad de selección")</f>
        <v>No aplica</v>
      </c>
      <c r="Y486" s="641">
        <v>0</v>
      </c>
      <c r="Z486" s="641" t="s">
        <v>1274</v>
      </c>
      <c r="AA486" s="641"/>
      <c r="AB486" s="642">
        <f t="shared" si="159"/>
        <v>131400000</v>
      </c>
      <c r="AC486" s="642">
        <f t="shared" si="160"/>
        <v>131400000</v>
      </c>
      <c r="AD486" s="641">
        <v>0</v>
      </c>
      <c r="AE486" s="643">
        <v>0</v>
      </c>
      <c r="AF486" s="639" t="s">
        <v>276</v>
      </c>
      <c r="AG486" s="639" t="s">
        <v>277</v>
      </c>
      <c r="AH486" s="639" t="s">
        <v>283</v>
      </c>
      <c r="AI486" s="626" t="str">
        <f>IFERROR(VLOOKUP(AH486,Listas!$A$77:$C$83,2,FALSE),"Alerta: Seleccione primero el responsable")</f>
        <v>3550800</v>
      </c>
      <c r="AJ486" s="640" t="str">
        <f>IFERROR(VLOOKUP(AH486,Listas!$A$77:$C$83,3,FALSE),"Alerta: Seleccione primero el responsable")</f>
        <v>juan.acosta@idpc.gov.co</v>
      </c>
      <c r="AK486" s="640" t="str">
        <f>IF(J486="Funcionamiento Gastos Generales","No aplica",IF(J486="Funcionamiento Servicios Personales indirectos","No aplica",IFERROR(VLOOKUP(J486,Listas!$A$127:$E$139,3,FALSE),"Alerta: Seleccione la celda en la comumna B con el nombre del proyecto")))</f>
        <v>No aplica</v>
      </c>
      <c r="AL486" s="640" t="str">
        <f>IF(J486="Funcionamiento Gastos Generales","No aplica",IF(J486="Funcionamiento Servicios Personales","No aplica",IFERROR(VLOOKUP(J486,Listas!$A$220:$D$224,2,FALSE),"Alerta: Seleccione la celda en la comumna B con el nombre del proyecto")))</f>
        <v>No aplica</v>
      </c>
      <c r="AM486" s="640" t="str">
        <f>IF(J486="Funcionamiento Gastos Generales","No aplica",IF(J486="Funcionamiento Servicios Personales","No aplica",IFERROR(VLOOKUP(J486,Listas!$A$220:$D$224,3,FALSE),"Alerta: Seleccione la celda en la comumna B con el nombre del proyecto")))</f>
        <v>No aplica</v>
      </c>
      <c r="AN486" s="633"/>
      <c r="AO486" s="633"/>
      <c r="AP486" s="634" t="str">
        <f>IFERROR(VLOOKUP(J486,Listas!$A$182:$E$215,5,FALSE),"Alerta: Seleccione la celda en la comumna B con el nombre del proyecto")</f>
        <v>Alerta: Seleccione la celda en la comumna B con el nombre del proyecto</v>
      </c>
      <c r="AQ486" s="634" t="str">
        <f>IF(J486="Funcionamiento Gastos Generales","No aplica",IF(J486="Funcionamiento Servicios Personales","No aplica",IFERROR(VLOOKUP(J486,Listas!$A$220:$D$224,4,FALSE),"Alerta: Seleccione la celda en la comumna B con el nombre del proyecto")))</f>
        <v>No aplica</v>
      </c>
      <c r="AR486" s="633"/>
      <c r="AS486" s="634" t="str">
        <f>IFERROR(VLOOKUP(AU486,Listas!$E$85:$L$105,7,FALSE),"Alerta: Seleccione la celda en la comumna AI con el concepto de gasto")</f>
        <v>Alerta: Seleccione la celda en la comumna AI con el concepto de gasto</v>
      </c>
      <c r="AT486" s="634" t="str">
        <f>IFERROR(VLOOKUP(AU486,Listas!$E$85:$L$105,8,FALSE),"Alerta: Seleccione la celda en la comumna AI con el concepto de gasto")</f>
        <v>Alerta: Seleccione la celda en la comumna AI con el concepto de gasto</v>
      </c>
      <c r="AU486" s="633"/>
      <c r="AV486" s="634" t="str">
        <f>IFERROR(VLOOKUP(AU486,Listas!$E$85:$F$105,2,FALSE),"Alerta: Seleccione el Concepto de Gasto primero")</f>
        <v>Alerta: Seleccione el Concepto de Gasto primero</v>
      </c>
      <c r="AW486" s="644">
        <v>131400000</v>
      </c>
      <c r="AX486" s="645"/>
      <c r="AY486" s="645"/>
      <c r="AZ486" s="645"/>
      <c r="BA486" s="646">
        <f t="shared" si="161"/>
        <v>131400000</v>
      </c>
      <c r="BB486" s="647"/>
      <c r="BC486" s="648"/>
      <c r="BD486" s="649"/>
      <c r="BE486" s="647"/>
      <c r="BF486" s="644"/>
      <c r="BG486" s="646">
        <f t="shared" si="162"/>
        <v>131400000</v>
      </c>
      <c r="BH486" s="650"/>
      <c r="BI486" s="647"/>
      <c r="BJ486" s="644"/>
      <c r="BK486" s="646">
        <f t="shared" si="163"/>
        <v>0</v>
      </c>
      <c r="BL486" s="651"/>
      <c r="BM486" s="652">
        <f t="shared" si="164"/>
        <v>1</v>
      </c>
      <c r="BN486" s="628"/>
      <c r="BO486" s="670"/>
      <c r="BP486" s="644"/>
      <c r="BQ486" s="644"/>
      <c r="BR486" s="644"/>
      <c r="BS486" s="644"/>
      <c r="BT486" s="644"/>
      <c r="BU486" s="644"/>
      <c r="BV486" s="644"/>
      <c r="BW486" s="644"/>
      <c r="BX486" s="644"/>
      <c r="BY486" s="644"/>
      <c r="BZ486" s="644"/>
      <c r="CA486" s="644"/>
      <c r="CB486" s="646">
        <f t="shared" si="165"/>
        <v>0</v>
      </c>
      <c r="CC486" s="646">
        <f t="shared" si="166"/>
        <v>0</v>
      </c>
      <c r="CD486" s="614"/>
    </row>
    <row r="487" spans="1:85" s="653" customFormat="1" ht="61.5" customHeight="1">
      <c r="A487" s="625" t="str">
        <f t="shared" si="148"/>
        <v>-0000-00-No aplica-Al-Al--</v>
      </c>
      <c r="B487" s="626" t="str">
        <f t="shared" si="149"/>
        <v>-0000-00-No aplica-Al-Al-</v>
      </c>
      <c r="C487" s="626" t="str">
        <f t="shared" si="150"/>
        <v>-0000-00-No aplica-</v>
      </c>
      <c r="D487" s="626" t="str">
        <f t="shared" si="151"/>
        <v>-0000-00--Al-Al-</v>
      </c>
      <c r="E487" s="626" t="str">
        <f t="shared" si="152"/>
        <v>--</v>
      </c>
      <c r="F487" s="627">
        <v>427</v>
      </c>
      <c r="G487" s="628">
        <f t="shared" si="153"/>
        <v>427</v>
      </c>
      <c r="H487" s="629" t="b">
        <f t="shared" si="154"/>
        <v>0</v>
      </c>
      <c r="I487" s="630" t="s">
        <v>594</v>
      </c>
      <c r="J487" s="627" t="s">
        <v>329</v>
      </c>
      <c r="K487" s="631" t="str">
        <f>+IFERROR(VLOOKUP(J487,Listas!$A$108:$B$114,2,FALSE),"Alerta: Seleccione la celda en la comumna B con el nombre del proyecto")</f>
        <v>3-1-2-00-00-00-0000-00</v>
      </c>
      <c r="L487" s="632" t="s">
        <v>1031</v>
      </c>
      <c r="M487" s="633" t="s">
        <v>1032</v>
      </c>
      <c r="N487" s="634" t="str">
        <f t="shared" si="155"/>
        <v>(Cód. 427) Contratar el servicio público de transporte terrestre automotor especial incluido conductor para atender la gestión institucional del Instituto Distrital de Patrimonio Cultural.</v>
      </c>
      <c r="O487" s="635">
        <v>43511</v>
      </c>
      <c r="P487" s="636">
        <f>IFERROR(VLOOKUP(W487,'Estimación CRP'!$D$21:$E$30,2,FALSE),0)</f>
        <v>45</v>
      </c>
      <c r="Q487" s="637">
        <f>IF(O487="No aplica","No aplica",WORKDAY.INTL(O487,P487,1,'Estimación CRP'!A673:A689))</f>
        <v>43574</v>
      </c>
      <c r="R487" s="636">
        <f t="shared" si="156"/>
        <v>4</v>
      </c>
      <c r="S487" s="636">
        <f t="shared" si="157"/>
        <v>2</v>
      </c>
      <c r="T487" s="636">
        <f t="shared" si="158"/>
        <v>2</v>
      </c>
      <c r="U487" s="712">
        <v>10</v>
      </c>
      <c r="V487" s="638">
        <v>1</v>
      </c>
      <c r="W487" s="639" t="s">
        <v>347</v>
      </c>
      <c r="X487" s="640" t="str">
        <f>IFERROR(VLOOKUP(W487,Listas!$A$60:$B$73,2,FALSE),"Alerta: Seleccione primero Modalidad de selección")</f>
        <v>CCE-07</v>
      </c>
      <c r="Y487" s="641">
        <v>0</v>
      </c>
      <c r="Z487" s="641" t="s">
        <v>1347</v>
      </c>
      <c r="AA487" s="641"/>
      <c r="AB487" s="642">
        <f t="shared" si="159"/>
        <v>49000000</v>
      </c>
      <c r="AC487" s="642">
        <f t="shared" si="160"/>
        <v>49000000</v>
      </c>
      <c r="AD487" s="641">
        <v>0</v>
      </c>
      <c r="AE487" s="643">
        <v>0</v>
      </c>
      <c r="AF487" s="639" t="s">
        <v>276</v>
      </c>
      <c r="AG487" s="639" t="s">
        <v>277</v>
      </c>
      <c r="AH487" s="639" t="s">
        <v>283</v>
      </c>
      <c r="AI487" s="626" t="str">
        <f>IFERROR(VLOOKUP(AH487,Listas!$A$77:$C$83,2,FALSE),"Alerta: Seleccione primero el responsable")</f>
        <v>3550800</v>
      </c>
      <c r="AJ487" s="640" t="str">
        <f>IFERROR(VLOOKUP(AH487,Listas!$A$77:$C$83,3,FALSE),"Alerta: Seleccione primero el responsable")</f>
        <v>juan.acosta@idpc.gov.co</v>
      </c>
      <c r="AK487" s="640" t="str">
        <f>IF(J487="Funcionamiento Gastos Generales","No aplica",IF(J487="Funcionamiento Servicios Personales indirectos","No aplica",IFERROR(VLOOKUP(J487,Listas!$A$127:$E$139,3,FALSE),"Alerta: Seleccione la celda en la comumna B con el nombre del proyecto")))</f>
        <v>No aplica</v>
      </c>
      <c r="AL487" s="640" t="str">
        <f>IF(J487="Funcionamiento Gastos Generales","No aplica",IF(J487="Funcionamiento Servicios Personales","No aplica",IFERROR(VLOOKUP(J487,Listas!$A$220:$D$224,2,FALSE),"Alerta: Seleccione la celda en la comumna B con el nombre del proyecto")))</f>
        <v>No aplica</v>
      </c>
      <c r="AM487" s="640" t="str">
        <f>IF(J487="Funcionamiento Gastos Generales","No aplica",IF(J487="Funcionamiento Servicios Personales","No aplica",IFERROR(VLOOKUP(J487,Listas!$A$220:$D$224,3,FALSE),"Alerta: Seleccione la celda en la comumna B con el nombre del proyecto")))</f>
        <v>No aplica</v>
      </c>
      <c r="AN487" s="633"/>
      <c r="AO487" s="633"/>
      <c r="AP487" s="634" t="str">
        <f>IFERROR(VLOOKUP(J487,Listas!$A$182:$E$215,5,FALSE),"Alerta: Seleccione la celda en la comumna B con el nombre del proyecto")</f>
        <v>Alerta: Seleccione la celda en la comumna B con el nombre del proyecto</v>
      </c>
      <c r="AQ487" s="634" t="str">
        <f>IF(J487="Funcionamiento Gastos Generales","No aplica",IF(J487="Funcionamiento Servicios Personales","No aplica",IFERROR(VLOOKUP(J487,Listas!$A$220:$D$224,4,FALSE),"Alerta: Seleccione la celda en la comumna B con el nombre del proyecto")))</f>
        <v>No aplica</v>
      </c>
      <c r="AR487" s="633"/>
      <c r="AS487" s="634" t="str">
        <f>IFERROR(VLOOKUP(AU487,Listas!$E$85:$L$105,7,FALSE),"Alerta: Seleccione la celda en la comumna AI con el concepto de gasto")</f>
        <v>Alerta: Seleccione la celda en la comumna AI con el concepto de gasto</v>
      </c>
      <c r="AT487" s="634" t="str">
        <f>IFERROR(VLOOKUP(AU487,Listas!$E$85:$L$105,8,FALSE),"Alerta: Seleccione la celda en la comumna AI con el concepto de gasto")</f>
        <v>Alerta: Seleccione la celda en la comumna AI con el concepto de gasto</v>
      </c>
      <c r="AU487" s="633"/>
      <c r="AV487" s="634" t="str">
        <f>IFERROR(VLOOKUP(AU487,Listas!$E$85:$F$105,2,FALSE),"Alerta: Seleccione el Concepto de Gasto primero")</f>
        <v>Alerta: Seleccione el Concepto de Gasto primero</v>
      </c>
      <c r="AW487" s="644">
        <v>49000000</v>
      </c>
      <c r="AX487" s="645"/>
      <c r="AY487" s="645"/>
      <c r="AZ487" s="645"/>
      <c r="BA487" s="646">
        <f t="shared" si="161"/>
        <v>49000000</v>
      </c>
      <c r="BB487" s="647"/>
      <c r="BC487" s="648"/>
      <c r="BD487" s="649"/>
      <c r="BE487" s="647"/>
      <c r="BF487" s="644"/>
      <c r="BG487" s="646">
        <f t="shared" si="162"/>
        <v>49000000</v>
      </c>
      <c r="BH487" s="650"/>
      <c r="BI487" s="647"/>
      <c r="BJ487" s="644"/>
      <c r="BK487" s="646">
        <f t="shared" si="163"/>
        <v>0</v>
      </c>
      <c r="BL487" s="651"/>
      <c r="BM487" s="652">
        <f t="shared" si="164"/>
        <v>1</v>
      </c>
      <c r="BN487" s="628"/>
      <c r="BO487" s="670"/>
      <c r="BP487" s="644"/>
      <c r="BQ487" s="644"/>
      <c r="BR487" s="644"/>
      <c r="BS487" s="644"/>
      <c r="BT487" s="644"/>
      <c r="BU487" s="644"/>
      <c r="BV487" s="644"/>
      <c r="BW487" s="644"/>
      <c r="BX487" s="644"/>
      <c r="BY487" s="644"/>
      <c r="BZ487" s="644"/>
      <c r="CA487" s="644"/>
      <c r="CB487" s="646">
        <f t="shared" si="165"/>
        <v>0</v>
      </c>
      <c r="CC487" s="646">
        <f t="shared" si="166"/>
        <v>0</v>
      </c>
      <c r="CD487" s="614"/>
    </row>
    <row r="488" spans="1:85" s="653" customFormat="1" ht="61.5" customHeight="1">
      <c r="A488" s="625" t="str">
        <f t="shared" si="148"/>
        <v>-0000-00-Alerta: Seleccione la celda en la comumna B con el nombre del proyecto-Al-Al--</v>
      </c>
      <c r="B488" s="626" t="str">
        <f t="shared" si="149"/>
        <v>-0000-00-Alerta: Seleccione la celda en la comumna B con el nombre del proyecto-Al-Al-</v>
      </c>
      <c r="C488" s="626" t="str">
        <f t="shared" si="150"/>
        <v>-0000-00-Alerta: Seleccione la celda en la comumna B con el nombre del proyecto-</v>
      </c>
      <c r="D488" s="626" t="str">
        <f t="shared" si="151"/>
        <v>-0000-00--Al-Al-</v>
      </c>
      <c r="E488" s="626" t="str">
        <f t="shared" si="152"/>
        <v>--</v>
      </c>
      <c r="F488" s="627" t="s">
        <v>346</v>
      </c>
      <c r="G488" s="628" t="str">
        <f t="shared" si="153"/>
        <v>N.A.</v>
      </c>
      <c r="H488" s="629" t="b">
        <f t="shared" si="154"/>
        <v>0</v>
      </c>
      <c r="I488" s="630" t="s">
        <v>595</v>
      </c>
      <c r="J488" s="627" t="s">
        <v>597</v>
      </c>
      <c r="K488" s="631" t="str">
        <f>+IFERROR(VLOOKUP(J488,Listas!$A$108:$B$114,2,FALSE),"Alerta: Seleccione la celda en la comumna B con el nombre del proyecto")</f>
        <v>3-1-1-00-00-00-0000-00</v>
      </c>
      <c r="L488" s="632" t="s">
        <v>351</v>
      </c>
      <c r="M488" s="633" t="s">
        <v>1033</v>
      </c>
      <c r="N488" s="634" t="str">
        <f t="shared" si="155"/>
        <v xml:space="preserve">(Cód. N.A.) planilla riesgo V </v>
      </c>
      <c r="O488" s="635" t="s">
        <v>351</v>
      </c>
      <c r="P488" s="636">
        <f>IFERROR(VLOOKUP(W488,'Estimación CRP'!$D$21:$E$30,2,FALSE),0)</f>
        <v>0</v>
      </c>
      <c r="Q488" s="637" t="str">
        <f>IF(O488="No aplica","No aplica",WORKDAY.INTL(O488,P488,1,'Estimación CRP'!A674:A690))</f>
        <v>No aplica</v>
      </c>
      <c r="R488" s="636" t="str">
        <f t="shared" si="156"/>
        <v>No aplica</v>
      </c>
      <c r="S488" s="636" t="str">
        <f t="shared" si="157"/>
        <v>No aplica</v>
      </c>
      <c r="T488" s="636" t="str">
        <f t="shared" si="158"/>
        <v>No aplica</v>
      </c>
      <c r="U488" s="638">
        <v>1</v>
      </c>
      <c r="V488" s="638">
        <v>0</v>
      </c>
      <c r="W488" s="639" t="s">
        <v>351</v>
      </c>
      <c r="X488" s="640" t="str">
        <f>IFERROR(VLOOKUP(W488,Listas!$A$60:$B$73,2,FALSE),"Alerta: Seleccione primero Modalidad de selección")</f>
        <v>No aplica</v>
      </c>
      <c r="Y488" s="641">
        <v>0</v>
      </c>
      <c r="Z488" s="641" t="s">
        <v>1066</v>
      </c>
      <c r="AA488" s="641" t="s">
        <v>1348</v>
      </c>
      <c r="AB488" s="642">
        <f t="shared" si="159"/>
        <v>2040000</v>
      </c>
      <c r="AC488" s="642">
        <f t="shared" si="160"/>
        <v>2040000</v>
      </c>
      <c r="AD488" s="641">
        <v>0</v>
      </c>
      <c r="AE488" s="643">
        <v>0</v>
      </c>
      <c r="AF488" s="639" t="s">
        <v>276</v>
      </c>
      <c r="AG488" s="639" t="s">
        <v>277</v>
      </c>
      <c r="AH488" s="639" t="s">
        <v>283</v>
      </c>
      <c r="AI488" s="626" t="str">
        <f>IFERROR(VLOOKUP(AH488,Listas!$A$77:$C$83,2,FALSE),"Alerta: Seleccione primero el responsable")</f>
        <v>3550800</v>
      </c>
      <c r="AJ488" s="640" t="str">
        <f>IFERROR(VLOOKUP(AH488,Listas!$A$77:$C$83,3,FALSE),"Alerta: Seleccione primero el responsable")</f>
        <v>juan.acosta@idpc.gov.co</v>
      </c>
      <c r="AK488" s="640" t="str">
        <f>IF(J488="Funcionamiento Gastos Generales","No aplica",IF(J488="Funcionamiento Servicios Personales indirectos","No aplica",IFERROR(VLOOKUP(J488,Listas!$A$127:$E$139,3,FALSE),"Alerta: Seleccione la celda en la comumna B con el nombre del proyecto")))</f>
        <v>No aplica</v>
      </c>
      <c r="AL488" s="640" t="str">
        <f>IF(J488="Funcionamiento Gastos Generales","No aplica",IF(J488="Funcionamiento Servicios Personales","No aplica",IFERROR(VLOOKUP(J488,Listas!$A$220:$D$224,2,FALSE),"Alerta: Seleccione la celda en la comumna B con el nombre del proyecto")))</f>
        <v>Alerta: Seleccione la celda en la comumna B con el nombre del proyecto</v>
      </c>
      <c r="AM488" s="640" t="str">
        <f>IF(J488="Funcionamiento Gastos Generales","No aplica",IF(J488="Funcionamiento Servicios Personales","No aplica",IFERROR(VLOOKUP(J488,Listas!$A$220:$D$224,3,FALSE),"Alerta: Seleccione la celda en la comumna B con el nombre del proyecto")))</f>
        <v>Alerta: Seleccione la celda en la comumna B con el nombre del proyecto</v>
      </c>
      <c r="AN488" s="633"/>
      <c r="AO488" s="633"/>
      <c r="AP488" s="634" t="str">
        <f>IFERROR(VLOOKUP(J488,Listas!$A$182:$E$215,5,FALSE),"Alerta: Seleccione la celda en la comumna B con el nombre del proyecto")</f>
        <v>Alerta: Seleccione la celda en la comumna B con el nombre del proyecto</v>
      </c>
      <c r="AQ488" s="634" t="str">
        <f>IF(J488="Funcionamiento Gastos Generales","No aplica",IF(J488="Funcionamiento Servicios Personales","No aplica",IFERROR(VLOOKUP(J488,Listas!$A$220:$D$224,4,FALSE),"Alerta: Seleccione la celda en la comumna B con el nombre del proyecto")))</f>
        <v>Alerta: Seleccione la celda en la comumna B con el nombre del proyecto</v>
      </c>
      <c r="AR488" s="633"/>
      <c r="AS488" s="634" t="str">
        <f>IFERROR(VLOOKUP(AU488,Listas!$E$85:$L$105,7,FALSE),"Alerta: Seleccione la celda en la comumna AI con el concepto de gasto")</f>
        <v>Alerta: Seleccione la celda en la comumna AI con el concepto de gasto</v>
      </c>
      <c r="AT488" s="634" t="str">
        <f>IFERROR(VLOOKUP(AU488,Listas!$E$85:$L$105,8,FALSE),"Alerta: Seleccione la celda en la comumna AI con el concepto de gasto")</f>
        <v>Alerta: Seleccione la celda en la comumna AI con el concepto de gasto</v>
      </c>
      <c r="AU488" s="633"/>
      <c r="AV488" s="634" t="str">
        <f>IFERROR(VLOOKUP(AU488,Listas!$E$85:$F$105,2,FALSE),"Alerta: Seleccione el Concepto de Gasto primero")</f>
        <v>Alerta: Seleccione el Concepto de Gasto primero</v>
      </c>
      <c r="AW488" s="644">
        <v>2040000</v>
      </c>
      <c r="AX488" s="645"/>
      <c r="AY488" s="645"/>
      <c r="AZ488" s="645"/>
      <c r="BA488" s="646">
        <f t="shared" si="161"/>
        <v>2040000</v>
      </c>
      <c r="BB488" s="647"/>
      <c r="BC488" s="648"/>
      <c r="BD488" s="649"/>
      <c r="BE488" s="647"/>
      <c r="BF488" s="644"/>
      <c r="BG488" s="646">
        <f t="shared" si="162"/>
        <v>2040000</v>
      </c>
      <c r="BH488" s="650"/>
      <c r="BI488" s="647"/>
      <c r="BJ488" s="644"/>
      <c r="BK488" s="646">
        <f t="shared" si="163"/>
        <v>0</v>
      </c>
      <c r="BL488" s="651"/>
      <c r="BM488" s="652">
        <f t="shared" si="164"/>
        <v>1</v>
      </c>
      <c r="BN488" s="628"/>
      <c r="BO488" s="670"/>
      <c r="BP488" s="644"/>
      <c r="BQ488" s="644"/>
      <c r="BR488" s="644"/>
      <c r="BS488" s="644"/>
      <c r="BT488" s="644"/>
      <c r="BU488" s="644"/>
      <c r="BV488" s="644"/>
      <c r="BW488" s="644"/>
      <c r="BX488" s="644"/>
      <c r="BY488" s="644"/>
      <c r="BZ488" s="644"/>
      <c r="CA488" s="644"/>
      <c r="CB488" s="646">
        <f t="shared" si="165"/>
        <v>0</v>
      </c>
      <c r="CC488" s="646">
        <f t="shared" si="166"/>
        <v>0</v>
      </c>
      <c r="CD488" s="614"/>
    </row>
    <row r="489" spans="1:85" s="653" customFormat="1" ht="61.5" customHeight="1">
      <c r="A489" s="625" t="str">
        <f t="shared" si="148"/>
        <v>-0000-00-Alerta: Seleccione la celda en la comumna B con el nombre del proyecto-Al-Al--</v>
      </c>
      <c r="B489" s="626" t="str">
        <f t="shared" si="149"/>
        <v>-0000-00-Alerta: Seleccione la celda en la comumna B con el nombre del proyecto-Al-Al-</v>
      </c>
      <c r="C489" s="626" t="str">
        <f t="shared" si="150"/>
        <v>-0000-00-Alerta: Seleccione la celda en la comumna B con el nombre del proyecto-</v>
      </c>
      <c r="D489" s="626" t="str">
        <f t="shared" si="151"/>
        <v>-0000-00--Al-Al-</v>
      </c>
      <c r="E489" s="626" t="str">
        <f t="shared" si="152"/>
        <v>--</v>
      </c>
      <c r="F489" s="627">
        <v>428</v>
      </c>
      <c r="G489" s="628">
        <f t="shared" si="153"/>
        <v>428</v>
      </c>
      <c r="H489" s="629" t="b">
        <f t="shared" si="154"/>
        <v>0</v>
      </c>
      <c r="I489" s="630" t="s">
        <v>594</v>
      </c>
      <c r="J489" s="627" t="s">
        <v>597</v>
      </c>
      <c r="K489" s="631" t="str">
        <f>+IFERROR(VLOOKUP(J489,Listas!$A$108:$B$114,2,FALSE),"Alerta: Seleccione la celda en la comumna B con el nombre del proyecto")</f>
        <v>3-1-1-00-00-00-0000-00</v>
      </c>
      <c r="L489" s="632">
        <v>80111600</v>
      </c>
      <c r="M489" s="633" t="s">
        <v>1034</v>
      </c>
      <c r="N489" s="634" t="str">
        <f t="shared" si="155"/>
        <v>(Cód. 428) Prestar los servicios de apoyo a la gestión al Instituto Distrital de Patrimonio Cultural para el arreglo y mantenimiento de los jardines y zonas verdes existentes en sus instalaciones.</v>
      </c>
      <c r="O489" s="635">
        <v>43485</v>
      </c>
      <c r="P489" s="636">
        <f>IFERROR(VLOOKUP(W489,'Estimación CRP'!$D$21:$E$30,2,FALSE),0)</f>
        <v>10</v>
      </c>
      <c r="Q489" s="637">
        <f>IF(O489="No aplica","No aplica",WORKDAY.INTL(O489,P489,1,'Estimación CRP'!A675:A691))</f>
        <v>43497</v>
      </c>
      <c r="R489" s="636">
        <f t="shared" si="156"/>
        <v>2</v>
      </c>
      <c r="S489" s="636">
        <f t="shared" si="157"/>
        <v>1</v>
      </c>
      <c r="T489" s="636">
        <f t="shared" si="158"/>
        <v>1</v>
      </c>
      <c r="U489" s="712">
        <v>11</v>
      </c>
      <c r="V489" s="638">
        <v>1</v>
      </c>
      <c r="W489" s="639" t="s">
        <v>274</v>
      </c>
      <c r="X489" s="640" t="str">
        <f>IFERROR(VLOOKUP(W489,Listas!$A$60:$B$73,2,FALSE),"Alerta: Seleccione primero Modalidad de selección")</f>
        <v>CCE-16</v>
      </c>
      <c r="Y489" s="641">
        <v>0</v>
      </c>
      <c r="Z489" s="641" t="s">
        <v>346</v>
      </c>
      <c r="AA489" s="641" t="s">
        <v>1349</v>
      </c>
      <c r="AB489" s="642">
        <f t="shared" si="159"/>
        <v>17600000</v>
      </c>
      <c r="AC489" s="642">
        <f t="shared" si="160"/>
        <v>17600000</v>
      </c>
      <c r="AD489" s="641">
        <v>0</v>
      </c>
      <c r="AE489" s="643">
        <v>0</v>
      </c>
      <c r="AF489" s="639" t="s">
        <v>276</v>
      </c>
      <c r="AG489" s="639" t="s">
        <v>277</v>
      </c>
      <c r="AH489" s="639" t="s">
        <v>283</v>
      </c>
      <c r="AI489" s="626" t="str">
        <f>IFERROR(VLOOKUP(AH489,Listas!$A$77:$C$83,2,FALSE),"Alerta: Seleccione primero el responsable")</f>
        <v>3550800</v>
      </c>
      <c r="AJ489" s="640" t="str">
        <f>IFERROR(VLOOKUP(AH489,Listas!$A$77:$C$83,3,FALSE),"Alerta: Seleccione primero el responsable")</f>
        <v>juan.acosta@idpc.gov.co</v>
      </c>
      <c r="AK489" s="640" t="str">
        <f>IF(J489="Funcionamiento Gastos Generales","No aplica",IF(J489="Funcionamiento Servicios Personales indirectos","No aplica",IFERROR(VLOOKUP(J489,Listas!$A$127:$E$139,3,FALSE),"Alerta: Seleccione la celda en la comumna B con el nombre del proyecto")))</f>
        <v>No aplica</v>
      </c>
      <c r="AL489" s="640" t="str">
        <f>IF(J489="Funcionamiento Gastos Generales","No aplica",IF(J489="Funcionamiento Servicios Personales","No aplica",IFERROR(VLOOKUP(J489,Listas!$A$220:$D$224,2,FALSE),"Alerta: Seleccione la celda en la comumna B con el nombre del proyecto")))</f>
        <v>Alerta: Seleccione la celda en la comumna B con el nombre del proyecto</v>
      </c>
      <c r="AM489" s="640" t="str">
        <f>IF(J489="Funcionamiento Gastos Generales","No aplica",IF(J489="Funcionamiento Servicios Personales","No aplica",IFERROR(VLOOKUP(J489,Listas!$A$220:$D$224,3,FALSE),"Alerta: Seleccione la celda en la comumna B con el nombre del proyecto")))</f>
        <v>Alerta: Seleccione la celda en la comumna B con el nombre del proyecto</v>
      </c>
      <c r="AN489" s="633"/>
      <c r="AO489" s="633"/>
      <c r="AP489" s="634" t="str">
        <f>IFERROR(VLOOKUP(J489,Listas!$A$182:$E$215,5,FALSE),"Alerta: Seleccione la celda en la comumna B con el nombre del proyecto")</f>
        <v>Alerta: Seleccione la celda en la comumna B con el nombre del proyecto</v>
      </c>
      <c r="AQ489" s="634" t="str">
        <f>IF(J489="Funcionamiento Gastos Generales","No aplica",IF(J489="Funcionamiento Servicios Personales","No aplica",IFERROR(VLOOKUP(J489,Listas!$A$220:$D$224,4,FALSE),"Alerta: Seleccione la celda en la comumna B con el nombre del proyecto")))</f>
        <v>Alerta: Seleccione la celda en la comumna B con el nombre del proyecto</v>
      </c>
      <c r="AR489" s="633"/>
      <c r="AS489" s="634" t="str">
        <f>IFERROR(VLOOKUP(AU489,Listas!$E$85:$L$105,7,FALSE),"Alerta: Seleccione la celda en la comumna AI con el concepto de gasto")</f>
        <v>Alerta: Seleccione la celda en la comumna AI con el concepto de gasto</v>
      </c>
      <c r="AT489" s="634" t="str">
        <f>IFERROR(VLOOKUP(AU489,Listas!$E$85:$L$105,8,FALSE),"Alerta: Seleccione la celda en la comumna AI con el concepto de gasto")</f>
        <v>Alerta: Seleccione la celda en la comumna AI con el concepto de gasto</v>
      </c>
      <c r="AU489" s="633"/>
      <c r="AV489" s="634" t="str">
        <f>IFERROR(VLOOKUP(AU489,Listas!$E$85:$F$105,2,FALSE),"Alerta: Seleccione el Concepto de Gasto primero")</f>
        <v>Alerta: Seleccione el Concepto de Gasto primero</v>
      </c>
      <c r="AW489" s="644">
        <v>17600000</v>
      </c>
      <c r="AX489" s="645"/>
      <c r="AY489" s="645"/>
      <c r="AZ489" s="645"/>
      <c r="BA489" s="646">
        <f t="shared" si="161"/>
        <v>17600000</v>
      </c>
      <c r="BB489" s="647"/>
      <c r="BC489" s="648"/>
      <c r="BD489" s="649"/>
      <c r="BE489" s="647"/>
      <c r="BF489" s="644"/>
      <c r="BG489" s="646">
        <f t="shared" si="162"/>
        <v>17600000</v>
      </c>
      <c r="BH489" s="650"/>
      <c r="BI489" s="647"/>
      <c r="BJ489" s="644"/>
      <c r="BK489" s="646">
        <f t="shared" si="163"/>
        <v>0</v>
      </c>
      <c r="BL489" s="651"/>
      <c r="BM489" s="652">
        <f t="shared" si="164"/>
        <v>1</v>
      </c>
      <c r="BN489" s="628"/>
      <c r="BO489" s="670"/>
      <c r="BP489" s="644"/>
      <c r="BQ489" s="644"/>
      <c r="BR489" s="644"/>
      <c r="BS489" s="644"/>
      <c r="BT489" s="644"/>
      <c r="BU489" s="644"/>
      <c r="BV489" s="644"/>
      <c r="BW489" s="644"/>
      <c r="BX489" s="644"/>
      <c r="BY489" s="644"/>
      <c r="BZ489" s="644"/>
      <c r="CA489" s="644"/>
      <c r="CB489" s="646">
        <f t="shared" si="165"/>
        <v>0</v>
      </c>
      <c r="CC489" s="646">
        <f t="shared" si="166"/>
        <v>0</v>
      </c>
      <c r="CD489" s="614"/>
    </row>
    <row r="490" spans="1:85" s="653" customFormat="1" ht="61.5" customHeight="1">
      <c r="A490" s="625" t="str">
        <f t="shared" si="148"/>
        <v>-0000-00-Alerta: Seleccione la celda en la comumna B con el nombre del proyecto-Al-Al--</v>
      </c>
      <c r="B490" s="626" t="str">
        <f t="shared" si="149"/>
        <v>-0000-00-Alerta: Seleccione la celda en la comumna B con el nombre del proyecto-Al-Al-</v>
      </c>
      <c r="C490" s="626" t="str">
        <f t="shared" si="150"/>
        <v>-0000-00-Alerta: Seleccione la celda en la comumna B con el nombre del proyecto-</v>
      </c>
      <c r="D490" s="626" t="str">
        <f t="shared" si="151"/>
        <v>-0000-00--Al-Al-</v>
      </c>
      <c r="E490" s="626" t="str">
        <f t="shared" si="152"/>
        <v>--</v>
      </c>
      <c r="F490" s="627" t="s">
        <v>346</v>
      </c>
      <c r="G490" s="628" t="str">
        <f t="shared" si="153"/>
        <v>N.A.</v>
      </c>
      <c r="H490" s="629" t="b">
        <f t="shared" si="154"/>
        <v>0</v>
      </c>
      <c r="I490" s="630" t="s">
        <v>595</v>
      </c>
      <c r="J490" s="627" t="s">
        <v>597</v>
      </c>
      <c r="K490" s="631" t="str">
        <f>+IFERROR(VLOOKUP(J490,Listas!$A$108:$B$114,2,FALSE),"Alerta: Seleccione la celda en la comumna B con el nombre del proyecto")</f>
        <v>3-1-1-00-00-00-0000-00</v>
      </c>
      <c r="L490" s="632" t="s">
        <v>351</v>
      </c>
      <c r="M490" s="633" t="s">
        <v>1035</v>
      </c>
      <c r="N490" s="634" t="str">
        <f t="shared" si="155"/>
        <v>(Cód. N.A.) Honorarios Junta Directiva</v>
      </c>
      <c r="O490" s="635">
        <v>43485</v>
      </c>
      <c r="P490" s="636">
        <f>IFERROR(VLOOKUP(W490,'Estimación CRP'!$D$21:$E$30,2,FALSE),0)</f>
        <v>0</v>
      </c>
      <c r="Q490" s="637">
        <f>IF(O490="No aplica","No aplica",WORKDAY.INTL(O490,P490,1,'Estimación CRP'!A676:A692))</f>
        <v>43485</v>
      </c>
      <c r="R490" s="636">
        <f t="shared" si="156"/>
        <v>1</v>
      </c>
      <c r="S490" s="636">
        <f t="shared" si="157"/>
        <v>1</v>
      </c>
      <c r="T490" s="636">
        <f t="shared" si="158"/>
        <v>1</v>
      </c>
      <c r="U490" s="638">
        <v>10</v>
      </c>
      <c r="V490" s="638">
        <v>1</v>
      </c>
      <c r="W490" s="639" t="s">
        <v>351</v>
      </c>
      <c r="X490" s="640" t="str">
        <f>IFERROR(VLOOKUP(W490,Listas!$A$60:$B$73,2,FALSE),"Alerta: Seleccione primero Modalidad de selección")</f>
        <v>No aplica</v>
      </c>
      <c r="Y490" s="641">
        <v>0</v>
      </c>
      <c r="Z490" s="641" t="s">
        <v>346</v>
      </c>
      <c r="AA490" s="641" t="s">
        <v>1350</v>
      </c>
      <c r="AB490" s="642">
        <f t="shared" si="159"/>
        <v>15769736</v>
      </c>
      <c r="AC490" s="642">
        <f t="shared" si="160"/>
        <v>15769736</v>
      </c>
      <c r="AD490" s="641">
        <v>0</v>
      </c>
      <c r="AE490" s="643">
        <v>0</v>
      </c>
      <c r="AF490" s="639" t="s">
        <v>276</v>
      </c>
      <c r="AG490" s="639" t="s">
        <v>277</v>
      </c>
      <c r="AH490" s="639" t="s">
        <v>283</v>
      </c>
      <c r="AI490" s="626" t="str">
        <f>IFERROR(VLOOKUP(AH490,Listas!$A$77:$C$83,2,FALSE),"Alerta: Seleccione primero el responsable")</f>
        <v>3550800</v>
      </c>
      <c r="AJ490" s="640" t="str">
        <f>IFERROR(VLOOKUP(AH490,Listas!$A$77:$C$83,3,FALSE),"Alerta: Seleccione primero el responsable")</f>
        <v>juan.acosta@idpc.gov.co</v>
      </c>
      <c r="AK490" s="640" t="str">
        <f>IF(J490="Funcionamiento Gastos Generales","No aplica",IF(J490="Funcionamiento Servicios Personales indirectos","No aplica",IFERROR(VLOOKUP(J490,Listas!$A$127:$E$139,3,FALSE),"Alerta: Seleccione la celda en la comumna B con el nombre del proyecto")))</f>
        <v>No aplica</v>
      </c>
      <c r="AL490" s="640" t="str">
        <f>IF(J490="Funcionamiento Gastos Generales","No aplica",IF(J490="Funcionamiento Servicios Personales","No aplica",IFERROR(VLOOKUP(J490,Listas!$A$220:$D$224,2,FALSE),"Alerta: Seleccione la celda en la comumna B con el nombre del proyecto")))</f>
        <v>Alerta: Seleccione la celda en la comumna B con el nombre del proyecto</v>
      </c>
      <c r="AM490" s="640" t="str">
        <f>IF(J490="Funcionamiento Gastos Generales","No aplica",IF(J490="Funcionamiento Servicios Personales","No aplica",IFERROR(VLOOKUP(J490,Listas!$A$220:$D$224,3,FALSE),"Alerta: Seleccione la celda en la comumna B con el nombre del proyecto")))</f>
        <v>Alerta: Seleccione la celda en la comumna B con el nombre del proyecto</v>
      </c>
      <c r="AN490" s="633"/>
      <c r="AO490" s="633"/>
      <c r="AP490" s="634" t="str">
        <f>IFERROR(VLOOKUP(J490,Listas!$A$182:$E$215,5,FALSE),"Alerta: Seleccione la celda en la comumna B con el nombre del proyecto")</f>
        <v>Alerta: Seleccione la celda en la comumna B con el nombre del proyecto</v>
      </c>
      <c r="AQ490" s="634" t="str">
        <f>IF(J490="Funcionamiento Gastos Generales","No aplica",IF(J490="Funcionamiento Servicios Personales","No aplica",IFERROR(VLOOKUP(J490,Listas!$A$220:$D$224,4,FALSE),"Alerta: Seleccione la celda en la comumna B con el nombre del proyecto")))</f>
        <v>Alerta: Seleccione la celda en la comumna B con el nombre del proyecto</v>
      </c>
      <c r="AR490" s="633"/>
      <c r="AS490" s="634" t="str">
        <f>IFERROR(VLOOKUP(AU490,Listas!$E$85:$L$105,7,FALSE),"Alerta: Seleccione la celda en la comumna AI con el concepto de gasto")</f>
        <v>Alerta: Seleccione la celda en la comumna AI con el concepto de gasto</v>
      </c>
      <c r="AT490" s="634" t="str">
        <f>IFERROR(VLOOKUP(AU490,Listas!$E$85:$L$105,8,FALSE),"Alerta: Seleccione la celda en la comumna AI con el concepto de gasto")</f>
        <v>Alerta: Seleccione la celda en la comumna AI con el concepto de gasto</v>
      </c>
      <c r="AU490" s="633"/>
      <c r="AV490" s="634" t="str">
        <f>IFERROR(VLOOKUP(AU490,Listas!$E$85:$F$105,2,FALSE),"Alerta: Seleccione el Concepto de Gasto primero")</f>
        <v>Alerta: Seleccione el Concepto de Gasto primero</v>
      </c>
      <c r="AW490" s="644">
        <v>15769736</v>
      </c>
      <c r="AX490" s="645"/>
      <c r="AY490" s="645"/>
      <c r="AZ490" s="645"/>
      <c r="BA490" s="646">
        <f t="shared" si="161"/>
        <v>15769736</v>
      </c>
      <c r="BB490" s="647"/>
      <c r="BC490" s="648"/>
      <c r="BD490" s="649"/>
      <c r="BE490" s="647"/>
      <c r="BF490" s="644"/>
      <c r="BG490" s="646">
        <f t="shared" si="162"/>
        <v>15769736</v>
      </c>
      <c r="BH490" s="650"/>
      <c r="BI490" s="647"/>
      <c r="BJ490" s="644"/>
      <c r="BK490" s="646">
        <f t="shared" si="163"/>
        <v>0</v>
      </c>
      <c r="BL490" s="651"/>
      <c r="BM490" s="652">
        <f t="shared" si="164"/>
        <v>1</v>
      </c>
      <c r="BN490" s="628"/>
      <c r="BO490" s="670"/>
      <c r="BP490" s="644"/>
      <c r="BQ490" s="644"/>
      <c r="BR490" s="644"/>
      <c r="BS490" s="644"/>
      <c r="BT490" s="644"/>
      <c r="BU490" s="644"/>
      <c r="BV490" s="644"/>
      <c r="BW490" s="644"/>
      <c r="BX490" s="644"/>
      <c r="BY490" s="644"/>
      <c r="BZ490" s="644"/>
      <c r="CA490" s="644"/>
      <c r="CB490" s="646">
        <f t="shared" si="165"/>
        <v>0</v>
      </c>
      <c r="CC490" s="646">
        <f t="shared" si="166"/>
        <v>0</v>
      </c>
      <c r="CD490" s="614"/>
      <c r="CG490" s="561" t="s">
        <v>589</v>
      </c>
    </row>
    <row r="491" spans="1:85" s="653" customFormat="1" ht="61.5" customHeight="1">
      <c r="A491" s="625" t="str">
        <f t="shared" si="148"/>
        <v>-0000-00-Alerta: Seleccione la celda en la comumna B con el nombre del proyecto-Al-Al--</v>
      </c>
      <c r="B491" s="626" t="str">
        <f t="shared" si="149"/>
        <v>-0000-00-Alerta: Seleccione la celda en la comumna B con el nombre del proyecto-Al-Al-</v>
      </c>
      <c r="C491" s="626" t="str">
        <f t="shared" si="150"/>
        <v>-0000-00-Alerta: Seleccione la celda en la comumna B con el nombre del proyecto-</v>
      </c>
      <c r="D491" s="626" t="str">
        <f t="shared" si="151"/>
        <v>-0000-00--Al-Al-</v>
      </c>
      <c r="E491" s="626" t="str">
        <f t="shared" si="152"/>
        <v>--</v>
      </c>
      <c r="F491" s="627">
        <v>429</v>
      </c>
      <c r="G491" s="628">
        <f t="shared" si="153"/>
        <v>429</v>
      </c>
      <c r="H491" s="629" t="b">
        <f t="shared" si="154"/>
        <v>0</v>
      </c>
      <c r="I491" s="630" t="s">
        <v>594</v>
      </c>
      <c r="J491" s="627" t="s">
        <v>597</v>
      </c>
      <c r="K491" s="631" t="str">
        <f>+IFERROR(VLOOKUP(J491,Listas!$A$108:$B$114,2,FALSE),"Alerta: Seleccione la celda en la comumna B con el nombre del proyecto")</f>
        <v>3-1-1-00-00-00-0000-00</v>
      </c>
      <c r="L491" s="632">
        <v>80111600</v>
      </c>
      <c r="M491" s="633" t="s">
        <v>1036</v>
      </c>
      <c r="N491" s="634" t="str">
        <f t="shared" si="155"/>
        <v>(Cód. 429) Prestar servicios de apoyo a la gestión en la conducción de los vehículos de propiedad del Instituto Distrital de Patrimonio Cultural.</v>
      </c>
      <c r="O491" s="635">
        <v>43585</v>
      </c>
      <c r="P491" s="636">
        <f>IFERROR(VLOOKUP(W491,'Estimación CRP'!$D$21:$E$30,2,FALSE),0)</f>
        <v>10</v>
      </c>
      <c r="Q491" s="637">
        <f>IF(O491="No aplica","No aplica",WORKDAY.INTL(O491,P491,1,'Estimación CRP'!A677:A693))</f>
        <v>43599</v>
      </c>
      <c r="R491" s="636">
        <f t="shared" si="156"/>
        <v>5</v>
      </c>
      <c r="S491" s="636">
        <f t="shared" si="157"/>
        <v>4</v>
      </c>
      <c r="T491" s="636">
        <f t="shared" si="158"/>
        <v>4</v>
      </c>
      <c r="U491" s="712">
        <v>7</v>
      </c>
      <c r="V491" s="638">
        <v>1</v>
      </c>
      <c r="W491" s="639" t="s">
        <v>274</v>
      </c>
      <c r="X491" s="640" t="str">
        <f>IFERROR(VLOOKUP(W491,Listas!$A$60:$B$73,2,FALSE),"Alerta: Seleccione primero Modalidad de selección")</f>
        <v>CCE-16</v>
      </c>
      <c r="Y491" s="641">
        <v>0</v>
      </c>
      <c r="Z491" s="641" t="s">
        <v>346</v>
      </c>
      <c r="AA491" s="641" t="s">
        <v>1165</v>
      </c>
      <c r="AB491" s="642">
        <f t="shared" si="159"/>
        <v>16240000</v>
      </c>
      <c r="AC491" s="642">
        <f t="shared" si="160"/>
        <v>16240000</v>
      </c>
      <c r="AD491" s="641">
        <v>0</v>
      </c>
      <c r="AE491" s="643">
        <v>0</v>
      </c>
      <c r="AF491" s="639" t="s">
        <v>276</v>
      </c>
      <c r="AG491" s="639" t="s">
        <v>277</v>
      </c>
      <c r="AH491" s="639" t="s">
        <v>283</v>
      </c>
      <c r="AI491" s="626" t="str">
        <f>IFERROR(VLOOKUP(AH491,Listas!$A$77:$C$83,2,FALSE),"Alerta: Seleccione primero el responsable")</f>
        <v>3550800</v>
      </c>
      <c r="AJ491" s="640" t="str">
        <f>IFERROR(VLOOKUP(AH491,Listas!$A$77:$C$83,3,FALSE),"Alerta: Seleccione primero el responsable")</f>
        <v>juan.acosta@idpc.gov.co</v>
      </c>
      <c r="AK491" s="640" t="str">
        <f>IF(J491="Funcionamiento Gastos Generales","No aplica",IF(J491="Funcionamiento Servicios Personales indirectos","No aplica",IFERROR(VLOOKUP(J491,Listas!$A$127:$E$139,3,FALSE),"Alerta: Seleccione la celda en la comumna B con el nombre del proyecto")))</f>
        <v>No aplica</v>
      </c>
      <c r="AL491" s="640" t="str">
        <f>IF(J491="Funcionamiento Gastos Generales","No aplica",IF(J491="Funcionamiento Servicios Personales","No aplica",IFERROR(VLOOKUP(J491,Listas!$A$220:$D$224,2,FALSE),"Alerta: Seleccione la celda en la comumna B con el nombre del proyecto")))</f>
        <v>Alerta: Seleccione la celda en la comumna B con el nombre del proyecto</v>
      </c>
      <c r="AM491" s="640" t="str">
        <f>IF(J491="Funcionamiento Gastos Generales","No aplica",IF(J491="Funcionamiento Servicios Personales","No aplica",IFERROR(VLOOKUP(J491,Listas!$A$220:$D$224,3,FALSE),"Alerta: Seleccione la celda en la comumna B con el nombre del proyecto")))</f>
        <v>Alerta: Seleccione la celda en la comumna B con el nombre del proyecto</v>
      </c>
      <c r="AN491" s="633"/>
      <c r="AO491" s="633"/>
      <c r="AP491" s="634" t="str">
        <f>IFERROR(VLOOKUP(J491,Listas!$A$182:$E$215,5,FALSE),"Alerta: Seleccione la celda en la comumna B con el nombre del proyecto")</f>
        <v>Alerta: Seleccione la celda en la comumna B con el nombre del proyecto</v>
      </c>
      <c r="AQ491" s="634" t="str">
        <f>IF(J491="Funcionamiento Gastos Generales","No aplica",IF(J491="Funcionamiento Servicios Personales","No aplica",IFERROR(VLOOKUP(J491,Listas!$A$220:$D$224,4,FALSE),"Alerta: Seleccione la celda en la comumna B con el nombre del proyecto")))</f>
        <v>Alerta: Seleccione la celda en la comumna B con el nombre del proyecto</v>
      </c>
      <c r="AR491" s="633"/>
      <c r="AS491" s="634" t="str">
        <f>IFERROR(VLOOKUP(AU491,Listas!$E$85:$L$105,7,FALSE),"Alerta: Seleccione la celda en la comumna AI con el concepto de gasto")</f>
        <v>Alerta: Seleccione la celda en la comumna AI con el concepto de gasto</v>
      </c>
      <c r="AT491" s="634" t="str">
        <f>IFERROR(VLOOKUP(AU491,Listas!$E$85:$L$105,8,FALSE),"Alerta: Seleccione la celda en la comumna AI con el concepto de gasto")</f>
        <v>Alerta: Seleccione la celda en la comumna AI con el concepto de gasto</v>
      </c>
      <c r="AU491" s="633"/>
      <c r="AV491" s="634" t="str">
        <f>IFERROR(VLOOKUP(AU491,Listas!$E$85:$F$105,2,FALSE),"Alerta: Seleccione el Concepto de Gasto primero")</f>
        <v>Alerta: Seleccione el Concepto de Gasto primero</v>
      </c>
      <c r="AW491" s="644">
        <v>16240000</v>
      </c>
      <c r="AX491" s="645"/>
      <c r="AY491" s="645"/>
      <c r="AZ491" s="645"/>
      <c r="BA491" s="646">
        <f t="shared" si="161"/>
        <v>16240000</v>
      </c>
      <c r="BB491" s="647"/>
      <c r="BC491" s="648"/>
      <c r="BD491" s="649"/>
      <c r="BE491" s="647"/>
      <c r="BF491" s="644"/>
      <c r="BG491" s="646">
        <f t="shared" si="162"/>
        <v>16240000</v>
      </c>
      <c r="BH491" s="650"/>
      <c r="BI491" s="647"/>
      <c r="BJ491" s="644"/>
      <c r="BK491" s="646">
        <f t="shared" si="163"/>
        <v>0</v>
      </c>
      <c r="BL491" s="651"/>
      <c r="BM491" s="652">
        <f t="shared" si="164"/>
        <v>1</v>
      </c>
      <c r="BN491" s="628"/>
      <c r="BO491" s="670"/>
      <c r="BP491" s="644"/>
      <c r="BQ491" s="644"/>
      <c r="BR491" s="644"/>
      <c r="BS491" s="644"/>
      <c r="BT491" s="644"/>
      <c r="BU491" s="644"/>
      <c r="BV491" s="644"/>
      <c r="BW491" s="644"/>
      <c r="BX491" s="644"/>
      <c r="BY491" s="644"/>
      <c r="BZ491" s="644"/>
      <c r="CA491" s="644"/>
      <c r="CB491" s="646">
        <f t="shared" si="165"/>
        <v>0</v>
      </c>
      <c r="CC491" s="646">
        <f t="shared" si="166"/>
        <v>0</v>
      </c>
      <c r="CD491" s="614"/>
    </row>
    <row r="492" spans="1:85" s="653" customFormat="1" ht="61.5" customHeight="1">
      <c r="A492" s="625" t="str">
        <f t="shared" si="148"/>
        <v>-0000-00-Alerta: Seleccione la celda en la comumna B con el nombre del proyecto-Al-Al--</v>
      </c>
      <c r="B492" s="626" t="str">
        <f t="shared" si="149"/>
        <v>-0000-00-Alerta: Seleccione la celda en la comumna B con el nombre del proyecto-Al-Al-</v>
      </c>
      <c r="C492" s="626" t="str">
        <f t="shared" si="150"/>
        <v>-0000-00-Alerta: Seleccione la celda en la comumna B con el nombre del proyecto-</v>
      </c>
      <c r="D492" s="626" t="str">
        <f t="shared" si="151"/>
        <v>-0000-00--Al-Al-</v>
      </c>
      <c r="E492" s="626" t="str">
        <f t="shared" si="152"/>
        <v>--</v>
      </c>
      <c r="F492" s="627">
        <v>430</v>
      </c>
      <c r="G492" s="628">
        <f t="shared" si="153"/>
        <v>430</v>
      </c>
      <c r="H492" s="629" t="b">
        <f t="shared" si="154"/>
        <v>0</v>
      </c>
      <c r="I492" s="630" t="s">
        <v>594</v>
      </c>
      <c r="J492" s="627" t="s">
        <v>597</v>
      </c>
      <c r="K492" s="631" t="str">
        <f>+IFERROR(VLOOKUP(J492,Listas!$A$108:$B$114,2,FALSE),"Alerta: Seleccione la celda en la comumna B con el nombre del proyecto")</f>
        <v>3-1-1-00-00-00-0000-00</v>
      </c>
      <c r="L492" s="632">
        <v>80111600</v>
      </c>
      <c r="M492" s="633" t="s">
        <v>1037</v>
      </c>
      <c r="N492" s="634" t="str">
        <f t="shared" si="155"/>
        <v>(Cód. 430) Prestar servicios de apoyo a la gestión en la conducción y traslado del personal y bienes en los vehículos de propiedad del Instituto Distrital de Patrimonio Cultural.</v>
      </c>
      <c r="O492" s="635">
        <v>43485</v>
      </c>
      <c r="P492" s="636">
        <f>IFERROR(VLOOKUP(W492,'Estimación CRP'!$D$21:$E$30,2,FALSE),0)</f>
        <v>10</v>
      </c>
      <c r="Q492" s="637">
        <f>IF(O492="No aplica","No aplica",WORKDAY.INTL(O492,P492,1,'Estimación CRP'!A678:A694))</f>
        <v>43497</v>
      </c>
      <c r="R492" s="636">
        <f t="shared" si="156"/>
        <v>2</v>
      </c>
      <c r="S492" s="636">
        <f t="shared" si="157"/>
        <v>1</v>
      </c>
      <c r="T492" s="636">
        <f t="shared" si="158"/>
        <v>1</v>
      </c>
      <c r="U492" s="712">
        <v>11</v>
      </c>
      <c r="V492" s="638">
        <v>1</v>
      </c>
      <c r="W492" s="639" t="s">
        <v>274</v>
      </c>
      <c r="X492" s="640" t="str">
        <f>IFERROR(VLOOKUP(W492,Listas!$A$60:$B$73,2,FALSE),"Alerta: Seleccione primero Modalidad de selección")</f>
        <v>CCE-16</v>
      </c>
      <c r="Y492" s="641">
        <v>0</v>
      </c>
      <c r="Z492" s="641" t="s">
        <v>346</v>
      </c>
      <c r="AA492" s="641" t="s">
        <v>1351</v>
      </c>
      <c r="AB492" s="642">
        <f t="shared" si="159"/>
        <v>25520000</v>
      </c>
      <c r="AC492" s="642">
        <f t="shared" si="160"/>
        <v>25520000</v>
      </c>
      <c r="AD492" s="641">
        <v>0</v>
      </c>
      <c r="AE492" s="643">
        <v>0</v>
      </c>
      <c r="AF492" s="639" t="s">
        <v>276</v>
      </c>
      <c r="AG492" s="639" t="s">
        <v>277</v>
      </c>
      <c r="AH492" s="639" t="s">
        <v>283</v>
      </c>
      <c r="AI492" s="626" t="str">
        <f>IFERROR(VLOOKUP(AH492,Listas!$A$77:$C$83,2,FALSE),"Alerta: Seleccione primero el responsable")</f>
        <v>3550800</v>
      </c>
      <c r="AJ492" s="640" t="str">
        <f>IFERROR(VLOOKUP(AH492,Listas!$A$77:$C$83,3,FALSE),"Alerta: Seleccione primero el responsable")</f>
        <v>juan.acosta@idpc.gov.co</v>
      </c>
      <c r="AK492" s="640" t="str">
        <f>IF(J492="Funcionamiento Gastos Generales","No aplica",IF(J492="Funcionamiento Servicios Personales indirectos","No aplica",IFERROR(VLOOKUP(J492,Listas!$A$127:$E$139,3,FALSE),"Alerta: Seleccione la celda en la comumna B con el nombre del proyecto")))</f>
        <v>No aplica</v>
      </c>
      <c r="AL492" s="640" t="str">
        <f>IF(J492="Funcionamiento Gastos Generales","No aplica",IF(J492="Funcionamiento Servicios Personales","No aplica",IFERROR(VLOOKUP(J492,Listas!$A$220:$D$224,2,FALSE),"Alerta: Seleccione la celda en la comumna B con el nombre del proyecto")))</f>
        <v>Alerta: Seleccione la celda en la comumna B con el nombre del proyecto</v>
      </c>
      <c r="AM492" s="640" t="str">
        <f>IF(J492="Funcionamiento Gastos Generales","No aplica",IF(J492="Funcionamiento Servicios Personales","No aplica",IFERROR(VLOOKUP(J492,Listas!$A$220:$D$224,3,FALSE),"Alerta: Seleccione la celda en la comumna B con el nombre del proyecto")))</f>
        <v>Alerta: Seleccione la celda en la comumna B con el nombre del proyecto</v>
      </c>
      <c r="AN492" s="633"/>
      <c r="AO492" s="633"/>
      <c r="AP492" s="634" t="str">
        <f>IFERROR(VLOOKUP(J492,Listas!$A$182:$E$215,5,FALSE),"Alerta: Seleccione la celda en la comumna B con el nombre del proyecto")</f>
        <v>Alerta: Seleccione la celda en la comumna B con el nombre del proyecto</v>
      </c>
      <c r="AQ492" s="634" t="str">
        <f>IF(J492="Funcionamiento Gastos Generales","No aplica",IF(J492="Funcionamiento Servicios Personales","No aplica",IFERROR(VLOOKUP(J492,Listas!$A$220:$D$224,4,FALSE),"Alerta: Seleccione la celda en la comumna B con el nombre del proyecto")))</f>
        <v>Alerta: Seleccione la celda en la comumna B con el nombre del proyecto</v>
      </c>
      <c r="AR492" s="633"/>
      <c r="AS492" s="634" t="str">
        <f>IFERROR(VLOOKUP(AU492,Listas!$E$85:$L$105,7,FALSE),"Alerta: Seleccione la celda en la comumna AI con el concepto de gasto")</f>
        <v>Alerta: Seleccione la celda en la comumna AI con el concepto de gasto</v>
      </c>
      <c r="AT492" s="634" t="str">
        <f>IFERROR(VLOOKUP(AU492,Listas!$E$85:$L$105,8,FALSE),"Alerta: Seleccione la celda en la comumna AI con el concepto de gasto")</f>
        <v>Alerta: Seleccione la celda en la comumna AI con el concepto de gasto</v>
      </c>
      <c r="AU492" s="633"/>
      <c r="AV492" s="634" t="str">
        <f>IFERROR(VLOOKUP(AU492,Listas!$E$85:$F$105,2,FALSE),"Alerta: Seleccione el Concepto de Gasto primero")</f>
        <v>Alerta: Seleccione el Concepto de Gasto primero</v>
      </c>
      <c r="AW492" s="644">
        <v>25520000</v>
      </c>
      <c r="AX492" s="645"/>
      <c r="AY492" s="645"/>
      <c r="AZ492" s="645"/>
      <c r="BA492" s="646">
        <f t="shared" si="161"/>
        <v>25520000</v>
      </c>
      <c r="BB492" s="647"/>
      <c r="BC492" s="648"/>
      <c r="BD492" s="649"/>
      <c r="BE492" s="647"/>
      <c r="BF492" s="644"/>
      <c r="BG492" s="646">
        <f t="shared" si="162"/>
        <v>25520000</v>
      </c>
      <c r="BH492" s="650"/>
      <c r="BI492" s="647"/>
      <c r="BJ492" s="644"/>
      <c r="BK492" s="646">
        <f t="shared" si="163"/>
        <v>0</v>
      </c>
      <c r="BL492" s="651"/>
      <c r="BM492" s="652">
        <f t="shared" si="164"/>
        <v>1</v>
      </c>
      <c r="BN492" s="628"/>
      <c r="BO492" s="670"/>
      <c r="BP492" s="644"/>
      <c r="BQ492" s="644"/>
      <c r="BR492" s="644"/>
      <c r="BS492" s="644"/>
      <c r="BT492" s="644"/>
      <c r="BU492" s="644"/>
      <c r="BV492" s="644"/>
      <c r="BW492" s="644"/>
      <c r="BX492" s="644"/>
      <c r="BY492" s="644"/>
      <c r="BZ492" s="644"/>
      <c r="CA492" s="644"/>
      <c r="CB492" s="646">
        <f t="shared" si="165"/>
        <v>0</v>
      </c>
      <c r="CC492" s="646">
        <f t="shared" si="166"/>
        <v>0</v>
      </c>
      <c r="CD492" s="614"/>
      <c r="CG492" s="561" t="s">
        <v>589</v>
      </c>
    </row>
    <row r="493" spans="1:85" s="561" customFormat="1" ht="61.5" customHeight="1">
      <c r="A493" s="625" t="str">
        <f t="shared" si="148"/>
        <v>-0000-00-Alerta: Seleccione la celda en la comumna B con el nombre del proyecto-Al-Al--</v>
      </c>
      <c r="B493" s="626" t="str">
        <f t="shared" si="149"/>
        <v>-0000-00-Alerta: Seleccione la celda en la comumna B con el nombre del proyecto-Al-Al-</v>
      </c>
      <c r="C493" s="626" t="str">
        <f t="shared" si="150"/>
        <v>-0000-00-Alerta: Seleccione la celda en la comumna B con el nombre del proyecto-</v>
      </c>
      <c r="D493" s="626" t="str">
        <f t="shared" si="151"/>
        <v>-0000-00--Al-Al-</v>
      </c>
      <c r="E493" s="626" t="str">
        <f t="shared" si="152"/>
        <v>--</v>
      </c>
      <c r="F493" s="627">
        <v>431</v>
      </c>
      <c r="G493" s="628">
        <f t="shared" si="153"/>
        <v>431</v>
      </c>
      <c r="H493" s="629" t="b">
        <f t="shared" si="154"/>
        <v>0</v>
      </c>
      <c r="I493" s="630" t="s">
        <v>594</v>
      </c>
      <c r="J493" s="627" t="s">
        <v>597</v>
      </c>
      <c r="K493" s="631" t="str">
        <f>+IFERROR(VLOOKUP(J493,Listas!$A$108:$B$114,2,FALSE),"Alerta: Seleccione la celda en la comumna B con el nombre del proyecto")</f>
        <v>3-1-1-00-00-00-0000-00</v>
      </c>
      <c r="L493" s="632">
        <v>80111600</v>
      </c>
      <c r="M493" s="633" t="s">
        <v>1038</v>
      </c>
      <c r="N493" s="634" t="str">
        <f t="shared" si="155"/>
        <v>(Cód. 431) Prestar servicios de apoyo a la gestión en el mantenimiento de los bienes de propiedad del  Instituto Distrital de Patrimonio Cultural.</v>
      </c>
      <c r="O493" s="635">
        <v>43485</v>
      </c>
      <c r="P493" s="636">
        <f>IFERROR(VLOOKUP(W493,'Estimación CRP'!$D$21:$E$30,2,FALSE),0)</f>
        <v>10</v>
      </c>
      <c r="Q493" s="637">
        <f>IF(O493="No aplica","No aplica",WORKDAY.INTL(O493,P493,1,'Estimación CRP'!A679:A695))</f>
        <v>43497</v>
      </c>
      <c r="R493" s="636">
        <f t="shared" si="156"/>
        <v>2</v>
      </c>
      <c r="S493" s="636">
        <f t="shared" si="157"/>
        <v>1</v>
      </c>
      <c r="T493" s="636">
        <f t="shared" si="158"/>
        <v>1</v>
      </c>
      <c r="U493" s="712">
        <v>11</v>
      </c>
      <c r="V493" s="638">
        <v>1</v>
      </c>
      <c r="W493" s="639" t="s">
        <v>274</v>
      </c>
      <c r="X493" s="640" t="str">
        <f>IFERROR(VLOOKUP(W493,Listas!$A$60:$B$73,2,FALSE),"Alerta: Seleccione primero Modalidad de selección")</f>
        <v>CCE-16</v>
      </c>
      <c r="Y493" s="641">
        <v>0</v>
      </c>
      <c r="Z493" s="641" t="s">
        <v>346</v>
      </c>
      <c r="AA493" s="641" t="s">
        <v>1352</v>
      </c>
      <c r="AB493" s="642">
        <f t="shared" si="159"/>
        <v>17600000</v>
      </c>
      <c r="AC493" s="642">
        <f t="shared" si="160"/>
        <v>17600000</v>
      </c>
      <c r="AD493" s="641">
        <v>0</v>
      </c>
      <c r="AE493" s="643">
        <v>0</v>
      </c>
      <c r="AF493" s="639" t="s">
        <v>276</v>
      </c>
      <c r="AG493" s="639" t="s">
        <v>277</v>
      </c>
      <c r="AH493" s="639" t="s">
        <v>283</v>
      </c>
      <c r="AI493" s="626" t="str">
        <f>IFERROR(VLOOKUP(AH493,Listas!$A$77:$C$83,2,FALSE),"Alerta: Seleccione primero el responsable")</f>
        <v>3550800</v>
      </c>
      <c r="AJ493" s="640" t="str">
        <f>IFERROR(VLOOKUP(AH493,Listas!$A$77:$C$83,3,FALSE),"Alerta: Seleccione primero el responsable")</f>
        <v>juan.acosta@idpc.gov.co</v>
      </c>
      <c r="AK493" s="640" t="str">
        <f>IF(J493="Funcionamiento Gastos Generales","No aplica",IF(J493="Funcionamiento Servicios Personales indirectos","No aplica",IFERROR(VLOOKUP(J493,Listas!$A$127:$E$139,3,FALSE),"Alerta: Seleccione la celda en la comumna B con el nombre del proyecto")))</f>
        <v>No aplica</v>
      </c>
      <c r="AL493" s="640" t="str">
        <f>IF(J493="Funcionamiento Gastos Generales","No aplica",IF(J493="Funcionamiento Servicios Personales","No aplica",IFERROR(VLOOKUP(J493,Listas!$A$220:$D$224,2,FALSE),"Alerta: Seleccione la celda en la comumna B con el nombre del proyecto")))</f>
        <v>Alerta: Seleccione la celda en la comumna B con el nombre del proyecto</v>
      </c>
      <c r="AM493" s="640" t="str">
        <f>IF(J493="Funcionamiento Gastos Generales","No aplica",IF(J493="Funcionamiento Servicios Personales","No aplica",IFERROR(VLOOKUP(J493,Listas!$A$220:$D$224,3,FALSE),"Alerta: Seleccione la celda en la comumna B con el nombre del proyecto")))</f>
        <v>Alerta: Seleccione la celda en la comumna B con el nombre del proyecto</v>
      </c>
      <c r="AN493" s="633"/>
      <c r="AO493" s="633"/>
      <c r="AP493" s="634" t="str">
        <f>IFERROR(VLOOKUP(J493,Listas!$A$182:$E$215,5,FALSE),"Alerta: Seleccione la celda en la comumna B con el nombre del proyecto")</f>
        <v>Alerta: Seleccione la celda en la comumna B con el nombre del proyecto</v>
      </c>
      <c r="AQ493" s="634" t="str">
        <f>IF(J493="Funcionamiento Gastos Generales","No aplica",IF(J493="Funcionamiento Servicios Personales","No aplica",IFERROR(VLOOKUP(J493,Listas!$A$220:$D$224,4,FALSE),"Alerta: Seleccione la celda en la comumna B con el nombre del proyecto")))</f>
        <v>Alerta: Seleccione la celda en la comumna B con el nombre del proyecto</v>
      </c>
      <c r="AR493" s="633"/>
      <c r="AS493" s="634" t="str">
        <f>IFERROR(VLOOKUP(AU493,Listas!$E$85:$L$105,7,FALSE),"Alerta: Seleccione la celda en la comumna AI con el concepto de gasto")</f>
        <v>Alerta: Seleccione la celda en la comumna AI con el concepto de gasto</v>
      </c>
      <c r="AT493" s="634" t="str">
        <f>IFERROR(VLOOKUP(AU493,Listas!$E$85:$L$105,8,FALSE),"Alerta: Seleccione la celda en la comumna AI con el concepto de gasto")</f>
        <v>Alerta: Seleccione la celda en la comumna AI con el concepto de gasto</v>
      </c>
      <c r="AU493" s="633"/>
      <c r="AV493" s="634" t="str">
        <f>IFERROR(VLOOKUP(AU493,Listas!$E$85:$F$105,2,FALSE),"Alerta: Seleccione el Concepto de Gasto primero")</f>
        <v>Alerta: Seleccione el Concepto de Gasto primero</v>
      </c>
      <c r="AW493" s="644">
        <v>17600000</v>
      </c>
      <c r="AX493" s="645"/>
      <c r="AY493" s="645"/>
      <c r="AZ493" s="645"/>
      <c r="BA493" s="646">
        <f t="shared" si="161"/>
        <v>17600000</v>
      </c>
      <c r="BB493" s="647"/>
      <c r="BC493" s="648"/>
      <c r="BD493" s="649"/>
      <c r="BE493" s="647"/>
      <c r="BF493" s="644"/>
      <c r="BG493" s="646">
        <f t="shared" si="162"/>
        <v>17600000</v>
      </c>
      <c r="BH493" s="650"/>
      <c r="BI493" s="647"/>
      <c r="BJ493" s="644"/>
      <c r="BK493" s="646">
        <f t="shared" si="163"/>
        <v>0</v>
      </c>
      <c r="BL493" s="651"/>
      <c r="BM493" s="652">
        <f t="shared" si="164"/>
        <v>1</v>
      </c>
      <c r="BN493" s="628"/>
      <c r="BO493" s="670"/>
      <c r="BP493" s="644"/>
      <c r="BQ493" s="644"/>
      <c r="BR493" s="644"/>
      <c r="BS493" s="644"/>
      <c r="BT493" s="644"/>
      <c r="BU493" s="644"/>
      <c r="BV493" s="644"/>
      <c r="BW493" s="644"/>
      <c r="BX493" s="644"/>
      <c r="BY493" s="644"/>
      <c r="BZ493" s="644"/>
      <c r="CA493" s="644"/>
      <c r="CB493" s="646">
        <f t="shared" si="165"/>
        <v>0</v>
      </c>
      <c r="CC493" s="646">
        <f t="shared" si="166"/>
        <v>0</v>
      </c>
      <c r="CD493" s="614"/>
    </row>
    <row r="494" spans="1:85" s="561" customFormat="1" ht="61.5" customHeight="1">
      <c r="A494" s="625" t="str">
        <f t="shared" si="148"/>
        <v>-0000-00-Alerta: Seleccione la celda en la comumna B con el nombre del proyecto-Al-Al--</v>
      </c>
      <c r="B494" s="626" t="str">
        <f t="shared" si="149"/>
        <v>-0000-00-Alerta: Seleccione la celda en la comumna B con el nombre del proyecto-Al-Al-</v>
      </c>
      <c r="C494" s="626" t="str">
        <f t="shared" si="150"/>
        <v>-0000-00-Alerta: Seleccione la celda en la comumna B con el nombre del proyecto-</v>
      </c>
      <c r="D494" s="626" t="str">
        <f t="shared" si="151"/>
        <v>-0000-00--Al-Al-</v>
      </c>
      <c r="E494" s="626" t="str">
        <f t="shared" si="152"/>
        <v>--</v>
      </c>
      <c r="F494" s="627">
        <v>432</v>
      </c>
      <c r="G494" s="628">
        <f t="shared" si="153"/>
        <v>432</v>
      </c>
      <c r="H494" s="629" t="b">
        <f t="shared" si="154"/>
        <v>0</v>
      </c>
      <c r="I494" s="630" t="s">
        <v>594</v>
      </c>
      <c r="J494" s="627" t="s">
        <v>597</v>
      </c>
      <c r="K494" s="631" t="str">
        <f>+IFERROR(VLOOKUP(J494,Listas!$A$108:$B$114,2,FALSE),"Alerta: Seleccione la celda en la comumna B con el nombre del proyecto")</f>
        <v>3-1-1-00-00-00-0000-00</v>
      </c>
      <c r="L494" s="632" t="s">
        <v>618</v>
      </c>
      <c r="M494" s="633" t="s">
        <v>1039</v>
      </c>
      <c r="N494" s="634" t="str">
        <f t="shared" si="155"/>
        <v>(Cód. 432) Prestar servicios profesionales al Instituto Distrital de Patrimonio Cultural en temas de derecho urbano y administrativo relacionados con la sostenibilidad jurídica del patrimonio cultural del Distrito Capital.</v>
      </c>
      <c r="O494" s="635">
        <v>43485</v>
      </c>
      <c r="P494" s="636">
        <f>IFERROR(VLOOKUP(W494,'Estimación CRP'!$D$21:$E$30,2,FALSE),0)</f>
        <v>10</v>
      </c>
      <c r="Q494" s="637">
        <f>IF(O494="No aplica","No aplica",WORKDAY.INTL(O494,P494,1,'Estimación CRP'!A680:A696))</f>
        <v>43497</v>
      </c>
      <c r="R494" s="636">
        <f t="shared" si="156"/>
        <v>2</v>
      </c>
      <c r="S494" s="636">
        <f t="shared" si="157"/>
        <v>1</v>
      </c>
      <c r="T494" s="636">
        <f t="shared" si="158"/>
        <v>1</v>
      </c>
      <c r="U494" s="712">
        <v>11</v>
      </c>
      <c r="V494" s="638">
        <v>1</v>
      </c>
      <c r="W494" s="639" t="s">
        <v>274</v>
      </c>
      <c r="X494" s="640" t="str">
        <f>IFERROR(VLOOKUP(W494,Listas!$A$60:$B$73,2,FALSE),"Alerta: Seleccione primero Modalidad de selección")</f>
        <v>CCE-16</v>
      </c>
      <c r="Y494" s="641">
        <v>0</v>
      </c>
      <c r="Z494" s="641" t="s">
        <v>346</v>
      </c>
      <c r="AA494" s="641" t="s">
        <v>1353</v>
      </c>
      <c r="AB494" s="642">
        <f t="shared" si="159"/>
        <v>109230000</v>
      </c>
      <c r="AC494" s="642">
        <f t="shared" si="160"/>
        <v>109230000</v>
      </c>
      <c r="AD494" s="641">
        <v>0</v>
      </c>
      <c r="AE494" s="643">
        <v>0</v>
      </c>
      <c r="AF494" s="639" t="s">
        <v>276</v>
      </c>
      <c r="AG494" s="639" t="s">
        <v>277</v>
      </c>
      <c r="AH494" s="639" t="s">
        <v>1040</v>
      </c>
      <c r="AI494" s="626" t="str">
        <f>IFERROR(VLOOKUP(AH494,Listas!$A$77:$C$83,2,FALSE),"Alerta: Seleccione primero el responsable")</f>
        <v>3550800</v>
      </c>
      <c r="AJ494" s="640" t="str">
        <f>IFERROR(VLOOKUP(AH494,Listas!$A$77:$C$83,3,FALSE),"Alerta: Seleccione primero el responsable")</f>
        <v>juan.acosta@idpc.gov.co</v>
      </c>
      <c r="AK494" s="640" t="str">
        <f>IF(J494="Funcionamiento Gastos Generales","No aplica",IF(J494="Funcionamiento Servicios Personales indirectos","No aplica",IFERROR(VLOOKUP(J494,Listas!$A$127:$E$139,3,FALSE),"Alerta: Seleccione la celda en la comumna B con el nombre del proyecto")))</f>
        <v>No aplica</v>
      </c>
      <c r="AL494" s="640" t="str">
        <f>IF(J494="Funcionamiento Gastos Generales","No aplica",IF(J494="Funcionamiento Servicios Personales","No aplica",IFERROR(VLOOKUP(J494,Listas!$A$220:$D$224,2,FALSE),"Alerta: Seleccione la celda en la comumna B con el nombre del proyecto")))</f>
        <v>Alerta: Seleccione la celda en la comumna B con el nombre del proyecto</v>
      </c>
      <c r="AM494" s="640" t="str">
        <f>IF(J494="Funcionamiento Gastos Generales","No aplica",IF(J494="Funcionamiento Servicios Personales","No aplica",IFERROR(VLOOKUP(J494,Listas!$A$220:$D$224,3,FALSE),"Alerta: Seleccione la celda en la comumna B con el nombre del proyecto")))</f>
        <v>Alerta: Seleccione la celda en la comumna B con el nombre del proyecto</v>
      </c>
      <c r="AN494" s="633"/>
      <c r="AO494" s="633"/>
      <c r="AP494" s="634" t="str">
        <f>IFERROR(VLOOKUP(J494,Listas!$A$182:$E$215,5,FALSE),"Alerta: Seleccione la celda en la comumna B con el nombre del proyecto")</f>
        <v>Alerta: Seleccione la celda en la comumna B con el nombre del proyecto</v>
      </c>
      <c r="AQ494" s="634" t="str">
        <f>IF(J494="Funcionamiento Gastos Generales","No aplica",IF(J494="Funcionamiento Servicios Personales","No aplica",IFERROR(VLOOKUP(J494,Listas!$A$220:$D$224,4,FALSE),"Alerta: Seleccione la celda en la comumna B con el nombre del proyecto")))</f>
        <v>Alerta: Seleccione la celda en la comumna B con el nombre del proyecto</v>
      </c>
      <c r="AR494" s="633"/>
      <c r="AS494" s="634" t="str">
        <f>IFERROR(VLOOKUP(AU494,Listas!$E$85:$L$105,7,FALSE),"Alerta: Seleccione la celda en la comumna AI con el concepto de gasto")</f>
        <v>Alerta: Seleccione la celda en la comumna AI con el concepto de gasto</v>
      </c>
      <c r="AT494" s="634" t="str">
        <f>IFERROR(VLOOKUP(AU494,Listas!$E$85:$L$105,8,FALSE),"Alerta: Seleccione la celda en la comumna AI con el concepto de gasto")</f>
        <v>Alerta: Seleccione la celda en la comumna AI con el concepto de gasto</v>
      </c>
      <c r="AU494" s="633"/>
      <c r="AV494" s="634" t="str">
        <f>IFERROR(VLOOKUP(AU494,Listas!$E$85:$F$105,2,FALSE),"Alerta: Seleccione el Concepto de Gasto primero")</f>
        <v>Alerta: Seleccione el Concepto de Gasto primero</v>
      </c>
      <c r="AW494" s="644">
        <v>109230000</v>
      </c>
      <c r="AX494" s="645"/>
      <c r="AY494" s="645"/>
      <c r="AZ494" s="645"/>
      <c r="BA494" s="646">
        <f t="shared" si="161"/>
        <v>109230000</v>
      </c>
      <c r="BB494" s="647"/>
      <c r="BC494" s="648"/>
      <c r="BD494" s="649"/>
      <c r="BE494" s="647"/>
      <c r="BF494" s="644"/>
      <c r="BG494" s="646">
        <f t="shared" si="162"/>
        <v>109230000</v>
      </c>
      <c r="BH494" s="650"/>
      <c r="BI494" s="647"/>
      <c r="BJ494" s="644"/>
      <c r="BK494" s="646">
        <f t="shared" si="163"/>
        <v>0</v>
      </c>
      <c r="BL494" s="651"/>
      <c r="BM494" s="652">
        <f t="shared" si="164"/>
        <v>1</v>
      </c>
      <c r="BN494" s="628"/>
      <c r="BO494" s="670"/>
      <c r="BP494" s="644"/>
      <c r="BQ494" s="644"/>
      <c r="BR494" s="644"/>
      <c r="BS494" s="644"/>
      <c r="BT494" s="644"/>
      <c r="BU494" s="644"/>
      <c r="BV494" s="644"/>
      <c r="BW494" s="644"/>
      <c r="BX494" s="644"/>
      <c r="BY494" s="644"/>
      <c r="BZ494" s="644"/>
      <c r="CA494" s="644"/>
      <c r="CB494" s="646">
        <f t="shared" si="165"/>
        <v>0</v>
      </c>
      <c r="CC494" s="646">
        <f t="shared" si="166"/>
        <v>0</v>
      </c>
      <c r="CD494" s="614"/>
    </row>
    <row r="495" spans="1:85" s="561" customFormat="1" ht="61.5" customHeight="1">
      <c r="A495" s="625" t="str">
        <f t="shared" si="148"/>
        <v>proyecto-Alerta: Seleccione la celda en la comumna B con el nombre del proyecto-Al-Al--</v>
      </c>
      <c r="B495" s="626" t="str">
        <f t="shared" si="149"/>
        <v>proyecto-Alerta: Seleccione la celda en la comumna B con el nombre del proyecto-Al-Al-</v>
      </c>
      <c r="C495" s="626" t="str">
        <f t="shared" si="150"/>
        <v>proyecto-Alerta: Seleccione la celda en la comumna B con el nombre del proyecto-</v>
      </c>
      <c r="D495" s="626" t="str">
        <f t="shared" si="151"/>
        <v>proyecto--Al-Al-</v>
      </c>
      <c r="E495" s="626" t="str">
        <f t="shared" si="152"/>
        <v>--</v>
      </c>
      <c r="F495" s="627"/>
      <c r="G495" s="628">
        <f t="shared" si="153"/>
        <v>0</v>
      </c>
      <c r="H495" s="629" t="b">
        <f t="shared" si="154"/>
        <v>0</v>
      </c>
      <c r="I495" s="630"/>
      <c r="J495" s="627"/>
      <c r="K495" s="631" t="str">
        <f>+IFERROR(VLOOKUP(J495,Listas!$A$108:$B$114,2,FALSE),"Alerta: Seleccione la celda en la comumna B con el nombre del proyecto")</f>
        <v>Alerta: Seleccione la celda en la comumna B con el nombre del proyecto</v>
      </c>
      <c r="L495" s="632"/>
      <c r="M495" s="633"/>
      <c r="N495" s="634" t="str">
        <f t="shared" si="155"/>
        <v xml:space="preserve">(Cód. ) </v>
      </c>
      <c r="O495" s="635"/>
      <c r="P495" s="636">
        <f>IFERROR(VLOOKUP(W495,'Estimación CRP'!$D$21:$E$30,2,FALSE),0)</f>
        <v>0</v>
      </c>
      <c r="Q495" s="637">
        <f>IF(O495="No aplica","No aplica",WORKDAY.INTL(O495,P495,1,'Estimación CRP'!A681:A697))</f>
        <v>0</v>
      </c>
      <c r="R495" s="636">
        <f t="shared" si="156"/>
        <v>1</v>
      </c>
      <c r="S495" s="636">
        <f t="shared" si="157"/>
        <v>1</v>
      </c>
      <c r="T495" s="636">
        <f t="shared" si="158"/>
        <v>1</v>
      </c>
      <c r="U495" s="638"/>
      <c r="V495" s="638"/>
      <c r="W495" s="639"/>
      <c r="X495" s="640" t="str">
        <f>IFERROR(VLOOKUP(W495,Listas!$A$60:$B$73,2,FALSE),"Alerta: Seleccione primero Modalidad de selección")</f>
        <v>Alerta: Seleccione primero Modalidad de selección</v>
      </c>
      <c r="Y495" s="641">
        <v>0</v>
      </c>
      <c r="Z495" s="641"/>
      <c r="AA495" s="641"/>
      <c r="AB495" s="642">
        <f t="shared" si="159"/>
        <v>0</v>
      </c>
      <c r="AC495" s="642">
        <f t="shared" si="160"/>
        <v>0</v>
      </c>
      <c r="AD495" s="641">
        <v>0</v>
      </c>
      <c r="AE495" s="643">
        <v>0</v>
      </c>
      <c r="AF495" s="639" t="s">
        <v>276</v>
      </c>
      <c r="AG495" s="639" t="s">
        <v>277</v>
      </c>
      <c r="AH495" s="639"/>
      <c r="AI495" s="626" t="str">
        <f>IFERROR(VLOOKUP(AH495,Listas!$A$77:$C$83,2,FALSE),"Alerta: Seleccione primero el responsable")</f>
        <v>Alerta: Seleccione primero el responsable</v>
      </c>
      <c r="AJ495" s="640" t="str">
        <f>IFERROR(VLOOKUP(AH495,Listas!$A$77:$C$83,3,FALSE),"Alerta: Seleccione primero el responsable")</f>
        <v>Alerta: Seleccione primero el responsable</v>
      </c>
      <c r="AK495" s="640" t="str">
        <f>IF(J495="Funcionamiento Gastos Generales","No aplica",IF(J495="Funcionamiento Servicios Personales indirectos","No aplica",IFERROR(VLOOKUP(J495,Listas!$A$127:$E$139,3,FALSE),"Alerta: Seleccione la celda en la comumna B con el nombre del proyecto")))</f>
        <v>Alerta: Seleccione la celda en la comumna B con el nombre del proyecto</v>
      </c>
      <c r="AL495" s="640" t="str">
        <f>IF(J495="Funcionamiento Gastos Generales","No aplica",IF(J495="Funcionamiento Servicios Personales","No aplica",IFERROR(VLOOKUP(J495,Listas!$A$220:$D$224,2,FALSE),"Alerta: Seleccione la celda en la comumna B con el nombre del proyecto")))</f>
        <v>Alerta: Seleccione la celda en la comumna B con el nombre del proyecto</v>
      </c>
      <c r="AM495" s="640" t="str">
        <f>IF(J495="Funcionamiento Gastos Generales","No aplica",IF(J495="Funcionamiento Servicios Personales","No aplica",IFERROR(VLOOKUP(J495,Listas!$A$220:$D$224,3,FALSE),"Alerta: Seleccione la celda en la comumna B con el nombre del proyecto")))</f>
        <v>Alerta: Seleccione la celda en la comumna B con el nombre del proyecto</v>
      </c>
      <c r="AN495" s="633"/>
      <c r="AO495" s="633"/>
      <c r="AP495" s="634" t="str">
        <f>IFERROR(VLOOKUP(J495,Listas!$A$182:$E$215,5,FALSE),"Alerta: Seleccione la celda en la comumna B con el nombre del proyecto")</f>
        <v>Alerta: Seleccione la celda en la comumna B con el nombre del proyecto</v>
      </c>
      <c r="AQ495" s="634" t="str">
        <f>IF(J495="Funcionamiento Gastos Generales","No aplica",IF(J495="Funcionamiento Servicios Personales","No aplica",IFERROR(VLOOKUP(J495,Listas!$A$220:$D$224,4,FALSE),"Alerta: Seleccione la celda en la comumna B con el nombre del proyecto")))</f>
        <v>Alerta: Seleccione la celda en la comumna B con el nombre del proyecto</v>
      </c>
      <c r="AR495" s="633"/>
      <c r="AS495" s="634" t="str">
        <f>IFERROR(VLOOKUP(AU495,Listas!$E$85:$L$105,7,FALSE),"Alerta: Seleccione la celda en la comumna AI con el concepto de gasto")</f>
        <v>Alerta: Seleccione la celda en la comumna AI con el concepto de gasto</v>
      </c>
      <c r="AT495" s="634" t="str">
        <f>IFERROR(VLOOKUP(AU495,Listas!$E$85:$L$105,8,FALSE),"Alerta: Seleccione la celda en la comumna AI con el concepto de gasto")</f>
        <v>Alerta: Seleccione la celda en la comumna AI con el concepto de gasto</v>
      </c>
      <c r="AU495" s="633"/>
      <c r="AV495" s="634" t="str">
        <f>IFERROR(VLOOKUP(AU495,Listas!$E$85:$F$105,2,FALSE),"Alerta: Seleccione el Concepto de Gasto primero")</f>
        <v>Alerta: Seleccione el Concepto de Gasto primero</v>
      </c>
      <c r="AW495" s="644"/>
      <c r="AX495" s="645"/>
      <c r="AY495" s="645"/>
      <c r="AZ495" s="645"/>
      <c r="BA495" s="646">
        <f t="shared" si="161"/>
        <v>0</v>
      </c>
      <c r="BB495" s="647"/>
      <c r="BC495" s="648"/>
      <c r="BD495" s="649"/>
      <c r="BE495" s="647"/>
      <c r="BF495" s="644"/>
      <c r="BG495" s="646">
        <f t="shared" si="162"/>
        <v>0</v>
      </c>
      <c r="BH495" s="650"/>
      <c r="BI495" s="647"/>
      <c r="BJ495" s="644"/>
      <c r="BK495" s="646">
        <f t="shared" si="163"/>
        <v>0</v>
      </c>
      <c r="BL495" s="651"/>
      <c r="BM495" s="652">
        <f t="shared" si="164"/>
        <v>1</v>
      </c>
      <c r="BN495" s="628"/>
      <c r="BO495" s="670"/>
      <c r="BP495" s="644"/>
      <c r="BQ495" s="644"/>
      <c r="BR495" s="644"/>
      <c r="BS495" s="644"/>
      <c r="BT495" s="644"/>
      <c r="BU495" s="644"/>
      <c r="BV495" s="644"/>
      <c r="BW495" s="644"/>
      <c r="BX495" s="644"/>
      <c r="BY495" s="644"/>
      <c r="BZ495" s="644"/>
      <c r="CA495" s="644"/>
      <c r="CB495" s="646">
        <f t="shared" si="165"/>
        <v>0</v>
      </c>
      <c r="CC495" s="646">
        <f t="shared" si="166"/>
        <v>0</v>
      </c>
      <c r="CD495" s="614"/>
    </row>
    <row r="496" spans="1:85" s="561" customFormat="1" ht="61.5" customHeight="1">
      <c r="A496" s="625" t="str">
        <f t="shared" si="148"/>
        <v>proyecto-Alerta: Seleccione la celda en la comumna B con el nombre del proyecto-Al-Al--</v>
      </c>
      <c r="B496" s="626" t="str">
        <f t="shared" si="149"/>
        <v>proyecto-Alerta: Seleccione la celda en la comumna B con el nombre del proyecto-Al-Al-</v>
      </c>
      <c r="C496" s="626" t="str">
        <f t="shared" si="150"/>
        <v>proyecto-Alerta: Seleccione la celda en la comumna B con el nombre del proyecto-</v>
      </c>
      <c r="D496" s="626" t="str">
        <f t="shared" si="151"/>
        <v>proyecto--Al-Al-</v>
      </c>
      <c r="E496" s="626" t="str">
        <f t="shared" si="152"/>
        <v>--</v>
      </c>
      <c r="F496" s="627"/>
      <c r="G496" s="628">
        <f t="shared" si="153"/>
        <v>0</v>
      </c>
      <c r="H496" s="629" t="b">
        <f t="shared" si="154"/>
        <v>1</v>
      </c>
      <c r="I496" s="630"/>
      <c r="J496" s="627"/>
      <c r="K496" s="631" t="str">
        <f>+IFERROR(VLOOKUP(J496,Listas!$A$108:$B$114,2,FALSE),"Alerta: Seleccione la celda en la comumna B con el nombre del proyecto")</f>
        <v>Alerta: Seleccione la celda en la comumna B con el nombre del proyecto</v>
      </c>
      <c r="L496" s="632"/>
      <c r="M496" s="633"/>
      <c r="N496" s="634" t="str">
        <f t="shared" si="155"/>
        <v xml:space="preserve">(Cód. ) </v>
      </c>
      <c r="O496" s="635"/>
      <c r="P496" s="636">
        <f>IFERROR(VLOOKUP(W496,'Estimación CRP'!$D$21:$E$30,2,FALSE),0)</f>
        <v>0</v>
      </c>
      <c r="Q496" s="637">
        <f>IF(O496="No aplica","No aplica",WORKDAY.INTL(O496,P496,1,'Estimación CRP'!A682:A698))</f>
        <v>0</v>
      </c>
      <c r="R496" s="636">
        <f t="shared" si="156"/>
        <v>1</v>
      </c>
      <c r="S496" s="636">
        <f t="shared" si="157"/>
        <v>1</v>
      </c>
      <c r="T496" s="636">
        <f t="shared" si="158"/>
        <v>1</v>
      </c>
      <c r="U496" s="638"/>
      <c r="V496" s="638"/>
      <c r="W496" s="639"/>
      <c r="X496" s="640" t="str">
        <f>IFERROR(VLOOKUP(W496,Listas!$A$60:$B$73,2,FALSE),"Alerta: Seleccione primero Modalidad de selección")</f>
        <v>Alerta: Seleccione primero Modalidad de selección</v>
      </c>
      <c r="Y496" s="641">
        <v>0</v>
      </c>
      <c r="Z496" s="641"/>
      <c r="AA496" s="641"/>
      <c r="AB496" s="642">
        <f t="shared" si="159"/>
        <v>0</v>
      </c>
      <c r="AC496" s="642">
        <f t="shared" si="160"/>
        <v>0</v>
      </c>
      <c r="AD496" s="641">
        <v>0</v>
      </c>
      <c r="AE496" s="643">
        <v>0</v>
      </c>
      <c r="AF496" s="639" t="s">
        <v>276</v>
      </c>
      <c r="AG496" s="639" t="s">
        <v>277</v>
      </c>
      <c r="AH496" s="639"/>
      <c r="AI496" s="626" t="str">
        <f>IFERROR(VLOOKUP(AH496,Listas!$A$77:$C$83,2,FALSE),"Alerta: Seleccione primero el responsable")</f>
        <v>Alerta: Seleccione primero el responsable</v>
      </c>
      <c r="AJ496" s="640" t="str">
        <f>IFERROR(VLOOKUP(AH496,Listas!$A$77:$C$83,3,FALSE),"Alerta: Seleccione primero el responsable")</f>
        <v>Alerta: Seleccione primero el responsable</v>
      </c>
      <c r="AK496" s="640" t="str">
        <f>IF(J496="Funcionamiento Gastos Generales","No aplica",IF(J496="Funcionamiento Servicios Personales indirectos","No aplica",IFERROR(VLOOKUP(J496,Listas!$A$127:$E$139,3,FALSE),"Alerta: Seleccione la celda en la comumna B con el nombre del proyecto")))</f>
        <v>Alerta: Seleccione la celda en la comumna B con el nombre del proyecto</v>
      </c>
      <c r="AL496" s="640" t="str">
        <f>IF(J496="Funcionamiento Gastos Generales","No aplica",IF(J496="Funcionamiento Servicios Personales","No aplica",IFERROR(VLOOKUP(J496,Listas!$A$220:$D$224,2,FALSE),"Alerta: Seleccione la celda en la comumna B con el nombre del proyecto")))</f>
        <v>Alerta: Seleccione la celda en la comumna B con el nombre del proyecto</v>
      </c>
      <c r="AM496" s="640" t="str">
        <f>IF(J496="Funcionamiento Gastos Generales","No aplica",IF(J496="Funcionamiento Servicios Personales","No aplica",IFERROR(VLOOKUP(J496,Listas!$A$220:$D$224,3,FALSE),"Alerta: Seleccione la celda en la comumna B con el nombre del proyecto")))</f>
        <v>Alerta: Seleccione la celda en la comumna B con el nombre del proyecto</v>
      </c>
      <c r="AN496" s="633"/>
      <c r="AO496" s="633"/>
      <c r="AP496" s="634" t="str">
        <f>IFERROR(VLOOKUP(J496,Listas!$A$182:$E$215,5,FALSE),"Alerta: Seleccione la celda en la comumna B con el nombre del proyecto")</f>
        <v>Alerta: Seleccione la celda en la comumna B con el nombre del proyecto</v>
      </c>
      <c r="AQ496" s="634" t="str">
        <f>IF(J496="Funcionamiento Gastos Generales","No aplica",IF(J496="Funcionamiento Servicios Personales","No aplica",IFERROR(VLOOKUP(J496,Listas!$A$220:$D$224,4,FALSE),"Alerta: Seleccione la celda en la comumna B con el nombre del proyecto")))</f>
        <v>Alerta: Seleccione la celda en la comumna B con el nombre del proyecto</v>
      </c>
      <c r="AR496" s="633"/>
      <c r="AS496" s="634" t="str">
        <f>IFERROR(VLOOKUP(AU496,Listas!$E$85:$L$105,7,FALSE),"Alerta: Seleccione la celda en la comumna AI con el concepto de gasto")</f>
        <v>Alerta: Seleccione la celda en la comumna AI con el concepto de gasto</v>
      </c>
      <c r="AT496" s="634" t="str">
        <f>IFERROR(VLOOKUP(AU496,Listas!$E$85:$L$105,8,FALSE),"Alerta: Seleccione la celda en la comumna AI con el concepto de gasto")</f>
        <v>Alerta: Seleccione la celda en la comumna AI con el concepto de gasto</v>
      </c>
      <c r="AU496" s="633"/>
      <c r="AV496" s="634" t="str">
        <f>IFERROR(VLOOKUP(AU496,Listas!$E$85:$F$105,2,FALSE),"Alerta: Seleccione el Concepto de Gasto primero")</f>
        <v>Alerta: Seleccione el Concepto de Gasto primero</v>
      </c>
      <c r="AW496" s="644"/>
      <c r="AX496" s="645"/>
      <c r="AY496" s="645"/>
      <c r="AZ496" s="645"/>
      <c r="BA496" s="646">
        <f t="shared" si="161"/>
        <v>0</v>
      </c>
      <c r="BB496" s="647"/>
      <c r="BC496" s="648"/>
      <c r="BD496" s="649"/>
      <c r="BE496" s="647"/>
      <c r="BF496" s="644"/>
      <c r="BG496" s="646">
        <f t="shared" si="162"/>
        <v>0</v>
      </c>
      <c r="BH496" s="650"/>
      <c r="BI496" s="647"/>
      <c r="BJ496" s="644"/>
      <c r="BK496" s="646">
        <f t="shared" si="163"/>
        <v>0</v>
      </c>
      <c r="BL496" s="651"/>
      <c r="BM496" s="652">
        <f t="shared" si="164"/>
        <v>1</v>
      </c>
      <c r="BN496" s="628"/>
      <c r="BO496" s="670"/>
      <c r="BP496" s="644"/>
      <c r="BQ496" s="644"/>
      <c r="BR496" s="644"/>
      <c r="BS496" s="644"/>
      <c r="BT496" s="644"/>
      <c r="BU496" s="644"/>
      <c r="BV496" s="644"/>
      <c r="BW496" s="644"/>
      <c r="BX496" s="644"/>
      <c r="BY496" s="644"/>
      <c r="BZ496" s="644"/>
      <c r="CA496" s="644"/>
      <c r="CB496" s="646">
        <f t="shared" si="165"/>
        <v>0</v>
      </c>
      <c r="CC496" s="646">
        <f t="shared" si="166"/>
        <v>0</v>
      </c>
      <c r="CD496" s="614"/>
    </row>
    <row r="497" spans="1:82" s="561" customFormat="1" ht="61.5" customHeight="1">
      <c r="A497" s="625" t="str">
        <f t="shared" si="148"/>
        <v>proyecto-Alerta: Seleccione la celda en la comumna B con el nombre del proyecto-Al-Al--</v>
      </c>
      <c r="B497" s="626" t="str">
        <f t="shared" si="149"/>
        <v>proyecto-Alerta: Seleccione la celda en la comumna B con el nombre del proyecto-Al-Al-</v>
      </c>
      <c r="C497" s="626" t="str">
        <f t="shared" si="150"/>
        <v>proyecto-Alerta: Seleccione la celda en la comumna B con el nombre del proyecto-</v>
      </c>
      <c r="D497" s="626" t="str">
        <f t="shared" si="151"/>
        <v>proyecto--Al-Al-</v>
      </c>
      <c r="E497" s="626" t="str">
        <f t="shared" si="152"/>
        <v>--</v>
      </c>
      <c r="F497" s="627"/>
      <c r="G497" s="628">
        <f t="shared" si="153"/>
        <v>0</v>
      </c>
      <c r="H497" s="629" t="b">
        <f t="shared" si="154"/>
        <v>1</v>
      </c>
      <c r="I497" s="630"/>
      <c r="J497" s="627"/>
      <c r="K497" s="631" t="str">
        <f>+IFERROR(VLOOKUP(J497,Listas!$A$108:$B$114,2,FALSE),"Alerta: Seleccione la celda en la comumna B con el nombre del proyecto")</f>
        <v>Alerta: Seleccione la celda en la comumna B con el nombre del proyecto</v>
      </c>
      <c r="L497" s="632"/>
      <c r="M497" s="633"/>
      <c r="N497" s="634" t="str">
        <f t="shared" si="155"/>
        <v xml:space="preserve">(Cód. ) </v>
      </c>
      <c r="O497" s="635"/>
      <c r="P497" s="636">
        <f>IFERROR(VLOOKUP(W497,'Estimación CRP'!$D$21:$E$30,2,FALSE),0)</f>
        <v>0</v>
      </c>
      <c r="Q497" s="637">
        <f>IF(O497="No aplica","No aplica",WORKDAY.INTL(O497,P497,1,'Estimación CRP'!A683:A699))</f>
        <v>0</v>
      </c>
      <c r="R497" s="636">
        <f t="shared" si="156"/>
        <v>1</v>
      </c>
      <c r="S497" s="636">
        <f t="shared" si="157"/>
        <v>1</v>
      </c>
      <c r="T497" s="636">
        <f t="shared" si="158"/>
        <v>1</v>
      </c>
      <c r="U497" s="638"/>
      <c r="V497" s="638"/>
      <c r="W497" s="639"/>
      <c r="X497" s="640" t="str">
        <f>IFERROR(VLOOKUP(W497,Listas!$A$60:$B$73,2,FALSE),"Alerta: Seleccione primero Modalidad de selección")</f>
        <v>Alerta: Seleccione primero Modalidad de selección</v>
      </c>
      <c r="Y497" s="641">
        <v>0</v>
      </c>
      <c r="Z497" s="641"/>
      <c r="AA497" s="641"/>
      <c r="AB497" s="642">
        <f t="shared" si="159"/>
        <v>0</v>
      </c>
      <c r="AC497" s="642">
        <f t="shared" si="160"/>
        <v>0</v>
      </c>
      <c r="AD497" s="641">
        <v>0</v>
      </c>
      <c r="AE497" s="643">
        <v>0</v>
      </c>
      <c r="AF497" s="639" t="s">
        <v>276</v>
      </c>
      <c r="AG497" s="639" t="s">
        <v>277</v>
      </c>
      <c r="AH497" s="639"/>
      <c r="AI497" s="626" t="str">
        <f>IFERROR(VLOOKUP(AH497,Listas!$A$77:$C$83,2,FALSE),"Alerta: Seleccione primero el responsable")</f>
        <v>Alerta: Seleccione primero el responsable</v>
      </c>
      <c r="AJ497" s="640" t="str">
        <f>IFERROR(VLOOKUP(AH497,Listas!$A$77:$C$83,3,FALSE),"Alerta: Seleccione primero el responsable")</f>
        <v>Alerta: Seleccione primero el responsable</v>
      </c>
      <c r="AK497" s="640" t="str">
        <f>IF(J497="Funcionamiento Gastos Generales","No aplica",IF(J497="Funcionamiento Servicios Personales indirectos","No aplica",IFERROR(VLOOKUP(J497,Listas!$A$127:$E$139,3,FALSE),"Alerta: Seleccione la celda en la comumna B con el nombre del proyecto")))</f>
        <v>Alerta: Seleccione la celda en la comumna B con el nombre del proyecto</v>
      </c>
      <c r="AL497" s="640" t="str">
        <f>IF(J497="Funcionamiento Gastos Generales","No aplica",IF(J497="Funcionamiento Servicios Personales","No aplica",IFERROR(VLOOKUP(J497,Listas!$A$220:$D$224,2,FALSE),"Alerta: Seleccione la celda en la comumna B con el nombre del proyecto")))</f>
        <v>Alerta: Seleccione la celda en la comumna B con el nombre del proyecto</v>
      </c>
      <c r="AM497" s="640" t="str">
        <f>IF(J497="Funcionamiento Gastos Generales","No aplica",IF(J497="Funcionamiento Servicios Personales","No aplica",IFERROR(VLOOKUP(J497,Listas!$A$220:$D$224,3,FALSE),"Alerta: Seleccione la celda en la comumna B con el nombre del proyecto")))</f>
        <v>Alerta: Seleccione la celda en la comumna B con el nombre del proyecto</v>
      </c>
      <c r="AN497" s="633"/>
      <c r="AO497" s="633"/>
      <c r="AP497" s="634" t="str">
        <f>IFERROR(VLOOKUP(J497,Listas!$A$182:$E$215,5,FALSE),"Alerta: Seleccione la celda en la comumna B con el nombre del proyecto")</f>
        <v>Alerta: Seleccione la celda en la comumna B con el nombre del proyecto</v>
      </c>
      <c r="AQ497" s="634" t="str">
        <f>IF(J497="Funcionamiento Gastos Generales","No aplica",IF(J497="Funcionamiento Servicios Personales","No aplica",IFERROR(VLOOKUP(J497,Listas!$A$220:$D$224,4,FALSE),"Alerta: Seleccione la celda en la comumna B con el nombre del proyecto")))</f>
        <v>Alerta: Seleccione la celda en la comumna B con el nombre del proyecto</v>
      </c>
      <c r="AR497" s="633"/>
      <c r="AS497" s="634" t="str">
        <f>IFERROR(VLOOKUP(AU497,Listas!$E$85:$L$105,7,FALSE),"Alerta: Seleccione la celda en la comumna AI con el concepto de gasto")</f>
        <v>Alerta: Seleccione la celda en la comumna AI con el concepto de gasto</v>
      </c>
      <c r="AT497" s="634" t="str">
        <f>IFERROR(VLOOKUP(AU497,Listas!$E$85:$L$105,8,FALSE),"Alerta: Seleccione la celda en la comumna AI con el concepto de gasto")</f>
        <v>Alerta: Seleccione la celda en la comumna AI con el concepto de gasto</v>
      </c>
      <c r="AU497" s="633"/>
      <c r="AV497" s="634" t="str">
        <f>IFERROR(VLOOKUP(AU497,Listas!$E$85:$F$105,2,FALSE),"Alerta: Seleccione el Concepto de Gasto primero")</f>
        <v>Alerta: Seleccione el Concepto de Gasto primero</v>
      </c>
      <c r="AW497" s="644"/>
      <c r="AX497" s="645"/>
      <c r="AY497" s="645"/>
      <c r="AZ497" s="645"/>
      <c r="BA497" s="646">
        <f t="shared" si="161"/>
        <v>0</v>
      </c>
      <c r="BB497" s="647"/>
      <c r="BC497" s="648"/>
      <c r="BD497" s="649"/>
      <c r="BE497" s="647"/>
      <c r="BF497" s="644"/>
      <c r="BG497" s="646">
        <f t="shared" si="162"/>
        <v>0</v>
      </c>
      <c r="BH497" s="650"/>
      <c r="BI497" s="647"/>
      <c r="BJ497" s="644"/>
      <c r="BK497" s="646">
        <f t="shared" si="163"/>
        <v>0</v>
      </c>
      <c r="BL497" s="651"/>
      <c r="BM497" s="652">
        <f t="shared" si="164"/>
        <v>1</v>
      </c>
      <c r="BN497" s="628"/>
      <c r="BO497" s="670"/>
      <c r="BP497" s="644"/>
      <c r="BQ497" s="644"/>
      <c r="BR497" s="644"/>
      <c r="BS497" s="644"/>
      <c r="BT497" s="644"/>
      <c r="BU497" s="644"/>
      <c r="BV497" s="644"/>
      <c r="BW497" s="644"/>
      <c r="BX497" s="644"/>
      <c r="BY497" s="644"/>
      <c r="BZ497" s="644"/>
      <c r="CA497" s="644"/>
      <c r="CB497" s="646">
        <f t="shared" si="165"/>
        <v>0</v>
      </c>
      <c r="CC497" s="646">
        <f t="shared" si="166"/>
        <v>0</v>
      </c>
      <c r="CD497" s="614"/>
    </row>
    <row r="498" spans="1:82" s="561" customFormat="1" ht="61.5" customHeight="1">
      <c r="A498" s="625" t="str">
        <f t="shared" si="148"/>
        <v>proyecto-Alerta: Seleccione la celda en la comumna B con el nombre del proyecto-Al-Al--</v>
      </c>
      <c r="B498" s="626" t="str">
        <f t="shared" si="149"/>
        <v>proyecto-Alerta: Seleccione la celda en la comumna B con el nombre del proyecto-Al-Al-</v>
      </c>
      <c r="C498" s="626" t="str">
        <f t="shared" si="150"/>
        <v>proyecto-Alerta: Seleccione la celda en la comumna B con el nombre del proyecto-</v>
      </c>
      <c r="D498" s="626" t="str">
        <f t="shared" si="151"/>
        <v>proyecto--Al-Al-</v>
      </c>
      <c r="E498" s="626" t="str">
        <f t="shared" si="152"/>
        <v>--</v>
      </c>
      <c r="F498" s="627"/>
      <c r="G498" s="628">
        <f t="shared" si="153"/>
        <v>0</v>
      </c>
      <c r="H498" s="629" t="b">
        <f t="shared" si="154"/>
        <v>1</v>
      </c>
      <c r="I498" s="630"/>
      <c r="J498" s="627"/>
      <c r="K498" s="631" t="str">
        <f>+IFERROR(VLOOKUP(J498,Listas!$A$108:$B$114,2,FALSE),"Alerta: Seleccione la celda en la comumna B con el nombre del proyecto")</f>
        <v>Alerta: Seleccione la celda en la comumna B con el nombre del proyecto</v>
      </c>
      <c r="L498" s="632"/>
      <c r="M498" s="633"/>
      <c r="N498" s="634" t="str">
        <f t="shared" si="155"/>
        <v xml:space="preserve">(Cód. ) </v>
      </c>
      <c r="O498" s="635"/>
      <c r="P498" s="636">
        <f>IFERROR(VLOOKUP(W498,'Estimación CRP'!$D$21:$E$30,2,FALSE),0)</f>
        <v>0</v>
      </c>
      <c r="Q498" s="637">
        <f>IF(O498="No aplica","No aplica",WORKDAY.INTL(O498,P498,1,'Estimación CRP'!A684:A700))</f>
        <v>0</v>
      </c>
      <c r="R498" s="636">
        <f t="shared" si="156"/>
        <v>1</v>
      </c>
      <c r="S498" s="636">
        <f t="shared" si="157"/>
        <v>1</v>
      </c>
      <c r="T498" s="636">
        <f t="shared" si="158"/>
        <v>1</v>
      </c>
      <c r="U498" s="638"/>
      <c r="V498" s="638"/>
      <c r="W498" s="639"/>
      <c r="X498" s="640" t="str">
        <f>IFERROR(VLOOKUP(W498,Listas!$A$60:$B$73,2,FALSE),"Alerta: Seleccione primero Modalidad de selección")</f>
        <v>Alerta: Seleccione primero Modalidad de selección</v>
      </c>
      <c r="Y498" s="641">
        <v>0</v>
      </c>
      <c r="Z498" s="641"/>
      <c r="AA498" s="641"/>
      <c r="AB498" s="642">
        <f t="shared" si="159"/>
        <v>0</v>
      </c>
      <c r="AC498" s="642">
        <f t="shared" si="160"/>
        <v>0</v>
      </c>
      <c r="AD498" s="641">
        <v>0</v>
      </c>
      <c r="AE498" s="643">
        <v>0</v>
      </c>
      <c r="AF498" s="639" t="s">
        <v>276</v>
      </c>
      <c r="AG498" s="639" t="s">
        <v>277</v>
      </c>
      <c r="AH498" s="639"/>
      <c r="AI498" s="626" t="str">
        <f>IFERROR(VLOOKUP(AH498,Listas!$A$77:$C$83,2,FALSE),"Alerta: Seleccione primero el responsable")</f>
        <v>Alerta: Seleccione primero el responsable</v>
      </c>
      <c r="AJ498" s="640" t="str">
        <f>IFERROR(VLOOKUP(AH498,Listas!$A$77:$C$83,3,FALSE),"Alerta: Seleccione primero el responsable")</f>
        <v>Alerta: Seleccione primero el responsable</v>
      </c>
      <c r="AK498" s="640" t="str">
        <f>IF(J498="Funcionamiento Gastos Generales","No aplica",IF(J498="Funcionamiento Servicios Personales indirectos","No aplica",IFERROR(VLOOKUP(J498,Listas!$A$127:$E$139,3,FALSE),"Alerta: Seleccione la celda en la comumna B con el nombre del proyecto")))</f>
        <v>Alerta: Seleccione la celda en la comumna B con el nombre del proyecto</v>
      </c>
      <c r="AL498" s="640" t="str">
        <f>IF(J498="Funcionamiento Gastos Generales","No aplica",IF(J498="Funcionamiento Servicios Personales","No aplica",IFERROR(VLOOKUP(J498,Listas!$A$220:$D$224,2,FALSE),"Alerta: Seleccione la celda en la comumna B con el nombre del proyecto")))</f>
        <v>Alerta: Seleccione la celda en la comumna B con el nombre del proyecto</v>
      </c>
      <c r="AM498" s="640" t="str">
        <f>IF(J498="Funcionamiento Gastos Generales","No aplica",IF(J498="Funcionamiento Servicios Personales","No aplica",IFERROR(VLOOKUP(J498,Listas!$A$220:$D$224,3,FALSE),"Alerta: Seleccione la celda en la comumna B con el nombre del proyecto")))</f>
        <v>Alerta: Seleccione la celda en la comumna B con el nombre del proyecto</v>
      </c>
      <c r="AN498" s="633"/>
      <c r="AO498" s="633"/>
      <c r="AP498" s="634" t="str">
        <f>IFERROR(VLOOKUP(J498,Listas!$A$182:$E$215,5,FALSE),"Alerta: Seleccione la celda en la comumna B con el nombre del proyecto")</f>
        <v>Alerta: Seleccione la celda en la comumna B con el nombre del proyecto</v>
      </c>
      <c r="AQ498" s="634" t="str">
        <f>IF(J498="Funcionamiento Gastos Generales","No aplica",IF(J498="Funcionamiento Servicios Personales","No aplica",IFERROR(VLOOKUP(J498,Listas!$A$220:$D$224,4,FALSE),"Alerta: Seleccione la celda en la comumna B con el nombre del proyecto")))</f>
        <v>Alerta: Seleccione la celda en la comumna B con el nombre del proyecto</v>
      </c>
      <c r="AR498" s="633"/>
      <c r="AS498" s="634" t="str">
        <f>IFERROR(VLOOKUP(AU498,Listas!$E$85:$L$105,7,FALSE),"Alerta: Seleccione la celda en la comumna AI con el concepto de gasto")</f>
        <v>Alerta: Seleccione la celda en la comumna AI con el concepto de gasto</v>
      </c>
      <c r="AT498" s="634" t="str">
        <f>IFERROR(VLOOKUP(AU498,Listas!$E$85:$L$105,8,FALSE),"Alerta: Seleccione la celda en la comumna AI con el concepto de gasto")</f>
        <v>Alerta: Seleccione la celda en la comumna AI con el concepto de gasto</v>
      </c>
      <c r="AU498" s="633"/>
      <c r="AV498" s="634" t="str">
        <f>IFERROR(VLOOKUP(AU498,Listas!$E$85:$F$105,2,FALSE),"Alerta: Seleccione el Concepto de Gasto primero")</f>
        <v>Alerta: Seleccione el Concepto de Gasto primero</v>
      </c>
      <c r="AW498" s="644"/>
      <c r="AX498" s="645"/>
      <c r="AY498" s="645"/>
      <c r="AZ498" s="645"/>
      <c r="BA498" s="646">
        <f t="shared" si="161"/>
        <v>0</v>
      </c>
      <c r="BB498" s="647"/>
      <c r="BC498" s="648"/>
      <c r="BD498" s="649"/>
      <c r="BE498" s="647"/>
      <c r="BF498" s="644"/>
      <c r="BG498" s="646">
        <f t="shared" si="162"/>
        <v>0</v>
      </c>
      <c r="BH498" s="650"/>
      <c r="BI498" s="647"/>
      <c r="BJ498" s="644"/>
      <c r="BK498" s="646">
        <f t="shared" si="163"/>
        <v>0</v>
      </c>
      <c r="BL498" s="651"/>
      <c r="BM498" s="652">
        <f t="shared" si="164"/>
        <v>1</v>
      </c>
      <c r="BN498" s="628"/>
      <c r="BO498" s="670"/>
      <c r="BP498" s="644"/>
      <c r="BQ498" s="644"/>
      <c r="BR498" s="644"/>
      <c r="BS498" s="644"/>
      <c r="BT498" s="644"/>
      <c r="BU498" s="644"/>
      <c r="BV498" s="644"/>
      <c r="BW498" s="644"/>
      <c r="BX498" s="644"/>
      <c r="BY498" s="644"/>
      <c r="BZ498" s="644"/>
      <c r="CA498" s="644"/>
      <c r="CB498" s="646">
        <f t="shared" si="165"/>
        <v>0</v>
      </c>
      <c r="CC498" s="646">
        <f t="shared" si="166"/>
        <v>0</v>
      </c>
      <c r="CD498" s="614"/>
    </row>
    <row r="499" spans="1:82" s="561" customFormat="1" ht="61.5" customHeight="1">
      <c r="A499" s="625" t="str">
        <f t="shared" si="148"/>
        <v>proyecto-Alerta: Seleccione la celda en la comumna B con el nombre del proyecto-Al-Al--</v>
      </c>
      <c r="B499" s="626" t="str">
        <f t="shared" si="149"/>
        <v>proyecto-Alerta: Seleccione la celda en la comumna B con el nombre del proyecto-Al-Al-</v>
      </c>
      <c r="C499" s="626" t="str">
        <f t="shared" si="150"/>
        <v>proyecto-Alerta: Seleccione la celda en la comumna B con el nombre del proyecto-</v>
      </c>
      <c r="D499" s="626" t="str">
        <f t="shared" si="151"/>
        <v>proyecto--Al-Al-</v>
      </c>
      <c r="E499" s="626" t="str">
        <f t="shared" si="152"/>
        <v>--</v>
      </c>
      <c r="F499" s="627"/>
      <c r="G499" s="628">
        <f t="shared" si="153"/>
        <v>0</v>
      </c>
      <c r="H499" s="629" t="b">
        <f t="shared" si="154"/>
        <v>1</v>
      </c>
      <c r="I499" s="630"/>
      <c r="J499" s="627"/>
      <c r="K499" s="631" t="str">
        <f>+IFERROR(VLOOKUP(J499,Listas!$A$108:$B$114,2,FALSE),"Alerta: Seleccione la celda en la comumna B con el nombre del proyecto")</f>
        <v>Alerta: Seleccione la celda en la comumna B con el nombre del proyecto</v>
      </c>
      <c r="L499" s="632"/>
      <c r="M499" s="633"/>
      <c r="N499" s="634" t="str">
        <f t="shared" si="155"/>
        <v xml:space="preserve">(Cód. ) </v>
      </c>
      <c r="O499" s="635"/>
      <c r="P499" s="636">
        <f>IFERROR(VLOOKUP(W499,'Estimación CRP'!$D$21:$E$30,2,FALSE),0)</f>
        <v>0</v>
      </c>
      <c r="Q499" s="637">
        <f>IF(O499="No aplica","No aplica",WORKDAY.INTL(O499,P499,1,'Estimación CRP'!A685:A701))</f>
        <v>0</v>
      </c>
      <c r="R499" s="636">
        <f t="shared" si="156"/>
        <v>1</v>
      </c>
      <c r="S499" s="636">
        <f t="shared" si="157"/>
        <v>1</v>
      </c>
      <c r="T499" s="636">
        <f t="shared" si="158"/>
        <v>1</v>
      </c>
      <c r="U499" s="638"/>
      <c r="V499" s="638"/>
      <c r="W499" s="639"/>
      <c r="X499" s="640" t="str">
        <f>IFERROR(VLOOKUP(W499,Listas!$A$60:$B$73,2,FALSE),"Alerta: Seleccione primero Modalidad de selección")</f>
        <v>Alerta: Seleccione primero Modalidad de selección</v>
      </c>
      <c r="Y499" s="641">
        <v>0</v>
      </c>
      <c r="Z499" s="641"/>
      <c r="AA499" s="641"/>
      <c r="AB499" s="642">
        <f t="shared" si="159"/>
        <v>0</v>
      </c>
      <c r="AC499" s="642">
        <f t="shared" si="160"/>
        <v>0</v>
      </c>
      <c r="AD499" s="641">
        <v>0</v>
      </c>
      <c r="AE499" s="643">
        <v>0</v>
      </c>
      <c r="AF499" s="639" t="s">
        <v>276</v>
      </c>
      <c r="AG499" s="639" t="s">
        <v>277</v>
      </c>
      <c r="AH499" s="639"/>
      <c r="AI499" s="626" t="str">
        <f>IFERROR(VLOOKUP(AH499,Listas!$A$77:$C$83,2,FALSE),"Alerta: Seleccione primero el responsable")</f>
        <v>Alerta: Seleccione primero el responsable</v>
      </c>
      <c r="AJ499" s="640" t="str">
        <f>IFERROR(VLOOKUP(AH499,Listas!$A$77:$C$83,3,FALSE),"Alerta: Seleccione primero el responsable")</f>
        <v>Alerta: Seleccione primero el responsable</v>
      </c>
      <c r="AK499" s="640" t="str">
        <f>IF(J499="Funcionamiento Gastos Generales","No aplica",IF(J499="Funcionamiento Servicios Personales indirectos","No aplica",IFERROR(VLOOKUP(J499,Listas!$A$127:$E$139,3,FALSE),"Alerta: Seleccione la celda en la comumna B con el nombre del proyecto")))</f>
        <v>Alerta: Seleccione la celda en la comumna B con el nombre del proyecto</v>
      </c>
      <c r="AL499" s="640" t="str">
        <f>IF(J499="Funcionamiento Gastos Generales","No aplica",IF(J499="Funcionamiento Servicios Personales","No aplica",IFERROR(VLOOKUP(J499,Listas!$A$220:$D$224,2,FALSE),"Alerta: Seleccione la celda en la comumna B con el nombre del proyecto")))</f>
        <v>Alerta: Seleccione la celda en la comumna B con el nombre del proyecto</v>
      </c>
      <c r="AM499" s="640" t="str">
        <f>IF(J499="Funcionamiento Gastos Generales","No aplica",IF(J499="Funcionamiento Servicios Personales","No aplica",IFERROR(VLOOKUP(J499,Listas!$A$220:$D$224,3,FALSE),"Alerta: Seleccione la celda en la comumna B con el nombre del proyecto")))</f>
        <v>Alerta: Seleccione la celda en la comumna B con el nombre del proyecto</v>
      </c>
      <c r="AN499" s="633"/>
      <c r="AO499" s="633"/>
      <c r="AP499" s="634" t="str">
        <f>IFERROR(VLOOKUP(J499,Listas!$A$182:$E$215,5,FALSE),"Alerta: Seleccione la celda en la comumna B con el nombre del proyecto")</f>
        <v>Alerta: Seleccione la celda en la comumna B con el nombre del proyecto</v>
      </c>
      <c r="AQ499" s="634" t="str">
        <f>IF(J499="Funcionamiento Gastos Generales","No aplica",IF(J499="Funcionamiento Servicios Personales","No aplica",IFERROR(VLOOKUP(J499,Listas!$A$220:$D$224,4,FALSE),"Alerta: Seleccione la celda en la comumna B con el nombre del proyecto")))</f>
        <v>Alerta: Seleccione la celda en la comumna B con el nombre del proyecto</v>
      </c>
      <c r="AR499" s="633"/>
      <c r="AS499" s="634" t="str">
        <f>IFERROR(VLOOKUP(AU499,Listas!$E$85:$L$105,7,FALSE),"Alerta: Seleccione la celda en la comumna AI con el concepto de gasto")</f>
        <v>Alerta: Seleccione la celda en la comumna AI con el concepto de gasto</v>
      </c>
      <c r="AT499" s="634" t="str">
        <f>IFERROR(VLOOKUP(AU499,Listas!$E$85:$L$105,8,FALSE),"Alerta: Seleccione la celda en la comumna AI con el concepto de gasto")</f>
        <v>Alerta: Seleccione la celda en la comumna AI con el concepto de gasto</v>
      </c>
      <c r="AU499" s="633"/>
      <c r="AV499" s="634" t="str">
        <f>IFERROR(VLOOKUP(AU499,Listas!$E$85:$F$105,2,FALSE),"Alerta: Seleccione el Concepto de Gasto primero")</f>
        <v>Alerta: Seleccione el Concepto de Gasto primero</v>
      </c>
      <c r="AW499" s="644"/>
      <c r="AX499" s="645"/>
      <c r="AY499" s="645"/>
      <c r="AZ499" s="645"/>
      <c r="BA499" s="646">
        <f t="shared" si="161"/>
        <v>0</v>
      </c>
      <c r="BB499" s="647"/>
      <c r="BC499" s="648"/>
      <c r="BD499" s="649"/>
      <c r="BE499" s="647"/>
      <c r="BF499" s="644"/>
      <c r="BG499" s="646">
        <f t="shared" si="162"/>
        <v>0</v>
      </c>
      <c r="BH499" s="650"/>
      <c r="BI499" s="647"/>
      <c r="BJ499" s="644"/>
      <c r="BK499" s="646">
        <f t="shared" si="163"/>
        <v>0</v>
      </c>
      <c r="BL499" s="651"/>
      <c r="BM499" s="652">
        <f t="shared" si="164"/>
        <v>1</v>
      </c>
      <c r="BN499" s="628"/>
      <c r="BO499" s="670"/>
      <c r="BP499" s="644"/>
      <c r="BQ499" s="644"/>
      <c r="BR499" s="644"/>
      <c r="BS499" s="644"/>
      <c r="BT499" s="644"/>
      <c r="BU499" s="644"/>
      <c r="BV499" s="644"/>
      <c r="BW499" s="644"/>
      <c r="BX499" s="644"/>
      <c r="BY499" s="644"/>
      <c r="BZ499" s="644"/>
      <c r="CA499" s="644"/>
      <c r="CB499" s="646">
        <f t="shared" si="165"/>
        <v>0</v>
      </c>
      <c r="CC499" s="646">
        <f t="shared" si="166"/>
        <v>0</v>
      </c>
      <c r="CD499" s="614"/>
    </row>
    <row r="500" spans="1:82" s="561" customFormat="1" ht="61.5" customHeight="1">
      <c r="A500" s="625" t="str">
        <f t="shared" si="148"/>
        <v>proyecto-Alerta: Seleccione la celda en la comumna B con el nombre del proyecto-Al-Al--</v>
      </c>
      <c r="B500" s="626" t="str">
        <f t="shared" si="149"/>
        <v>proyecto-Alerta: Seleccione la celda en la comumna B con el nombre del proyecto-Al-Al-</v>
      </c>
      <c r="C500" s="626" t="str">
        <f t="shared" si="150"/>
        <v>proyecto-Alerta: Seleccione la celda en la comumna B con el nombre del proyecto-</v>
      </c>
      <c r="D500" s="626" t="str">
        <f t="shared" si="151"/>
        <v>proyecto--Al-Al-</v>
      </c>
      <c r="E500" s="626" t="str">
        <f t="shared" si="152"/>
        <v>--</v>
      </c>
      <c r="F500" s="627"/>
      <c r="G500" s="628">
        <f t="shared" si="153"/>
        <v>0</v>
      </c>
      <c r="H500" s="629" t="b">
        <f t="shared" si="154"/>
        <v>1</v>
      </c>
      <c r="I500" s="630"/>
      <c r="J500" s="627"/>
      <c r="K500" s="631" t="str">
        <f>+IFERROR(VLOOKUP(J500,Listas!$A$108:$B$114,2,FALSE),"Alerta: Seleccione la celda en la comumna B con el nombre del proyecto")</f>
        <v>Alerta: Seleccione la celda en la comumna B con el nombre del proyecto</v>
      </c>
      <c r="L500" s="632"/>
      <c r="M500" s="633"/>
      <c r="N500" s="634" t="str">
        <f t="shared" si="155"/>
        <v xml:space="preserve">(Cód. ) </v>
      </c>
      <c r="O500" s="635"/>
      <c r="P500" s="636">
        <f>IFERROR(VLOOKUP(W500,'Estimación CRP'!$D$21:$E$30,2,FALSE),0)</f>
        <v>0</v>
      </c>
      <c r="Q500" s="637">
        <f>IF(O500="No aplica","No aplica",WORKDAY.INTL(O500,P500,1,'Estimación CRP'!A686:A702))</f>
        <v>0</v>
      </c>
      <c r="R500" s="636">
        <f t="shared" si="156"/>
        <v>1</v>
      </c>
      <c r="S500" s="636">
        <f t="shared" si="157"/>
        <v>1</v>
      </c>
      <c r="T500" s="636">
        <f t="shared" si="158"/>
        <v>1</v>
      </c>
      <c r="U500" s="638"/>
      <c r="V500" s="638"/>
      <c r="W500" s="639"/>
      <c r="X500" s="640" t="str">
        <f>IFERROR(VLOOKUP(W500,Listas!$A$60:$B$73,2,FALSE),"Alerta: Seleccione primero Modalidad de selección")</f>
        <v>Alerta: Seleccione primero Modalidad de selección</v>
      </c>
      <c r="Y500" s="641">
        <v>0</v>
      </c>
      <c r="Z500" s="641"/>
      <c r="AA500" s="641"/>
      <c r="AB500" s="642">
        <f t="shared" si="159"/>
        <v>0</v>
      </c>
      <c r="AC500" s="642">
        <f t="shared" si="160"/>
        <v>0</v>
      </c>
      <c r="AD500" s="641">
        <v>0</v>
      </c>
      <c r="AE500" s="643">
        <v>0</v>
      </c>
      <c r="AF500" s="639" t="s">
        <v>276</v>
      </c>
      <c r="AG500" s="639" t="s">
        <v>277</v>
      </c>
      <c r="AH500" s="639"/>
      <c r="AI500" s="626" t="str">
        <f>IFERROR(VLOOKUP(AH500,Listas!$A$77:$C$83,2,FALSE),"Alerta: Seleccione primero el responsable")</f>
        <v>Alerta: Seleccione primero el responsable</v>
      </c>
      <c r="AJ500" s="640" t="str">
        <f>IFERROR(VLOOKUP(AH500,Listas!$A$77:$C$83,3,FALSE),"Alerta: Seleccione primero el responsable")</f>
        <v>Alerta: Seleccione primero el responsable</v>
      </c>
      <c r="AK500" s="640" t="str">
        <f>IF(J500="Funcionamiento Gastos Generales","No aplica",IF(J500="Funcionamiento Servicios Personales indirectos","No aplica",IFERROR(VLOOKUP(J500,Listas!$A$127:$E$139,3,FALSE),"Alerta: Seleccione la celda en la comumna B con el nombre del proyecto")))</f>
        <v>Alerta: Seleccione la celda en la comumna B con el nombre del proyecto</v>
      </c>
      <c r="AL500" s="640" t="str">
        <f>IF(J500="Funcionamiento Gastos Generales","No aplica",IF(J500="Funcionamiento Servicios Personales","No aplica",IFERROR(VLOOKUP(J500,Listas!$A$220:$D$224,2,FALSE),"Alerta: Seleccione la celda en la comumna B con el nombre del proyecto")))</f>
        <v>Alerta: Seleccione la celda en la comumna B con el nombre del proyecto</v>
      </c>
      <c r="AM500" s="640" t="str">
        <f>IF(J500="Funcionamiento Gastos Generales","No aplica",IF(J500="Funcionamiento Servicios Personales","No aplica",IFERROR(VLOOKUP(J500,Listas!$A$220:$D$224,3,FALSE),"Alerta: Seleccione la celda en la comumna B con el nombre del proyecto")))</f>
        <v>Alerta: Seleccione la celda en la comumna B con el nombre del proyecto</v>
      </c>
      <c r="AN500" s="633"/>
      <c r="AO500" s="633"/>
      <c r="AP500" s="634" t="str">
        <f>IFERROR(VLOOKUP(J500,Listas!$A$182:$E$215,5,FALSE),"Alerta: Seleccione la celda en la comumna B con el nombre del proyecto")</f>
        <v>Alerta: Seleccione la celda en la comumna B con el nombre del proyecto</v>
      </c>
      <c r="AQ500" s="634" t="str">
        <f>IF(J500="Funcionamiento Gastos Generales","No aplica",IF(J500="Funcionamiento Servicios Personales","No aplica",IFERROR(VLOOKUP(J500,Listas!$A$220:$D$224,4,FALSE),"Alerta: Seleccione la celda en la comumna B con el nombre del proyecto")))</f>
        <v>Alerta: Seleccione la celda en la comumna B con el nombre del proyecto</v>
      </c>
      <c r="AR500" s="633"/>
      <c r="AS500" s="634" t="str">
        <f>IFERROR(VLOOKUP(AU500,Listas!$E$85:$L$105,7,FALSE),"Alerta: Seleccione la celda en la comumna AI con el concepto de gasto")</f>
        <v>Alerta: Seleccione la celda en la comumna AI con el concepto de gasto</v>
      </c>
      <c r="AT500" s="634" t="str">
        <f>IFERROR(VLOOKUP(AU500,Listas!$E$85:$L$105,8,FALSE),"Alerta: Seleccione la celda en la comumna AI con el concepto de gasto")</f>
        <v>Alerta: Seleccione la celda en la comumna AI con el concepto de gasto</v>
      </c>
      <c r="AU500" s="633"/>
      <c r="AV500" s="634" t="str">
        <f>IFERROR(VLOOKUP(AU500,Listas!$E$85:$F$105,2,FALSE),"Alerta: Seleccione el Concepto de Gasto primero")</f>
        <v>Alerta: Seleccione el Concepto de Gasto primero</v>
      </c>
      <c r="AW500" s="644"/>
      <c r="AX500" s="645"/>
      <c r="AY500" s="645"/>
      <c r="AZ500" s="645"/>
      <c r="BA500" s="646">
        <f t="shared" si="161"/>
        <v>0</v>
      </c>
      <c r="BB500" s="647"/>
      <c r="BC500" s="648"/>
      <c r="BD500" s="649"/>
      <c r="BE500" s="647"/>
      <c r="BF500" s="644"/>
      <c r="BG500" s="646">
        <f t="shared" si="162"/>
        <v>0</v>
      </c>
      <c r="BH500" s="650"/>
      <c r="BI500" s="647"/>
      <c r="BJ500" s="644"/>
      <c r="BK500" s="646">
        <f t="shared" si="163"/>
        <v>0</v>
      </c>
      <c r="BL500" s="651"/>
      <c r="BM500" s="652">
        <f t="shared" si="164"/>
        <v>1</v>
      </c>
      <c r="BN500" s="628"/>
      <c r="BO500" s="670"/>
      <c r="BP500" s="644"/>
      <c r="BQ500" s="644"/>
      <c r="BR500" s="644"/>
      <c r="BS500" s="644"/>
      <c r="BT500" s="644"/>
      <c r="BU500" s="644"/>
      <c r="BV500" s="644"/>
      <c r="BW500" s="644"/>
      <c r="BX500" s="644"/>
      <c r="BY500" s="644"/>
      <c r="BZ500" s="644"/>
      <c r="CA500" s="644"/>
      <c r="CB500" s="646">
        <f t="shared" si="165"/>
        <v>0</v>
      </c>
      <c r="CC500" s="646">
        <f t="shared" si="166"/>
        <v>0</v>
      </c>
      <c r="CD500" s="614"/>
    </row>
    <row r="501" spans="1:82" s="561" customFormat="1" ht="61.5" customHeight="1">
      <c r="A501" s="625" t="str">
        <f t="shared" si="148"/>
        <v>proyecto-Alerta: Seleccione la celda en la comumna B con el nombre del proyecto-Al-Al--</v>
      </c>
      <c r="B501" s="626" t="str">
        <f t="shared" si="149"/>
        <v>proyecto-Alerta: Seleccione la celda en la comumna B con el nombre del proyecto-Al-Al-</v>
      </c>
      <c r="C501" s="626" t="str">
        <f t="shared" si="150"/>
        <v>proyecto-Alerta: Seleccione la celda en la comumna B con el nombre del proyecto-</v>
      </c>
      <c r="D501" s="626" t="str">
        <f t="shared" si="151"/>
        <v>proyecto--Al-Al-</v>
      </c>
      <c r="E501" s="626" t="str">
        <f t="shared" si="152"/>
        <v>--</v>
      </c>
      <c r="F501" s="627"/>
      <c r="G501" s="628">
        <f t="shared" si="153"/>
        <v>0</v>
      </c>
      <c r="H501" s="629" t="b">
        <f t="shared" si="154"/>
        <v>1</v>
      </c>
      <c r="I501" s="630"/>
      <c r="J501" s="627"/>
      <c r="K501" s="631" t="str">
        <f>+IFERROR(VLOOKUP(J501,Listas!$A$108:$B$114,2,FALSE),"Alerta: Seleccione la celda en la comumna B con el nombre del proyecto")</f>
        <v>Alerta: Seleccione la celda en la comumna B con el nombre del proyecto</v>
      </c>
      <c r="L501" s="632"/>
      <c r="M501" s="633"/>
      <c r="N501" s="634" t="str">
        <f t="shared" si="155"/>
        <v xml:space="preserve">(Cód. ) </v>
      </c>
      <c r="O501" s="635"/>
      <c r="P501" s="636">
        <f>IFERROR(VLOOKUP(W501,'Estimación CRP'!$D$21:$E$30,2,FALSE),0)</f>
        <v>0</v>
      </c>
      <c r="Q501" s="637">
        <f>IF(O501="No aplica","No aplica",WORKDAY.INTL(O501,P501,1,'Estimación CRP'!A687:A703))</f>
        <v>0</v>
      </c>
      <c r="R501" s="636">
        <f t="shared" si="156"/>
        <v>1</v>
      </c>
      <c r="S501" s="636">
        <f t="shared" si="157"/>
        <v>1</v>
      </c>
      <c r="T501" s="636">
        <f t="shared" si="158"/>
        <v>1</v>
      </c>
      <c r="U501" s="638"/>
      <c r="V501" s="638"/>
      <c r="W501" s="639"/>
      <c r="X501" s="640" t="str">
        <f>IFERROR(VLOOKUP(W501,Listas!$A$60:$B$73,2,FALSE),"Alerta: Seleccione primero Modalidad de selección")</f>
        <v>Alerta: Seleccione primero Modalidad de selección</v>
      </c>
      <c r="Y501" s="641">
        <v>0</v>
      </c>
      <c r="Z501" s="641"/>
      <c r="AA501" s="641"/>
      <c r="AB501" s="642">
        <f t="shared" si="159"/>
        <v>0</v>
      </c>
      <c r="AC501" s="642">
        <f t="shared" si="160"/>
        <v>0</v>
      </c>
      <c r="AD501" s="641">
        <v>0</v>
      </c>
      <c r="AE501" s="643">
        <v>0</v>
      </c>
      <c r="AF501" s="639" t="s">
        <v>276</v>
      </c>
      <c r="AG501" s="639" t="s">
        <v>277</v>
      </c>
      <c r="AH501" s="639"/>
      <c r="AI501" s="626" t="str">
        <f>IFERROR(VLOOKUP(AH501,Listas!$A$77:$C$83,2,FALSE),"Alerta: Seleccione primero el responsable")</f>
        <v>Alerta: Seleccione primero el responsable</v>
      </c>
      <c r="AJ501" s="640" t="str">
        <f>IFERROR(VLOOKUP(AH501,Listas!$A$77:$C$83,3,FALSE),"Alerta: Seleccione primero el responsable")</f>
        <v>Alerta: Seleccione primero el responsable</v>
      </c>
      <c r="AK501" s="640" t="str">
        <f>IF(J501="Funcionamiento Gastos Generales","No aplica",IF(J501="Funcionamiento Servicios Personales indirectos","No aplica",IFERROR(VLOOKUP(J501,Listas!$A$127:$E$139,3,FALSE),"Alerta: Seleccione la celda en la comumna B con el nombre del proyecto")))</f>
        <v>Alerta: Seleccione la celda en la comumna B con el nombre del proyecto</v>
      </c>
      <c r="AL501" s="640" t="str">
        <f>IF(J501="Funcionamiento Gastos Generales","No aplica",IF(J501="Funcionamiento Servicios Personales","No aplica",IFERROR(VLOOKUP(J501,Listas!$A$220:$D$224,2,FALSE),"Alerta: Seleccione la celda en la comumna B con el nombre del proyecto")))</f>
        <v>Alerta: Seleccione la celda en la comumna B con el nombre del proyecto</v>
      </c>
      <c r="AM501" s="640" t="str">
        <f>IF(J501="Funcionamiento Gastos Generales","No aplica",IF(J501="Funcionamiento Servicios Personales","No aplica",IFERROR(VLOOKUP(J501,Listas!$A$220:$D$224,3,FALSE),"Alerta: Seleccione la celda en la comumna B con el nombre del proyecto")))</f>
        <v>Alerta: Seleccione la celda en la comumna B con el nombre del proyecto</v>
      </c>
      <c r="AN501" s="633"/>
      <c r="AO501" s="633"/>
      <c r="AP501" s="634" t="str">
        <f>IFERROR(VLOOKUP(J501,Listas!$A$182:$E$215,5,FALSE),"Alerta: Seleccione la celda en la comumna B con el nombre del proyecto")</f>
        <v>Alerta: Seleccione la celda en la comumna B con el nombre del proyecto</v>
      </c>
      <c r="AQ501" s="634" t="str">
        <f>IF(J501="Funcionamiento Gastos Generales","No aplica",IF(J501="Funcionamiento Servicios Personales","No aplica",IFERROR(VLOOKUP(J501,Listas!$A$220:$D$224,4,FALSE),"Alerta: Seleccione la celda en la comumna B con el nombre del proyecto")))</f>
        <v>Alerta: Seleccione la celda en la comumna B con el nombre del proyecto</v>
      </c>
      <c r="AR501" s="633"/>
      <c r="AS501" s="634" t="str">
        <f>IFERROR(VLOOKUP(AU501,Listas!$E$85:$L$105,7,FALSE),"Alerta: Seleccione la celda en la comumna AI con el concepto de gasto")</f>
        <v>Alerta: Seleccione la celda en la comumna AI con el concepto de gasto</v>
      </c>
      <c r="AT501" s="634" t="str">
        <f>IFERROR(VLOOKUP(AU501,Listas!$E$85:$L$105,8,FALSE),"Alerta: Seleccione la celda en la comumna AI con el concepto de gasto")</f>
        <v>Alerta: Seleccione la celda en la comumna AI con el concepto de gasto</v>
      </c>
      <c r="AU501" s="633"/>
      <c r="AV501" s="634" t="str">
        <f>IFERROR(VLOOKUP(AU501,Listas!$E$85:$F$105,2,FALSE),"Alerta: Seleccione el Concepto de Gasto primero")</f>
        <v>Alerta: Seleccione el Concepto de Gasto primero</v>
      </c>
      <c r="AW501" s="644"/>
      <c r="AX501" s="645"/>
      <c r="AY501" s="645"/>
      <c r="AZ501" s="645"/>
      <c r="BA501" s="646">
        <f t="shared" si="161"/>
        <v>0</v>
      </c>
      <c r="BB501" s="647"/>
      <c r="BC501" s="648"/>
      <c r="BD501" s="649"/>
      <c r="BE501" s="647"/>
      <c r="BF501" s="644"/>
      <c r="BG501" s="646">
        <f t="shared" si="162"/>
        <v>0</v>
      </c>
      <c r="BH501" s="650"/>
      <c r="BI501" s="647"/>
      <c r="BJ501" s="644"/>
      <c r="BK501" s="646">
        <f t="shared" si="163"/>
        <v>0</v>
      </c>
      <c r="BL501" s="651"/>
      <c r="BM501" s="652">
        <f t="shared" si="164"/>
        <v>1</v>
      </c>
      <c r="BN501" s="628"/>
      <c r="BO501" s="670"/>
      <c r="BP501" s="644"/>
      <c r="BQ501" s="644"/>
      <c r="BR501" s="644"/>
      <c r="BS501" s="644"/>
      <c r="BT501" s="644"/>
      <c r="BU501" s="644"/>
      <c r="BV501" s="644"/>
      <c r="BW501" s="644"/>
      <c r="BX501" s="644"/>
      <c r="BY501" s="644"/>
      <c r="BZ501" s="644"/>
      <c r="CA501" s="644"/>
      <c r="CB501" s="646">
        <f t="shared" si="165"/>
        <v>0</v>
      </c>
      <c r="CC501" s="646">
        <f t="shared" si="166"/>
        <v>0</v>
      </c>
      <c r="CD501" s="614"/>
    </row>
    <row r="502" spans="1:82" s="561" customFormat="1" ht="61.5" customHeight="1">
      <c r="A502" s="625" t="str">
        <f t="shared" si="148"/>
        <v>proyecto-Alerta: Seleccione la celda en la comumna B con el nombre del proyecto-Al-Al--</v>
      </c>
      <c r="B502" s="626" t="str">
        <f t="shared" si="149"/>
        <v>proyecto-Alerta: Seleccione la celda en la comumna B con el nombre del proyecto-Al-Al-</v>
      </c>
      <c r="C502" s="626" t="str">
        <f t="shared" si="150"/>
        <v>proyecto-Alerta: Seleccione la celda en la comumna B con el nombre del proyecto-</v>
      </c>
      <c r="D502" s="626" t="str">
        <f t="shared" si="151"/>
        <v>proyecto--Al-Al-</v>
      </c>
      <c r="E502" s="626" t="str">
        <f t="shared" si="152"/>
        <v>--</v>
      </c>
      <c r="F502" s="627"/>
      <c r="G502" s="628">
        <f t="shared" si="153"/>
        <v>0</v>
      </c>
      <c r="H502" s="629" t="b">
        <f t="shared" si="154"/>
        <v>1</v>
      </c>
      <c r="I502" s="630"/>
      <c r="J502" s="627"/>
      <c r="K502" s="631" t="str">
        <f>+IFERROR(VLOOKUP(J502,Listas!$A$108:$B$114,2,FALSE),"Alerta: Seleccione la celda en la comumna B con el nombre del proyecto")</f>
        <v>Alerta: Seleccione la celda en la comumna B con el nombre del proyecto</v>
      </c>
      <c r="L502" s="632"/>
      <c r="M502" s="633"/>
      <c r="N502" s="634" t="str">
        <f t="shared" si="155"/>
        <v xml:space="preserve">(Cód. ) </v>
      </c>
      <c r="O502" s="635"/>
      <c r="P502" s="636">
        <f>IFERROR(VLOOKUP(W502,'Estimación CRP'!$D$21:$E$30,2,FALSE),0)</f>
        <v>0</v>
      </c>
      <c r="Q502" s="637">
        <f>IF(O502="No aplica","No aplica",WORKDAY.INTL(O502,P502,1,'Estimación CRP'!A688:A704))</f>
        <v>0</v>
      </c>
      <c r="R502" s="636">
        <f t="shared" si="156"/>
        <v>1</v>
      </c>
      <c r="S502" s="636">
        <f t="shared" si="157"/>
        <v>1</v>
      </c>
      <c r="T502" s="636">
        <f t="shared" si="158"/>
        <v>1</v>
      </c>
      <c r="U502" s="638"/>
      <c r="V502" s="638"/>
      <c r="W502" s="639"/>
      <c r="X502" s="640" t="str">
        <f>IFERROR(VLOOKUP(W502,Listas!$A$60:$B$73,2,FALSE),"Alerta: Seleccione primero Modalidad de selección")</f>
        <v>Alerta: Seleccione primero Modalidad de selección</v>
      </c>
      <c r="Y502" s="641">
        <v>0</v>
      </c>
      <c r="Z502" s="641"/>
      <c r="AA502" s="641"/>
      <c r="AB502" s="642">
        <f t="shared" si="159"/>
        <v>0</v>
      </c>
      <c r="AC502" s="642">
        <f t="shared" si="160"/>
        <v>0</v>
      </c>
      <c r="AD502" s="641">
        <v>0</v>
      </c>
      <c r="AE502" s="643">
        <v>0</v>
      </c>
      <c r="AF502" s="639" t="s">
        <v>276</v>
      </c>
      <c r="AG502" s="639" t="s">
        <v>277</v>
      </c>
      <c r="AH502" s="639"/>
      <c r="AI502" s="626" t="str">
        <f>IFERROR(VLOOKUP(AH502,Listas!$A$77:$C$83,2,FALSE),"Alerta: Seleccione primero el responsable")</f>
        <v>Alerta: Seleccione primero el responsable</v>
      </c>
      <c r="AJ502" s="640" t="str">
        <f>IFERROR(VLOOKUP(AH502,Listas!$A$77:$C$83,3,FALSE),"Alerta: Seleccione primero el responsable")</f>
        <v>Alerta: Seleccione primero el responsable</v>
      </c>
      <c r="AK502" s="640" t="str">
        <f>IF(J502="Funcionamiento Gastos Generales","No aplica",IF(J502="Funcionamiento Servicios Personales indirectos","No aplica",IFERROR(VLOOKUP(J502,Listas!$A$127:$E$139,3,FALSE),"Alerta: Seleccione la celda en la comumna B con el nombre del proyecto")))</f>
        <v>Alerta: Seleccione la celda en la comumna B con el nombre del proyecto</v>
      </c>
      <c r="AL502" s="640" t="str">
        <f>IF(J502="Funcionamiento Gastos Generales","No aplica",IF(J502="Funcionamiento Servicios Personales","No aplica",IFERROR(VLOOKUP(J502,Listas!$A$220:$D$224,2,FALSE),"Alerta: Seleccione la celda en la comumna B con el nombre del proyecto")))</f>
        <v>Alerta: Seleccione la celda en la comumna B con el nombre del proyecto</v>
      </c>
      <c r="AM502" s="640" t="str">
        <f>IF(J502="Funcionamiento Gastos Generales","No aplica",IF(J502="Funcionamiento Servicios Personales","No aplica",IFERROR(VLOOKUP(J502,Listas!$A$220:$D$224,3,FALSE),"Alerta: Seleccione la celda en la comumna B con el nombre del proyecto")))</f>
        <v>Alerta: Seleccione la celda en la comumna B con el nombre del proyecto</v>
      </c>
      <c r="AN502" s="633"/>
      <c r="AO502" s="633"/>
      <c r="AP502" s="634" t="str">
        <f>IFERROR(VLOOKUP(J502,Listas!$A$182:$E$215,5,FALSE),"Alerta: Seleccione la celda en la comumna B con el nombre del proyecto")</f>
        <v>Alerta: Seleccione la celda en la comumna B con el nombre del proyecto</v>
      </c>
      <c r="AQ502" s="634" t="str">
        <f>IF(J502="Funcionamiento Gastos Generales","No aplica",IF(J502="Funcionamiento Servicios Personales","No aplica",IFERROR(VLOOKUP(J502,Listas!$A$220:$D$224,4,FALSE),"Alerta: Seleccione la celda en la comumna B con el nombre del proyecto")))</f>
        <v>Alerta: Seleccione la celda en la comumna B con el nombre del proyecto</v>
      </c>
      <c r="AR502" s="633"/>
      <c r="AS502" s="634" t="str">
        <f>IFERROR(VLOOKUP(AU502,Listas!$E$85:$L$105,7,FALSE),"Alerta: Seleccione la celda en la comumna AI con el concepto de gasto")</f>
        <v>Alerta: Seleccione la celda en la comumna AI con el concepto de gasto</v>
      </c>
      <c r="AT502" s="634" t="str">
        <f>IFERROR(VLOOKUP(AU502,Listas!$E$85:$L$105,8,FALSE),"Alerta: Seleccione la celda en la comumna AI con el concepto de gasto")</f>
        <v>Alerta: Seleccione la celda en la comumna AI con el concepto de gasto</v>
      </c>
      <c r="AU502" s="633"/>
      <c r="AV502" s="634" t="str">
        <f>IFERROR(VLOOKUP(AU502,Listas!$E$85:$F$105,2,FALSE),"Alerta: Seleccione el Concepto de Gasto primero")</f>
        <v>Alerta: Seleccione el Concepto de Gasto primero</v>
      </c>
      <c r="AW502" s="644"/>
      <c r="AX502" s="645"/>
      <c r="AY502" s="645"/>
      <c r="AZ502" s="645"/>
      <c r="BA502" s="646">
        <f t="shared" si="161"/>
        <v>0</v>
      </c>
      <c r="BB502" s="647"/>
      <c r="BC502" s="648"/>
      <c r="BD502" s="649"/>
      <c r="BE502" s="647"/>
      <c r="BF502" s="644"/>
      <c r="BG502" s="646">
        <f t="shared" si="162"/>
        <v>0</v>
      </c>
      <c r="BH502" s="650"/>
      <c r="BI502" s="647"/>
      <c r="BJ502" s="644"/>
      <c r="BK502" s="646">
        <f t="shared" si="163"/>
        <v>0</v>
      </c>
      <c r="BL502" s="651"/>
      <c r="BM502" s="652">
        <f t="shared" si="164"/>
        <v>1</v>
      </c>
      <c r="BN502" s="628"/>
      <c r="BO502" s="670"/>
      <c r="BP502" s="644"/>
      <c r="BQ502" s="644"/>
      <c r="BR502" s="644"/>
      <c r="BS502" s="644"/>
      <c r="BT502" s="644"/>
      <c r="BU502" s="644"/>
      <c r="BV502" s="644"/>
      <c r="BW502" s="644"/>
      <c r="BX502" s="644"/>
      <c r="BY502" s="644"/>
      <c r="BZ502" s="644"/>
      <c r="CA502" s="644"/>
      <c r="CB502" s="646">
        <f t="shared" si="165"/>
        <v>0</v>
      </c>
      <c r="CC502" s="646">
        <f t="shared" si="166"/>
        <v>0</v>
      </c>
      <c r="CD502" s="614"/>
    </row>
    <row r="503" spans="1:82" s="561" customFormat="1" ht="61.5" customHeight="1">
      <c r="A503" s="625" t="str">
        <f t="shared" si="148"/>
        <v>proyecto-Alerta: Seleccione la celda en la comumna B con el nombre del proyecto-Al-Al--</v>
      </c>
      <c r="B503" s="626" t="str">
        <f t="shared" si="149"/>
        <v>proyecto-Alerta: Seleccione la celda en la comumna B con el nombre del proyecto-Al-Al-</v>
      </c>
      <c r="C503" s="626" t="str">
        <f t="shared" si="150"/>
        <v>proyecto-Alerta: Seleccione la celda en la comumna B con el nombre del proyecto-</v>
      </c>
      <c r="D503" s="626" t="str">
        <f t="shared" si="151"/>
        <v>proyecto--Al-Al-</v>
      </c>
      <c r="E503" s="626" t="str">
        <f t="shared" si="152"/>
        <v>--</v>
      </c>
      <c r="F503" s="627"/>
      <c r="G503" s="628">
        <f t="shared" si="153"/>
        <v>0</v>
      </c>
      <c r="H503" s="629" t="b">
        <f t="shared" si="154"/>
        <v>1</v>
      </c>
      <c r="I503" s="630"/>
      <c r="J503" s="627"/>
      <c r="K503" s="631" t="str">
        <f>+IFERROR(VLOOKUP(J503,Listas!$A$108:$B$114,2,FALSE),"Alerta: Seleccione la celda en la comumna B con el nombre del proyecto")</f>
        <v>Alerta: Seleccione la celda en la comumna B con el nombre del proyecto</v>
      </c>
      <c r="L503" s="632"/>
      <c r="M503" s="633"/>
      <c r="N503" s="634" t="str">
        <f t="shared" si="155"/>
        <v xml:space="preserve">(Cód. ) </v>
      </c>
      <c r="O503" s="635"/>
      <c r="P503" s="636">
        <f>IFERROR(VLOOKUP(W503,'Estimación CRP'!$D$21:$E$30,2,FALSE),0)</f>
        <v>0</v>
      </c>
      <c r="Q503" s="637">
        <f>IF(O503="No aplica","No aplica",WORKDAY.INTL(O503,P503,1,'Estimación CRP'!A689:A705))</f>
        <v>0</v>
      </c>
      <c r="R503" s="636">
        <f t="shared" si="156"/>
        <v>1</v>
      </c>
      <c r="S503" s="636">
        <f t="shared" si="157"/>
        <v>1</v>
      </c>
      <c r="T503" s="636">
        <f t="shared" si="158"/>
        <v>1</v>
      </c>
      <c r="U503" s="638"/>
      <c r="V503" s="638"/>
      <c r="W503" s="639"/>
      <c r="X503" s="640" t="str">
        <f>IFERROR(VLOOKUP(W503,Listas!$A$60:$B$73,2,FALSE),"Alerta: Seleccione primero Modalidad de selección")</f>
        <v>Alerta: Seleccione primero Modalidad de selección</v>
      </c>
      <c r="Y503" s="641">
        <v>0</v>
      </c>
      <c r="Z503" s="641"/>
      <c r="AA503" s="641"/>
      <c r="AB503" s="642">
        <f t="shared" si="159"/>
        <v>0</v>
      </c>
      <c r="AC503" s="642">
        <f t="shared" si="160"/>
        <v>0</v>
      </c>
      <c r="AD503" s="641">
        <v>0</v>
      </c>
      <c r="AE503" s="643">
        <v>0</v>
      </c>
      <c r="AF503" s="639" t="s">
        <v>276</v>
      </c>
      <c r="AG503" s="639" t="s">
        <v>277</v>
      </c>
      <c r="AH503" s="639"/>
      <c r="AI503" s="626" t="str">
        <f>IFERROR(VLOOKUP(AH503,Listas!$A$77:$C$83,2,FALSE),"Alerta: Seleccione primero el responsable")</f>
        <v>Alerta: Seleccione primero el responsable</v>
      </c>
      <c r="AJ503" s="640" t="str">
        <f>IFERROR(VLOOKUP(AH503,Listas!$A$77:$C$83,3,FALSE),"Alerta: Seleccione primero el responsable")</f>
        <v>Alerta: Seleccione primero el responsable</v>
      </c>
      <c r="AK503" s="640" t="str">
        <f>IF(J503="Funcionamiento Gastos Generales","No aplica",IF(J503="Funcionamiento Servicios Personales indirectos","No aplica",IFERROR(VLOOKUP(J503,Listas!$A$127:$E$139,3,FALSE),"Alerta: Seleccione la celda en la comumna B con el nombre del proyecto")))</f>
        <v>Alerta: Seleccione la celda en la comumna B con el nombre del proyecto</v>
      </c>
      <c r="AL503" s="640" t="str">
        <f>IF(J503="Funcionamiento Gastos Generales","No aplica",IF(J503="Funcionamiento Servicios Personales","No aplica",IFERROR(VLOOKUP(J503,Listas!$A$220:$D$224,2,FALSE),"Alerta: Seleccione la celda en la comumna B con el nombre del proyecto")))</f>
        <v>Alerta: Seleccione la celda en la comumna B con el nombre del proyecto</v>
      </c>
      <c r="AM503" s="640" t="str">
        <f>IF(J503="Funcionamiento Gastos Generales","No aplica",IF(J503="Funcionamiento Servicios Personales","No aplica",IFERROR(VLOOKUP(J503,Listas!$A$220:$D$224,3,FALSE),"Alerta: Seleccione la celda en la comumna B con el nombre del proyecto")))</f>
        <v>Alerta: Seleccione la celda en la comumna B con el nombre del proyecto</v>
      </c>
      <c r="AN503" s="633"/>
      <c r="AO503" s="633"/>
      <c r="AP503" s="634" t="str">
        <f>IFERROR(VLOOKUP(J503,Listas!$A$182:$E$215,5,FALSE),"Alerta: Seleccione la celda en la comumna B con el nombre del proyecto")</f>
        <v>Alerta: Seleccione la celda en la comumna B con el nombre del proyecto</v>
      </c>
      <c r="AQ503" s="634" t="str">
        <f>IF(J503="Funcionamiento Gastos Generales","No aplica",IF(J503="Funcionamiento Servicios Personales","No aplica",IFERROR(VLOOKUP(J503,Listas!$A$220:$D$224,4,FALSE),"Alerta: Seleccione la celda en la comumna B con el nombre del proyecto")))</f>
        <v>Alerta: Seleccione la celda en la comumna B con el nombre del proyecto</v>
      </c>
      <c r="AR503" s="633"/>
      <c r="AS503" s="634" t="str">
        <f>IFERROR(VLOOKUP(AU503,Listas!$E$85:$L$105,7,FALSE),"Alerta: Seleccione la celda en la comumna AI con el concepto de gasto")</f>
        <v>Alerta: Seleccione la celda en la comumna AI con el concepto de gasto</v>
      </c>
      <c r="AT503" s="634" t="str">
        <f>IFERROR(VLOOKUP(AU503,Listas!$E$85:$L$105,8,FALSE),"Alerta: Seleccione la celda en la comumna AI con el concepto de gasto")</f>
        <v>Alerta: Seleccione la celda en la comumna AI con el concepto de gasto</v>
      </c>
      <c r="AU503" s="633"/>
      <c r="AV503" s="634" t="str">
        <f>IFERROR(VLOOKUP(AU503,Listas!$E$85:$F$105,2,FALSE),"Alerta: Seleccione el Concepto de Gasto primero")</f>
        <v>Alerta: Seleccione el Concepto de Gasto primero</v>
      </c>
      <c r="AW503" s="644"/>
      <c r="AX503" s="645"/>
      <c r="AY503" s="645"/>
      <c r="AZ503" s="645"/>
      <c r="BA503" s="646">
        <f t="shared" si="161"/>
        <v>0</v>
      </c>
      <c r="BB503" s="647"/>
      <c r="BC503" s="648"/>
      <c r="BD503" s="649"/>
      <c r="BE503" s="647"/>
      <c r="BF503" s="644"/>
      <c r="BG503" s="646">
        <f t="shared" si="162"/>
        <v>0</v>
      </c>
      <c r="BH503" s="650"/>
      <c r="BI503" s="647"/>
      <c r="BJ503" s="644"/>
      <c r="BK503" s="646">
        <f t="shared" si="163"/>
        <v>0</v>
      </c>
      <c r="BL503" s="651"/>
      <c r="BM503" s="652">
        <f t="shared" si="164"/>
        <v>1</v>
      </c>
      <c r="BN503" s="628"/>
      <c r="BO503" s="670"/>
      <c r="BP503" s="644"/>
      <c r="BQ503" s="644"/>
      <c r="BR503" s="644"/>
      <c r="BS503" s="644"/>
      <c r="BT503" s="644"/>
      <c r="BU503" s="644"/>
      <c r="BV503" s="644"/>
      <c r="BW503" s="644"/>
      <c r="BX503" s="644"/>
      <c r="BY503" s="644"/>
      <c r="BZ503" s="644"/>
      <c r="CA503" s="644"/>
      <c r="CB503" s="646">
        <f t="shared" si="165"/>
        <v>0</v>
      </c>
      <c r="CC503" s="646">
        <f t="shared" si="166"/>
        <v>0</v>
      </c>
      <c r="CD503" s="614"/>
    </row>
    <row r="504" spans="1:82" s="561" customFormat="1" ht="61.5" customHeight="1">
      <c r="A504" s="625" t="str">
        <f t="shared" si="148"/>
        <v>proyecto-Alerta: Seleccione la celda en la comumna B con el nombre del proyecto-Al-Al--</v>
      </c>
      <c r="B504" s="626" t="str">
        <f t="shared" si="149"/>
        <v>proyecto-Alerta: Seleccione la celda en la comumna B con el nombre del proyecto-Al-Al-</v>
      </c>
      <c r="C504" s="626" t="str">
        <f t="shared" si="150"/>
        <v>proyecto-Alerta: Seleccione la celda en la comumna B con el nombre del proyecto-</v>
      </c>
      <c r="D504" s="626" t="str">
        <f t="shared" si="151"/>
        <v>proyecto--Al-Al-</v>
      </c>
      <c r="E504" s="626" t="str">
        <f t="shared" si="152"/>
        <v>--</v>
      </c>
      <c r="F504" s="627"/>
      <c r="G504" s="628">
        <f t="shared" si="153"/>
        <v>0</v>
      </c>
      <c r="H504" s="629" t="b">
        <f t="shared" si="154"/>
        <v>1</v>
      </c>
      <c r="I504" s="630"/>
      <c r="J504" s="627"/>
      <c r="K504" s="631" t="str">
        <f>+IFERROR(VLOOKUP(J504,Listas!$A$108:$B$114,2,FALSE),"Alerta: Seleccione la celda en la comumna B con el nombre del proyecto")</f>
        <v>Alerta: Seleccione la celda en la comumna B con el nombre del proyecto</v>
      </c>
      <c r="L504" s="632"/>
      <c r="M504" s="633"/>
      <c r="N504" s="634" t="str">
        <f t="shared" si="155"/>
        <v xml:space="preserve">(Cód. ) </v>
      </c>
      <c r="O504" s="635"/>
      <c r="P504" s="636">
        <f>IFERROR(VLOOKUP(W504,'Estimación CRP'!$D$21:$E$30,2,FALSE),0)</f>
        <v>0</v>
      </c>
      <c r="Q504" s="637">
        <f>IF(O504="No aplica","No aplica",WORKDAY.INTL(O504,P504,1,'Estimación CRP'!A690:A706))</f>
        <v>0</v>
      </c>
      <c r="R504" s="636">
        <f t="shared" si="156"/>
        <v>1</v>
      </c>
      <c r="S504" s="636">
        <f t="shared" si="157"/>
        <v>1</v>
      </c>
      <c r="T504" s="636">
        <f t="shared" si="158"/>
        <v>1</v>
      </c>
      <c r="U504" s="638"/>
      <c r="V504" s="638"/>
      <c r="W504" s="639"/>
      <c r="X504" s="640" t="str">
        <f>IFERROR(VLOOKUP(W504,Listas!$A$60:$B$73,2,FALSE),"Alerta: Seleccione primero Modalidad de selección")</f>
        <v>Alerta: Seleccione primero Modalidad de selección</v>
      </c>
      <c r="Y504" s="641">
        <v>0</v>
      </c>
      <c r="Z504" s="641"/>
      <c r="AA504" s="641"/>
      <c r="AB504" s="642">
        <f t="shared" si="159"/>
        <v>0</v>
      </c>
      <c r="AC504" s="642">
        <f t="shared" si="160"/>
        <v>0</v>
      </c>
      <c r="AD504" s="641">
        <v>0</v>
      </c>
      <c r="AE504" s="643">
        <v>0</v>
      </c>
      <c r="AF504" s="639" t="s">
        <v>276</v>
      </c>
      <c r="AG504" s="639" t="s">
        <v>277</v>
      </c>
      <c r="AH504" s="639"/>
      <c r="AI504" s="626" t="str">
        <f>IFERROR(VLOOKUP(AH504,Listas!$A$77:$C$83,2,FALSE),"Alerta: Seleccione primero el responsable")</f>
        <v>Alerta: Seleccione primero el responsable</v>
      </c>
      <c r="AJ504" s="640" t="str">
        <f>IFERROR(VLOOKUP(AH504,Listas!$A$77:$C$83,3,FALSE),"Alerta: Seleccione primero el responsable")</f>
        <v>Alerta: Seleccione primero el responsable</v>
      </c>
      <c r="AK504" s="640" t="str">
        <f>IF(J504="Funcionamiento Gastos Generales","No aplica",IF(J504="Funcionamiento Servicios Personales indirectos","No aplica",IFERROR(VLOOKUP(J504,Listas!$A$127:$E$139,3,FALSE),"Alerta: Seleccione la celda en la comumna B con el nombre del proyecto")))</f>
        <v>Alerta: Seleccione la celda en la comumna B con el nombre del proyecto</v>
      </c>
      <c r="AL504" s="640" t="str">
        <f>IF(J504="Funcionamiento Gastos Generales","No aplica",IF(J504="Funcionamiento Servicios Personales","No aplica",IFERROR(VLOOKUP(J504,Listas!$A$220:$D$224,2,FALSE),"Alerta: Seleccione la celda en la comumna B con el nombre del proyecto")))</f>
        <v>Alerta: Seleccione la celda en la comumna B con el nombre del proyecto</v>
      </c>
      <c r="AM504" s="640" t="str">
        <f>IF(J504="Funcionamiento Gastos Generales","No aplica",IF(J504="Funcionamiento Servicios Personales","No aplica",IFERROR(VLOOKUP(J504,Listas!$A$220:$D$224,3,FALSE),"Alerta: Seleccione la celda en la comumna B con el nombre del proyecto")))</f>
        <v>Alerta: Seleccione la celda en la comumna B con el nombre del proyecto</v>
      </c>
      <c r="AN504" s="633"/>
      <c r="AO504" s="633"/>
      <c r="AP504" s="634" t="str">
        <f>IFERROR(VLOOKUP(J504,Listas!$A$182:$E$215,5,FALSE),"Alerta: Seleccione la celda en la comumna B con el nombre del proyecto")</f>
        <v>Alerta: Seleccione la celda en la comumna B con el nombre del proyecto</v>
      </c>
      <c r="AQ504" s="634" t="str">
        <f>IF(J504="Funcionamiento Gastos Generales","No aplica",IF(J504="Funcionamiento Servicios Personales","No aplica",IFERROR(VLOOKUP(J504,Listas!$A$220:$D$224,4,FALSE),"Alerta: Seleccione la celda en la comumna B con el nombre del proyecto")))</f>
        <v>Alerta: Seleccione la celda en la comumna B con el nombre del proyecto</v>
      </c>
      <c r="AR504" s="633"/>
      <c r="AS504" s="634" t="str">
        <f>IFERROR(VLOOKUP(AU504,Listas!$E$85:$L$105,7,FALSE),"Alerta: Seleccione la celda en la comumna AI con el concepto de gasto")</f>
        <v>Alerta: Seleccione la celda en la comumna AI con el concepto de gasto</v>
      </c>
      <c r="AT504" s="634" t="str">
        <f>IFERROR(VLOOKUP(AU504,Listas!$E$85:$L$105,8,FALSE),"Alerta: Seleccione la celda en la comumna AI con el concepto de gasto")</f>
        <v>Alerta: Seleccione la celda en la comumna AI con el concepto de gasto</v>
      </c>
      <c r="AU504" s="633"/>
      <c r="AV504" s="634" t="str">
        <f>IFERROR(VLOOKUP(AU504,Listas!$E$85:$F$105,2,FALSE),"Alerta: Seleccione el Concepto de Gasto primero")</f>
        <v>Alerta: Seleccione el Concepto de Gasto primero</v>
      </c>
      <c r="AW504" s="644"/>
      <c r="AX504" s="645"/>
      <c r="AY504" s="645"/>
      <c r="AZ504" s="645"/>
      <c r="BA504" s="646">
        <f t="shared" si="161"/>
        <v>0</v>
      </c>
      <c r="BB504" s="647"/>
      <c r="BC504" s="648"/>
      <c r="BD504" s="649"/>
      <c r="BE504" s="647"/>
      <c r="BF504" s="644"/>
      <c r="BG504" s="646">
        <f t="shared" si="162"/>
        <v>0</v>
      </c>
      <c r="BH504" s="650"/>
      <c r="BI504" s="647"/>
      <c r="BJ504" s="644"/>
      <c r="BK504" s="646">
        <f t="shared" si="163"/>
        <v>0</v>
      </c>
      <c r="BL504" s="651"/>
      <c r="BM504" s="652">
        <f t="shared" si="164"/>
        <v>1</v>
      </c>
      <c r="BN504" s="628"/>
      <c r="BO504" s="670"/>
      <c r="BP504" s="644"/>
      <c r="BQ504" s="644"/>
      <c r="BR504" s="644"/>
      <c r="BS504" s="644"/>
      <c r="BT504" s="644"/>
      <c r="BU504" s="644"/>
      <c r="BV504" s="644"/>
      <c r="BW504" s="644"/>
      <c r="BX504" s="644"/>
      <c r="BY504" s="644"/>
      <c r="BZ504" s="644"/>
      <c r="CA504" s="644"/>
      <c r="CB504" s="646">
        <f t="shared" si="165"/>
        <v>0</v>
      </c>
      <c r="CC504" s="646">
        <f t="shared" si="166"/>
        <v>0</v>
      </c>
      <c r="CD504" s="614"/>
    </row>
    <row r="505" spans="1:82" s="561" customFormat="1" ht="61.5" customHeight="1">
      <c r="A505" s="625" t="str">
        <f t="shared" si="148"/>
        <v>proyecto-Alerta: Seleccione la celda en la comumna B con el nombre del proyecto-Al-Al--</v>
      </c>
      <c r="B505" s="626" t="str">
        <f t="shared" si="149"/>
        <v>proyecto-Alerta: Seleccione la celda en la comumna B con el nombre del proyecto-Al-Al-</v>
      </c>
      <c r="C505" s="626" t="str">
        <f t="shared" si="150"/>
        <v>proyecto-Alerta: Seleccione la celda en la comumna B con el nombre del proyecto-</v>
      </c>
      <c r="D505" s="626" t="str">
        <f t="shared" si="151"/>
        <v>proyecto--Al-Al-</v>
      </c>
      <c r="E505" s="626" t="str">
        <f t="shared" si="152"/>
        <v>--</v>
      </c>
      <c r="F505" s="627"/>
      <c r="G505" s="628">
        <f t="shared" si="153"/>
        <v>0</v>
      </c>
      <c r="H505" s="629" t="b">
        <f t="shared" si="154"/>
        <v>1</v>
      </c>
      <c r="I505" s="630"/>
      <c r="J505" s="627"/>
      <c r="K505" s="631" t="str">
        <f>+IFERROR(VLOOKUP(J505,Listas!$A$108:$B$114,2,FALSE),"Alerta: Seleccione la celda en la comumna B con el nombre del proyecto")</f>
        <v>Alerta: Seleccione la celda en la comumna B con el nombre del proyecto</v>
      </c>
      <c r="L505" s="632"/>
      <c r="M505" s="633"/>
      <c r="N505" s="634" t="str">
        <f t="shared" si="155"/>
        <v xml:space="preserve">(Cód. ) </v>
      </c>
      <c r="O505" s="635"/>
      <c r="P505" s="636">
        <f>IFERROR(VLOOKUP(W505,'Estimación CRP'!$D$21:$E$30,2,FALSE),0)</f>
        <v>0</v>
      </c>
      <c r="Q505" s="637">
        <f>IF(O505="No aplica","No aplica",WORKDAY.INTL(O505,P505,1,'Estimación CRP'!A691:A707))</f>
        <v>0</v>
      </c>
      <c r="R505" s="636">
        <f t="shared" si="156"/>
        <v>1</v>
      </c>
      <c r="S505" s="636">
        <f t="shared" si="157"/>
        <v>1</v>
      </c>
      <c r="T505" s="636">
        <f t="shared" si="158"/>
        <v>1</v>
      </c>
      <c r="U505" s="638"/>
      <c r="V505" s="638"/>
      <c r="W505" s="639"/>
      <c r="X505" s="640" t="str">
        <f>IFERROR(VLOOKUP(W505,Listas!$A$60:$B$73,2,FALSE),"Alerta: Seleccione primero Modalidad de selección")</f>
        <v>Alerta: Seleccione primero Modalidad de selección</v>
      </c>
      <c r="Y505" s="641">
        <v>0</v>
      </c>
      <c r="Z505" s="641"/>
      <c r="AA505" s="641"/>
      <c r="AB505" s="642">
        <f t="shared" si="159"/>
        <v>0</v>
      </c>
      <c r="AC505" s="642">
        <f t="shared" si="160"/>
        <v>0</v>
      </c>
      <c r="AD505" s="641">
        <v>0</v>
      </c>
      <c r="AE505" s="643">
        <v>0</v>
      </c>
      <c r="AF505" s="639" t="s">
        <v>276</v>
      </c>
      <c r="AG505" s="639" t="s">
        <v>277</v>
      </c>
      <c r="AH505" s="639"/>
      <c r="AI505" s="626" t="str">
        <f>IFERROR(VLOOKUP(AH505,Listas!$A$77:$C$83,2,FALSE),"Alerta: Seleccione primero el responsable")</f>
        <v>Alerta: Seleccione primero el responsable</v>
      </c>
      <c r="AJ505" s="640" t="str">
        <f>IFERROR(VLOOKUP(AH505,Listas!$A$77:$C$83,3,FALSE),"Alerta: Seleccione primero el responsable")</f>
        <v>Alerta: Seleccione primero el responsable</v>
      </c>
      <c r="AK505" s="640" t="str">
        <f>IF(J505="Funcionamiento Gastos Generales","No aplica",IF(J505="Funcionamiento Servicios Personales indirectos","No aplica",IFERROR(VLOOKUP(J505,Listas!$A$127:$E$139,3,FALSE),"Alerta: Seleccione la celda en la comumna B con el nombre del proyecto")))</f>
        <v>Alerta: Seleccione la celda en la comumna B con el nombre del proyecto</v>
      </c>
      <c r="AL505" s="640" t="str">
        <f>IF(J505="Funcionamiento Gastos Generales","No aplica",IF(J505="Funcionamiento Servicios Personales","No aplica",IFERROR(VLOOKUP(J505,Listas!$A$220:$D$224,2,FALSE),"Alerta: Seleccione la celda en la comumna B con el nombre del proyecto")))</f>
        <v>Alerta: Seleccione la celda en la comumna B con el nombre del proyecto</v>
      </c>
      <c r="AM505" s="640" t="str">
        <f>IF(J505="Funcionamiento Gastos Generales","No aplica",IF(J505="Funcionamiento Servicios Personales","No aplica",IFERROR(VLOOKUP(J505,Listas!$A$220:$D$224,3,FALSE),"Alerta: Seleccione la celda en la comumna B con el nombre del proyecto")))</f>
        <v>Alerta: Seleccione la celda en la comumna B con el nombre del proyecto</v>
      </c>
      <c r="AN505" s="633"/>
      <c r="AO505" s="633"/>
      <c r="AP505" s="634" t="str">
        <f>IFERROR(VLOOKUP(J505,Listas!$A$182:$E$215,5,FALSE),"Alerta: Seleccione la celda en la comumna B con el nombre del proyecto")</f>
        <v>Alerta: Seleccione la celda en la comumna B con el nombre del proyecto</v>
      </c>
      <c r="AQ505" s="634" t="str">
        <f>IF(J505="Funcionamiento Gastos Generales","No aplica",IF(J505="Funcionamiento Servicios Personales","No aplica",IFERROR(VLOOKUP(J505,Listas!$A$220:$D$224,4,FALSE),"Alerta: Seleccione la celda en la comumna B con el nombre del proyecto")))</f>
        <v>Alerta: Seleccione la celda en la comumna B con el nombre del proyecto</v>
      </c>
      <c r="AR505" s="633"/>
      <c r="AS505" s="634" t="str">
        <f>IFERROR(VLOOKUP(AU505,Listas!$E$85:$L$105,7,FALSE),"Alerta: Seleccione la celda en la comumna AI con el concepto de gasto")</f>
        <v>Alerta: Seleccione la celda en la comumna AI con el concepto de gasto</v>
      </c>
      <c r="AT505" s="634" t="str">
        <f>IFERROR(VLOOKUP(AU505,Listas!$E$85:$L$105,8,FALSE),"Alerta: Seleccione la celda en la comumna AI con el concepto de gasto")</f>
        <v>Alerta: Seleccione la celda en la comumna AI con el concepto de gasto</v>
      </c>
      <c r="AU505" s="633"/>
      <c r="AV505" s="634" t="str">
        <f>IFERROR(VLOOKUP(AU505,Listas!$E$85:$F$105,2,FALSE),"Alerta: Seleccione el Concepto de Gasto primero")</f>
        <v>Alerta: Seleccione el Concepto de Gasto primero</v>
      </c>
      <c r="AW505" s="644"/>
      <c r="AX505" s="645"/>
      <c r="AY505" s="645"/>
      <c r="AZ505" s="645"/>
      <c r="BA505" s="646">
        <f t="shared" si="161"/>
        <v>0</v>
      </c>
      <c r="BB505" s="647"/>
      <c r="BC505" s="648"/>
      <c r="BD505" s="649"/>
      <c r="BE505" s="647"/>
      <c r="BF505" s="644"/>
      <c r="BG505" s="646">
        <f t="shared" si="162"/>
        <v>0</v>
      </c>
      <c r="BH505" s="650"/>
      <c r="BI505" s="647"/>
      <c r="BJ505" s="644"/>
      <c r="BK505" s="646">
        <f t="shared" si="163"/>
        <v>0</v>
      </c>
      <c r="BL505" s="651"/>
      <c r="BM505" s="652">
        <f t="shared" si="164"/>
        <v>1</v>
      </c>
      <c r="BN505" s="628"/>
      <c r="BO505" s="670"/>
      <c r="BP505" s="644"/>
      <c r="BQ505" s="644"/>
      <c r="BR505" s="644"/>
      <c r="BS505" s="644"/>
      <c r="BT505" s="644"/>
      <c r="BU505" s="644"/>
      <c r="BV505" s="644"/>
      <c r="BW505" s="644"/>
      <c r="BX505" s="644"/>
      <c r="BY505" s="644"/>
      <c r="BZ505" s="644"/>
      <c r="CA505" s="644"/>
      <c r="CB505" s="646">
        <f t="shared" si="165"/>
        <v>0</v>
      </c>
      <c r="CC505" s="646">
        <f t="shared" si="166"/>
        <v>0</v>
      </c>
      <c r="CD505" s="614"/>
    </row>
    <row r="506" spans="1:82" s="561" customFormat="1" ht="61.5" customHeight="1">
      <c r="A506" s="625" t="str">
        <f t="shared" si="148"/>
        <v>proyecto-Alerta: Seleccione la celda en la comumna B con el nombre del proyecto-Al-Al--</v>
      </c>
      <c r="B506" s="626" t="str">
        <f t="shared" si="149"/>
        <v>proyecto-Alerta: Seleccione la celda en la comumna B con el nombre del proyecto-Al-Al-</v>
      </c>
      <c r="C506" s="626" t="str">
        <f t="shared" si="150"/>
        <v>proyecto-Alerta: Seleccione la celda en la comumna B con el nombre del proyecto-</v>
      </c>
      <c r="D506" s="626" t="str">
        <f t="shared" si="151"/>
        <v>proyecto--Al-Al-</v>
      </c>
      <c r="E506" s="626" t="str">
        <f t="shared" si="152"/>
        <v>--</v>
      </c>
      <c r="F506" s="627"/>
      <c r="G506" s="628">
        <f t="shared" si="153"/>
        <v>0</v>
      </c>
      <c r="H506" s="629" t="b">
        <f t="shared" si="154"/>
        <v>1</v>
      </c>
      <c r="I506" s="630"/>
      <c r="J506" s="627"/>
      <c r="K506" s="631" t="str">
        <f>+IFERROR(VLOOKUP(J506,Listas!$A$108:$B$114,2,FALSE),"Alerta: Seleccione la celda en la comumna B con el nombre del proyecto")</f>
        <v>Alerta: Seleccione la celda en la comumna B con el nombre del proyecto</v>
      </c>
      <c r="L506" s="632"/>
      <c r="M506" s="633"/>
      <c r="N506" s="634" t="str">
        <f t="shared" si="155"/>
        <v xml:space="preserve">(Cód. ) </v>
      </c>
      <c r="O506" s="635"/>
      <c r="P506" s="636">
        <f>IFERROR(VLOOKUP(W506,'Estimación CRP'!$D$21:$E$30,2,FALSE),0)</f>
        <v>0</v>
      </c>
      <c r="Q506" s="637">
        <f>IF(O506="No aplica","No aplica",WORKDAY.INTL(O506,P506,1,'Estimación CRP'!A692:A708))</f>
        <v>0</v>
      </c>
      <c r="R506" s="636">
        <f t="shared" si="156"/>
        <v>1</v>
      </c>
      <c r="S506" s="636">
        <f t="shared" si="157"/>
        <v>1</v>
      </c>
      <c r="T506" s="636">
        <f t="shared" si="158"/>
        <v>1</v>
      </c>
      <c r="U506" s="638"/>
      <c r="V506" s="638"/>
      <c r="W506" s="639"/>
      <c r="X506" s="640" t="str">
        <f>IFERROR(VLOOKUP(W506,Listas!$A$60:$B$73,2,FALSE),"Alerta: Seleccione primero Modalidad de selección")</f>
        <v>Alerta: Seleccione primero Modalidad de selección</v>
      </c>
      <c r="Y506" s="641">
        <v>0</v>
      </c>
      <c r="Z506" s="641"/>
      <c r="AA506" s="641"/>
      <c r="AB506" s="642">
        <f t="shared" si="159"/>
        <v>0</v>
      </c>
      <c r="AC506" s="642">
        <f t="shared" si="160"/>
        <v>0</v>
      </c>
      <c r="AD506" s="641">
        <v>0</v>
      </c>
      <c r="AE506" s="643">
        <v>0</v>
      </c>
      <c r="AF506" s="639" t="s">
        <v>276</v>
      </c>
      <c r="AG506" s="639" t="s">
        <v>277</v>
      </c>
      <c r="AH506" s="639"/>
      <c r="AI506" s="626" t="str">
        <f>IFERROR(VLOOKUP(AH506,Listas!$A$77:$C$83,2,FALSE),"Alerta: Seleccione primero el responsable")</f>
        <v>Alerta: Seleccione primero el responsable</v>
      </c>
      <c r="AJ506" s="640" t="str">
        <f>IFERROR(VLOOKUP(AH506,Listas!$A$77:$C$83,3,FALSE),"Alerta: Seleccione primero el responsable")</f>
        <v>Alerta: Seleccione primero el responsable</v>
      </c>
      <c r="AK506" s="640" t="str">
        <f>IF(J506="Funcionamiento Gastos Generales","No aplica",IF(J506="Funcionamiento Servicios Personales indirectos","No aplica",IFERROR(VLOOKUP(J506,Listas!$A$127:$E$139,3,FALSE),"Alerta: Seleccione la celda en la comumna B con el nombre del proyecto")))</f>
        <v>Alerta: Seleccione la celda en la comumna B con el nombre del proyecto</v>
      </c>
      <c r="AL506" s="640" t="str">
        <f>IF(J506="Funcionamiento Gastos Generales","No aplica",IF(J506="Funcionamiento Servicios Personales","No aplica",IFERROR(VLOOKUP(J506,Listas!$A$220:$D$224,2,FALSE),"Alerta: Seleccione la celda en la comumna B con el nombre del proyecto")))</f>
        <v>Alerta: Seleccione la celda en la comumna B con el nombre del proyecto</v>
      </c>
      <c r="AM506" s="640" t="str">
        <f>IF(J506="Funcionamiento Gastos Generales","No aplica",IF(J506="Funcionamiento Servicios Personales","No aplica",IFERROR(VLOOKUP(J506,Listas!$A$220:$D$224,3,FALSE),"Alerta: Seleccione la celda en la comumna B con el nombre del proyecto")))</f>
        <v>Alerta: Seleccione la celda en la comumna B con el nombre del proyecto</v>
      </c>
      <c r="AN506" s="633"/>
      <c r="AO506" s="633"/>
      <c r="AP506" s="634" t="str">
        <f>IFERROR(VLOOKUP(J506,Listas!$A$182:$E$215,5,FALSE),"Alerta: Seleccione la celda en la comumna B con el nombre del proyecto")</f>
        <v>Alerta: Seleccione la celda en la comumna B con el nombre del proyecto</v>
      </c>
      <c r="AQ506" s="634" t="str">
        <f>IF(J506="Funcionamiento Gastos Generales","No aplica",IF(J506="Funcionamiento Servicios Personales","No aplica",IFERROR(VLOOKUP(J506,Listas!$A$220:$D$224,4,FALSE),"Alerta: Seleccione la celda en la comumna B con el nombre del proyecto")))</f>
        <v>Alerta: Seleccione la celda en la comumna B con el nombre del proyecto</v>
      </c>
      <c r="AR506" s="633"/>
      <c r="AS506" s="634" t="str">
        <f>IFERROR(VLOOKUP(AU506,Listas!$E$85:$L$105,7,FALSE),"Alerta: Seleccione la celda en la comumna AI con el concepto de gasto")</f>
        <v>Alerta: Seleccione la celda en la comumna AI con el concepto de gasto</v>
      </c>
      <c r="AT506" s="634" t="str">
        <f>IFERROR(VLOOKUP(AU506,Listas!$E$85:$L$105,8,FALSE),"Alerta: Seleccione la celda en la comumna AI con el concepto de gasto")</f>
        <v>Alerta: Seleccione la celda en la comumna AI con el concepto de gasto</v>
      </c>
      <c r="AU506" s="633"/>
      <c r="AV506" s="634" t="str">
        <f>IFERROR(VLOOKUP(AU506,Listas!$E$85:$F$105,2,FALSE),"Alerta: Seleccione el Concepto de Gasto primero")</f>
        <v>Alerta: Seleccione el Concepto de Gasto primero</v>
      </c>
      <c r="AW506" s="644"/>
      <c r="AX506" s="645"/>
      <c r="AY506" s="645"/>
      <c r="AZ506" s="645"/>
      <c r="BA506" s="646">
        <f t="shared" si="161"/>
        <v>0</v>
      </c>
      <c r="BB506" s="647"/>
      <c r="BC506" s="648"/>
      <c r="BD506" s="649"/>
      <c r="BE506" s="647"/>
      <c r="BF506" s="644"/>
      <c r="BG506" s="646">
        <f t="shared" si="162"/>
        <v>0</v>
      </c>
      <c r="BH506" s="650"/>
      <c r="BI506" s="647"/>
      <c r="BJ506" s="644"/>
      <c r="BK506" s="646">
        <f t="shared" si="163"/>
        <v>0</v>
      </c>
      <c r="BL506" s="651"/>
      <c r="BM506" s="652">
        <f t="shared" si="164"/>
        <v>1</v>
      </c>
      <c r="BN506" s="628"/>
      <c r="BO506" s="670"/>
      <c r="BP506" s="644"/>
      <c r="BQ506" s="644"/>
      <c r="BR506" s="644"/>
      <c r="BS506" s="644"/>
      <c r="BT506" s="644"/>
      <c r="BU506" s="644"/>
      <c r="BV506" s="644"/>
      <c r="BW506" s="644"/>
      <c r="BX506" s="644"/>
      <c r="BY506" s="644"/>
      <c r="BZ506" s="644"/>
      <c r="CA506" s="644"/>
      <c r="CB506" s="646">
        <f t="shared" si="165"/>
        <v>0</v>
      </c>
      <c r="CC506" s="646">
        <f t="shared" si="166"/>
        <v>0</v>
      </c>
      <c r="CD506" s="614"/>
    </row>
    <row r="507" spans="1:82" s="561" customFormat="1" ht="61.5" customHeight="1">
      <c r="A507" s="625" t="str">
        <f t="shared" si="148"/>
        <v>proyecto-Alerta: Seleccione la celda en la comumna B con el nombre del proyecto-Al-Al--</v>
      </c>
      <c r="B507" s="626" t="str">
        <f t="shared" si="149"/>
        <v>proyecto-Alerta: Seleccione la celda en la comumna B con el nombre del proyecto-Al-Al-</v>
      </c>
      <c r="C507" s="626" t="str">
        <f t="shared" si="150"/>
        <v>proyecto-Alerta: Seleccione la celda en la comumna B con el nombre del proyecto-</v>
      </c>
      <c r="D507" s="626" t="str">
        <f t="shared" si="151"/>
        <v>proyecto--Al-Al-</v>
      </c>
      <c r="E507" s="626" t="str">
        <f t="shared" si="152"/>
        <v>--</v>
      </c>
      <c r="F507" s="627"/>
      <c r="G507" s="628">
        <f t="shared" si="153"/>
        <v>0</v>
      </c>
      <c r="H507" s="629" t="b">
        <f t="shared" si="154"/>
        <v>1</v>
      </c>
      <c r="I507" s="630"/>
      <c r="J507" s="627"/>
      <c r="K507" s="631" t="str">
        <f>+IFERROR(VLOOKUP(J507,Listas!$A$108:$B$114,2,FALSE),"Alerta: Seleccione la celda en la comumna B con el nombre del proyecto")</f>
        <v>Alerta: Seleccione la celda en la comumna B con el nombre del proyecto</v>
      </c>
      <c r="L507" s="632"/>
      <c r="M507" s="633"/>
      <c r="N507" s="634" t="str">
        <f t="shared" si="155"/>
        <v xml:space="preserve">(Cód. ) </v>
      </c>
      <c r="O507" s="635"/>
      <c r="P507" s="636">
        <f>IFERROR(VLOOKUP(W507,'Estimación CRP'!$D$21:$E$30,2,FALSE),0)</f>
        <v>0</v>
      </c>
      <c r="Q507" s="637">
        <f>IF(O507="No aplica","No aplica",WORKDAY.INTL(O507,P507,1,'Estimación CRP'!A693:A709))</f>
        <v>0</v>
      </c>
      <c r="R507" s="636">
        <f t="shared" si="156"/>
        <v>1</v>
      </c>
      <c r="S507" s="636">
        <f t="shared" si="157"/>
        <v>1</v>
      </c>
      <c r="T507" s="636">
        <f t="shared" si="158"/>
        <v>1</v>
      </c>
      <c r="U507" s="638"/>
      <c r="V507" s="638"/>
      <c r="W507" s="639"/>
      <c r="X507" s="640" t="str">
        <f>IFERROR(VLOOKUP(W507,Listas!$A$60:$B$73,2,FALSE),"Alerta: Seleccione primero Modalidad de selección")</f>
        <v>Alerta: Seleccione primero Modalidad de selección</v>
      </c>
      <c r="Y507" s="641">
        <v>0</v>
      </c>
      <c r="Z507" s="641"/>
      <c r="AA507" s="641"/>
      <c r="AB507" s="642">
        <f t="shared" si="159"/>
        <v>0</v>
      </c>
      <c r="AC507" s="642">
        <f t="shared" si="160"/>
        <v>0</v>
      </c>
      <c r="AD507" s="641">
        <v>0</v>
      </c>
      <c r="AE507" s="643">
        <v>0</v>
      </c>
      <c r="AF507" s="639" t="s">
        <v>276</v>
      </c>
      <c r="AG507" s="639" t="s">
        <v>277</v>
      </c>
      <c r="AH507" s="639"/>
      <c r="AI507" s="626" t="str">
        <f>IFERROR(VLOOKUP(AH507,Listas!$A$77:$C$83,2,FALSE),"Alerta: Seleccione primero el responsable")</f>
        <v>Alerta: Seleccione primero el responsable</v>
      </c>
      <c r="AJ507" s="640" t="str">
        <f>IFERROR(VLOOKUP(AH507,Listas!$A$77:$C$83,3,FALSE),"Alerta: Seleccione primero el responsable")</f>
        <v>Alerta: Seleccione primero el responsable</v>
      </c>
      <c r="AK507" s="640" t="str">
        <f>IF(J507="Funcionamiento Gastos Generales","No aplica",IF(J507="Funcionamiento Servicios Personales indirectos","No aplica",IFERROR(VLOOKUP(J507,Listas!$A$127:$E$139,3,FALSE),"Alerta: Seleccione la celda en la comumna B con el nombre del proyecto")))</f>
        <v>Alerta: Seleccione la celda en la comumna B con el nombre del proyecto</v>
      </c>
      <c r="AL507" s="640" t="str">
        <f>IF(J507="Funcionamiento Gastos Generales","No aplica",IF(J507="Funcionamiento Servicios Personales","No aplica",IFERROR(VLOOKUP(J507,Listas!$A$220:$D$224,2,FALSE),"Alerta: Seleccione la celda en la comumna B con el nombre del proyecto")))</f>
        <v>Alerta: Seleccione la celda en la comumna B con el nombre del proyecto</v>
      </c>
      <c r="AM507" s="640" t="str">
        <f>IF(J507="Funcionamiento Gastos Generales","No aplica",IF(J507="Funcionamiento Servicios Personales","No aplica",IFERROR(VLOOKUP(J507,Listas!$A$220:$D$224,3,FALSE),"Alerta: Seleccione la celda en la comumna B con el nombre del proyecto")))</f>
        <v>Alerta: Seleccione la celda en la comumna B con el nombre del proyecto</v>
      </c>
      <c r="AN507" s="633"/>
      <c r="AO507" s="633"/>
      <c r="AP507" s="634" t="str">
        <f>IFERROR(VLOOKUP(J507,Listas!$A$182:$E$215,5,FALSE),"Alerta: Seleccione la celda en la comumna B con el nombre del proyecto")</f>
        <v>Alerta: Seleccione la celda en la comumna B con el nombre del proyecto</v>
      </c>
      <c r="AQ507" s="634" t="str">
        <f>IF(J507="Funcionamiento Gastos Generales","No aplica",IF(J507="Funcionamiento Servicios Personales","No aplica",IFERROR(VLOOKUP(J507,Listas!$A$220:$D$224,4,FALSE),"Alerta: Seleccione la celda en la comumna B con el nombre del proyecto")))</f>
        <v>Alerta: Seleccione la celda en la comumna B con el nombre del proyecto</v>
      </c>
      <c r="AR507" s="633"/>
      <c r="AS507" s="634" t="str">
        <f>IFERROR(VLOOKUP(AU507,Listas!$E$85:$L$105,7,FALSE),"Alerta: Seleccione la celda en la comumna AI con el concepto de gasto")</f>
        <v>Alerta: Seleccione la celda en la comumna AI con el concepto de gasto</v>
      </c>
      <c r="AT507" s="634" t="str">
        <f>IFERROR(VLOOKUP(AU507,Listas!$E$85:$L$105,8,FALSE),"Alerta: Seleccione la celda en la comumna AI con el concepto de gasto")</f>
        <v>Alerta: Seleccione la celda en la comumna AI con el concepto de gasto</v>
      </c>
      <c r="AU507" s="633"/>
      <c r="AV507" s="634" t="str">
        <f>IFERROR(VLOOKUP(AU507,Listas!$E$85:$F$105,2,FALSE),"Alerta: Seleccione el Concepto de Gasto primero")</f>
        <v>Alerta: Seleccione el Concepto de Gasto primero</v>
      </c>
      <c r="AW507" s="644"/>
      <c r="AX507" s="645"/>
      <c r="AY507" s="645"/>
      <c r="AZ507" s="645"/>
      <c r="BA507" s="646">
        <f t="shared" si="161"/>
        <v>0</v>
      </c>
      <c r="BB507" s="647"/>
      <c r="BC507" s="648"/>
      <c r="BD507" s="649"/>
      <c r="BE507" s="647"/>
      <c r="BF507" s="644"/>
      <c r="BG507" s="646">
        <f t="shared" si="162"/>
        <v>0</v>
      </c>
      <c r="BH507" s="650"/>
      <c r="BI507" s="647"/>
      <c r="BJ507" s="644"/>
      <c r="BK507" s="646">
        <f t="shared" si="163"/>
        <v>0</v>
      </c>
      <c r="BL507" s="651"/>
      <c r="BM507" s="652">
        <f t="shared" si="164"/>
        <v>1</v>
      </c>
      <c r="BN507" s="628"/>
      <c r="BO507" s="670"/>
      <c r="BP507" s="644"/>
      <c r="BQ507" s="644"/>
      <c r="BR507" s="644"/>
      <c r="BS507" s="644"/>
      <c r="BT507" s="644"/>
      <c r="BU507" s="644"/>
      <c r="BV507" s="644"/>
      <c r="BW507" s="644"/>
      <c r="BX507" s="644"/>
      <c r="BY507" s="644"/>
      <c r="BZ507" s="644"/>
      <c r="CA507" s="644"/>
      <c r="CB507" s="646">
        <f t="shared" si="165"/>
        <v>0</v>
      </c>
      <c r="CC507" s="646">
        <f t="shared" si="166"/>
        <v>0</v>
      </c>
      <c r="CD507" s="614"/>
    </row>
    <row r="508" spans="1:82" s="561" customFormat="1" ht="61.5" customHeight="1">
      <c r="A508" s="625" t="str">
        <f t="shared" si="148"/>
        <v>proyecto-Alerta: Seleccione la celda en la comumna B con el nombre del proyecto-Al-Al--</v>
      </c>
      <c r="B508" s="626" t="str">
        <f t="shared" si="149"/>
        <v>proyecto-Alerta: Seleccione la celda en la comumna B con el nombre del proyecto-Al-Al-</v>
      </c>
      <c r="C508" s="626" t="str">
        <f t="shared" si="150"/>
        <v>proyecto-Alerta: Seleccione la celda en la comumna B con el nombre del proyecto-</v>
      </c>
      <c r="D508" s="626" t="str">
        <f t="shared" si="151"/>
        <v>proyecto--Al-Al-</v>
      </c>
      <c r="E508" s="626" t="str">
        <f t="shared" si="152"/>
        <v>--</v>
      </c>
      <c r="F508" s="627"/>
      <c r="G508" s="628">
        <f t="shared" si="153"/>
        <v>0</v>
      </c>
      <c r="H508" s="629" t="b">
        <f t="shared" si="154"/>
        <v>1</v>
      </c>
      <c r="I508" s="630"/>
      <c r="J508" s="627"/>
      <c r="K508" s="631" t="str">
        <f>+IFERROR(VLOOKUP(J508,Listas!$A$108:$B$114,2,FALSE),"Alerta: Seleccione la celda en la comumna B con el nombre del proyecto")</f>
        <v>Alerta: Seleccione la celda en la comumna B con el nombre del proyecto</v>
      </c>
      <c r="L508" s="632"/>
      <c r="M508" s="633"/>
      <c r="N508" s="634" t="str">
        <f t="shared" si="155"/>
        <v xml:space="preserve">(Cód. ) </v>
      </c>
      <c r="O508" s="635"/>
      <c r="P508" s="636">
        <f>IFERROR(VLOOKUP(W508,'Estimación CRP'!$D$21:$E$30,2,FALSE),0)</f>
        <v>0</v>
      </c>
      <c r="Q508" s="637">
        <f>IF(O508="No aplica","No aplica",WORKDAY.INTL(O508,P508,1,'Estimación CRP'!A694:A710))</f>
        <v>0</v>
      </c>
      <c r="R508" s="636">
        <f t="shared" si="156"/>
        <v>1</v>
      </c>
      <c r="S508" s="636">
        <f t="shared" si="157"/>
        <v>1</v>
      </c>
      <c r="T508" s="636">
        <f t="shared" si="158"/>
        <v>1</v>
      </c>
      <c r="U508" s="638"/>
      <c r="V508" s="638"/>
      <c r="W508" s="639"/>
      <c r="X508" s="640" t="str">
        <f>IFERROR(VLOOKUP(W508,Listas!$A$60:$B$73,2,FALSE),"Alerta: Seleccione primero Modalidad de selección")</f>
        <v>Alerta: Seleccione primero Modalidad de selección</v>
      </c>
      <c r="Y508" s="641">
        <v>0</v>
      </c>
      <c r="Z508" s="641"/>
      <c r="AA508" s="641"/>
      <c r="AB508" s="642">
        <f t="shared" si="159"/>
        <v>0</v>
      </c>
      <c r="AC508" s="642">
        <f t="shared" si="160"/>
        <v>0</v>
      </c>
      <c r="AD508" s="641">
        <v>0</v>
      </c>
      <c r="AE508" s="643">
        <v>0</v>
      </c>
      <c r="AF508" s="639" t="s">
        <v>276</v>
      </c>
      <c r="AG508" s="639" t="s">
        <v>277</v>
      </c>
      <c r="AH508" s="639"/>
      <c r="AI508" s="626" t="str">
        <f>IFERROR(VLOOKUP(AH508,Listas!$A$77:$C$83,2,FALSE),"Alerta: Seleccione primero el responsable")</f>
        <v>Alerta: Seleccione primero el responsable</v>
      </c>
      <c r="AJ508" s="640" t="str">
        <f>IFERROR(VLOOKUP(AH508,Listas!$A$77:$C$83,3,FALSE),"Alerta: Seleccione primero el responsable")</f>
        <v>Alerta: Seleccione primero el responsable</v>
      </c>
      <c r="AK508" s="640" t="str">
        <f>IF(J508="Funcionamiento Gastos Generales","No aplica",IF(J508="Funcionamiento Servicios Personales indirectos","No aplica",IFERROR(VLOOKUP(J508,Listas!$A$127:$E$139,3,FALSE),"Alerta: Seleccione la celda en la comumna B con el nombre del proyecto")))</f>
        <v>Alerta: Seleccione la celda en la comumna B con el nombre del proyecto</v>
      </c>
      <c r="AL508" s="640" t="str">
        <f>IF(J508="Funcionamiento Gastos Generales","No aplica",IF(J508="Funcionamiento Servicios Personales","No aplica",IFERROR(VLOOKUP(J508,Listas!$A$220:$D$224,2,FALSE),"Alerta: Seleccione la celda en la comumna B con el nombre del proyecto")))</f>
        <v>Alerta: Seleccione la celda en la comumna B con el nombre del proyecto</v>
      </c>
      <c r="AM508" s="640" t="str">
        <f>IF(J508="Funcionamiento Gastos Generales","No aplica",IF(J508="Funcionamiento Servicios Personales","No aplica",IFERROR(VLOOKUP(J508,Listas!$A$220:$D$224,3,FALSE),"Alerta: Seleccione la celda en la comumna B con el nombre del proyecto")))</f>
        <v>Alerta: Seleccione la celda en la comumna B con el nombre del proyecto</v>
      </c>
      <c r="AN508" s="633"/>
      <c r="AO508" s="633"/>
      <c r="AP508" s="634" t="str">
        <f>IFERROR(VLOOKUP(J508,Listas!$A$182:$E$215,5,FALSE),"Alerta: Seleccione la celda en la comumna B con el nombre del proyecto")</f>
        <v>Alerta: Seleccione la celda en la comumna B con el nombre del proyecto</v>
      </c>
      <c r="AQ508" s="634" t="str">
        <f>IF(J508="Funcionamiento Gastos Generales","No aplica",IF(J508="Funcionamiento Servicios Personales","No aplica",IFERROR(VLOOKUP(J508,Listas!$A$220:$D$224,4,FALSE),"Alerta: Seleccione la celda en la comumna B con el nombre del proyecto")))</f>
        <v>Alerta: Seleccione la celda en la comumna B con el nombre del proyecto</v>
      </c>
      <c r="AR508" s="633"/>
      <c r="AS508" s="634" t="str">
        <f>IFERROR(VLOOKUP(AU508,Listas!$E$85:$L$105,7,FALSE),"Alerta: Seleccione la celda en la comumna AI con el concepto de gasto")</f>
        <v>Alerta: Seleccione la celda en la comumna AI con el concepto de gasto</v>
      </c>
      <c r="AT508" s="634" t="str">
        <f>IFERROR(VLOOKUP(AU508,Listas!$E$85:$L$105,8,FALSE),"Alerta: Seleccione la celda en la comumna AI con el concepto de gasto")</f>
        <v>Alerta: Seleccione la celda en la comumna AI con el concepto de gasto</v>
      </c>
      <c r="AU508" s="633"/>
      <c r="AV508" s="634" t="str">
        <f>IFERROR(VLOOKUP(AU508,Listas!$E$85:$F$105,2,FALSE),"Alerta: Seleccione el Concepto de Gasto primero")</f>
        <v>Alerta: Seleccione el Concepto de Gasto primero</v>
      </c>
      <c r="AW508" s="644"/>
      <c r="AX508" s="645"/>
      <c r="AY508" s="645"/>
      <c r="AZ508" s="645"/>
      <c r="BA508" s="646">
        <f t="shared" si="161"/>
        <v>0</v>
      </c>
      <c r="BB508" s="647"/>
      <c r="BC508" s="648"/>
      <c r="BD508" s="649"/>
      <c r="BE508" s="647"/>
      <c r="BF508" s="644"/>
      <c r="BG508" s="646">
        <f t="shared" si="162"/>
        <v>0</v>
      </c>
      <c r="BH508" s="650"/>
      <c r="BI508" s="647"/>
      <c r="BJ508" s="644"/>
      <c r="BK508" s="646">
        <f t="shared" si="163"/>
        <v>0</v>
      </c>
      <c r="BL508" s="651"/>
      <c r="BM508" s="652">
        <f t="shared" si="164"/>
        <v>1</v>
      </c>
      <c r="BN508" s="628"/>
      <c r="BO508" s="670"/>
      <c r="BP508" s="644"/>
      <c r="BQ508" s="644"/>
      <c r="BR508" s="644"/>
      <c r="BS508" s="644"/>
      <c r="BT508" s="644"/>
      <c r="BU508" s="644"/>
      <c r="BV508" s="644"/>
      <c r="BW508" s="644"/>
      <c r="BX508" s="644"/>
      <c r="BY508" s="644"/>
      <c r="BZ508" s="644"/>
      <c r="CA508" s="644"/>
      <c r="CB508" s="646">
        <f t="shared" si="165"/>
        <v>0</v>
      </c>
      <c r="CC508" s="646">
        <f t="shared" si="166"/>
        <v>0</v>
      </c>
      <c r="CD508" s="614"/>
    </row>
    <row r="509" spans="1:82" s="561" customFormat="1" ht="61.5" customHeight="1">
      <c r="A509" s="625" t="str">
        <f t="shared" si="148"/>
        <v>proyecto-Alerta: Seleccione la celda en la comumna B con el nombre del proyecto-Al-Al--</v>
      </c>
      <c r="B509" s="626" t="str">
        <f t="shared" si="149"/>
        <v>proyecto-Alerta: Seleccione la celda en la comumna B con el nombre del proyecto-Al-Al-</v>
      </c>
      <c r="C509" s="626" t="str">
        <f t="shared" si="150"/>
        <v>proyecto-Alerta: Seleccione la celda en la comumna B con el nombre del proyecto-</v>
      </c>
      <c r="D509" s="626" t="str">
        <f t="shared" si="151"/>
        <v>proyecto--Al-Al-</v>
      </c>
      <c r="E509" s="626" t="str">
        <f t="shared" si="152"/>
        <v>--</v>
      </c>
      <c r="F509" s="627"/>
      <c r="G509" s="628">
        <f t="shared" si="153"/>
        <v>0</v>
      </c>
      <c r="H509" s="629" t="b">
        <f t="shared" si="154"/>
        <v>1</v>
      </c>
      <c r="I509" s="630"/>
      <c r="J509" s="627"/>
      <c r="K509" s="631" t="str">
        <f>+IFERROR(VLOOKUP(J509,Listas!$A$108:$B$114,2,FALSE),"Alerta: Seleccione la celda en la comumna B con el nombre del proyecto")</f>
        <v>Alerta: Seleccione la celda en la comumna B con el nombre del proyecto</v>
      </c>
      <c r="L509" s="632"/>
      <c r="M509" s="633"/>
      <c r="N509" s="634" t="str">
        <f t="shared" si="155"/>
        <v xml:space="preserve">(Cód. ) </v>
      </c>
      <c r="O509" s="635"/>
      <c r="P509" s="636">
        <f>IFERROR(VLOOKUP(W509,'Estimación CRP'!$D$21:$E$30,2,FALSE),0)</f>
        <v>0</v>
      </c>
      <c r="Q509" s="637">
        <f>IF(O509="No aplica","No aplica",WORKDAY.INTL(O509,P509,1,'Estimación CRP'!A695:A711))</f>
        <v>0</v>
      </c>
      <c r="R509" s="636">
        <f t="shared" si="156"/>
        <v>1</v>
      </c>
      <c r="S509" s="636">
        <f t="shared" si="157"/>
        <v>1</v>
      </c>
      <c r="T509" s="636">
        <f t="shared" si="158"/>
        <v>1</v>
      </c>
      <c r="U509" s="638"/>
      <c r="V509" s="638"/>
      <c r="W509" s="639"/>
      <c r="X509" s="640" t="str">
        <f>IFERROR(VLOOKUP(W509,Listas!$A$60:$B$73,2,FALSE),"Alerta: Seleccione primero Modalidad de selección")</f>
        <v>Alerta: Seleccione primero Modalidad de selección</v>
      </c>
      <c r="Y509" s="641">
        <v>0</v>
      </c>
      <c r="Z509" s="641"/>
      <c r="AA509" s="641"/>
      <c r="AB509" s="642">
        <f t="shared" si="159"/>
        <v>0</v>
      </c>
      <c r="AC509" s="642">
        <f t="shared" si="160"/>
        <v>0</v>
      </c>
      <c r="AD509" s="641">
        <v>0</v>
      </c>
      <c r="AE509" s="643">
        <v>0</v>
      </c>
      <c r="AF509" s="639" t="s">
        <v>276</v>
      </c>
      <c r="AG509" s="639" t="s">
        <v>277</v>
      </c>
      <c r="AH509" s="639"/>
      <c r="AI509" s="626" t="str">
        <f>IFERROR(VLOOKUP(AH509,Listas!$A$77:$C$83,2,FALSE),"Alerta: Seleccione primero el responsable")</f>
        <v>Alerta: Seleccione primero el responsable</v>
      </c>
      <c r="AJ509" s="640" t="str">
        <f>IFERROR(VLOOKUP(AH509,Listas!$A$77:$C$83,3,FALSE),"Alerta: Seleccione primero el responsable")</f>
        <v>Alerta: Seleccione primero el responsable</v>
      </c>
      <c r="AK509" s="640" t="str">
        <f>IF(J509="Funcionamiento Gastos Generales","No aplica",IF(J509="Funcionamiento Servicios Personales indirectos","No aplica",IFERROR(VLOOKUP(J509,Listas!$A$127:$E$139,3,FALSE),"Alerta: Seleccione la celda en la comumna B con el nombre del proyecto")))</f>
        <v>Alerta: Seleccione la celda en la comumna B con el nombre del proyecto</v>
      </c>
      <c r="AL509" s="640" t="str">
        <f>IF(J509="Funcionamiento Gastos Generales","No aplica",IF(J509="Funcionamiento Servicios Personales","No aplica",IFERROR(VLOOKUP(J509,Listas!$A$220:$D$224,2,FALSE),"Alerta: Seleccione la celda en la comumna B con el nombre del proyecto")))</f>
        <v>Alerta: Seleccione la celda en la comumna B con el nombre del proyecto</v>
      </c>
      <c r="AM509" s="640" t="str">
        <f>IF(J509="Funcionamiento Gastos Generales","No aplica",IF(J509="Funcionamiento Servicios Personales","No aplica",IFERROR(VLOOKUP(J509,Listas!$A$220:$D$224,3,FALSE),"Alerta: Seleccione la celda en la comumna B con el nombre del proyecto")))</f>
        <v>Alerta: Seleccione la celda en la comumna B con el nombre del proyecto</v>
      </c>
      <c r="AN509" s="633"/>
      <c r="AO509" s="633"/>
      <c r="AP509" s="634" t="str">
        <f>IFERROR(VLOOKUP(J509,Listas!$A$182:$E$215,5,FALSE),"Alerta: Seleccione la celda en la comumna B con el nombre del proyecto")</f>
        <v>Alerta: Seleccione la celda en la comumna B con el nombre del proyecto</v>
      </c>
      <c r="AQ509" s="634" t="str">
        <f>IF(J509="Funcionamiento Gastos Generales","No aplica",IF(J509="Funcionamiento Servicios Personales","No aplica",IFERROR(VLOOKUP(J509,Listas!$A$220:$D$224,4,FALSE),"Alerta: Seleccione la celda en la comumna B con el nombre del proyecto")))</f>
        <v>Alerta: Seleccione la celda en la comumna B con el nombre del proyecto</v>
      </c>
      <c r="AR509" s="633"/>
      <c r="AS509" s="634" t="str">
        <f>IFERROR(VLOOKUP(AU509,Listas!$E$85:$L$105,7,FALSE),"Alerta: Seleccione la celda en la comumna AI con el concepto de gasto")</f>
        <v>Alerta: Seleccione la celda en la comumna AI con el concepto de gasto</v>
      </c>
      <c r="AT509" s="634" t="str">
        <f>IFERROR(VLOOKUP(AU509,Listas!$E$85:$L$105,8,FALSE),"Alerta: Seleccione la celda en la comumna AI con el concepto de gasto")</f>
        <v>Alerta: Seleccione la celda en la comumna AI con el concepto de gasto</v>
      </c>
      <c r="AU509" s="633"/>
      <c r="AV509" s="634" t="str">
        <f>IFERROR(VLOOKUP(AU509,Listas!$E$85:$F$105,2,FALSE),"Alerta: Seleccione el Concepto de Gasto primero")</f>
        <v>Alerta: Seleccione el Concepto de Gasto primero</v>
      </c>
      <c r="AW509" s="644"/>
      <c r="AX509" s="645"/>
      <c r="AY509" s="645"/>
      <c r="AZ509" s="645"/>
      <c r="BA509" s="646">
        <f t="shared" si="161"/>
        <v>0</v>
      </c>
      <c r="BB509" s="647"/>
      <c r="BC509" s="648"/>
      <c r="BD509" s="649"/>
      <c r="BE509" s="647"/>
      <c r="BF509" s="644"/>
      <c r="BG509" s="646">
        <f t="shared" si="162"/>
        <v>0</v>
      </c>
      <c r="BH509" s="650"/>
      <c r="BI509" s="647"/>
      <c r="BJ509" s="644"/>
      <c r="BK509" s="646">
        <f t="shared" si="163"/>
        <v>0</v>
      </c>
      <c r="BL509" s="651"/>
      <c r="BM509" s="652">
        <f t="shared" si="164"/>
        <v>1</v>
      </c>
      <c r="BN509" s="628"/>
      <c r="BO509" s="670"/>
      <c r="BP509" s="644"/>
      <c r="BQ509" s="644"/>
      <c r="BR509" s="644"/>
      <c r="BS509" s="644"/>
      <c r="BT509" s="644"/>
      <c r="BU509" s="644"/>
      <c r="BV509" s="644"/>
      <c r="BW509" s="644"/>
      <c r="BX509" s="644"/>
      <c r="BY509" s="644"/>
      <c r="BZ509" s="644"/>
      <c r="CA509" s="644"/>
      <c r="CB509" s="646">
        <f t="shared" si="165"/>
        <v>0</v>
      </c>
      <c r="CC509" s="646">
        <f t="shared" si="166"/>
        <v>0</v>
      </c>
      <c r="CD509" s="614"/>
    </row>
    <row r="510" spans="1:82" s="561" customFormat="1" ht="61.5" customHeight="1">
      <c r="A510" s="625" t="str">
        <f t="shared" si="148"/>
        <v>proyecto-Alerta: Seleccione la celda en la comumna B con el nombre del proyecto-Al-Al--</v>
      </c>
      <c r="B510" s="626" t="str">
        <f t="shared" si="149"/>
        <v>proyecto-Alerta: Seleccione la celda en la comumna B con el nombre del proyecto-Al-Al-</v>
      </c>
      <c r="C510" s="626" t="str">
        <f t="shared" si="150"/>
        <v>proyecto-Alerta: Seleccione la celda en la comumna B con el nombre del proyecto-</v>
      </c>
      <c r="D510" s="626" t="str">
        <f t="shared" si="151"/>
        <v>proyecto--Al-Al-</v>
      </c>
      <c r="E510" s="626" t="str">
        <f t="shared" si="152"/>
        <v>--</v>
      </c>
      <c r="F510" s="627"/>
      <c r="G510" s="628">
        <f t="shared" si="153"/>
        <v>0</v>
      </c>
      <c r="H510" s="629" t="b">
        <f t="shared" si="154"/>
        <v>1</v>
      </c>
      <c r="I510" s="630"/>
      <c r="J510" s="627"/>
      <c r="K510" s="631" t="str">
        <f>+IFERROR(VLOOKUP(J510,Listas!$A$108:$B$114,2,FALSE),"Alerta: Seleccione la celda en la comumna B con el nombre del proyecto")</f>
        <v>Alerta: Seleccione la celda en la comumna B con el nombre del proyecto</v>
      </c>
      <c r="L510" s="632"/>
      <c r="M510" s="633"/>
      <c r="N510" s="634" t="str">
        <f t="shared" si="155"/>
        <v xml:space="preserve">(Cód. ) </v>
      </c>
      <c r="O510" s="635"/>
      <c r="P510" s="636">
        <f>IFERROR(VLOOKUP(W510,'Estimación CRP'!$D$21:$E$30,2,FALSE),0)</f>
        <v>0</v>
      </c>
      <c r="Q510" s="637">
        <f>IF(O510="No aplica","No aplica",WORKDAY.INTL(O510,P510,1,'Estimación CRP'!A696:A712))</f>
        <v>0</v>
      </c>
      <c r="R510" s="636">
        <f t="shared" si="156"/>
        <v>1</v>
      </c>
      <c r="S510" s="636">
        <f t="shared" si="157"/>
        <v>1</v>
      </c>
      <c r="T510" s="636">
        <f t="shared" si="158"/>
        <v>1</v>
      </c>
      <c r="U510" s="638"/>
      <c r="V510" s="638"/>
      <c r="W510" s="639"/>
      <c r="X510" s="640" t="str">
        <f>IFERROR(VLOOKUP(W510,Listas!$A$60:$B$73,2,FALSE),"Alerta: Seleccione primero Modalidad de selección")</f>
        <v>Alerta: Seleccione primero Modalidad de selección</v>
      </c>
      <c r="Y510" s="641">
        <v>0</v>
      </c>
      <c r="Z510" s="641"/>
      <c r="AA510" s="641"/>
      <c r="AB510" s="642">
        <f t="shared" si="159"/>
        <v>0</v>
      </c>
      <c r="AC510" s="642">
        <f t="shared" si="160"/>
        <v>0</v>
      </c>
      <c r="AD510" s="641">
        <v>0</v>
      </c>
      <c r="AE510" s="643">
        <v>0</v>
      </c>
      <c r="AF510" s="639" t="s">
        <v>276</v>
      </c>
      <c r="AG510" s="639" t="s">
        <v>277</v>
      </c>
      <c r="AH510" s="639"/>
      <c r="AI510" s="626" t="str">
        <f>IFERROR(VLOOKUP(AH510,Listas!$A$77:$C$83,2,FALSE),"Alerta: Seleccione primero el responsable")</f>
        <v>Alerta: Seleccione primero el responsable</v>
      </c>
      <c r="AJ510" s="640" t="str">
        <f>IFERROR(VLOOKUP(AH510,Listas!$A$77:$C$83,3,FALSE),"Alerta: Seleccione primero el responsable")</f>
        <v>Alerta: Seleccione primero el responsable</v>
      </c>
      <c r="AK510" s="640" t="str">
        <f>IF(J510="Funcionamiento Gastos Generales","No aplica",IF(J510="Funcionamiento Servicios Personales indirectos","No aplica",IFERROR(VLOOKUP(J510,Listas!$A$127:$E$139,3,FALSE),"Alerta: Seleccione la celda en la comumna B con el nombre del proyecto")))</f>
        <v>Alerta: Seleccione la celda en la comumna B con el nombre del proyecto</v>
      </c>
      <c r="AL510" s="640" t="str">
        <f>IF(J510="Funcionamiento Gastos Generales","No aplica",IF(J510="Funcionamiento Servicios Personales","No aplica",IFERROR(VLOOKUP(J510,Listas!$A$220:$D$224,2,FALSE),"Alerta: Seleccione la celda en la comumna B con el nombre del proyecto")))</f>
        <v>Alerta: Seleccione la celda en la comumna B con el nombre del proyecto</v>
      </c>
      <c r="AM510" s="640" t="str">
        <f>IF(J510="Funcionamiento Gastos Generales","No aplica",IF(J510="Funcionamiento Servicios Personales","No aplica",IFERROR(VLOOKUP(J510,Listas!$A$220:$D$224,3,FALSE),"Alerta: Seleccione la celda en la comumna B con el nombre del proyecto")))</f>
        <v>Alerta: Seleccione la celda en la comumna B con el nombre del proyecto</v>
      </c>
      <c r="AN510" s="633"/>
      <c r="AO510" s="633"/>
      <c r="AP510" s="634" t="str">
        <f>IFERROR(VLOOKUP(J510,Listas!$A$182:$E$215,5,FALSE),"Alerta: Seleccione la celda en la comumna B con el nombre del proyecto")</f>
        <v>Alerta: Seleccione la celda en la comumna B con el nombre del proyecto</v>
      </c>
      <c r="AQ510" s="634" t="str">
        <f>IF(J510="Funcionamiento Gastos Generales","No aplica",IF(J510="Funcionamiento Servicios Personales","No aplica",IFERROR(VLOOKUP(J510,Listas!$A$220:$D$224,4,FALSE),"Alerta: Seleccione la celda en la comumna B con el nombre del proyecto")))</f>
        <v>Alerta: Seleccione la celda en la comumna B con el nombre del proyecto</v>
      </c>
      <c r="AR510" s="633"/>
      <c r="AS510" s="634" t="str">
        <f>IFERROR(VLOOKUP(AU510,Listas!$E$85:$L$105,7,FALSE),"Alerta: Seleccione la celda en la comumna AI con el concepto de gasto")</f>
        <v>Alerta: Seleccione la celda en la comumna AI con el concepto de gasto</v>
      </c>
      <c r="AT510" s="634" t="str">
        <f>IFERROR(VLOOKUP(AU510,Listas!$E$85:$L$105,8,FALSE),"Alerta: Seleccione la celda en la comumna AI con el concepto de gasto")</f>
        <v>Alerta: Seleccione la celda en la comumna AI con el concepto de gasto</v>
      </c>
      <c r="AU510" s="633"/>
      <c r="AV510" s="634" t="str">
        <f>IFERROR(VLOOKUP(AU510,Listas!$E$85:$F$105,2,FALSE),"Alerta: Seleccione el Concepto de Gasto primero")</f>
        <v>Alerta: Seleccione el Concepto de Gasto primero</v>
      </c>
      <c r="AW510" s="644"/>
      <c r="AX510" s="645"/>
      <c r="AY510" s="645"/>
      <c r="AZ510" s="645"/>
      <c r="BA510" s="646">
        <f t="shared" si="161"/>
        <v>0</v>
      </c>
      <c r="BB510" s="647"/>
      <c r="BC510" s="648"/>
      <c r="BD510" s="649"/>
      <c r="BE510" s="647"/>
      <c r="BF510" s="644"/>
      <c r="BG510" s="646">
        <f t="shared" si="162"/>
        <v>0</v>
      </c>
      <c r="BH510" s="650"/>
      <c r="BI510" s="647"/>
      <c r="BJ510" s="644"/>
      <c r="BK510" s="646">
        <f t="shared" si="163"/>
        <v>0</v>
      </c>
      <c r="BL510" s="651"/>
      <c r="BM510" s="652">
        <f t="shared" si="164"/>
        <v>1</v>
      </c>
      <c r="BN510" s="628"/>
      <c r="BO510" s="670"/>
      <c r="BP510" s="644"/>
      <c r="BQ510" s="644"/>
      <c r="BR510" s="644"/>
      <c r="BS510" s="644"/>
      <c r="BT510" s="644"/>
      <c r="BU510" s="644"/>
      <c r="BV510" s="644"/>
      <c r="BW510" s="644"/>
      <c r="BX510" s="644"/>
      <c r="BY510" s="644"/>
      <c r="BZ510" s="644"/>
      <c r="CA510" s="644"/>
      <c r="CB510" s="646">
        <f t="shared" si="165"/>
        <v>0</v>
      </c>
      <c r="CC510" s="646">
        <f t="shared" si="166"/>
        <v>0</v>
      </c>
      <c r="CD510" s="614"/>
    </row>
    <row r="511" spans="1:82" s="561" customFormat="1" ht="61.5" customHeight="1">
      <c r="A511" s="625" t="str">
        <f t="shared" si="148"/>
        <v>proyecto-Alerta: Seleccione la celda en la comumna B con el nombre del proyecto-Al-Al--</v>
      </c>
      <c r="B511" s="626" t="str">
        <f t="shared" si="149"/>
        <v>proyecto-Alerta: Seleccione la celda en la comumna B con el nombre del proyecto-Al-Al-</v>
      </c>
      <c r="C511" s="626" t="str">
        <f t="shared" si="150"/>
        <v>proyecto-Alerta: Seleccione la celda en la comumna B con el nombre del proyecto-</v>
      </c>
      <c r="D511" s="626" t="str">
        <f t="shared" si="151"/>
        <v>proyecto--Al-Al-</v>
      </c>
      <c r="E511" s="626" t="str">
        <f t="shared" si="152"/>
        <v>--</v>
      </c>
      <c r="F511" s="627"/>
      <c r="G511" s="628">
        <f t="shared" si="153"/>
        <v>0</v>
      </c>
      <c r="H511" s="629" t="b">
        <f t="shared" si="154"/>
        <v>1</v>
      </c>
      <c r="I511" s="630"/>
      <c r="J511" s="627"/>
      <c r="K511" s="631" t="str">
        <f>+IFERROR(VLOOKUP(J511,Listas!$A$108:$B$114,2,FALSE),"Alerta: Seleccione la celda en la comumna B con el nombre del proyecto")</f>
        <v>Alerta: Seleccione la celda en la comumna B con el nombre del proyecto</v>
      </c>
      <c r="L511" s="632"/>
      <c r="M511" s="633"/>
      <c r="N511" s="634" t="str">
        <f t="shared" si="155"/>
        <v xml:space="preserve">(Cód. ) </v>
      </c>
      <c r="O511" s="635"/>
      <c r="P511" s="636">
        <f>IFERROR(VLOOKUP(W511,'Estimación CRP'!$D$21:$E$30,2,FALSE),0)</f>
        <v>0</v>
      </c>
      <c r="Q511" s="637">
        <f>IF(O511="No aplica","No aplica",WORKDAY.INTL(O511,P511,1,'Estimación CRP'!A697:A713))</f>
        <v>0</v>
      </c>
      <c r="R511" s="636">
        <f t="shared" si="156"/>
        <v>1</v>
      </c>
      <c r="S511" s="636">
        <f t="shared" si="157"/>
        <v>1</v>
      </c>
      <c r="T511" s="636">
        <f t="shared" si="158"/>
        <v>1</v>
      </c>
      <c r="U511" s="638"/>
      <c r="V511" s="638"/>
      <c r="W511" s="639"/>
      <c r="X511" s="640" t="str">
        <f>IFERROR(VLOOKUP(W511,Listas!$A$60:$B$73,2,FALSE),"Alerta: Seleccione primero Modalidad de selección")</f>
        <v>Alerta: Seleccione primero Modalidad de selección</v>
      </c>
      <c r="Y511" s="641">
        <v>0</v>
      </c>
      <c r="Z511" s="641"/>
      <c r="AA511" s="641"/>
      <c r="AB511" s="642">
        <f t="shared" si="159"/>
        <v>0</v>
      </c>
      <c r="AC511" s="642">
        <f t="shared" si="160"/>
        <v>0</v>
      </c>
      <c r="AD511" s="641">
        <v>0</v>
      </c>
      <c r="AE511" s="643">
        <v>0</v>
      </c>
      <c r="AF511" s="639" t="s">
        <v>276</v>
      </c>
      <c r="AG511" s="639" t="s">
        <v>277</v>
      </c>
      <c r="AH511" s="639"/>
      <c r="AI511" s="626" t="str">
        <f>IFERROR(VLOOKUP(AH511,Listas!$A$77:$C$83,2,FALSE),"Alerta: Seleccione primero el responsable")</f>
        <v>Alerta: Seleccione primero el responsable</v>
      </c>
      <c r="AJ511" s="640" t="str">
        <f>IFERROR(VLOOKUP(AH511,Listas!$A$77:$C$83,3,FALSE),"Alerta: Seleccione primero el responsable")</f>
        <v>Alerta: Seleccione primero el responsable</v>
      </c>
      <c r="AK511" s="640" t="str">
        <f>IF(J511="Funcionamiento Gastos Generales","No aplica",IF(J511="Funcionamiento Servicios Personales indirectos","No aplica",IFERROR(VLOOKUP(J511,Listas!$A$127:$E$139,3,FALSE),"Alerta: Seleccione la celda en la comumna B con el nombre del proyecto")))</f>
        <v>Alerta: Seleccione la celda en la comumna B con el nombre del proyecto</v>
      </c>
      <c r="AL511" s="640" t="str">
        <f>IF(J511="Funcionamiento Gastos Generales","No aplica",IF(J511="Funcionamiento Servicios Personales","No aplica",IFERROR(VLOOKUP(J511,Listas!$A$220:$D$224,2,FALSE),"Alerta: Seleccione la celda en la comumna B con el nombre del proyecto")))</f>
        <v>Alerta: Seleccione la celda en la comumna B con el nombre del proyecto</v>
      </c>
      <c r="AM511" s="640" t="str">
        <f>IF(J511="Funcionamiento Gastos Generales","No aplica",IF(J511="Funcionamiento Servicios Personales","No aplica",IFERROR(VLOOKUP(J511,Listas!$A$220:$D$224,3,FALSE),"Alerta: Seleccione la celda en la comumna B con el nombre del proyecto")))</f>
        <v>Alerta: Seleccione la celda en la comumna B con el nombre del proyecto</v>
      </c>
      <c r="AN511" s="633"/>
      <c r="AO511" s="633"/>
      <c r="AP511" s="634" t="str">
        <f>IFERROR(VLOOKUP(J511,Listas!$A$182:$E$215,5,FALSE),"Alerta: Seleccione la celda en la comumna B con el nombre del proyecto")</f>
        <v>Alerta: Seleccione la celda en la comumna B con el nombre del proyecto</v>
      </c>
      <c r="AQ511" s="634" t="str">
        <f>IF(J511="Funcionamiento Gastos Generales","No aplica",IF(J511="Funcionamiento Servicios Personales","No aplica",IFERROR(VLOOKUP(J511,Listas!$A$220:$D$224,4,FALSE),"Alerta: Seleccione la celda en la comumna B con el nombre del proyecto")))</f>
        <v>Alerta: Seleccione la celda en la comumna B con el nombre del proyecto</v>
      </c>
      <c r="AR511" s="633"/>
      <c r="AS511" s="634" t="str">
        <f>IFERROR(VLOOKUP(AU511,Listas!$E$85:$L$105,7,FALSE),"Alerta: Seleccione la celda en la comumna AI con el concepto de gasto")</f>
        <v>Alerta: Seleccione la celda en la comumna AI con el concepto de gasto</v>
      </c>
      <c r="AT511" s="634" t="str">
        <f>IFERROR(VLOOKUP(AU511,Listas!$E$85:$L$105,8,FALSE),"Alerta: Seleccione la celda en la comumna AI con el concepto de gasto")</f>
        <v>Alerta: Seleccione la celda en la comumna AI con el concepto de gasto</v>
      </c>
      <c r="AU511" s="633"/>
      <c r="AV511" s="634" t="str">
        <f>IFERROR(VLOOKUP(AU511,Listas!$E$85:$F$105,2,FALSE),"Alerta: Seleccione el Concepto de Gasto primero")</f>
        <v>Alerta: Seleccione el Concepto de Gasto primero</v>
      </c>
      <c r="AW511" s="644"/>
      <c r="AX511" s="645"/>
      <c r="AY511" s="645"/>
      <c r="AZ511" s="645"/>
      <c r="BA511" s="646">
        <f t="shared" si="161"/>
        <v>0</v>
      </c>
      <c r="BB511" s="647"/>
      <c r="BC511" s="648"/>
      <c r="BD511" s="649"/>
      <c r="BE511" s="647"/>
      <c r="BF511" s="644"/>
      <c r="BG511" s="646">
        <f t="shared" si="162"/>
        <v>0</v>
      </c>
      <c r="BH511" s="650"/>
      <c r="BI511" s="647"/>
      <c r="BJ511" s="644"/>
      <c r="BK511" s="646">
        <f t="shared" si="163"/>
        <v>0</v>
      </c>
      <c r="BL511" s="651"/>
      <c r="BM511" s="652">
        <f t="shared" si="164"/>
        <v>1</v>
      </c>
      <c r="BN511" s="628"/>
      <c r="BO511" s="670"/>
      <c r="BP511" s="644"/>
      <c r="BQ511" s="644"/>
      <c r="BR511" s="644"/>
      <c r="BS511" s="644"/>
      <c r="BT511" s="644"/>
      <c r="BU511" s="644"/>
      <c r="BV511" s="644"/>
      <c r="BW511" s="644"/>
      <c r="BX511" s="644"/>
      <c r="BY511" s="644"/>
      <c r="BZ511" s="644"/>
      <c r="CA511" s="644"/>
      <c r="CB511" s="646">
        <f t="shared" si="165"/>
        <v>0</v>
      </c>
      <c r="CC511" s="646">
        <f t="shared" si="166"/>
        <v>0</v>
      </c>
      <c r="CD511" s="614"/>
    </row>
    <row r="512" spans="1:82" s="561" customFormat="1" ht="61.5" customHeight="1">
      <c r="A512" s="625" t="str">
        <f t="shared" si="148"/>
        <v>proyecto-Alerta: Seleccione la celda en la comumna B con el nombre del proyecto-Al-Al--</v>
      </c>
      <c r="B512" s="626" t="str">
        <f t="shared" si="149"/>
        <v>proyecto-Alerta: Seleccione la celda en la comumna B con el nombre del proyecto-Al-Al-</v>
      </c>
      <c r="C512" s="626" t="str">
        <f t="shared" si="150"/>
        <v>proyecto-Alerta: Seleccione la celda en la comumna B con el nombre del proyecto-</v>
      </c>
      <c r="D512" s="626" t="str">
        <f t="shared" si="151"/>
        <v>proyecto--Al-Al-</v>
      </c>
      <c r="E512" s="626" t="str">
        <f t="shared" si="152"/>
        <v>--</v>
      </c>
      <c r="F512" s="627"/>
      <c r="G512" s="628">
        <f t="shared" si="153"/>
        <v>0</v>
      </c>
      <c r="H512" s="629" t="b">
        <f t="shared" si="154"/>
        <v>1</v>
      </c>
      <c r="I512" s="630"/>
      <c r="J512" s="627"/>
      <c r="K512" s="631" t="str">
        <f>+IFERROR(VLOOKUP(J512,Listas!$A$108:$B$114,2,FALSE),"Alerta: Seleccione la celda en la comumna B con el nombre del proyecto")</f>
        <v>Alerta: Seleccione la celda en la comumna B con el nombre del proyecto</v>
      </c>
      <c r="L512" s="632"/>
      <c r="M512" s="633"/>
      <c r="N512" s="634" t="str">
        <f t="shared" si="155"/>
        <v xml:space="preserve">(Cód. ) </v>
      </c>
      <c r="O512" s="635"/>
      <c r="P512" s="636">
        <f>IFERROR(VLOOKUP(W512,'Estimación CRP'!$D$21:$E$30,2,FALSE),0)</f>
        <v>0</v>
      </c>
      <c r="Q512" s="637">
        <f>IF(O512="No aplica","No aplica",WORKDAY.INTL(O512,P512,1,'Estimación CRP'!A698:A714))</f>
        <v>0</v>
      </c>
      <c r="R512" s="636">
        <f t="shared" si="156"/>
        <v>1</v>
      </c>
      <c r="S512" s="636">
        <f t="shared" si="157"/>
        <v>1</v>
      </c>
      <c r="T512" s="636">
        <f t="shared" si="158"/>
        <v>1</v>
      </c>
      <c r="U512" s="638"/>
      <c r="V512" s="638"/>
      <c r="W512" s="639"/>
      <c r="X512" s="640" t="str">
        <f>IFERROR(VLOOKUP(W512,Listas!$A$60:$B$73,2,FALSE),"Alerta: Seleccione primero Modalidad de selección")</f>
        <v>Alerta: Seleccione primero Modalidad de selección</v>
      </c>
      <c r="Y512" s="641">
        <v>0</v>
      </c>
      <c r="Z512" s="641"/>
      <c r="AA512" s="641"/>
      <c r="AB512" s="642">
        <f t="shared" si="159"/>
        <v>0</v>
      </c>
      <c r="AC512" s="642">
        <f t="shared" si="160"/>
        <v>0</v>
      </c>
      <c r="AD512" s="641">
        <v>0</v>
      </c>
      <c r="AE512" s="643">
        <v>0</v>
      </c>
      <c r="AF512" s="639" t="s">
        <v>276</v>
      </c>
      <c r="AG512" s="639" t="s">
        <v>277</v>
      </c>
      <c r="AH512" s="639"/>
      <c r="AI512" s="626" t="str">
        <f>IFERROR(VLOOKUP(AH512,Listas!$A$77:$C$83,2,FALSE),"Alerta: Seleccione primero el responsable")</f>
        <v>Alerta: Seleccione primero el responsable</v>
      </c>
      <c r="AJ512" s="640" t="str">
        <f>IFERROR(VLOOKUP(AH512,Listas!$A$77:$C$83,3,FALSE),"Alerta: Seleccione primero el responsable")</f>
        <v>Alerta: Seleccione primero el responsable</v>
      </c>
      <c r="AK512" s="640" t="str">
        <f>IF(J512="Funcionamiento Gastos Generales","No aplica",IF(J512="Funcionamiento Servicios Personales indirectos","No aplica",IFERROR(VLOOKUP(J512,Listas!$A$127:$E$139,3,FALSE),"Alerta: Seleccione la celda en la comumna B con el nombre del proyecto")))</f>
        <v>Alerta: Seleccione la celda en la comumna B con el nombre del proyecto</v>
      </c>
      <c r="AL512" s="640" t="str">
        <f>IF(J512="Funcionamiento Gastos Generales","No aplica",IF(J512="Funcionamiento Servicios Personales","No aplica",IFERROR(VLOOKUP(J512,Listas!$A$220:$D$224,2,FALSE),"Alerta: Seleccione la celda en la comumna B con el nombre del proyecto")))</f>
        <v>Alerta: Seleccione la celda en la comumna B con el nombre del proyecto</v>
      </c>
      <c r="AM512" s="640" t="str">
        <f>IF(J512="Funcionamiento Gastos Generales","No aplica",IF(J512="Funcionamiento Servicios Personales","No aplica",IFERROR(VLOOKUP(J512,Listas!$A$220:$D$224,3,FALSE),"Alerta: Seleccione la celda en la comumna B con el nombre del proyecto")))</f>
        <v>Alerta: Seleccione la celda en la comumna B con el nombre del proyecto</v>
      </c>
      <c r="AN512" s="633"/>
      <c r="AO512" s="633"/>
      <c r="AP512" s="634" t="str">
        <f>IFERROR(VLOOKUP(J512,Listas!$A$182:$E$215,5,FALSE),"Alerta: Seleccione la celda en la comumna B con el nombre del proyecto")</f>
        <v>Alerta: Seleccione la celda en la comumna B con el nombre del proyecto</v>
      </c>
      <c r="AQ512" s="634" t="str">
        <f>IF(J512="Funcionamiento Gastos Generales","No aplica",IF(J512="Funcionamiento Servicios Personales","No aplica",IFERROR(VLOOKUP(J512,Listas!$A$220:$D$224,4,FALSE),"Alerta: Seleccione la celda en la comumna B con el nombre del proyecto")))</f>
        <v>Alerta: Seleccione la celda en la comumna B con el nombre del proyecto</v>
      </c>
      <c r="AR512" s="633"/>
      <c r="AS512" s="634" t="str">
        <f>IFERROR(VLOOKUP(AU512,Listas!$E$85:$L$105,7,FALSE),"Alerta: Seleccione la celda en la comumna AI con el concepto de gasto")</f>
        <v>Alerta: Seleccione la celda en la comumna AI con el concepto de gasto</v>
      </c>
      <c r="AT512" s="634" t="str">
        <f>IFERROR(VLOOKUP(AU512,Listas!$E$85:$L$105,8,FALSE),"Alerta: Seleccione la celda en la comumna AI con el concepto de gasto")</f>
        <v>Alerta: Seleccione la celda en la comumna AI con el concepto de gasto</v>
      </c>
      <c r="AU512" s="633"/>
      <c r="AV512" s="634" t="str">
        <f>IFERROR(VLOOKUP(AU512,Listas!$E$85:$F$105,2,FALSE),"Alerta: Seleccione el Concepto de Gasto primero")</f>
        <v>Alerta: Seleccione el Concepto de Gasto primero</v>
      </c>
      <c r="AW512" s="644"/>
      <c r="AX512" s="645"/>
      <c r="AY512" s="645"/>
      <c r="AZ512" s="645"/>
      <c r="BA512" s="646">
        <f t="shared" si="161"/>
        <v>0</v>
      </c>
      <c r="BB512" s="647"/>
      <c r="BC512" s="648"/>
      <c r="BD512" s="649"/>
      <c r="BE512" s="647"/>
      <c r="BF512" s="644"/>
      <c r="BG512" s="646">
        <f t="shared" si="162"/>
        <v>0</v>
      </c>
      <c r="BH512" s="650"/>
      <c r="BI512" s="647"/>
      <c r="BJ512" s="644"/>
      <c r="BK512" s="646">
        <f t="shared" si="163"/>
        <v>0</v>
      </c>
      <c r="BL512" s="651"/>
      <c r="BM512" s="652">
        <f t="shared" si="164"/>
        <v>1</v>
      </c>
      <c r="BN512" s="628"/>
      <c r="BO512" s="670"/>
      <c r="BP512" s="644"/>
      <c r="BQ512" s="644"/>
      <c r="BR512" s="644"/>
      <c r="BS512" s="644"/>
      <c r="BT512" s="644"/>
      <c r="BU512" s="644"/>
      <c r="BV512" s="644"/>
      <c r="BW512" s="644"/>
      <c r="BX512" s="644"/>
      <c r="BY512" s="644"/>
      <c r="BZ512" s="644"/>
      <c r="CA512" s="644"/>
      <c r="CB512" s="646">
        <f t="shared" si="165"/>
        <v>0</v>
      </c>
      <c r="CC512" s="646">
        <f t="shared" si="166"/>
        <v>0</v>
      </c>
      <c r="CD512" s="614"/>
    </row>
    <row r="513" spans="1:82" s="561" customFormat="1" ht="61.5" customHeight="1">
      <c r="A513" s="625" t="str">
        <f t="shared" si="148"/>
        <v>proyecto-Alerta: Seleccione la celda en la comumna B con el nombre del proyecto-Al-Al--</v>
      </c>
      <c r="B513" s="626" t="str">
        <f t="shared" si="149"/>
        <v>proyecto-Alerta: Seleccione la celda en la comumna B con el nombre del proyecto-Al-Al-</v>
      </c>
      <c r="C513" s="626" t="str">
        <f t="shared" si="150"/>
        <v>proyecto-Alerta: Seleccione la celda en la comumna B con el nombre del proyecto-</v>
      </c>
      <c r="D513" s="626" t="str">
        <f t="shared" si="151"/>
        <v>proyecto--Al-Al-</v>
      </c>
      <c r="E513" s="626" t="str">
        <f t="shared" si="152"/>
        <v>--</v>
      </c>
      <c r="F513" s="627"/>
      <c r="G513" s="628">
        <f t="shared" si="153"/>
        <v>0</v>
      </c>
      <c r="H513" s="629" t="b">
        <f t="shared" si="154"/>
        <v>1</v>
      </c>
      <c r="I513" s="630"/>
      <c r="J513" s="627"/>
      <c r="K513" s="631" t="str">
        <f>+IFERROR(VLOOKUP(J513,Listas!$A$108:$B$114,2,FALSE),"Alerta: Seleccione la celda en la comumna B con el nombre del proyecto")</f>
        <v>Alerta: Seleccione la celda en la comumna B con el nombre del proyecto</v>
      </c>
      <c r="L513" s="632"/>
      <c r="M513" s="633"/>
      <c r="N513" s="634" t="str">
        <f t="shared" si="155"/>
        <v xml:space="preserve">(Cód. ) </v>
      </c>
      <c r="O513" s="635"/>
      <c r="P513" s="636">
        <f>IFERROR(VLOOKUP(W513,'Estimación CRP'!$D$21:$E$30,2,FALSE),0)</f>
        <v>0</v>
      </c>
      <c r="Q513" s="637">
        <f>IF(O513="No aplica","No aplica",WORKDAY.INTL(O513,P513,1,'Estimación CRP'!A699:A715))</f>
        <v>0</v>
      </c>
      <c r="R513" s="636">
        <f t="shared" si="156"/>
        <v>1</v>
      </c>
      <c r="S513" s="636">
        <f t="shared" si="157"/>
        <v>1</v>
      </c>
      <c r="T513" s="636">
        <f t="shared" si="158"/>
        <v>1</v>
      </c>
      <c r="U513" s="638"/>
      <c r="V513" s="638"/>
      <c r="W513" s="639"/>
      <c r="X513" s="640" t="str">
        <f>IFERROR(VLOOKUP(W513,Listas!$A$60:$B$73,2,FALSE),"Alerta: Seleccione primero Modalidad de selección")</f>
        <v>Alerta: Seleccione primero Modalidad de selección</v>
      </c>
      <c r="Y513" s="641">
        <v>0</v>
      </c>
      <c r="Z513" s="641"/>
      <c r="AA513" s="641"/>
      <c r="AB513" s="642">
        <f t="shared" si="159"/>
        <v>0</v>
      </c>
      <c r="AC513" s="642">
        <f t="shared" si="160"/>
        <v>0</v>
      </c>
      <c r="AD513" s="641">
        <v>0</v>
      </c>
      <c r="AE513" s="643">
        <v>0</v>
      </c>
      <c r="AF513" s="639" t="s">
        <v>276</v>
      </c>
      <c r="AG513" s="639" t="s">
        <v>277</v>
      </c>
      <c r="AH513" s="639"/>
      <c r="AI513" s="626" t="str">
        <f>IFERROR(VLOOKUP(AH513,Listas!$A$77:$C$83,2,FALSE),"Alerta: Seleccione primero el responsable")</f>
        <v>Alerta: Seleccione primero el responsable</v>
      </c>
      <c r="AJ513" s="640" t="str">
        <f>IFERROR(VLOOKUP(AH513,Listas!$A$77:$C$83,3,FALSE),"Alerta: Seleccione primero el responsable")</f>
        <v>Alerta: Seleccione primero el responsable</v>
      </c>
      <c r="AK513" s="640" t="str">
        <f>IF(J513="Funcionamiento Gastos Generales","No aplica",IF(J513="Funcionamiento Servicios Personales indirectos","No aplica",IFERROR(VLOOKUP(J513,Listas!$A$127:$E$139,3,FALSE),"Alerta: Seleccione la celda en la comumna B con el nombre del proyecto")))</f>
        <v>Alerta: Seleccione la celda en la comumna B con el nombre del proyecto</v>
      </c>
      <c r="AL513" s="640" t="str">
        <f>IF(J513="Funcionamiento Gastos Generales","No aplica",IF(J513="Funcionamiento Servicios Personales","No aplica",IFERROR(VLOOKUP(J513,Listas!$A$220:$D$224,2,FALSE),"Alerta: Seleccione la celda en la comumna B con el nombre del proyecto")))</f>
        <v>Alerta: Seleccione la celda en la comumna B con el nombre del proyecto</v>
      </c>
      <c r="AM513" s="640" t="str">
        <f>IF(J513="Funcionamiento Gastos Generales","No aplica",IF(J513="Funcionamiento Servicios Personales","No aplica",IFERROR(VLOOKUP(J513,Listas!$A$220:$D$224,3,FALSE),"Alerta: Seleccione la celda en la comumna B con el nombre del proyecto")))</f>
        <v>Alerta: Seleccione la celda en la comumna B con el nombre del proyecto</v>
      </c>
      <c r="AN513" s="633"/>
      <c r="AO513" s="633"/>
      <c r="AP513" s="634" t="str">
        <f>IFERROR(VLOOKUP(J513,Listas!$A$182:$E$215,5,FALSE),"Alerta: Seleccione la celda en la comumna B con el nombre del proyecto")</f>
        <v>Alerta: Seleccione la celda en la comumna B con el nombre del proyecto</v>
      </c>
      <c r="AQ513" s="634" t="str">
        <f>IF(J513="Funcionamiento Gastos Generales","No aplica",IF(J513="Funcionamiento Servicios Personales","No aplica",IFERROR(VLOOKUP(J513,Listas!$A$220:$D$224,4,FALSE),"Alerta: Seleccione la celda en la comumna B con el nombre del proyecto")))</f>
        <v>Alerta: Seleccione la celda en la comumna B con el nombre del proyecto</v>
      </c>
      <c r="AR513" s="633"/>
      <c r="AS513" s="634" t="str">
        <f>IFERROR(VLOOKUP(AU513,Listas!$E$85:$L$105,7,FALSE),"Alerta: Seleccione la celda en la comumna AI con el concepto de gasto")</f>
        <v>Alerta: Seleccione la celda en la comumna AI con el concepto de gasto</v>
      </c>
      <c r="AT513" s="634" t="str">
        <f>IFERROR(VLOOKUP(AU513,Listas!$E$85:$L$105,8,FALSE),"Alerta: Seleccione la celda en la comumna AI con el concepto de gasto")</f>
        <v>Alerta: Seleccione la celda en la comumna AI con el concepto de gasto</v>
      </c>
      <c r="AU513" s="633"/>
      <c r="AV513" s="634" t="str">
        <f>IFERROR(VLOOKUP(AU513,Listas!$E$85:$F$105,2,FALSE),"Alerta: Seleccione el Concepto de Gasto primero")</f>
        <v>Alerta: Seleccione el Concepto de Gasto primero</v>
      </c>
      <c r="AW513" s="644"/>
      <c r="AX513" s="645"/>
      <c r="AY513" s="645"/>
      <c r="AZ513" s="645"/>
      <c r="BA513" s="646">
        <f t="shared" si="161"/>
        <v>0</v>
      </c>
      <c r="BB513" s="647"/>
      <c r="BC513" s="648"/>
      <c r="BD513" s="649"/>
      <c r="BE513" s="647"/>
      <c r="BF513" s="644"/>
      <c r="BG513" s="646">
        <f t="shared" si="162"/>
        <v>0</v>
      </c>
      <c r="BH513" s="650"/>
      <c r="BI513" s="647"/>
      <c r="BJ513" s="644"/>
      <c r="BK513" s="646">
        <f t="shared" si="163"/>
        <v>0</v>
      </c>
      <c r="BL513" s="651"/>
      <c r="BM513" s="652">
        <f t="shared" si="164"/>
        <v>1</v>
      </c>
      <c r="BN513" s="628"/>
      <c r="BO513" s="670"/>
      <c r="BP513" s="644"/>
      <c r="BQ513" s="644"/>
      <c r="BR513" s="644"/>
      <c r="BS513" s="644"/>
      <c r="BT513" s="644"/>
      <c r="BU513" s="644"/>
      <c r="BV513" s="644"/>
      <c r="BW513" s="644"/>
      <c r="BX513" s="644"/>
      <c r="BY513" s="644"/>
      <c r="BZ513" s="644"/>
      <c r="CA513" s="644"/>
      <c r="CB513" s="646">
        <f t="shared" si="165"/>
        <v>0</v>
      </c>
      <c r="CC513" s="646">
        <f t="shared" si="166"/>
        <v>0</v>
      </c>
      <c r="CD513" s="614"/>
    </row>
    <row r="514" spans="1:82" s="561" customFormat="1" ht="61.5" customHeight="1">
      <c r="A514" s="625" t="str">
        <f t="shared" si="148"/>
        <v>proyecto-Alerta: Seleccione la celda en la comumna B con el nombre del proyecto-Al-Al--</v>
      </c>
      <c r="B514" s="626" t="str">
        <f t="shared" si="149"/>
        <v>proyecto-Alerta: Seleccione la celda en la comumna B con el nombre del proyecto-Al-Al-</v>
      </c>
      <c r="C514" s="626" t="str">
        <f t="shared" si="150"/>
        <v>proyecto-Alerta: Seleccione la celda en la comumna B con el nombre del proyecto-</v>
      </c>
      <c r="D514" s="626" t="str">
        <f t="shared" si="151"/>
        <v>proyecto--Al-Al-</v>
      </c>
      <c r="E514" s="626" t="str">
        <f t="shared" si="152"/>
        <v>--</v>
      </c>
      <c r="F514" s="627"/>
      <c r="G514" s="628">
        <f t="shared" si="153"/>
        <v>0</v>
      </c>
      <c r="H514" s="629" t="b">
        <f t="shared" si="154"/>
        <v>1</v>
      </c>
      <c r="I514" s="630"/>
      <c r="J514" s="627"/>
      <c r="K514" s="631" t="str">
        <f>+IFERROR(VLOOKUP(J514,Listas!$A$108:$B$114,2,FALSE),"Alerta: Seleccione la celda en la comumna B con el nombre del proyecto")</f>
        <v>Alerta: Seleccione la celda en la comumna B con el nombre del proyecto</v>
      </c>
      <c r="L514" s="632"/>
      <c r="M514" s="633"/>
      <c r="N514" s="634" t="str">
        <f t="shared" si="155"/>
        <v xml:space="preserve">(Cód. ) </v>
      </c>
      <c r="O514" s="635"/>
      <c r="P514" s="636">
        <f>IFERROR(VLOOKUP(W514,'Estimación CRP'!$D$21:$E$30,2,FALSE),0)</f>
        <v>0</v>
      </c>
      <c r="Q514" s="637">
        <f>IF(O514="No aplica","No aplica",WORKDAY.INTL(O514,P514,1,'Estimación CRP'!A700:A716))</f>
        <v>0</v>
      </c>
      <c r="R514" s="636">
        <f t="shared" si="156"/>
        <v>1</v>
      </c>
      <c r="S514" s="636">
        <f t="shared" si="157"/>
        <v>1</v>
      </c>
      <c r="T514" s="636">
        <f t="shared" si="158"/>
        <v>1</v>
      </c>
      <c r="U514" s="638"/>
      <c r="V514" s="638"/>
      <c r="W514" s="639"/>
      <c r="X514" s="640" t="str">
        <f>IFERROR(VLOOKUP(W514,Listas!$A$60:$B$73,2,FALSE),"Alerta: Seleccione primero Modalidad de selección")</f>
        <v>Alerta: Seleccione primero Modalidad de selección</v>
      </c>
      <c r="Y514" s="641">
        <v>0</v>
      </c>
      <c r="Z514" s="641"/>
      <c r="AA514" s="641"/>
      <c r="AB514" s="642">
        <f t="shared" si="159"/>
        <v>0</v>
      </c>
      <c r="AC514" s="642">
        <f t="shared" si="160"/>
        <v>0</v>
      </c>
      <c r="AD514" s="641">
        <v>0</v>
      </c>
      <c r="AE514" s="643">
        <v>0</v>
      </c>
      <c r="AF514" s="639" t="s">
        <v>276</v>
      </c>
      <c r="AG514" s="639" t="s">
        <v>277</v>
      </c>
      <c r="AH514" s="639"/>
      <c r="AI514" s="626" t="str">
        <f>IFERROR(VLOOKUP(AH514,Listas!$A$77:$C$83,2,FALSE),"Alerta: Seleccione primero el responsable")</f>
        <v>Alerta: Seleccione primero el responsable</v>
      </c>
      <c r="AJ514" s="640" t="str">
        <f>IFERROR(VLOOKUP(AH514,Listas!$A$77:$C$83,3,FALSE),"Alerta: Seleccione primero el responsable")</f>
        <v>Alerta: Seleccione primero el responsable</v>
      </c>
      <c r="AK514" s="640" t="str">
        <f>IF(J514="Funcionamiento Gastos Generales","No aplica",IF(J514="Funcionamiento Servicios Personales indirectos","No aplica",IFERROR(VLOOKUP(J514,Listas!$A$127:$E$139,3,FALSE),"Alerta: Seleccione la celda en la comumna B con el nombre del proyecto")))</f>
        <v>Alerta: Seleccione la celda en la comumna B con el nombre del proyecto</v>
      </c>
      <c r="AL514" s="640" t="str">
        <f>IF(J514="Funcionamiento Gastos Generales","No aplica",IF(J514="Funcionamiento Servicios Personales","No aplica",IFERROR(VLOOKUP(J514,Listas!$A$220:$D$224,2,FALSE),"Alerta: Seleccione la celda en la comumna B con el nombre del proyecto")))</f>
        <v>Alerta: Seleccione la celda en la comumna B con el nombre del proyecto</v>
      </c>
      <c r="AM514" s="640" t="str">
        <f>IF(J514="Funcionamiento Gastos Generales","No aplica",IF(J514="Funcionamiento Servicios Personales","No aplica",IFERROR(VLOOKUP(J514,Listas!$A$220:$D$224,3,FALSE),"Alerta: Seleccione la celda en la comumna B con el nombre del proyecto")))</f>
        <v>Alerta: Seleccione la celda en la comumna B con el nombre del proyecto</v>
      </c>
      <c r="AN514" s="633"/>
      <c r="AO514" s="633"/>
      <c r="AP514" s="634" t="str">
        <f>IFERROR(VLOOKUP(J514,Listas!$A$182:$E$215,5,FALSE),"Alerta: Seleccione la celda en la comumna B con el nombre del proyecto")</f>
        <v>Alerta: Seleccione la celda en la comumna B con el nombre del proyecto</v>
      </c>
      <c r="AQ514" s="634" t="str">
        <f>IF(J514="Funcionamiento Gastos Generales","No aplica",IF(J514="Funcionamiento Servicios Personales","No aplica",IFERROR(VLOOKUP(J514,Listas!$A$220:$D$224,4,FALSE),"Alerta: Seleccione la celda en la comumna B con el nombre del proyecto")))</f>
        <v>Alerta: Seleccione la celda en la comumna B con el nombre del proyecto</v>
      </c>
      <c r="AR514" s="633"/>
      <c r="AS514" s="634" t="str">
        <f>IFERROR(VLOOKUP(AU514,Listas!$E$85:$L$105,7,FALSE),"Alerta: Seleccione la celda en la comumna AI con el concepto de gasto")</f>
        <v>Alerta: Seleccione la celda en la comumna AI con el concepto de gasto</v>
      </c>
      <c r="AT514" s="634" t="str">
        <f>IFERROR(VLOOKUP(AU514,Listas!$E$85:$L$105,8,FALSE),"Alerta: Seleccione la celda en la comumna AI con el concepto de gasto")</f>
        <v>Alerta: Seleccione la celda en la comumna AI con el concepto de gasto</v>
      </c>
      <c r="AU514" s="633"/>
      <c r="AV514" s="634" t="str">
        <f>IFERROR(VLOOKUP(AU514,Listas!$E$85:$F$105,2,FALSE),"Alerta: Seleccione el Concepto de Gasto primero")</f>
        <v>Alerta: Seleccione el Concepto de Gasto primero</v>
      </c>
      <c r="AW514" s="644"/>
      <c r="AX514" s="645"/>
      <c r="AY514" s="645"/>
      <c r="AZ514" s="645"/>
      <c r="BA514" s="646">
        <f t="shared" si="161"/>
        <v>0</v>
      </c>
      <c r="BB514" s="647"/>
      <c r="BC514" s="648"/>
      <c r="BD514" s="649"/>
      <c r="BE514" s="647"/>
      <c r="BF514" s="644"/>
      <c r="BG514" s="646">
        <f t="shared" si="162"/>
        <v>0</v>
      </c>
      <c r="BH514" s="650"/>
      <c r="BI514" s="647"/>
      <c r="BJ514" s="644"/>
      <c r="BK514" s="646">
        <f t="shared" si="163"/>
        <v>0</v>
      </c>
      <c r="BL514" s="651"/>
      <c r="BM514" s="652">
        <f t="shared" si="164"/>
        <v>1</v>
      </c>
      <c r="BN514" s="628"/>
      <c r="BO514" s="670"/>
      <c r="BP514" s="644"/>
      <c r="BQ514" s="644"/>
      <c r="BR514" s="644"/>
      <c r="BS514" s="644"/>
      <c r="BT514" s="644"/>
      <c r="BU514" s="644"/>
      <c r="BV514" s="644"/>
      <c r="BW514" s="644"/>
      <c r="BX514" s="644"/>
      <c r="BY514" s="644"/>
      <c r="BZ514" s="644"/>
      <c r="CA514" s="644"/>
      <c r="CB514" s="646">
        <f t="shared" si="165"/>
        <v>0</v>
      </c>
      <c r="CC514" s="646">
        <f t="shared" si="166"/>
        <v>0</v>
      </c>
      <c r="CD514" s="614"/>
    </row>
    <row r="515" spans="1:82" s="561" customFormat="1" ht="61.5" customHeight="1">
      <c r="A515" s="625" t="str">
        <f t="shared" si="148"/>
        <v>proyecto-Alerta: Seleccione la celda en la comumna B con el nombre del proyecto-Al-Al--</v>
      </c>
      <c r="B515" s="626" t="str">
        <f t="shared" si="149"/>
        <v>proyecto-Alerta: Seleccione la celda en la comumna B con el nombre del proyecto-Al-Al-</v>
      </c>
      <c r="C515" s="626" t="str">
        <f t="shared" si="150"/>
        <v>proyecto-Alerta: Seleccione la celda en la comumna B con el nombre del proyecto-</v>
      </c>
      <c r="D515" s="626" t="str">
        <f t="shared" si="151"/>
        <v>proyecto--Al-Al-</v>
      </c>
      <c r="E515" s="626" t="str">
        <f t="shared" si="152"/>
        <v>--</v>
      </c>
      <c r="F515" s="627"/>
      <c r="G515" s="628">
        <f t="shared" si="153"/>
        <v>0</v>
      </c>
      <c r="H515" s="629" t="b">
        <f t="shared" si="154"/>
        <v>1</v>
      </c>
      <c r="I515" s="630"/>
      <c r="J515" s="627"/>
      <c r="K515" s="631" t="str">
        <f>+IFERROR(VLOOKUP(J515,Listas!$A$108:$B$114,2,FALSE),"Alerta: Seleccione la celda en la comumna B con el nombre del proyecto")</f>
        <v>Alerta: Seleccione la celda en la comumna B con el nombre del proyecto</v>
      </c>
      <c r="L515" s="632"/>
      <c r="M515" s="633"/>
      <c r="N515" s="634" t="str">
        <f t="shared" si="155"/>
        <v xml:space="preserve">(Cód. ) </v>
      </c>
      <c r="O515" s="635"/>
      <c r="P515" s="636">
        <f>IFERROR(VLOOKUP(W515,'Estimación CRP'!$D$21:$E$30,2,FALSE),0)</f>
        <v>0</v>
      </c>
      <c r="Q515" s="637">
        <f>IF(O515="No aplica","No aplica",WORKDAY.INTL(O515,P515,1,'Estimación CRP'!A701:A717))</f>
        <v>0</v>
      </c>
      <c r="R515" s="636">
        <f t="shared" si="156"/>
        <v>1</v>
      </c>
      <c r="S515" s="636">
        <f t="shared" si="157"/>
        <v>1</v>
      </c>
      <c r="T515" s="636">
        <f t="shared" si="158"/>
        <v>1</v>
      </c>
      <c r="U515" s="638"/>
      <c r="V515" s="638"/>
      <c r="W515" s="639"/>
      <c r="X515" s="640" t="str">
        <f>IFERROR(VLOOKUP(W515,Listas!$A$60:$B$73,2,FALSE),"Alerta: Seleccione primero Modalidad de selección")</f>
        <v>Alerta: Seleccione primero Modalidad de selección</v>
      </c>
      <c r="Y515" s="641">
        <v>0</v>
      </c>
      <c r="Z515" s="641"/>
      <c r="AA515" s="641"/>
      <c r="AB515" s="642">
        <f t="shared" si="159"/>
        <v>0</v>
      </c>
      <c r="AC515" s="642">
        <f t="shared" si="160"/>
        <v>0</v>
      </c>
      <c r="AD515" s="641">
        <v>0</v>
      </c>
      <c r="AE515" s="643">
        <v>0</v>
      </c>
      <c r="AF515" s="639" t="s">
        <v>276</v>
      </c>
      <c r="AG515" s="639" t="s">
        <v>277</v>
      </c>
      <c r="AH515" s="639"/>
      <c r="AI515" s="626" t="str">
        <f>IFERROR(VLOOKUP(AH515,Listas!$A$77:$C$83,2,FALSE),"Alerta: Seleccione primero el responsable")</f>
        <v>Alerta: Seleccione primero el responsable</v>
      </c>
      <c r="AJ515" s="640" t="str">
        <f>IFERROR(VLOOKUP(AH515,Listas!$A$77:$C$83,3,FALSE),"Alerta: Seleccione primero el responsable")</f>
        <v>Alerta: Seleccione primero el responsable</v>
      </c>
      <c r="AK515" s="640" t="str">
        <f>IF(J515="Funcionamiento Gastos Generales","No aplica",IF(J515="Funcionamiento Servicios Personales indirectos","No aplica",IFERROR(VLOOKUP(J515,Listas!$A$127:$E$139,3,FALSE),"Alerta: Seleccione la celda en la comumna B con el nombre del proyecto")))</f>
        <v>Alerta: Seleccione la celda en la comumna B con el nombre del proyecto</v>
      </c>
      <c r="AL515" s="640" t="str">
        <f>IF(J515="Funcionamiento Gastos Generales","No aplica",IF(J515="Funcionamiento Servicios Personales","No aplica",IFERROR(VLOOKUP(J515,Listas!$A$220:$D$224,2,FALSE),"Alerta: Seleccione la celda en la comumna B con el nombre del proyecto")))</f>
        <v>Alerta: Seleccione la celda en la comumna B con el nombre del proyecto</v>
      </c>
      <c r="AM515" s="640" t="str">
        <f>IF(J515="Funcionamiento Gastos Generales","No aplica",IF(J515="Funcionamiento Servicios Personales","No aplica",IFERROR(VLOOKUP(J515,Listas!$A$220:$D$224,3,FALSE),"Alerta: Seleccione la celda en la comumna B con el nombre del proyecto")))</f>
        <v>Alerta: Seleccione la celda en la comumna B con el nombre del proyecto</v>
      </c>
      <c r="AN515" s="633"/>
      <c r="AO515" s="633"/>
      <c r="AP515" s="634" t="str">
        <f>IFERROR(VLOOKUP(J515,Listas!$A$182:$E$215,5,FALSE),"Alerta: Seleccione la celda en la comumna B con el nombre del proyecto")</f>
        <v>Alerta: Seleccione la celda en la comumna B con el nombre del proyecto</v>
      </c>
      <c r="AQ515" s="634" t="str">
        <f>IF(J515="Funcionamiento Gastos Generales","No aplica",IF(J515="Funcionamiento Servicios Personales","No aplica",IFERROR(VLOOKUP(J515,Listas!$A$220:$D$224,4,FALSE),"Alerta: Seleccione la celda en la comumna B con el nombre del proyecto")))</f>
        <v>Alerta: Seleccione la celda en la comumna B con el nombre del proyecto</v>
      </c>
      <c r="AR515" s="633"/>
      <c r="AS515" s="634" t="str">
        <f>IFERROR(VLOOKUP(AU515,Listas!$E$85:$L$105,7,FALSE),"Alerta: Seleccione la celda en la comumna AI con el concepto de gasto")</f>
        <v>Alerta: Seleccione la celda en la comumna AI con el concepto de gasto</v>
      </c>
      <c r="AT515" s="634" t="str">
        <f>IFERROR(VLOOKUP(AU515,Listas!$E$85:$L$105,8,FALSE),"Alerta: Seleccione la celda en la comumna AI con el concepto de gasto")</f>
        <v>Alerta: Seleccione la celda en la comumna AI con el concepto de gasto</v>
      </c>
      <c r="AU515" s="633"/>
      <c r="AV515" s="634" t="str">
        <f>IFERROR(VLOOKUP(AU515,Listas!$E$85:$F$105,2,FALSE),"Alerta: Seleccione el Concepto de Gasto primero")</f>
        <v>Alerta: Seleccione el Concepto de Gasto primero</v>
      </c>
      <c r="AW515" s="644"/>
      <c r="AX515" s="645"/>
      <c r="AY515" s="645"/>
      <c r="AZ515" s="645"/>
      <c r="BA515" s="646">
        <f t="shared" si="161"/>
        <v>0</v>
      </c>
      <c r="BB515" s="647"/>
      <c r="BC515" s="648"/>
      <c r="BD515" s="649"/>
      <c r="BE515" s="647"/>
      <c r="BF515" s="644"/>
      <c r="BG515" s="646">
        <f t="shared" si="162"/>
        <v>0</v>
      </c>
      <c r="BH515" s="650"/>
      <c r="BI515" s="647"/>
      <c r="BJ515" s="644"/>
      <c r="BK515" s="646">
        <f t="shared" si="163"/>
        <v>0</v>
      </c>
      <c r="BL515" s="651"/>
      <c r="BM515" s="652">
        <f t="shared" si="164"/>
        <v>1</v>
      </c>
      <c r="BN515" s="628"/>
      <c r="BO515" s="670"/>
      <c r="BP515" s="644"/>
      <c r="BQ515" s="644"/>
      <c r="BR515" s="644"/>
      <c r="BS515" s="644"/>
      <c r="BT515" s="644"/>
      <c r="BU515" s="644"/>
      <c r="BV515" s="644"/>
      <c r="BW515" s="644"/>
      <c r="BX515" s="644"/>
      <c r="BY515" s="644"/>
      <c r="BZ515" s="644"/>
      <c r="CA515" s="644"/>
      <c r="CB515" s="646">
        <f t="shared" si="165"/>
        <v>0</v>
      </c>
      <c r="CC515" s="646">
        <f t="shared" si="166"/>
        <v>0</v>
      </c>
      <c r="CD515" s="614"/>
    </row>
    <row r="516" spans="1:82" s="561" customFormat="1" ht="61.5" customHeight="1">
      <c r="A516" s="625" t="str">
        <f t="shared" si="148"/>
        <v>proyecto-Alerta: Seleccione la celda en la comumna B con el nombre del proyecto-Al-Al--</v>
      </c>
      <c r="B516" s="626" t="str">
        <f t="shared" si="149"/>
        <v>proyecto-Alerta: Seleccione la celda en la comumna B con el nombre del proyecto-Al-Al-</v>
      </c>
      <c r="C516" s="626" t="str">
        <f t="shared" si="150"/>
        <v>proyecto-Alerta: Seleccione la celda en la comumna B con el nombre del proyecto-</v>
      </c>
      <c r="D516" s="626" t="str">
        <f t="shared" si="151"/>
        <v>proyecto--Al-Al-</v>
      </c>
      <c r="E516" s="626" t="str">
        <f t="shared" si="152"/>
        <v>--</v>
      </c>
      <c r="F516" s="627"/>
      <c r="G516" s="628">
        <f t="shared" si="153"/>
        <v>0</v>
      </c>
      <c r="H516" s="629" t="b">
        <f t="shared" si="154"/>
        <v>1</v>
      </c>
      <c r="I516" s="630"/>
      <c r="J516" s="627"/>
      <c r="K516" s="631" t="str">
        <f>+IFERROR(VLOOKUP(J516,Listas!$A$108:$B$114,2,FALSE),"Alerta: Seleccione la celda en la comumna B con el nombre del proyecto")</f>
        <v>Alerta: Seleccione la celda en la comumna B con el nombre del proyecto</v>
      </c>
      <c r="L516" s="632"/>
      <c r="M516" s="633"/>
      <c r="N516" s="634" t="str">
        <f t="shared" si="155"/>
        <v xml:space="preserve">(Cód. ) </v>
      </c>
      <c r="O516" s="635"/>
      <c r="P516" s="636">
        <f>IFERROR(VLOOKUP(W516,'Estimación CRP'!$D$21:$E$30,2,FALSE),0)</f>
        <v>0</v>
      </c>
      <c r="Q516" s="637">
        <f>IF(O516="No aplica","No aplica",WORKDAY.INTL(O516,P516,1,'Estimación CRP'!A702:A718))</f>
        <v>0</v>
      </c>
      <c r="R516" s="636">
        <f t="shared" si="156"/>
        <v>1</v>
      </c>
      <c r="S516" s="636">
        <f t="shared" si="157"/>
        <v>1</v>
      </c>
      <c r="T516" s="636">
        <f t="shared" si="158"/>
        <v>1</v>
      </c>
      <c r="U516" s="638"/>
      <c r="V516" s="638"/>
      <c r="W516" s="639"/>
      <c r="X516" s="640" t="str">
        <f>IFERROR(VLOOKUP(W516,Listas!$A$60:$B$73,2,FALSE),"Alerta: Seleccione primero Modalidad de selección")</f>
        <v>Alerta: Seleccione primero Modalidad de selección</v>
      </c>
      <c r="Y516" s="641">
        <v>0</v>
      </c>
      <c r="Z516" s="641"/>
      <c r="AA516" s="641"/>
      <c r="AB516" s="642">
        <f t="shared" si="159"/>
        <v>0</v>
      </c>
      <c r="AC516" s="642">
        <f t="shared" si="160"/>
        <v>0</v>
      </c>
      <c r="AD516" s="641">
        <v>0</v>
      </c>
      <c r="AE516" s="643">
        <v>0</v>
      </c>
      <c r="AF516" s="639" t="s">
        <v>276</v>
      </c>
      <c r="AG516" s="639" t="s">
        <v>277</v>
      </c>
      <c r="AH516" s="639"/>
      <c r="AI516" s="626" t="str">
        <f>IFERROR(VLOOKUP(AH516,Listas!$A$77:$C$83,2,FALSE),"Alerta: Seleccione primero el responsable")</f>
        <v>Alerta: Seleccione primero el responsable</v>
      </c>
      <c r="AJ516" s="640" t="str">
        <f>IFERROR(VLOOKUP(AH516,Listas!$A$77:$C$83,3,FALSE),"Alerta: Seleccione primero el responsable")</f>
        <v>Alerta: Seleccione primero el responsable</v>
      </c>
      <c r="AK516" s="640" t="str">
        <f>IF(J516="Funcionamiento Gastos Generales","No aplica",IF(J516="Funcionamiento Servicios Personales indirectos","No aplica",IFERROR(VLOOKUP(J516,Listas!$A$127:$E$139,3,FALSE),"Alerta: Seleccione la celda en la comumna B con el nombre del proyecto")))</f>
        <v>Alerta: Seleccione la celda en la comumna B con el nombre del proyecto</v>
      </c>
      <c r="AL516" s="640" t="str">
        <f>IF(J516="Funcionamiento Gastos Generales","No aplica",IF(J516="Funcionamiento Servicios Personales","No aplica",IFERROR(VLOOKUP(J516,Listas!$A$220:$D$224,2,FALSE),"Alerta: Seleccione la celda en la comumna B con el nombre del proyecto")))</f>
        <v>Alerta: Seleccione la celda en la comumna B con el nombre del proyecto</v>
      </c>
      <c r="AM516" s="640" t="str">
        <f>IF(J516="Funcionamiento Gastos Generales","No aplica",IF(J516="Funcionamiento Servicios Personales","No aplica",IFERROR(VLOOKUP(J516,Listas!$A$220:$D$224,3,FALSE),"Alerta: Seleccione la celda en la comumna B con el nombre del proyecto")))</f>
        <v>Alerta: Seleccione la celda en la comumna B con el nombre del proyecto</v>
      </c>
      <c r="AN516" s="633"/>
      <c r="AO516" s="633"/>
      <c r="AP516" s="634" t="str">
        <f>IFERROR(VLOOKUP(J516,Listas!$A$182:$E$215,5,FALSE),"Alerta: Seleccione la celda en la comumna B con el nombre del proyecto")</f>
        <v>Alerta: Seleccione la celda en la comumna B con el nombre del proyecto</v>
      </c>
      <c r="AQ516" s="634" t="str">
        <f>IF(J516="Funcionamiento Gastos Generales","No aplica",IF(J516="Funcionamiento Servicios Personales","No aplica",IFERROR(VLOOKUP(J516,Listas!$A$220:$D$224,4,FALSE),"Alerta: Seleccione la celda en la comumna B con el nombre del proyecto")))</f>
        <v>Alerta: Seleccione la celda en la comumna B con el nombre del proyecto</v>
      </c>
      <c r="AR516" s="633"/>
      <c r="AS516" s="634" t="str">
        <f>IFERROR(VLOOKUP(AU516,Listas!$E$85:$L$105,7,FALSE),"Alerta: Seleccione la celda en la comumna AI con el concepto de gasto")</f>
        <v>Alerta: Seleccione la celda en la comumna AI con el concepto de gasto</v>
      </c>
      <c r="AT516" s="634" t="str">
        <f>IFERROR(VLOOKUP(AU516,Listas!$E$85:$L$105,8,FALSE),"Alerta: Seleccione la celda en la comumna AI con el concepto de gasto")</f>
        <v>Alerta: Seleccione la celda en la comumna AI con el concepto de gasto</v>
      </c>
      <c r="AU516" s="633"/>
      <c r="AV516" s="634" t="str">
        <f>IFERROR(VLOOKUP(AU516,Listas!$E$85:$F$105,2,FALSE),"Alerta: Seleccione el Concepto de Gasto primero")</f>
        <v>Alerta: Seleccione el Concepto de Gasto primero</v>
      </c>
      <c r="AW516" s="644"/>
      <c r="AX516" s="645"/>
      <c r="AY516" s="645"/>
      <c r="AZ516" s="645"/>
      <c r="BA516" s="646">
        <f t="shared" si="161"/>
        <v>0</v>
      </c>
      <c r="BB516" s="647"/>
      <c r="BC516" s="648"/>
      <c r="BD516" s="649"/>
      <c r="BE516" s="647"/>
      <c r="BF516" s="644"/>
      <c r="BG516" s="646">
        <f t="shared" si="162"/>
        <v>0</v>
      </c>
      <c r="BH516" s="650"/>
      <c r="BI516" s="647"/>
      <c r="BJ516" s="644"/>
      <c r="BK516" s="646">
        <f t="shared" si="163"/>
        <v>0</v>
      </c>
      <c r="BL516" s="651"/>
      <c r="BM516" s="652">
        <f t="shared" si="164"/>
        <v>1</v>
      </c>
      <c r="BN516" s="628"/>
      <c r="BO516" s="670"/>
      <c r="BP516" s="644"/>
      <c r="BQ516" s="644"/>
      <c r="BR516" s="644"/>
      <c r="BS516" s="644"/>
      <c r="BT516" s="644"/>
      <c r="BU516" s="644"/>
      <c r="BV516" s="644"/>
      <c r="BW516" s="644"/>
      <c r="BX516" s="644"/>
      <c r="BY516" s="644"/>
      <c r="BZ516" s="644"/>
      <c r="CA516" s="644"/>
      <c r="CB516" s="646">
        <f t="shared" si="165"/>
        <v>0</v>
      </c>
      <c r="CC516" s="646">
        <f t="shared" si="166"/>
        <v>0</v>
      </c>
      <c r="CD516" s="614"/>
    </row>
    <row r="517" spans="1:82" s="561" customFormat="1" ht="61.5" customHeight="1">
      <c r="A517" s="625" t="str">
        <f t="shared" si="148"/>
        <v>proyecto-Alerta: Seleccione la celda en la comumna B con el nombre del proyecto-Al-Al--</v>
      </c>
      <c r="B517" s="626" t="str">
        <f t="shared" si="149"/>
        <v>proyecto-Alerta: Seleccione la celda en la comumna B con el nombre del proyecto-Al-Al-</v>
      </c>
      <c r="C517" s="626" t="str">
        <f t="shared" si="150"/>
        <v>proyecto-Alerta: Seleccione la celda en la comumna B con el nombre del proyecto-</v>
      </c>
      <c r="D517" s="626" t="str">
        <f t="shared" si="151"/>
        <v>proyecto--Al-Al-</v>
      </c>
      <c r="E517" s="626" t="str">
        <f t="shared" si="152"/>
        <v>--</v>
      </c>
      <c r="F517" s="627"/>
      <c r="G517" s="628">
        <f t="shared" si="153"/>
        <v>0</v>
      </c>
      <c r="H517" s="629" t="b">
        <f t="shared" si="154"/>
        <v>1</v>
      </c>
      <c r="I517" s="630"/>
      <c r="J517" s="627"/>
      <c r="K517" s="631" t="str">
        <f>+IFERROR(VLOOKUP(J517,Listas!$A$108:$B$114,2,FALSE),"Alerta: Seleccione la celda en la comumna B con el nombre del proyecto")</f>
        <v>Alerta: Seleccione la celda en la comumna B con el nombre del proyecto</v>
      </c>
      <c r="L517" s="632"/>
      <c r="M517" s="633"/>
      <c r="N517" s="634" t="str">
        <f t="shared" si="155"/>
        <v xml:space="preserve">(Cód. ) </v>
      </c>
      <c r="O517" s="635"/>
      <c r="P517" s="636">
        <f>IFERROR(VLOOKUP(W517,'Estimación CRP'!$D$21:$E$30,2,FALSE),0)</f>
        <v>0</v>
      </c>
      <c r="Q517" s="637">
        <f>IF(O517="No aplica","No aplica",WORKDAY.INTL(O517,P517,1,'Estimación CRP'!A703:A719))</f>
        <v>0</v>
      </c>
      <c r="R517" s="636">
        <f t="shared" si="156"/>
        <v>1</v>
      </c>
      <c r="S517" s="636">
        <f t="shared" si="157"/>
        <v>1</v>
      </c>
      <c r="T517" s="636">
        <f t="shared" si="158"/>
        <v>1</v>
      </c>
      <c r="U517" s="638"/>
      <c r="V517" s="638"/>
      <c r="W517" s="639"/>
      <c r="X517" s="640" t="str">
        <f>IFERROR(VLOOKUP(W517,Listas!$A$60:$B$73,2,FALSE),"Alerta: Seleccione primero Modalidad de selección")</f>
        <v>Alerta: Seleccione primero Modalidad de selección</v>
      </c>
      <c r="Y517" s="641">
        <v>0</v>
      </c>
      <c r="Z517" s="641"/>
      <c r="AA517" s="641"/>
      <c r="AB517" s="642">
        <f t="shared" si="159"/>
        <v>0</v>
      </c>
      <c r="AC517" s="642">
        <f t="shared" si="160"/>
        <v>0</v>
      </c>
      <c r="AD517" s="641">
        <v>0</v>
      </c>
      <c r="AE517" s="643">
        <v>0</v>
      </c>
      <c r="AF517" s="639" t="s">
        <v>276</v>
      </c>
      <c r="AG517" s="639" t="s">
        <v>277</v>
      </c>
      <c r="AH517" s="639"/>
      <c r="AI517" s="626" t="str">
        <f>IFERROR(VLOOKUP(AH517,Listas!$A$77:$C$83,2,FALSE),"Alerta: Seleccione primero el responsable")</f>
        <v>Alerta: Seleccione primero el responsable</v>
      </c>
      <c r="AJ517" s="640" t="str">
        <f>IFERROR(VLOOKUP(AH517,Listas!$A$77:$C$83,3,FALSE),"Alerta: Seleccione primero el responsable")</f>
        <v>Alerta: Seleccione primero el responsable</v>
      </c>
      <c r="AK517" s="640" t="str">
        <f>IF(J517="Funcionamiento Gastos Generales","No aplica",IF(J517="Funcionamiento Servicios Personales indirectos","No aplica",IFERROR(VLOOKUP(J517,Listas!$A$127:$E$139,3,FALSE),"Alerta: Seleccione la celda en la comumna B con el nombre del proyecto")))</f>
        <v>Alerta: Seleccione la celda en la comumna B con el nombre del proyecto</v>
      </c>
      <c r="AL517" s="640" t="str">
        <f>IF(J517="Funcionamiento Gastos Generales","No aplica",IF(J517="Funcionamiento Servicios Personales","No aplica",IFERROR(VLOOKUP(J517,Listas!$A$220:$D$224,2,FALSE),"Alerta: Seleccione la celda en la comumna B con el nombre del proyecto")))</f>
        <v>Alerta: Seleccione la celda en la comumna B con el nombre del proyecto</v>
      </c>
      <c r="AM517" s="640" t="str">
        <f>IF(J517="Funcionamiento Gastos Generales","No aplica",IF(J517="Funcionamiento Servicios Personales","No aplica",IFERROR(VLOOKUP(J517,Listas!$A$220:$D$224,3,FALSE),"Alerta: Seleccione la celda en la comumna B con el nombre del proyecto")))</f>
        <v>Alerta: Seleccione la celda en la comumna B con el nombre del proyecto</v>
      </c>
      <c r="AN517" s="633"/>
      <c r="AO517" s="633"/>
      <c r="AP517" s="634" t="str">
        <f>IFERROR(VLOOKUP(J517,Listas!$A$182:$E$215,5,FALSE),"Alerta: Seleccione la celda en la comumna B con el nombre del proyecto")</f>
        <v>Alerta: Seleccione la celda en la comumna B con el nombre del proyecto</v>
      </c>
      <c r="AQ517" s="634" t="str">
        <f>IF(J517="Funcionamiento Gastos Generales","No aplica",IF(J517="Funcionamiento Servicios Personales","No aplica",IFERROR(VLOOKUP(J517,Listas!$A$220:$D$224,4,FALSE),"Alerta: Seleccione la celda en la comumna B con el nombre del proyecto")))</f>
        <v>Alerta: Seleccione la celda en la comumna B con el nombre del proyecto</v>
      </c>
      <c r="AR517" s="633"/>
      <c r="AS517" s="634" t="str">
        <f>IFERROR(VLOOKUP(AU517,Listas!$E$85:$L$105,7,FALSE),"Alerta: Seleccione la celda en la comumna AI con el concepto de gasto")</f>
        <v>Alerta: Seleccione la celda en la comumna AI con el concepto de gasto</v>
      </c>
      <c r="AT517" s="634" t="str">
        <f>IFERROR(VLOOKUP(AU517,Listas!$E$85:$L$105,8,FALSE),"Alerta: Seleccione la celda en la comumna AI con el concepto de gasto")</f>
        <v>Alerta: Seleccione la celda en la comumna AI con el concepto de gasto</v>
      </c>
      <c r="AU517" s="633"/>
      <c r="AV517" s="634" t="str">
        <f>IFERROR(VLOOKUP(AU517,Listas!$E$85:$F$105,2,FALSE),"Alerta: Seleccione el Concepto de Gasto primero")</f>
        <v>Alerta: Seleccione el Concepto de Gasto primero</v>
      </c>
      <c r="AW517" s="644"/>
      <c r="AX517" s="645"/>
      <c r="AY517" s="645"/>
      <c r="AZ517" s="645"/>
      <c r="BA517" s="646">
        <f t="shared" si="161"/>
        <v>0</v>
      </c>
      <c r="BB517" s="647"/>
      <c r="BC517" s="648"/>
      <c r="BD517" s="649"/>
      <c r="BE517" s="647"/>
      <c r="BF517" s="644"/>
      <c r="BG517" s="646">
        <f t="shared" si="162"/>
        <v>0</v>
      </c>
      <c r="BH517" s="650"/>
      <c r="BI517" s="647"/>
      <c r="BJ517" s="644"/>
      <c r="BK517" s="646">
        <f t="shared" si="163"/>
        <v>0</v>
      </c>
      <c r="BL517" s="651"/>
      <c r="BM517" s="652">
        <f t="shared" si="164"/>
        <v>1</v>
      </c>
      <c r="BN517" s="628"/>
      <c r="BO517" s="670"/>
      <c r="BP517" s="644"/>
      <c r="BQ517" s="644"/>
      <c r="BR517" s="644"/>
      <c r="BS517" s="644"/>
      <c r="BT517" s="644"/>
      <c r="BU517" s="644"/>
      <c r="BV517" s="644"/>
      <c r="BW517" s="644"/>
      <c r="BX517" s="644"/>
      <c r="BY517" s="644"/>
      <c r="BZ517" s="644"/>
      <c r="CA517" s="644"/>
      <c r="CB517" s="646">
        <f t="shared" si="165"/>
        <v>0</v>
      </c>
      <c r="CC517" s="646">
        <f t="shared" si="166"/>
        <v>0</v>
      </c>
      <c r="CD517" s="614"/>
    </row>
    <row r="518" spans="1:82" s="561" customFormat="1" ht="61.5" customHeight="1">
      <c r="A518" s="625" t="str">
        <f t="shared" si="148"/>
        <v>proyecto-Alerta: Seleccione la celda en la comumna B con el nombre del proyecto-Al-Al--</v>
      </c>
      <c r="B518" s="626" t="str">
        <f t="shared" si="149"/>
        <v>proyecto-Alerta: Seleccione la celda en la comumna B con el nombre del proyecto-Al-Al-</v>
      </c>
      <c r="C518" s="626" t="str">
        <f t="shared" si="150"/>
        <v>proyecto-Alerta: Seleccione la celda en la comumna B con el nombre del proyecto-</v>
      </c>
      <c r="D518" s="626" t="str">
        <f t="shared" si="151"/>
        <v>proyecto--Al-Al-</v>
      </c>
      <c r="E518" s="626" t="str">
        <f t="shared" si="152"/>
        <v>--</v>
      </c>
      <c r="F518" s="627"/>
      <c r="G518" s="628">
        <f t="shared" si="153"/>
        <v>0</v>
      </c>
      <c r="H518" s="629" t="b">
        <f t="shared" si="154"/>
        <v>1</v>
      </c>
      <c r="I518" s="630"/>
      <c r="J518" s="627"/>
      <c r="K518" s="631" t="str">
        <f>+IFERROR(VLOOKUP(J518,Listas!$A$108:$B$114,2,FALSE),"Alerta: Seleccione la celda en la comumna B con el nombre del proyecto")</f>
        <v>Alerta: Seleccione la celda en la comumna B con el nombre del proyecto</v>
      </c>
      <c r="L518" s="632"/>
      <c r="M518" s="633"/>
      <c r="N518" s="634" t="str">
        <f t="shared" si="155"/>
        <v xml:space="preserve">(Cód. ) </v>
      </c>
      <c r="O518" s="635"/>
      <c r="P518" s="636">
        <f>IFERROR(VLOOKUP(W518,'Estimación CRP'!$D$21:$E$30,2,FALSE),0)</f>
        <v>0</v>
      </c>
      <c r="Q518" s="637">
        <f>IF(O518="No aplica","No aplica",WORKDAY.INTL(O518,P518,1,'Estimación CRP'!A704:A720))</f>
        <v>0</v>
      </c>
      <c r="R518" s="636">
        <f t="shared" si="156"/>
        <v>1</v>
      </c>
      <c r="S518" s="636">
        <f t="shared" si="157"/>
        <v>1</v>
      </c>
      <c r="T518" s="636">
        <f t="shared" si="158"/>
        <v>1</v>
      </c>
      <c r="U518" s="638"/>
      <c r="V518" s="638"/>
      <c r="W518" s="639"/>
      <c r="X518" s="640" t="str">
        <f>IFERROR(VLOOKUP(W518,Listas!$A$60:$B$73,2,FALSE),"Alerta: Seleccione primero Modalidad de selección")</f>
        <v>Alerta: Seleccione primero Modalidad de selección</v>
      </c>
      <c r="Y518" s="641">
        <v>0</v>
      </c>
      <c r="Z518" s="641"/>
      <c r="AA518" s="641"/>
      <c r="AB518" s="642">
        <f t="shared" si="159"/>
        <v>0</v>
      </c>
      <c r="AC518" s="642">
        <f t="shared" si="160"/>
        <v>0</v>
      </c>
      <c r="AD518" s="641">
        <v>0</v>
      </c>
      <c r="AE518" s="643">
        <v>0</v>
      </c>
      <c r="AF518" s="639" t="s">
        <v>276</v>
      </c>
      <c r="AG518" s="639" t="s">
        <v>277</v>
      </c>
      <c r="AH518" s="639"/>
      <c r="AI518" s="626" t="str">
        <f>IFERROR(VLOOKUP(AH518,Listas!$A$77:$C$83,2,FALSE),"Alerta: Seleccione primero el responsable")</f>
        <v>Alerta: Seleccione primero el responsable</v>
      </c>
      <c r="AJ518" s="640" t="str">
        <f>IFERROR(VLOOKUP(AH518,Listas!$A$77:$C$83,3,FALSE),"Alerta: Seleccione primero el responsable")</f>
        <v>Alerta: Seleccione primero el responsable</v>
      </c>
      <c r="AK518" s="640" t="str">
        <f>IF(J518="Funcionamiento Gastos Generales","No aplica",IF(J518="Funcionamiento Servicios Personales indirectos","No aplica",IFERROR(VLOOKUP(J518,Listas!$A$127:$E$139,3,FALSE),"Alerta: Seleccione la celda en la comumna B con el nombre del proyecto")))</f>
        <v>Alerta: Seleccione la celda en la comumna B con el nombre del proyecto</v>
      </c>
      <c r="AL518" s="640" t="str">
        <f>IF(J518="Funcionamiento Gastos Generales","No aplica",IF(J518="Funcionamiento Servicios Personales","No aplica",IFERROR(VLOOKUP(J518,Listas!$A$220:$D$224,2,FALSE),"Alerta: Seleccione la celda en la comumna B con el nombre del proyecto")))</f>
        <v>Alerta: Seleccione la celda en la comumna B con el nombre del proyecto</v>
      </c>
      <c r="AM518" s="640" t="str">
        <f>IF(J518="Funcionamiento Gastos Generales","No aplica",IF(J518="Funcionamiento Servicios Personales","No aplica",IFERROR(VLOOKUP(J518,Listas!$A$220:$D$224,3,FALSE),"Alerta: Seleccione la celda en la comumna B con el nombre del proyecto")))</f>
        <v>Alerta: Seleccione la celda en la comumna B con el nombre del proyecto</v>
      </c>
      <c r="AN518" s="633"/>
      <c r="AO518" s="633"/>
      <c r="AP518" s="634" t="str">
        <f>IFERROR(VLOOKUP(J518,Listas!$A$182:$E$215,5,FALSE),"Alerta: Seleccione la celda en la comumna B con el nombre del proyecto")</f>
        <v>Alerta: Seleccione la celda en la comumna B con el nombre del proyecto</v>
      </c>
      <c r="AQ518" s="634" t="str">
        <f>IF(J518="Funcionamiento Gastos Generales","No aplica",IF(J518="Funcionamiento Servicios Personales","No aplica",IFERROR(VLOOKUP(J518,Listas!$A$220:$D$224,4,FALSE),"Alerta: Seleccione la celda en la comumna B con el nombre del proyecto")))</f>
        <v>Alerta: Seleccione la celda en la comumna B con el nombre del proyecto</v>
      </c>
      <c r="AR518" s="633"/>
      <c r="AS518" s="634" t="str">
        <f>IFERROR(VLOOKUP(AU518,Listas!$E$85:$L$105,7,FALSE),"Alerta: Seleccione la celda en la comumna AI con el concepto de gasto")</f>
        <v>Alerta: Seleccione la celda en la comumna AI con el concepto de gasto</v>
      </c>
      <c r="AT518" s="634" t="str">
        <f>IFERROR(VLOOKUP(AU518,Listas!$E$85:$L$105,8,FALSE),"Alerta: Seleccione la celda en la comumna AI con el concepto de gasto")</f>
        <v>Alerta: Seleccione la celda en la comumna AI con el concepto de gasto</v>
      </c>
      <c r="AU518" s="633"/>
      <c r="AV518" s="634" t="str">
        <f>IFERROR(VLOOKUP(AU518,Listas!$E$85:$F$105,2,FALSE),"Alerta: Seleccione el Concepto de Gasto primero")</f>
        <v>Alerta: Seleccione el Concepto de Gasto primero</v>
      </c>
      <c r="AW518" s="644"/>
      <c r="AX518" s="645"/>
      <c r="AY518" s="645"/>
      <c r="AZ518" s="645"/>
      <c r="BA518" s="646">
        <f t="shared" si="161"/>
        <v>0</v>
      </c>
      <c r="BB518" s="647"/>
      <c r="BC518" s="648"/>
      <c r="BD518" s="649"/>
      <c r="BE518" s="647"/>
      <c r="BF518" s="644"/>
      <c r="BG518" s="646">
        <f t="shared" si="162"/>
        <v>0</v>
      </c>
      <c r="BH518" s="650"/>
      <c r="BI518" s="647"/>
      <c r="BJ518" s="644"/>
      <c r="BK518" s="646">
        <f t="shared" si="163"/>
        <v>0</v>
      </c>
      <c r="BL518" s="651"/>
      <c r="BM518" s="652">
        <f t="shared" si="164"/>
        <v>1</v>
      </c>
      <c r="BN518" s="628"/>
      <c r="BO518" s="670"/>
      <c r="BP518" s="644"/>
      <c r="BQ518" s="644"/>
      <c r="BR518" s="644"/>
      <c r="BS518" s="644"/>
      <c r="BT518" s="644"/>
      <c r="BU518" s="644"/>
      <c r="BV518" s="644"/>
      <c r="BW518" s="644"/>
      <c r="BX518" s="644"/>
      <c r="BY518" s="644"/>
      <c r="BZ518" s="644"/>
      <c r="CA518" s="644"/>
      <c r="CB518" s="646">
        <f t="shared" si="165"/>
        <v>0</v>
      </c>
      <c r="CC518" s="646">
        <f t="shared" si="166"/>
        <v>0</v>
      </c>
      <c r="CD518" s="614"/>
    </row>
    <row r="519" spans="1:82" s="561" customFormat="1" ht="61.5" customHeight="1">
      <c r="A519" s="625" t="str">
        <f t="shared" si="148"/>
        <v>proyecto-Alerta: Seleccione la celda en la comumna B con el nombre del proyecto-Al-Al--</v>
      </c>
      <c r="B519" s="626" t="str">
        <f t="shared" si="149"/>
        <v>proyecto-Alerta: Seleccione la celda en la comumna B con el nombre del proyecto-Al-Al-</v>
      </c>
      <c r="C519" s="626" t="str">
        <f t="shared" si="150"/>
        <v>proyecto-Alerta: Seleccione la celda en la comumna B con el nombre del proyecto-</v>
      </c>
      <c r="D519" s="626" t="str">
        <f t="shared" si="151"/>
        <v>proyecto--Al-Al-</v>
      </c>
      <c r="E519" s="626" t="str">
        <f t="shared" si="152"/>
        <v>--</v>
      </c>
      <c r="F519" s="627"/>
      <c r="G519" s="628">
        <f t="shared" si="153"/>
        <v>0</v>
      </c>
      <c r="H519" s="629" t="b">
        <f t="shared" si="154"/>
        <v>1</v>
      </c>
      <c r="I519" s="630"/>
      <c r="J519" s="627"/>
      <c r="K519" s="631" t="str">
        <f>+IFERROR(VLOOKUP(J519,Listas!$A$108:$B$114,2,FALSE),"Alerta: Seleccione la celda en la comumna B con el nombre del proyecto")</f>
        <v>Alerta: Seleccione la celda en la comumna B con el nombre del proyecto</v>
      </c>
      <c r="L519" s="632"/>
      <c r="M519" s="633"/>
      <c r="N519" s="634" t="str">
        <f t="shared" si="155"/>
        <v xml:space="preserve">(Cód. ) </v>
      </c>
      <c r="O519" s="635"/>
      <c r="P519" s="636">
        <f>IFERROR(VLOOKUP(W519,'Estimación CRP'!$D$21:$E$30,2,FALSE),0)</f>
        <v>0</v>
      </c>
      <c r="Q519" s="637">
        <f>IF(O519="No aplica","No aplica",WORKDAY.INTL(O519,P519,1,'Estimación CRP'!A705:A721))</f>
        <v>0</v>
      </c>
      <c r="R519" s="636">
        <f t="shared" si="156"/>
        <v>1</v>
      </c>
      <c r="S519" s="636">
        <f t="shared" si="157"/>
        <v>1</v>
      </c>
      <c r="T519" s="636">
        <f t="shared" si="158"/>
        <v>1</v>
      </c>
      <c r="U519" s="638"/>
      <c r="V519" s="638"/>
      <c r="W519" s="639"/>
      <c r="X519" s="640" t="str">
        <f>IFERROR(VLOOKUP(W519,Listas!$A$60:$B$73,2,FALSE),"Alerta: Seleccione primero Modalidad de selección")</f>
        <v>Alerta: Seleccione primero Modalidad de selección</v>
      </c>
      <c r="Y519" s="641">
        <v>0</v>
      </c>
      <c r="Z519" s="641"/>
      <c r="AA519" s="641"/>
      <c r="AB519" s="642">
        <f t="shared" si="159"/>
        <v>0</v>
      </c>
      <c r="AC519" s="642">
        <f t="shared" si="160"/>
        <v>0</v>
      </c>
      <c r="AD519" s="641">
        <v>0</v>
      </c>
      <c r="AE519" s="643">
        <v>0</v>
      </c>
      <c r="AF519" s="639" t="s">
        <v>276</v>
      </c>
      <c r="AG519" s="639" t="s">
        <v>277</v>
      </c>
      <c r="AH519" s="639"/>
      <c r="AI519" s="626" t="str">
        <f>IFERROR(VLOOKUP(AH519,Listas!$A$77:$C$83,2,FALSE),"Alerta: Seleccione primero el responsable")</f>
        <v>Alerta: Seleccione primero el responsable</v>
      </c>
      <c r="AJ519" s="640" t="str">
        <f>IFERROR(VLOOKUP(AH519,Listas!$A$77:$C$83,3,FALSE),"Alerta: Seleccione primero el responsable")</f>
        <v>Alerta: Seleccione primero el responsable</v>
      </c>
      <c r="AK519" s="640" t="str">
        <f>IF(J519="Funcionamiento Gastos Generales","No aplica",IF(J519="Funcionamiento Servicios Personales indirectos","No aplica",IFERROR(VLOOKUP(J519,Listas!$A$127:$E$139,3,FALSE),"Alerta: Seleccione la celda en la comumna B con el nombre del proyecto")))</f>
        <v>Alerta: Seleccione la celda en la comumna B con el nombre del proyecto</v>
      </c>
      <c r="AL519" s="640" t="str">
        <f>IF(J519="Funcionamiento Gastos Generales","No aplica",IF(J519="Funcionamiento Servicios Personales","No aplica",IFERROR(VLOOKUP(J519,Listas!$A$220:$D$224,2,FALSE),"Alerta: Seleccione la celda en la comumna B con el nombre del proyecto")))</f>
        <v>Alerta: Seleccione la celda en la comumna B con el nombre del proyecto</v>
      </c>
      <c r="AM519" s="640" t="str">
        <f>IF(J519="Funcionamiento Gastos Generales","No aplica",IF(J519="Funcionamiento Servicios Personales","No aplica",IFERROR(VLOOKUP(J519,Listas!$A$220:$D$224,3,FALSE),"Alerta: Seleccione la celda en la comumna B con el nombre del proyecto")))</f>
        <v>Alerta: Seleccione la celda en la comumna B con el nombre del proyecto</v>
      </c>
      <c r="AN519" s="633"/>
      <c r="AO519" s="633"/>
      <c r="AP519" s="634" t="str">
        <f>IFERROR(VLOOKUP(J519,Listas!$A$182:$E$215,5,FALSE),"Alerta: Seleccione la celda en la comumna B con el nombre del proyecto")</f>
        <v>Alerta: Seleccione la celda en la comumna B con el nombre del proyecto</v>
      </c>
      <c r="AQ519" s="634" t="str">
        <f>IF(J519="Funcionamiento Gastos Generales","No aplica",IF(J519="Funcionamiento Servicios Personales","No aplica",IFERROR(VLOOKUP(J519,Listas!$A$220:$D$224,4,FALSE),"Alerta: Seleccione la celda en la comumna B con el nombre del proyecto")))</f>
        <v>Alerta: Seleccione la celda en la comumna B con el nombre del proyecto</v>
      </c>
      <c r="AR519" s="633"/>
      <c r="AS519" s="634" t="str">
        <f>IFERROR(VLOOKUP(AU519,Listas!$E$85:$L$105,7,FALSE),"Alerta: Seleccione la celda en la comumna AI con el concepto de gasto")</f>
        <v>Alerta: Seleccione la celda en la comumna AI con el concepto de gasto</v>
      </c>
      <c r="AT519" s="634" t="str">
        <f>IFERROR(VLOOKUP(AU519,Listas!$E$85:$L$105,8,FALSE),"Alerta: Seleccione la celda en la comumna AI con el concepto de gasto")</f>
        <v>Alerta: Seleccione la celda en la comumna AI con el concepto de gasto</v>
      </c>
      <c r="AU519" s="633"/>
      <c r="AV519" s="634" t="str">
        <f>IFERROR(VLOOKUP(AU519,Listas!$E$85:$F$105,2,FALSE),"Alerta: Seleccione el Concepto de Gasto primero")</f>
        <v>Alerta: Seleccione el Concepto de Gasto primero</v>
      </c>
      <c r="AW519" s="644"/>
      <c r="AX519" s="645"/>
      <c r="AY519" s="645"/>
      <c r="AZ519" s="645"/>
      <c r="BA519" s="646">
        <f t="shared" si="161"/>
        <v>0</v>
      </c>
      <c r="BB519" s="647"/>
      <c r="BC519" s="648"/>
      <c r="BD519" s="649"/>
      <c r="BE519" s="647"/>
      <c r="BF519" s="644"/>
      <c r="BG519" s="646">
        <f t="shared" si="162"/>
        <v>0</v>
      </c>
      <c r="BH519" s="650"/>
      <c r="BI519" s="647"/>
      <c r="BJ519" s="644"/>
      <c r="BK519" s="646">
        <f t="shared" si="163"/>
        <v>0</v>
      </c>
      <c r="BL519" s="651"/>
      <c r="BM519" s="652">
        <f t="shared" si="164"/>
        <v>1</v>
      </c>
      <c r="BN519" s="628"/>
      <c r="BO519" s="670"/>
      <c r="BP519" s="644"/>
      <c r="BQ519" s="644"/>
      <c r="BR519" s="644"/>
      <c r="BS519" s="644"/>
      <c r="BT519" s="644"/>
      <c r="BU519" s="644"/>
      <c r="BV519" s="644"/>
      <c r="BW519" s="644"/>
      <c r="BX519" s="644"/>
      <c r="BY519" s="644"/>
      <c r="BZ519" s="644"/>
      <c r="CA519" s="644"/>
      <c r="CB519" s="646">
        <f t="shared" si="165"/>
        <v>0</v>
      </c>
      <c r="CC519" s="646">
        <f t="shared" si="166"/>
        <v>0</v>
      </c>
      <c r="CD519" s="614"/>
    </row>
    <row r="520" spans="1:82" s="561" customFormat="1" ht="61.5" customHeight="1">
      <c r="A520" s="625" t="str">
        <f t="shared" si="148"/>
        <v>proyecto-Alerta: Seleccione la celda en la comumna B con el nombre del proyecto-Al-Al--</v>
      </c>
      <c r="B520" s="626" t="str">
        <f t="shared" si="149"/>
        <v>proyecto-Alerta: Seleccione la celda en la comumna B con el nombre del proyecto-Al-Al-</v>
      </c>
      <c r="C520" s="626" t="str">
        <f t="shared" si="150"/>
        <v>proyecto-Alerta: Seleccione la celda en la comumna B con el nombre del proyecto-</v>
      </c>
      <c r="D520" s="626" t="str">
        <f t="shared" si="151"/>
        <v>proyecto--Al-Al-</v>
      </c>
      <c r="E520" s="626" t="str">
        <f t="shared" si="152"/>
        <v>--</v>
      </c>
      <c r="F520" s="627"/>
      <c r="G520" s="628">
        <f t="shared" si="153"/>
        <v>0</v>
      </c>
      <c r="H520" s="629" t="b">
        <f t="shared" si="154"/>
        <v>1</v>
      </c>
      <c r="I520" s="630"/>
      <c r="J520" s="627"/>
      <c r="K520" s="631" t="str">
        <f>+IFERROR(VLOOKUP(J520,Listas!$A$108:$B$114,2,FALSE),"Alerta: Seleccione la celda en la comumna B con el nombre del proyecto")</f>
        <v>Alerta: Seleccione la celda en la comumna B con el nombre del proyecto</v>
      </c>
      <c r="L520" s="632"/>
      <c r="M520" s="633"/>
      <c r="N520" s="634" t="str">
        <f t="shared" si="155"/>
        <v xml:space="preserve">(Cód. ) </v>
      </c>
      <c r="O520" s="635"/>
      <c r="P520" s="636">
        <f>IFERROR(VLOOKUP(W520,'Estimación CRP'!$D$21:$E$30,2,FALSE),0)</f>
        <v>0</v>
      </c>
      <c r="Q520" s="637">
        <f>IF(O520="No aplica","No aplica",WORKDAY.INTL(O520,P520,1,'Estimación CRP'!A706:A722))</f>
        <v>0</v>
      </c>
      <c r="R520" s="636">
        <f t="shared" si="156"/>
        <v>1</v>
      </c>
      <c r="S520" s="636">
        <f t="shared" si="157"/>
        <v>1</v>
      </c>
      <c r="T520" s="636">
        <f t="shared" si="158"/>
        <v>1</v>
      </c>
      <c r="U520" s="638"/>
      <c r="V520" s="638"/>
      <c r="W520" s="639"/>
      <c r="X520" s="640" t="str">
        <f>IFERROR(VLOOKUP(W520,Listas!$A$60:$B$73,2,FALSE),"Alerta: Seleccione primero Modalidad de selección")</f>
        <v>Alerta: Seleccione primero Modalidad de selección</v>
      </c>
      <c r="Y520" s="641">
        <v>0</v>
      </c>
      <c r="Z520" s="641"/>
      <c r="AA520" s="641"/>
      <c r="AB520" s="642">
        <f t="shared" si="159"/>
        <v>0</v>
      </c>
      <c r="AC520" s="642">
        <f t="shared" si="160"/>
        <v>0</v>
      </c>
      <c r="AD520" s="641">
        <v>0</v>
      </c>
      <c r="AE520" s="643">
        <v>0</v>
      </c>
      <c r="AF520" s="639" t="s">
        <v>276</v>
      </c>
      <c r="AG520" s="639" t="s">
        <v>277</v>
      </c>
      <c r="AH520" s="639"/>
      <c r="AI520" s="626" t="str">
        <f>IFERROR(VLOOKUP(AH520,Listas!$A$77:$C$83,2,FALSE),"Alerta: Seleccione primero el responsable")</f>
        <v>Alerta: Seleccione primero el responsable</v>
      </c>
      <c r="AJ520" s="640" t="str">
        <f>IFERROR(VLOOKUP(AH520,Listas!$A$77:$C$83,3,FALSE),"Alerta: Seleccione primero el responsable")</f>
        <v>Alerta: Seleccione primero el responsable</v>
      </c>
      <c r="AK520" s="640" t="str">
        <f>IF(J520="Funcionamiento Gastos Generales","No aplica",IF(J520="Funcionamiento Servicios Personales indirectos","No aplica",IFERROR(VLOOKUP(J520,Listas!$A$127:$E$139,3,FALSE),"Alerta: Seleccione la celda en la comumna B con el nombre del proyecto")))</f>
        <v>Alerta: Seleccione la celda en la comumna B con el nombre del proyecto</v>
      </c>
      <c r="AL520" s="640" t="str">
        <f>IF(J520="Funcionamiento Gastos Generales","No aplica",IF(J520="Funcionamiento Servicios Personales","No aplica",IFERROR(VLOOKUP(J520,Listas!$A$220:$D$224,2,FALSE),"Alerta: Seleccione la celda en la comumna B con el nombre del proyecto")))</f>
        <v>Alerta: Seleccione la celda en la comumna B con el nombre del proyecto</v>
      </c>
      <c r="AM520" s="640" t="str">
        <f>IF(J520="Funcionamiento Gastos Generales","No aplica",IF(J520="Funcionamiento Servicios Personales","No aplica",IFERROR(VLOOKUP(J520,Listas!$A$220:$D$224,3,FALSE),"Alerta: Seleccione la celda en la comumna B con el nombre del proyecto")))</f>
        <v>Alerta: Seleccione la celda en la comumna B con el nombre del proyecto</v>
      </c>
      <c r="AN520" s="633"/>
      <c r="AO520" s="633"/>
      <c r="AP520" s="634" t="str">
        <f>IFERROR(VLOOKUP(J520,Listas!$A$182:$E$215,5,FALSE),"Alerta: Seleccione la celda en la comumna B con el nombre del proyecto")</f>
        <v>Alerta: Seleccione la celda en la comumna B con el nombre del proyecto</v>
      </c>
      <c r="AQ520" s="634" t="str">
        <f>IF(J520="Funcionamiento Gastos Generales","No aplica",IF(J520="Funcionamiento Servicios Personales","No aplica",IFERROR(VLOOKUP(J520,Listas!$A$220:$D$224,4,FALSE),"Alerta: Seleccione la celda en la comumna B con el nombre del proyecto")))</f>
        <v>Alerta: Seleccione la celda en la comumna B con el nombre del proyecto</v>
      </c>
      <c r="AR520" s="633"/>
      <c r="AS520" s="634" t="str">
        <f>IFERROR(VLOOKUP(AU520,Listas!$E$85:$L$105,7,FALSE),"Alerta: Seleccione la celda en la comumna AI con el concepto de gasto")</f>
        <v>Alerta: Seleccione la celda en la comumna AI con el concepto de gasto</v>
      </c>
      <c r="AT520" s="634" t="str">
        <f>IFERROR(VLOOKUP(AU520,Listas!$E$85:$L$105,8,FALSE),"Alerta: Seleccione la celda en la comumna AI con el concepto de gasto")</f>
        <v>Alerta: Seleccione la celda en la comumna AI con el concepto de gasto</v>
      </c>
      <c r="AU520" s="633"/>
      <c r="AV520" s="634" t="str">
        <f>IFERROR(VLOOKUP(AU520,Listas!$E$85:$F$105,2,FALSE),"Alerta: Seleccione el Concepto de Gasto primero")</f>
        <v>Alerta: Seleccione el Concepto de Gasto primero</v>
      </c>
      <c r="AW520" s="644"/>
      <c r="AX520" s="645"/>
      <c r="AY520" s="645"/>
      <c r="AZ520" s="645"/>
      <c r="BA520" s="646">
        <f t="shared" si="161"/>
        <v>0</v>
      </c>
      <c r="BB520" s="647"/>
      <c r="BC520" s="648"/>
      <c r="BD520" s="649"/>
      <c r="BE520" s="647"/>
      <c r="BF520" s="644"/>
      <c r="BG520" s="646">
        <f t="shared" si="162"/>
        <v>0</v>
      </c>
      <c r="BH520" s="650"/>
      <c r="BI520" s="647"/>
      <c r="BJ520" s="644"/>
      <c r="BK520" s="646">
        <f t="shared" si="163"/>
        <v>0</v>
      </c>
      <c r="BL520" s="651"/>
      <c r="BM520" s="652">
        <f t="shared" si="164"/>
        <v>1</v>
      </c>
      <c r="BN520" s="628"/>
      <c r="BO520" s="670"/>
      <c r="BP520" s="644"/>
      <c r="BQ520" s="644"/>
      <c r="BR520" s="644"/>
      <c r="BS520" s="644"/>
      <c r="BT520" s="644"/>
      <c r="BU520" s="644"/>
      <c r="BV520" s="644"/>
      <c r="BW520" s="644"/>
      <c r="BX520" s="644"/>
      <c r="BY520" s="644"/>
      <c r="BZ520" s="644"/>
      <c r="CA520" s="644"/>
      <c r="CB520" s="646">
        <f t="shared" si="165"/>
        <v>0</v>
      </c>
      <c r="CC520" s="646">
        <f t="shared" si="166"/>
        <v>0</v>
      </c>
      <c r="CD520" s="614"/>
    </row>
    <row r="521" spans="1:82" s="561" customFormat="1" ht="61.5" customHeight="1">
      <c r="A521" s="625" t="str">
        <f t="shared" si="148"/>
        <v>proyecto-Alerta: Seleccione la celda en la comumna B con el nombre del proyecto-Al-Al--</v>
      </c>
      <c r="B521" s="626" t="str">
        <f t="shared" si="149"/>
        <v>proyecto-Alerta: Seleccione la celda en la comumna B con el nombre del proyecto-Al-Al-</v>
      </c>
      <c r="C521" s="626" t="str">
        <f t="shared" si="150"/>
        <v>proyecto-Alerta: Seleccione la celda en la comumna B con el nombre del proyecto-</v>
      </c>
      <c r="D521" s="626" t="str">
        <f t="shared" si="151"/>
        <v>proyecto--Al-Al-</v>
      </c>
      <c r="E521" s="626" t="str">
        <f t="shared" si="152"/>
        <v>--</v>
      </c>
      <c r="F521" s="627"/>
      <c r="G521" s="628">
        <f t="shared" si="153"/>
        <v>0</v>
      </c>
      <c r="H521" s="629" t="b">
        <f t="shared" si="154"/>
        <v>1</v>
      </c>
      <c r="I521" s="630"/>
      <c r="J521" s="627"/>
      <c r="K521" s="631" t="str">
        <f>+IFERROR(VLOOKUP(J521,Listas!$A$108:$B$114,2,FALSE),"Alerta: Seleccione la celda en la comumna B con el nombre del proyecto")</f>
        <v>Alerta: Seleccione la celda en la comumna B con el nombre del proyecto</v>
      </c>
      <c r="L521" s="632"/>
      <c r="M521" s="633"/>
      <c r="N521" s="634" t="str">
        <f t="shared" si="155"/>
        <v xml:space="preserve">(Cód. ) </v>
      </c>
      <c r="O521" s="635"/>
      <c r="P521" s="636">
        <f>IFERROR(VLOOKUP(W521,'Estimación CRP'!$D$21:$E$30,2,FALSE),0)</f>
        <v>0</v>
      </c>
      <c r="Q521" s="637">
        <f>IF(O521="No aplica","No aplica",WORKDAY.INTL(O521,P521,1,'Estimación CRP'!A707:A723))</f>
        <v>0</v>
      </c>
      <c r="R521" s="636">
        <f t="shared" si="156"/>
        <v>1</v>
      </c>
      <c r="S521" s="636">
        <f t="shared" si="157"/>
        <v>1</v>
      </c>
      <c r="T521" s="636">
        <f t="shared" si="158"/>
        <v>1</v>
      </c>
      <c r="U521" s="638"/>
      <c r="V521" s="638"/>
      <c r="W521" s="639"/>
      <c r="X521" s="640" t="str">
        <f>IFERROR(VLOOKUP(W521,Listas!$A$60:$B$73,2,FALSE),"Alerta: Seleccione primero Modalidad de selección")</f>
        <v>Alerta: Seleccione primero Modalidad de selección</v>
      </c>
      <c r="Y521" s="641">
        <v>0</v>
      </c>
      <c r="Z521" s="641"/>
      <c r="AA521" s="641"/>
      <c r="AB521" s="642">
        <f t="shared" si="159"/>
        <v>0</v>
      </c>
      <c r="AC521" s="642">
        <f t="shared" si="160"/>
        <v>0</v>
      </c>
      <c r="AD521" s="641">
        <v>0</v>
      </c>
      <c r="AE521" s="643">
        <v>0</v>
      </c>
      <c r="AF521" s="639" t="s">
        <v>276</v>
      </c>
      <c r="AG521" s="639" t="s">
        <v>277</v>
      </c>
      <c r="AH521" s="639"/>
      <c r="AI521" s="626" t="str">
        <f>IFERROR(VLOOKUP(AH521,Listas!$A$77:$C$83,2,FALSE),"Alerta: Seleccione primero el responsable")</f>
        <v>Alerta: Seleccione primero el responsable</v>
      </c>
      <c r="AJ521" s="640" t="str">
        <f>IFERROR(VLOOKUP(AH521,Listas!$A$77:$C$83,3,FALSE),"Alerta: Seleccione primero el responsable")</f>
        <v>Alerta: Seleccione primero el responsable</v>
      </c>
      <c r="AK521" s="640" t="str">
        <f>IF(J521="Funcionamiento Gastos Generales","No aplica",IF(J521="Funcionamiento Servicios Personales indirectos","No aplica",IFERROR(VLOOKUP(J521,Listas!$A$127:$E$139,3,FALSE),"Alerta: Seleccione la celda en la comumna B con el nombre del proyecto")))</f>
        <v>Alerta: Seleccione la celda en la comumna B con el nombre del proyecto</v>
      </c>
      <c r="AL521" s="640" t="str">
        <f>IF(J521="Funcionamiento Gastos Generales","No aplica",IF(J521="Funcionamiento Servicios Personales","No aplica",IFERROR(VLOOKUP(J521,Listas!$A$220:$D$224,2,FALSE),"Alerta: Seleccione la celda en la comumna B con el nombre del proyecto")))</f>
        <v>Alerta: Seleccione la celda en la comumna B con el nombre del proyecto</v>
      </c>
      <c r="AM521" s="640" t="str">
        <f>IF(J521="Funcionamiento Gastos Generales","No aplica",IF(J521="Funcionamiento Servicios Personales","No aplica",IFERROR(VLOOKUP(J521,Listas!$A$220:$D$224,3,FALSE),"Alerta: Seleccione la celda en la comumna B con el nombre del proyecto")))</f>
        <v>Alerta: Seleccione la celda en la comumna B con el nombre del proyecto</v>
      </c>
      <c r="AN521" s="633"/>
      <c r="AO521" s="633"/>
      <c r="AP521" s="634" t="str">
        <f>IFERROR(VLOOKUP(J521,Listas!$A$182:$E$215,5,FALSE),"Alerta: Seleccione la celda en la comumna B con el nombre del proyecto")</f>
        <v>Alerta: Seleccione la celda en la comumna B con el nombre del proyecto</v>
      </c>
      <c r="AQ521" s="634" t="str">
        <f>IF(J521="Funcionamiento Gastos Generales","No aplica",IF(J521="Funcionamiento Servicios Personales","No aplica",IFERROR(VLOOKUP(J521,Listas!$A$220:$D$224,4,FALSE),"Alerta: Seleccione la celda en la comumna B con el nombre del proyecto")))</f>
        <v>Alerta: Seleccione la celda en la comumna B con el nombre del proyecto</v>
      </c>
      <c r="AR521" s="633"/>
      <c r="AS521" s="634" t="str">
        <f>IFERROR(VLOOKUP(AU521,Listas!$E$85:$L$105,7,FALSE),"Alerta: Seleccione la celda en la comumna AI con el concepto de gasto")</f>
        <v>Alerta: Seleccione la celda en la comumna AI con el concepto de gasto</v>
      </c>
      <c r="AT521" s="634" t="str">
        <f>IFERROR(VLOOKUP(AU521,Listas!$E$85:$L$105,8,FALSE),"Alerta: Seleccione la celda en la comumna AI con el concepto de gasto")</f>
        <v>Alerta: Seleccione la celda en la comumna AI con el concepto de gasto</v>
      </c>
      <c r="AU521" s="633"/>
      <c r="AV521" s="634" t="str">
        <f>IFERROR(VLOOKUP(AU521,Listas!$E$85:$F$105,2,FALSE),"Alerta: Seleccione el Concepto de Gasto primero")</f>
        <v>Alerta: Seleccione el Concepto de Gasto primero</v>
      </c>
      <c r="AW521" s="644"/>
      <c r="AX521" s="645"/>
      <c r="AY521" s="645"/>
      <c r="AZ521" s="645"/>
      <c r="BA521" s="646">
        <f t="shared" si="161"/>
        <v>0</v>
      </c>
      <c r="BB521" s="647"/>
      <c r="BC521" s="648"/>
      <c r="BD521" s="649"/>
      <c r="BE521" s="647"/>
      <c r="BF521" s="644"/>
      <c r="BG521" s="646">
        <f t="shared" si="162"/>
        <v>0</v>
      </c>
      <c r="BH521" s="650"/>
      <c r="BI521" s="647"/>
      <c r="BJ521" s="644"/>
      <c r="BK521" s="646">
        <f t="shared" si="163"/>
        <v>0</v>
      </c>
      <c r="BL521" s="651"/>
      <c r="BM521" s="652">
        <f t="shared" si="164"/>
        <v>1</v>
      </c>
      <c r="BN521" s="628"/>
      <c r="BO521" s="670"/>
      <c r="BP521" s="644"/>
      <c r="BQ521" s="644"/>
      <c r="BR521" s="644"/>
      <c r="BS521" s="644"/>
      <c r="BT521" s="644"/>
      <c r="BU521" s="644"/>
      <c r="BV521" s="644"/>
      <c r="BW521" s="644"/>
      <c r="BX521" s="644"/>
      <c r="BY521" s="644"/>
      <c r="BZ521" s="644"/>
      <c r="CA521" s="644"/>
      <c r="CB521" s="646">
        <f t="shared" si="165"/>
        <v>0</v>
      </c>
      <c r="CC521" s="646">
        <f t="shared" si="166"/>
        <v>0</v>
      </c>
      <c r="CD521" s="614"/>
    </row>
    <row r="522" spans="1:82" s="561" customFormat="1" ht="61.5" customHeight="1">
      <c r="A522" s="625" t="str">
        <f t="shared" si="148"/>
        <v>proyecto-Alerta: Seleccione la celda en la comumna B con el nombre del proyecto-Al-Al--</v>
      </c>
      <c r="B522" s="626" t="str">
        <f t="shared" si="149"/>
        <v>proyecto-Alerta: Seleccione la celda en la comumna B con el nombre del proyecto-Al-Al-</v>
      </c>
      <c r="C522" s="626" t="str">
        <f t="shared" si="150"/>
        <v>proyecto-Alerta: Seleccione la celda en la comumna B con el nombre del proyecto-</v>
      </c>
      <c r="D522" s="626" t="str">
        <f t="shared" si="151"/>
        <v>proyecto--Al-Al-</v>
      </c>
      <c r="E522" s="626" t="str">
        <f t="shared" si="152"/>
        <v>--</v>
      </c>
      <c r="F522" s="627"/>
      <c r="G522" s="628">
        <f t="shared" si="153"/>
        <v>0</v>
      </c>
      <c r="H522" s="629" t="b">
        <f t="shared" si="154"/>
        <v>1</v>
      </c>
      <c r="I522" s="630"/>
      <c r="J522" s="627"/>
      <c r="K522" s="631" t="str">
        <f>+IFERROR(VLOOKUP(J522,Listas!$A$108:$B$114,2,FALSE),"Alerta: Seleccione la celda en la comumna B con el nombre del proyecto")</f>
        <v>Alerta: Seleccione la celda en la comumna B con el nombre del proyecto</v>
      </c>
      <c r="L522" s="632"/>
      <c r="M522" s="633"/>
      <c r="N522" s="634" t="str">
        <f t="shared" si="155"/>
        <v xml:space="preserve">(Cód. ) </v>
      </c>
      <c r="O522" s="635"/>
      <c r="P522" s="636">
        <f>IFERROR(VLOOKUP(W522,'Estimación CRP'!$D$21:$E$30,2,FALSE),0)</f>
        <v>0</v>
      </c>
      <c r="Q522" s="637">
        <f>IF(O522="No aplica","No aplica",WORKDAY.INTL(O522,P522,1,'Estimación CRP'!A708:A724))</f>
        <v>0</v>
      </c>
      <c r="R522" s="636">
        <f t="shared" si="156"/>
        <v>1</v>
      </c>
      <c r="S522" s="636">
        <f t="shared" si="157"/>
        <v>1</v>
      </c>
      <c r="T522" s="636">
        <f t="shared" si="158"/>
        <v>1</v>
      </c>
      <c r="U522" s="638"/>
      <c r="V522" s="638"/>
      <c r="W522" s="639"/>
      <c r="X522" s="640" t="str">
        <f>IFERROR(VLOOKUP(W522,Listas!$A$60:$B$73,2,FALSE),"Alerta: Seleccione primero Modalidad de selección")</f>
        <v>Alerta: Seleccione primero Modalidad de selección</v>
      </c>
      <c r="Y522" s="641">
        <v>0</v>
      </c>
      <c r="Z522" s="641"/>
      <c r="AA522" s="641"/>
      <c r="AB522" s="642">
        <f t="shared" si="159"/>
        <v>0</v>
      </c>
      <c r="AC522" s="642">
        <f t="shared" si="160"/>
        <v>0</v>
      </c>
      <c r="AD522" s="641">
        <v>0</v>
      </c>
      <c r="AE522" s="643">
        <v>0</v>
      </c>
      <c r="AF522" s="639" t="s">
        <v>276</v>
      </c>
      <c r="AG522" s="639" t="s">
        <v>277</v>
      </c>
      <c r="AH522" s="639"/>
      <c r="AI522" s="626" t="str">
        <f>IFERROR(VLOOKUP(AH522,Listas!$A$77:$C$83,2,FALSE),"Alerta: Seleccione primero el responsable")</f>
        <v>Alerta: Seleccione primero el responsable</v>
      </c>
      <c r="AJ522" s="640" t="str">
        <f>IFERROR(VLOOKUP(AH522,Listas!$A$77:$C$83,3,FALSE),"Alerta: Seleccione primero el responsable")</f>
        <v>Alerta: Seleccione primero el responsable</v>
      </c>
      <c r="AK522" s="640" t="str">
        <f>IF(J522="Funcionamiento Gastos Generales","No aplica",IF(J522="Funcionamiento Servicios Personales indirectos","No aplica",IFERROR(VLOOKUP(J522,Listas!$A$127:$E$139,3,FALSE),"Alerta: Seleccione la celda en la comumna B con el nombre del proyecto")))</f>
        <v>Alerta: Seleccione la celda en la comumna B con el nombre del proyecto</v>
      </c>
      <c r="AL522" s="640" t="str">
        <f>IF(J522="Funcionamiento Gastos Generales","No aplica",IF(J522="Funcionamiento Servicios Personales","No aplica",IFERROR(VLOOKUP(J522,Listas!$A$220:$D$224,2,FALSE),"Alerta: Seleccione la celda en la comumna B con el nombre del proyecto")))</f>
        <v>Alerta: Seleccione la celda en la comumna B con el nombre del proyecto</v>
      </c>
      <c r="AM522" s="640" t="str">
        <f>IF(J522="Funcionamiento Gastos Generales","No aplica",IF(J522="Funcionamiento Servicios Personales","No aplica",IFERROR(VLOOKUP(J522,Listas!$A$220:$D$224,3,FALSE),"Alerta: Seleccione la celda en la comumna B con el nombre del proyecto")))</f>
        <v>Alerta: Seleccione la celda en la comumna B con el nombre del proyecto</v>
      </c>
      <c r="AN522" s="633"/>
      <c r="AO522" s="633"/>
      <c r="AP522" s="634" t="str">
        <f>IFERROR(VLOOKUP(J522,Listas!$A$182:$E$215,5,FALSE),"Alerta: Seleccione la celda en la comumna B con el nombre del proyecto")</f>
        <v>Alerta: Seleccione la celda en la comumna B con el nombre del proyecto</v>
      </c>
      <c r="AQ522" s="634" t="str">
        <f>IF(J522="Funcionamiento Gastos Generales","No aplica",IF(J522="Funcionamiento Servicios Personales","No aplica",IFERROR(VLOOKUP(J522,Listas!$A$220:$D$224,4,FALSE),"Alerta: Seleccione la celda en la comumna B con el nombre del proyecto")))</f>
        <v>Alerta: Seleccione la celda en la comumna B con el nombre del proyecto</v>
      </c>
      <c r="AR522" s="633"/>
      <c r="AS522" s="634" t="str">
        <f>IFERROR(VLOOKUP(AU522,Listas!$E$85:$L$105,7,FALSE),"Alerta: Seleccione la celda en la comumna AI con el concepto de gasto")</f>
        <v>Alerta: Seleccione la celda en la comumna AI con el concepto de gasto</v>
      </c>
      <c r="AT522" s="634" t="str">
        <f>IFERROR(VLOOKUP(AU522,Listas!$E$85:$L$105,8,FALSE),"Alerta: Seleccione la celda en la comumna AI con el concepto de gasto")</f>
        <v>Alerta: Seleccione la celda en la comumna AI con el concepto de gasto</v>
      </c>
      <c r="AU522" s="633"/>
      <c r="AV522" s="634" t="str">
        <f>IFERROR(VLOOKUP(AU522,Listas!$E$85:$F$105,2,FALSE),"Alerta: Seleccione el Concepto de Gasto primero")</f>
        <v>Alerta: Seleccione el Concepto de Gasto primero</v>
      </c>
      <c r="AW522" s="644"/>
      <c r="AX522" s="645"/>
      <c r="AY522" s="645"/>
      <c r="AZ522" s="645"/>
      <c r="BA522" s="646">
        <f t="shared" si="161"/>
        <v>0</v>
      </c>
      <c r="BB522" s="647"/>
      <c r="BC522" s="648"/>
      <c r="BD522" s="649"/>
      <c r="BE522" s="647"/>
      <c r="BF522" s="644"/>
      <c r="BG522" s="646">
        <f t="shared" si="162"/>
        <v>0</v>
      </c>
      <c r="BH522" s="650"/>
      <c r="BI522" s="647"/>
      <c r="BJ522" s="644"/>
      <c r="BK522" s="646">
        <f t="shared" si="163"/>
        <v>0</v>
      </c>
      <c r="BL522" s="651"/>
      <c r="BM522" s="652">
        <f t="shared" si="164"/>
        <v>1</v>
      </c>
      <c r="BN522" s="628"/>
      <c r="BO522" s="670"/>
      <c r="BP522" s="644"/>
      <c r="BQ522" s="644"/>
      <c r="BR522" s="644"/>
      <c r="BS522" s="644"/>
      <c r="BT522" s="644"/>
      <c r="BU522" s="644"/>
      <c r="BV522" s="644"/>
      <c r="BW522" s="644"/>
      <c r="BX522" s="644"/>
      <c r="BY522" s="644"/>
      <c r="BZ522" s="644"/>
      <c r="CA522" s="644"/>
      <c r="CB522" s="646">
        <f t="shared" si="165"/>
        <v>0</v>
      </c>
      <c r="CC522" s="646">
        <f t="shared" si="166"/>
        <v>0</v>
      </c>
      <c r="CD522" s="614"/>
    </row>
    <row r="523" spans="1:82" s="561" customFormat="1" ht="61.5" customHeight="1">
      <c r="A523" s="625" t="str">
        <f t="shared" si="148"/>
        <v>proyecto-Alerta: Seleccione la celda en la comumna B con el nombre del proyecto-Al-Al--</v>
      </c>
      <c r="B523" s="626" t="str">
        <f t="shared" si="149"/>
        <v>proyecto-Alerta: Seleccione la celda en la comumna B con el nombre del proyecto-Al-Al-</v>
      </c>
      <c r="C523" s="626" t="str">
        <f t="shared" si="150"/>
        <v>proyecto-Alerta: Seleccione la celda en la comumna B con el nombre del proyecto-</v>
      </c>
      <c r="D523" s="626" t="str">
        <f t="shared" si="151"/>
        <v>proyecto--Al-Al-</v>
      </c>
      <c r="E523" s="626" t="str">
        <f t="shared" si="152"/>
        <v>--</v>
      </c>
      <c r="F523" s="627"/>
      <c r="G523" s="628">
        <f t="shared" si="153"/>
        <v>0</v>
      </c>
      <c r="H523" s="629" t="b">
        <f t="shared" si="154"/>
        <v>1</v>
      </c>
      <c r="I523" s="630"/>
      <c r="J523" s="627"/>
      <c r="K523" s="631" t="str">
        <f>+IFERROR(VLOOKUP(J523,Listas!$A$108:$B$114,2,FALSE),"Alerta: Seleccione la celda en la comumna B con el nombre del proyecto")</f>
        <v>Alerta: Seleccione la celda en la comumna B con el nombre del proyecto</v>
      </c>
      <c r="L523" s="632"/>
      <c r="M523" s="633"/>
      <c r="N523" s="634" t="str">
        <f t="shared" si="155"/>
        <v xml:space="preserve">(Cód. ) </v>
      </c>
      <c r="O523" s="635"/>
      <c r="P523" s="636">
        <f>IFERROR(VLOOKUP(W523,'Estimación CRP'!$D$21:$E$30,2,FALSE),0)</f>
        <v>0</v>
      </c>
      <c r="Q523" s="637">
        <f>IF(O523="No aplica","No aplica",WORKDAY.INTL(O523,P523,1,'Estimación CRP'!A709:A725))</f>
        <v>0</v>
      </c>
      <c r="R523" s="636">
        <f t="shared" si="156"/>
        <v>1</v>
      </c>
      <c r="S523" s="636">
        <f t="shared" si="157"/>
        <v>1</v>
      </c>
      <c r="T523" s="636">
        <f t="shared" si="158"/>
        <v>1</v>
      </c>
      <c r="U523" s="638"/>
      <c r="V523" s="638"/>
      <c r="W523" s="639"/>
      <c r="X523" s="640" t="str">
        <f>IFERROR(VLOOKUP(W523,Listas!$A$60:$B$73,2,FALSE),"Alerta: Seleccione primero Modalidad de selección")</f>
        <v>Alerta: Seleccione primero Modalidad de selección</v>
      </c>
      <c r="Y523" s="641">
        <v>0</v>
      </c>
      <c r="Z523" s="641"/>
      <c r="AA523" s="641"/>
      <c r="AB523" s="642">
        <f t="shared" si="159"/>
        <v>0</v>
      </c>
      <c r="AC523" s="642">
        <f t="shared" si="160"/>
        <v>0</v>
      </c>
      <c r="AD523" s="641">
        <v>0</v>
      </c>
      <c r="AE523" s="643">
        <v>0</v>
      </c>
      <c r="AF523" s="639" t="s">
        <v>276</v>
      </c>
      <c r="AG523" s="639" t="s">
        <v>277</v>
      </c>
      <c r="AH523" s="639"/>
      <c r="AI523" s="626" t="str">
        <f>IFERROR(VLOOKUP(AH523,Listas!$A$77:$C$83,2,FALSE),"Alerta: Seleccione primero el responsable")</f>
        <v>Alerta: Seleccione primero el responsable</v>
      </c>
      <c r="AJ523" s="640" t="str">
        <f>IFERROR(VLOOKUP(AH523,Listas!$A$77:$C$83,3,FALSE),"Alerta: Seleccione primero el responsable")</f>
        <v>Alerta: Seleccione primero el responsable</v>
      </c>
      <c r="AK523" s="640" t="str">
        <f>IF(J523="Funcionamiento Gastos Generales","No aplica",IF(J523="Funcionamiento Servicios Personales indirectos","No aplica",IFERROR(VLOOKUP(J523,Listas!$A$127:$E$139,3,FALSE),"Alerta: Seleccione la celda en la comumna B con el nombre del proyecto")))</f>
        <v>Alerta: Seleccione la celda en la comumna B con el nombre del proyecto</v>
      </c>
      <c r="AL523" s="640" t="str">
        <f>IF(J523="Funcionamiento Gastos Generales","No aplica",IF(J523="Funcionamiento Servicios Personales","No aplica",IFERROR(VLOOKUP(J523,Listas!$A$220:$D$224,2,FALSE),"Alerta: Seleccione la celda en la comumna B con el nombre del proyecto")))</f>
        <v>Alerta: Seleccione la celda en la comumna B con el nombre del proyecto</v>
      </c>
      <c r="AM523" s="640" t="str">
        <f>IF(J523="Funcionamiento Gastos Generales","No aplica",IF(J523="Funcionamiento Servicios Personales","No aplica",IFERROR(VLOOKUP(J523,Listas!$A$220:$D$224,3,FALSE),"Alerta: Seleccione la celda en la comumna B con el nombre del proyecto")))</f>
        <v>Alerta: Seleccione la celda en la comumna B con el nombre del proyecto</v>
      </c>
      <c r="AN523" s="633"/>
      <c r="AO523" s="633"/>
      <c r="AP523" s="634" t="str">
        <f>IFERROR(VLOOKUP(J523,Listas!$A$182:$E$215,5,FALSE),"Alerta: Seleccione la celda en la comumna B con el nombre del proyecto")</f>
        <v>Alerta: Seleccione la celda en la comumna B con el nombre del proyecto</v>
      </c>
      <c r="AQ523" s="634" t="str">
        <f>IF(J523="Funcionamiento Gastos Generales","No aplica",IF(J523="Funcionamiento Servicios Personales","No aplica",IFERROR(VLOOKUP(J523,Listas!$A$220:$D$224,4,FALSE),"Alerta: Seleccione la celda en la comumna B con el nombre del proyecto")))</f>
        <v>Alerta: Seleccione la celda en la comumna B con el nombre del proyecto</v>
      </c>
      <c r="AR523" s="633"/>
      <c r="AS523" s="634" t="str">
        <f>IFERROR(VLOOKUP(AU523,Listas!$E$85:$L$105,7,FALSE),"Alerta: Seleccione la celda en la comumna AI con el concepto de gasto")</f>
        <v>Alerta: Seleccione la celda en la comumna AI con el concepto de gasto</v>
      </c>
      <c r="AT523" s="634" t="str">
        <f>IFERROR(VLOOKUP(AU523,Listas!$E$85:$L$105,8,FALSE),"Alerta: Seleccione la celda en la comumna AI con el concepto de gasto")</f>
        <v>Alerta: Seleccione la celda en la comumna AI con el concepto de gasto</v>
      </c>
      <c r="AU523" s="633"/>
      <c r="AV523" s="634" t="str">
        <f>IFERROR(VLOOKUP(AU523,Listas!$E$85:$F$105,2,FALSE),"Alerta: Seleccione el Concepto de Gasto primero")</f>
        <v>Alerta: Seleccione el Concepto de Gasto primero</v>
      </c>
      <c r="AW523" s="644"/>
      <c r="AX523" s="645"/>
      <c r="AY523" s="645"/>
      <c r="AZ523" s="645"/>
      <c r="BA523" s="646">
        <f t="shared" si="161"/>
        <v>0</v>
      </c>
      <c r="BB523" s="647"/>
      <c r="BC523" s="648"/>
      <c r="BD523" s="649"/>
      <c r="BE523" s="647"/>
      <c r="BF523" s="644"/>
      <c r="BG523" s="646">
        <f t="shared" si="162"/>
        <v>0</v>
      </c>
      <c r="BH523" s="650"/>
      <c r="BI523" s="647"/>
      <c r="BJ523" s="644"/>
      <c r="BK523" s="646">
        <f t="shared" si="163"/>
        <v>0</v>
      </c>
      <c r="BL523" s="651"/>
      <c r="BM523" s="652">
        <f t="shared" si="164"/>
        <v>1</v>
      </c>
      <c r="BN523" s="628"/>
      <c r="BO523" s="670"/>
      <c r="BP523" s="644"/>
      <c r="BQ523" s="644"/>
      <c r="BR523" s="644"/>
      <c r="BS523" s="644"/>
      <c r="BT523" s="644"/>
      <c r="BU523" s="644"/>
      <c r="BV523" s="644"/>
      <c r="BW523" s="644"/>
      <c r="BX523" s="644"/>
      <c r="BY523" s="644"/>
      <c r="BZ523" s="644"/>
      <c r="CA523" s="644"/>
      <c r="CB523" s="646">
        <f t="shared" si="165"/>
        <v>0</v>
      </c>
      <c r="CC523" s="646">
        <f t="shared" si="166"/>
        <v>0</v>
      </c>
      <c r="CD523" s="614"/>
    </row>
    <row r="524" spans="1:82" s="561" customFormat="1" ht="61.5" customHeight="1">
      <c r="A524" s="625" t="str">
        <f t="shared" si="148"/>
        <v>proyecto-Alerta: Seleccione la celda en la comumna B con el nombre del proyecto-Al-Al--</v>
      </c>
      <c r="B524" s="626" t="str">
        <f t="shared" si="149"/>
        <v>proyecto-Alerta: Seleccione la celda en la comumna B con el nombre del proyecto-Al-Al-</v>
      </c>
      <c r="C524" s="626" t="str">
        <f t="shared" si="150"/>
        <v>proyecto-Alerta: Seleccione la celda en la comumna B con el nombre del proyecto-</v>
      </c>
      <c r="D524" s="626" t="str">
        <f t="shared" si="151"/>
        <v>proyecto--Al-Al-</v>
      </c>
      <c r="E524" s="626" t="str">
        <f t="shared" si="152"/>
        <v>--</v>
      </c>
      <c r="F524" s="627"/>
      <c r="G524" s="628">
        <f t="shared" si="153"/>
        <v>0</v>
      </c>
      <c r="H524" s="629" t="b">
        <f t="shared" si="154"/>
        <v>1</v>
      </c>
      <c r="I524" s="630"/>
      <c r="J524" s="627"/>
      <c r="K524" s="631" t="str">
        <f>+IFERROR(VLOOKUP(J524,Listas!$A$108:$B$114,2,FALSE),"Alerta: Seleccione la celda en la comumna B con el nombre del proyecto")</f>
        <v>Alerta: Seleccione la celda en la comumna B con el nombre del proyecto</v>
      </c>
      <c r="L524" s="632"/>
      <c r="M524" s="633"/>
      <c r="N524" s="634" t="str">
        <f t="shared" si="155"/>
        <v xml:space="preserve">(Cód. ) </v>
      </c>
      <c r="O524" s="635"/>
      <c r="P524" s="636">
        <f>IFERROR(VLOOKUP(W524,'Estimación CRP'!$D$21:$E$30,2,FALSE),0)</f>
        <v>0</v>
      </c>
      <c r="Q524" s="637">
        <f>IF(O524="No aplica","No aplica",WORKDAY.INTL(O524,P524,1,'Estimación CRP'!A710:A726))</f>
        <v>0</v>
      </c>
      <c r="R524" s="636">
        <f t="shared" si="156"/>
        <v>1</v>
      </c>
      <c r="S524" s="636">
        <f t="shared" si="157"/>
        <v>1</v>
      </c>
      <c r="T524" s="636">
        <f t="shared" si="158"/>
        <v>1</v>
      </c>
      <c r="U524" s="638"/>
      <c r="V524" s="638"/>
      <c r="W524" s="639"/>
      <c r="X524" s="640" t="str">
        <f>IFERROR(VLOOKUP(W524,Listas!$A$60:$B$73,2,FALSE),"Alerta: Seleccione primero Modalidad de selección")</f>
        <v>Alerta: Seleccione primero Modalidad de selección</v>
      </c>
      <c r="Y524" s="641">
        <v>0</v>
      </c>
      <c r="Z524" s="641"/>
      <c r="AA524" s="641"/>
      <c r="AB524" s="642">
        <f t="shared" si="159"/>
        <v>0</v>
      </c>
      <c r="AC524" s="642">
        <f t="shared" si="160"/>
        <v>0</v>
      </c>
      <c r="AD524" s="641">
        <v>0</v>
      </c>
      <c r="AE524" s="643">
        <v>0</v>
      </c>
      <c r="AF524" s="639" t="s">
        <v>276</v>
      </c>
      <c r="AG524" s="639" t="s">
        <v>277</v>
      </c>
      <c r="AH524" s="639"/>
      <c r="AI524" s="626" t="str">
        <f>IFERROR(VLOOKUP(AH524,Listas!$A$77:$C$83,2,FALSE),"Alerta: Seleccione primero el responsable")</f>
        <v>Alerta: Seleccione primero el responsable</v>
      </c>
      <c r="AJ524" s="640" t="str">
        <f>IFERROR(VLOOKUP(AH524,Listas!$A$77:$C$83,3,FALSE),"Alerta: Seleccione primero el responsable")</f>
        <v>Alerta: Seleccione primero el responsable</v>
      </c>
      <c r="AK524" s="640" t="str">
        <f>IF(J524="Funcionamiento Gastos Generales","No aplica",IF(J524="Funcionamiento Servicios Personales indirectos","No aplica",IFERROR(VLOOKUP(J524,Listas!$A$127:$E$139,3,FALSE),"Alerta: Seleccione la celda en la comumna B con el nombre del proyecto")))</f>
        <v>Alerta: Seleccione la celda en la comumna B con el nombre del proyecto</v>
      </c>
      <c r="AL524" s="640" t="str">
        <f>IF(J524="Funcionamiento Gastos Generales","No aplica",IF(J524="Funcionamiento Servicios Personales","No aplica",IFERROR(VLOOKUP(J524,Listas!$A$220:$D$224,2,FALSE),"Alerta: Seleccione la celda en la comumna B con el nombre del proyecto")))</f>
        <v>Alerta: Seleccione la celda en la comumna B con el nombre del proyecto</v>
      </c>
      <c r="AM524" s="640" t="str">
        <f>IF(J524="Funcionamiento Gastos Generales","No aplica",IF(J524="Funcionamiento Servicios Personales","No aplica",IFERROR(VLOOKUP(J524,Listas!$A$220:$D$224,3,FALSE),"Alerta: Seleccione la celda en la comumna B con el nombre del proyecto")))</f>
        <v>Alerta: Seleccione la celda en la comumna B con el nombre del proyecto</v>
      </c>
      <c r="AN524" s="633"/>
      <c r="AO524" s="633"/>
      <c r="AP524" s="634" t="str">
        <f>IFERROR(VLOOKUP(J524,Listas!$A$182:$E$215,5,FALSE),"Alerta: Seleccione la celda en la comumna B con el nombre del proyecto")</f>
        <v>Alerta: Seleccione la celda en la comumna B con el nombre del proyecto</v>
      </c>
      <c r="AQ524" s="634" t="str">
        <f>IF(J524="Funcionamiento Gastos Generales","No aplica",IF(J524="Funcionamiento Servicios Personales","No aplica",IFERROR(VLOOKUP(J524,Listas!$A$220:$D$224,4,FALSE),"Alerta: Seleccione la celda en la comumna B con el nombre del proyecto")))</f>
        <v>Alerta: Seleccione la celda en la comumna B con el nombre del proyecto</v>
      </c>
      <c r="AR524" s="633"/>
      <c r="AS524" s="634" t="str">
        <f>IFERROR(VLOOKUP(AU524,Listas!$E$85:$L$105,7,FALSE),"Alerta: Seleccione la celda en la comumna AI con el concepto de gasto")</f>
        <v>Alerta: Seleccione la celda en la comumna AI con el concepto de gasto</v>
      </c>
      <c r="AT524" s="634" t="str">
        <f>IFERROR(VLOOKUP(AU524,Listas!$E$85:$L$105,8,FALSE),"Alerta: Seleccione la celda en la comumna AI con el concepto de gasto")</f>
        <v>Alerta: Seleccione la celda en la comumna AI con el concepto de gasto</v>
      </c>
      <c r="AU524" s="633"/>
      <c r="AV524" s="634" t="str">
        <f>IFERROR(VLOOKUP(AU524,Listas!$E$85:$F$105,2,FALSE),"Alerta: Seleccione el Concepto de Gasto primero")</f>
        <v>Alerta: Seleccione el Concepto de Gasto primero</v>
      </c>
      <c r="AW524" s="644"/>
      <c r="AX524" s="645"/>
      <c r="AY524" s="645"/>
      <c r="AZ524" s="645"/>
      <c r="BA524" s="646">
        <f t="shared" si="161"/>
        <v>0</v>
      </c>
      <c r="BB524" s="647"/>
      <c r="BC524" s="648"/>
      <c r="BD524" s="649"/>
      <c r="BE524" s="647"/>
      <c r="BF524" s="644"/>
      <c r="BG524" s="646">
        <f t="shared" si="162"/>
        <v>0</v>
      </c>
      <c r="BH524" s="650"/>
      <c r="BI524" s="647"/>
      <c r="BJ524" s="644"/>
      <c r="BK524" s="646">
        <f t="shared" si="163"/>
        <v>0</v>
      </c>
      <c r="BL524" s="651"/>
      <c r="BM524" s="652">
        <f t="shared" si="164"/>
        <v>1</v>
      </c>
      <c r="BN524" s="628"/>
      <c r="BO524" s="670"/>
      <c r="BP524" s="644"/>
      <c r="BQ524" s="644"/>
      <c r="BR524" s="644"/>
      <c r="BS524" s="644"/>
      <c r="BT524" s="644"/>
      <c r="BU524" s="644"/>
      <c r="BV524" s="644"/>
      <c r="BW524" s="644"/>
      <c r="BX524" s="644"/>
      <c r="BY524" s="644"/>
      <c r="BZ524" s="644"/>
      <c r="CA524" s="644"/>
      <c r="CB524" s="646">
        <f t="shared" si="165"/>
        <v>0</v>
      </c>
      <c r="CC524" s="646">
        <f t="shared" si="166"/>
        <v>0</v>
      </c>
      <c r="CD524" s="614"/>
    </row>
    <row r="525" spans="1:82" s="561" customFormat="1" ht="61.5" customHeight="1">
      <c r="A525" s="625" t="str">
        <f t="shared" si="148"/>
        <v>proyecto-Alerta: Seleccione la celda en la comumna B con el nombre del proyecto-Al-Al--</v>
      </c>
      <c r="B525" s="626" t="str">
        <f t="shared" si="149"/>
        <v>proyecto-Alerta: Seleccione la celda en la comumna B con el nombre del proyecto-Al-Al-</v>
      </c>
      <c r="C525" s="626" t="str">
        <f t="shared" si="150"/>
        <v>proyecto-Alerta: Seleccione la celda en la comumna B con el nombre del proyecto-</v>
      </c>
      <c r="D525" s="626" t="str">
        <f t="shared" si="151"/>
        <v>proyecto--Al-Al-</v>
      </c>
      <c r="E525" s="626" t="str">
        <f t="shared" si="152"/>
        <v>--</v>
      </c>
      <c r="F525" s="627"/>
      <c r="G525" s="628">
        <f t="shared" si="153"/>
        <v>0</v>
      </c>
      <c r="H525" s="629" t="b">
        <f t="shared" si="154"/>
        <v>1</v>
      </c>
      <c r="I525" s="630"/>
      <c r="J525" s="627"/>
      <c r="K525" s="631" t="str">
        <f>+IFERROR(VLOOKUP(J525,Listas!$A$108:$B$114,2,FALSE),"Alerta: Seleccione la celda en la comumna B con el nombre del proyecto")</f>
        <v>Alerta: Seleccione la celda en la comumna B con el nombre del proyecto</v>
      </c>
      <c r="L525" s="632"/>
      <c r="M525" s="633"/>
      <c r="N525" s="634" t="str">
        <f t="shared" si="155"/>
        <v xml:space="preserve">(Cód. ) </v>
      </c>
      <c r="O525" s="635"/>
      <c r="P525" s="636">
        <f>IFERROR(VLOOKUP(W525,'Estimación CRP'!$D$21:$E$30,2,FALSE),0)</f>
        <v>0</v>
      </c>
      <c r="Q525" s="637">
        <f>IF(O525="No aplica","No aplica",WORKDAY.INTL(O525,P525,1,'Estimación CRP'!A711:A727))</f>
        <v>0</v>
      </c>
      <c r="R525" s="636">
        <f t="shared" si="156"/>
        <v>1</v>
      </c>
      <c r="S525" s="636">
        <f t="shared" si="157"/>
        <v>1</v>
      </c>
      <c r="T525" s="636">
        <f t="shared" si="158"/>
        <v>1</v>
      </c>
      <c r="U525" s="638"/>
      <c r="V525" s="638"/>
      <c r="W525" s="639"/>
      <c r="X525" s="640" t="str">
        <f>IFERROR(VLOOKUP(W525,Listas!$A$60:$B$73,2,FALSE),"Alerta: Seleccione primero Modalidad de selección")</f>
        <v>Alerta: Seleccione primero Modalidad de selección</v>
      </c>
      <c r="Y525" s="641">
        <v>0</v>
      </c>
      <c r="Z525" s="641"/>
      <c r="AA525" s="641"/>
      <c r="AB525" s="642">
        <f t="shared" si="159"/>
        <v>0</v>
      </c>
      <c r="AC525" s="642">
        <f t="shared" si="160"/>
        <v>0</v>
      </c>
      <c r="AD525" s="641">
        <v>0</v>
      </c>
      <c r="AE525" s="643">
        <v>0</v>
      </c>
      <c r="AF525" s="639" t="s">
        <v>276</v>
      </c>
      <c r="AG525" s="639" t="s">
        <v>277</v>
      </c>
      <c r="AH525" s="639"/>
      <c r="AI525" s="626" t="str">
        <f>IFERROR(VLOOKUP(AH525,Listas!$A$77:$C$83,2,FALSE),"Alerta: Seleccione primero el responsable")</f>
        <v>Alerta: Seleccione primero el responsable</v>
      </c>
      <c r="AJ525" s="640" t="str">
        <f>IFERROR(VLOOKUP(AH525,Listas!$A$77:$C$83,3,FALSE),"Alerta: Seleccione primero el responsable")</f>
        <v>Alerta: Seleccione primero el responsable</v>
      </c>
      <c r="AK525" s="640" t="str">
        <f>IF(J525="Funcionamiento Gastos Generales","No aplica",IF(J525="Funcionamiento Servicios Personales indirectos","No aplica",IFERROR(VLOOKUP(J525,Listas!$A$127:$E$139,3,FALSE),"Alerta: Seleccione la celda en la comumna B con el nombre del proyecto")))</f>
        <v>Alerta: Seleccione la celda en la comumna B con el nombre del proyecto</v>
      </c>
      <c r="AL525" s="640" t="str">
        <f>IF(J525="Funcionamiento Gastos Generales","No aplica",IF(J525="Funcionamiento Servicios Personales","No aplica",IFERROR(VLOOKUP(J525,Listas!$A$220:$D$224,2,FALSE),"Alerta: Seleccione la celda en la comumna B con el nombre del proyecto")))</f>
        <v>Alerta: Seleccione la celda en la comumna B con el nombre del proyecto</v>
      </c>
      <c r="AM525" s="640" t="str">
        <f>IF(J525="Funcionamiento Gastos Generales","No aplica",IF(J525="Funcionamiento Servicios Personales","No aplica",IFERROR(VLOOKUP(J525,Listas!$A$220:$D$224,3,FALSE),"Alerta: Seleccione la celda en la comumna B con el nombre del proyecto")))</f>
        <v>Alerta: Seleccione la celda en la comumna B con el nombre del proyecto</v>
      </c>
      <c r="AN525" s="633"/>
      <c r="AO525" s="633"/>
      <c r="AP525" s="634" t="str">
        <f>IFERROR(VLOOKUP(J525,Listas!$A$182:$E$215,5,FALSE),"Alerta: Seleccione la celda en la comumna B con el nombre del proyecto")</f>
        <v>Alerta: Seleccione la celda en la comumna B con el nombre del proyecto</v>
      </c>
      <c r="AQ525" s="634" t="str">
        <f>IF(J525="Funcionamiento Gastos Generales","No aplica",IF(J525="Funcionamiento Servicios Personales","No aplica",IFERROR(VLOOKUP(J525,Listas!$A$220:$D$224,4,FALSE),"Alerta: Seleccione la celda en la comumna B con el nombre del proyecto")))</f>
        <v>Alerta: Seleccione la celda en la comumna B con el nombre del proyecto</v>
      </c>
      <c r="AR525" s="633"/>
      <c r="AS525" s="634" t="str">
        <f>IFERROR(VLOOKUP(AU525,Listas!$E$85:$L$105,7,FALSE),"Alerta: Seleccione la celda en la comumna AI con el concepto de gasto")</f>
        <v>Alerta: Seleccione la celda en la comumna AI con el concepto de gasto</v>
      </c>
      <c r="AT525" s="634" t="str">
        <f>IFERROR(VLOOKUP(AU525,Listas!$E$85:$L$105,8,FALSE),"Alerta: Seleccione la celda en la comumna AI con el concepto de gasto")</f>
        <v>Alerta: Seleccione la celda en la comumna AI con el concepto de gasto</v>
      </c>
      <c r="AU525" s="633"/>
      <c r="AV525" s="634" t="str">
        <f>IFERROR(VLOOKUP(AU525,Listas!$E$85:$F$105,2,FALSE),"Alerta: Seleccione el Concepto de Gasto primero")</f>
        <v>Alerta: Seleccione el Concepto de Gasto primero</v>
      </c>
      <c r="AW525" s="644"/>
      <c r="AX525" s="645"/>
      <c r="AY525" s="645"/>
      <c r="AZ525" s="645"/>
      <c r="BA525" s="646">
        <f t="shared" si="161"/>
        <v>0</v>
      </c>
      <c r="BB525" s="647"/>
      <c r="BC525" s="648"/>
      <c r="BD525" s="649"/>
      <c r="BE525" s="647"/>
      <c r="BF525" s="644"/>
      <c r="BG525" s="646">
        <f t="shared" si="162"/>
        <v>0</v>
      </c>
      <c r="BH525" s="650"/>
      <c r="BI525" s="647"/>
      <c r="BJ525" s="644"/>
      <c r="BK525" s="646">
        <f t="shared" si="163"/>
        <v>0</v>
      </c>
      <c r="BL525" s="651"/>
      <c r="BM525" s="652">
        <f t="shared" si="164"/>
        <v>1</v>
      </c>
      <c r="BN525" s="628"/>
      <c r="BO525" s="670"/>
      <c r="BP525" s="644"/>
      <c r="BQ525" s="644"/>
      <c r="BR525" s="644"/>
      <c r="BS525" s="644"/>
      <c r="BT525" s="644"/>
      <c r="BU525" s="644"/>
      <c r="BV525" s="644"/>
      <c r="BW525" s="644"/>
      <c r="BX525" s="644"/>
      <c r="BY525" s="644"/>
      <c r="BZ525" s="644"/>
      <c r="CA525" s="644"/>
      <c r="CB525" s="646">
        <f t="shared" si="165"/>
        <v>0</v>
      </c>
      <c r="CC525" s="646">
        <f t="shared" si="166"/>
        <v>0</v>
      </c>
      <c r="CD525" s="614"/>
    </row>
    <row r="526" spans="1:82" s="561" customFormat="1" ht="61.5" customHeight="1">
      <c r="A526" s="625" t="str">
        <f t="shared" si="148"/>
        <v>proyecto-Alerta: Seleccione la celda en la comumna B con el nombre del proyecto-Al-Al--</v>
      </c>
      <c r="B526" s="626" t="str">
        <f t="shared" si="149"/>
        <v>proyecto-Alerta: Seleccione la celda en la comumna B con el nombre del proyecto-Al-Al-</v>
      </c>
      <c r="C526" s="626" t="str">
        <f t="shared" si="150"/>
        <v>proyecto-Alerta: Seleccione la celda en la comumna B con el nombre del proyecto-</v>
      </c>
      <c r="D526" s="626" t="str">
        <f t="shared" si="151"/>
        <v>proyecto--Al-Al-</v>
      </c>
      <c r="E526" s="626" t="str">
        <f t="shared" si="152"/>
        <v>--</v>
      </c>
      <c r="F526" s="627"/>
      <c r="G526" s="628">
        <f t="shared" si="153"/>
        <v>0</v>
      </c>
      <c r="H526" s="629" t="b">
        <f t="shared" si="154"/>
        <v>1</v>
      </c>
      <c r="I526" s="630"/>
      <c r="J526" s="627"/>
      <c r="K526" s="631" t="str">
        <f>+IFERROR(VLOOKUP(J526,Listas!$A$108:$B$114,2,FALSE),"Alerta: Seleccione la celda en la comumna B con el nombre del proyecto")</f>
        <v>Alerta: Seleccione la celda en la comumna B con el nombre del proyecto</v>
      </c>
      <c r="L526" s="632"/>
      <c r="M526" s="633"/>
      <c r="N526" s="634" t="str">
        <f t="shared" si="155"/>
        <v xml:space="preserve">(Cód. ) </v>
      </c>
      <c r="O526" s="635"/>
      <c r="P526" s="636">
        <f>IFERROR(VLOOKUP(W526,'Estimación CRP'!$D$21:$E$30,2,FALSE),0)</f>
        <v>0</v>
      </c>
      <c r="Q526" s="637">
        <f>IF(O526="No aplica","No aplica",WORKDAY.INTL(O526,P526,1,'Estimación CRP'!A712:A728))</f>
        <v>0</v>
      </c>
      <c r="R526" s="636">
        <f t="shared" si="156"/>
        <v>1</v>
      </c>
      <c r="S526" s="636">
        <f t="shared" si="157"/>
        <v>1</v>
      </c>
      <c r="T526" s="636">
        <f t="shared" si="158"/>
        <v>1</v>
      </c>
      <c r="U526" s="638"/>
      <c r="V526" s="638"/>
      <c r="W526" s="639"/>
      <c r="X526" s="640" t="str">
        <f>IFERROR(VLOOKUP(W526,Listas!$A$60:$B$73,2,FALSE),"Alerta: Seleccione primero Modalidad de selección")</f>
        <v>Alerta: Seleccione primero Modalidad de selección</v>
      </c>
      <c r="Y526" s="641">
        <v>0</v>
      </c>
      <c r="Z526" s="641"/>
      <c r="AA526" s="641"/>
      <c r="AB526" s="642">
        <f t="shared" si="159"/>
        <v>0</v>
      </c>
      <c r="AC526" s="642">
        <f t="shared" si="160"/>
        <v>0</v>
      </c>
      <c r="AD526" s="641">
        <v>0</v>
      </c>
      <c r="AE526" s="643">
        <v>0</v>
      </c>
      <c r="AF526" s="639" t="s">
        <v>276</v>
      </c>
      <c r="AG526" s="639" t="s">
        <v>277</v>
      </c>
      <c r="AH526" s="639"/>
      <c r="AI526" s="626" t="str">
        <f>IFERROR(VLOOKUP(AH526,Listas!$A$77:$C$83,2,FALSE),"Alerta: Seleccione primero el responsable")</f>
        <v>Alerta: Seleccione primero el responsable</v>
      </c>
      <c r="AJ526" s="640" t="str">
        <f>IFERROR(VLOOKUP(AH526,Listas!$A$77:$C$83,3,FALSE),"Alerta: Seleccione primero el responsable")</f>
        <v>Alerta: Seleccione primero el responsable</v>
      </c>
      <c r="AK526" s="640" t="str">
        <f>IF(J526="Funcionamiento Gastos Generales","No aplica",IF(J526="Funcionamiento Servicios Personales indirectos","No aplica",IFERROR(VLOOKUP(J526,Listas!$A$127:$E$139,3,FALSE),"Alerta: Seleccione la celda en la comumna B con el nombre del proyecto")))</f>
        <v>Alerta: Seleccione la celda en la comumna B con el nombre del proyecto</v>
      </c>
      <c r="AL526" s="640" t="str">
        <f>IF(J526="Funcionamiento Gastos Generales","No aplica",IF(J526="Funcionamiento Servicios Personales","No aplica",IFERROR(VLOOKUP(J526,Listas!$A$220:$D$224,2,FALSE),"Alerta: Seleccione la celda en la comumna B con el nombre del proyecto")))</f>
        <v>Alerta: Seleccione la celda en la comumna B con el nombre del proyecto</v>
      </c>
      <c r="AM526" s="640" t="str">
        <f>IF(J526="Funcionamiento Gastos Generales","No aplica",IF(J526="Funcionamiento Servicios Personales","No aplica",IFERROR(VLOOKUP(J526,Listas!$A$220:$D$224,3,FALSE),"Alerta: Seleccione la celda en la comumna B con el nombre del proyecto")))</f>
        <v>Alerta: Seleccione la celda en la comumna B con el nombre del proyecto</v>
      </c>
      <c r="AN526" s="633"/>
      <c r="AO526" s="633"/>
      <c r="AP526" s="634" t="str">
        <f>IFERROR(VLOOKUP(J526,Listas!$A$182:$E$215,5,FALSE),"Alerta: Seleccione la celda en la comumna B con el nombre del proyecto")</f>
        <v>Alerta: Seleccione la celda en la comumna B con el nombre del proyecto</v>
      </c>
      <c r="AQ526" s="634" t="str">
        <f>IF(J526="Funcionamiento Gastos Generales","No aplica",IF(J526="Funcionamiento Servicios Personales","No aplica",IFERROR(VLOOKUP(J526,Listas!$A$220:$D$224,4,FALSE),"Alerta: Seleccione la celda en la comumna B con el nombre del proyecto")))</f>
        <v>Alerta: Seleccione la celda en la comumna B con el nombre del proyecto</v>
      </c>
      <c r="AR526" s="633"/>
      <c r="AS526" s="634" t="str">
        <f>IFERROR(VLOOKUP(AU526,Listas!$E$85:$L$105,7,FALSE),"Alerta: Seleccione la celda en la comumna AI con el concepto de gasto")</f>
        <v>Alerta: Seleccione la celda en la comumna AI con el concepto de gasto</v>
      </c>
      <c r="AT526" s="634" t="str">
        <f>IFERROR(VLOOKUP(AU526,Listas!$E$85:$L$105,8,FALSE),"Alerta: Seleccione la celda en la comumna AI con el concepto de gasto")</f>
        <v>Alerta: Seleccione la celda en la comumna AI con el concepto de gasto</v>
      </c>
      <c r="AU526" s="633"/>
      <c r="AV526" s="634" t="str">
        <f>IFERROR(VLOOKUP(AU526,Listas!$E$85:$F$105,2,FALSE),"Alerta: Seleccione el Concepto de Gasto primero")</f>
        <v>Alerta: Seleccione el Concepto de Gasto primero</v>
      </c>
      <c r="AW526" s="644"/>
      <c r="AX526" s="645"/>
      <c r="AY526" s="645"/>
      <c r="AZ526" s="645"/>
      <c r="BA526" s="646">
        <f t="shared" si="161"/>
        <v>0</v>
      </c>
      <c r="BB526" s="647"/>
      <c r="BC526" s="648"/>
      <c r="BD526" s="649"/>
      <c r="BE526" s="647"/>
      <c r="BF526" s="644"/>
      <c r="BG526" s="646">
        <f t="shared" si="162"/>
        <v>0</v>
      </c>
      <c r="BH526" s="650"/>
      <c r="BI526" s="647"/>
      <c r="BJ526" s="644"/>
      <c r="BK526" s="646">
        <f t="shared" si="163"/>
        <v>0</v>
      </c>
      <c r="BL526" s="651"/>
      <c r="BM526" s="652">
        <f t="shared" si="164"/>
        <v>1</v>
      </c>
      <c r="BN526" s="628"/>
      <c r="BO526" s="670"/>
      <c r="BP526" s="644"/>
      <c r="BQ526" s="644"/>
      <c r="BR526" s="644"/>
      <c r="BS526" s="644"/>
      <c r="BT526" s="644"/>
      <c r="BU526" s="644"/>
      <c r="BV526" s="644"/>
      <c r="BW526" s="644"/>
      <c r="BX526" s="644"/>
      <c r="BY526" s="644"/>
      <c r="BZ526" s="644"/>
      <c r="CA526" s="644"/>
      <c r="CB526" s="646">
        <f t="shared" si="165"/>
        <v>0</v>
      </c>
      <c r="CC526" s="646">
        <f t="shared" si="166"/>
        <v>0</v>
      </c>
      <c r="CD526" s="614"/>
    </row>
    <row r="527" spans="1:82" s="561" customFormat="1" ht="61.5" customHeight="1">
      <c r="A527" s="625" t="str">
        <f t="shared" si="148"/>
        <v>proyecto-Alerta: Seleccione la celda en la comumna B con el nombre del proyecto-Al-Al--</v>
      </c>
      <c r="B527" s="626" t="str">
        <f t="shared" si="149"/>
        <v>proyecto-Alerta: Seleccione la celda en la comumna B con el nombre del proyecto-Al-Al-</v>
      </c>
      <c r="C527" s="626" t="str">
        <f t="shared" si="150"/>
        <v>proyecto-Alerta: Seleccione la celda en la comumna B con el nombre del proyecto-</v>
      </c>
      <c r="D527" s="626" t="str">
        <f t="shared" si="151"/>
        <v>proyecto--Al-Al-</v>
      </c>
      <c r="E527" s="626" t="str">
        <f t="shared" si="152"/>
        <v>--</v>
      </c>
      <c r="F527" s="627"/>
      <c r="G527" s="628">
        <f t="shared" si="153"/>
        <v>0</v>
      </c>
      <c r="H527" s="629" t="b">
        <f t="shared" si="154"/>
        <v>1</v>
      </c>
      <c r="I527" s="630"/>
      <c r="J527" s="627"/>
      <c r="K527" s="631" t="str">
        <f>+IFERROR(VLOOKUP(J527,Listas!$A$108:$B$114,2,FALSE),"Alerta: Seleccione la celda en la comumna B con el nombre del proyecto")</f>
        <v>Alerta: Seleccione la celda en la comumna B con el nombre del proyecto</v>
      </c>
      <c r="L527" s="632"/>
      <c r="M527" s="633"/>
      <c r="N527" s="634" t="str">
        <f t="shared" si="155"/>
        <v xml:space="preserve">(Cód. ) </v>
      </c>
      <c r="O527" s="635"/>
      <c r="P527" s="636">
        <f>IFERROR(VLOOKUP(W527,'Estimación CRP'!$D$21:$E$30,2,FALSE),0)</f>
        <v>0</v>
      </c>
      <c r="Q527" s="637">
        <f>IF(O527="No aplica","No aplica",WORKDAY.INTL(O527,P527,1,'Estimación CRP'!A713:A729))</f>
        <v>0</v>
      </c>
      <c r="R527" s="636">
        <f t="shared" si="156"/>
        <v>1</v>
      </c>
      <c r="S527" s="636">
        <f t="shared" si="157"/>
        <v>1</v>
      </c>
      <c r="T527" s="636">
        <f t="shared" si="158"/>
        <v>1</v>
      </c>
      <c r="U527" s="638"/>
      <c r="V527" s="638"/>
      <c r="W527" s="639"/>
      <c r="X527" s="640" t="str">
        <f>IFERROR(VLOOKUP(W527,Listas!$A$60:$B$73,2,FALSE),"Alerta: Seleccione primero Modalidad de selección")</f>
        <v>Alerta: Seleccione primero Modalidad de selección</v>
      </c>
      <c r="Y527" s="641">
        <v>0</v>
      </c>
      <c r="Z527" s="641"/>
      <c r="AA527" s="641"/>
      <c r="AB527" s="642">
        <f t="shared" si="159"/>
        <v>0</v>
      </c>
      <c r="AC527" s="642">
        <f t="shared" si="160"/>
        <v>0</v>
      </c>
      <c r="AD527" s="641">
        <v>0</v>
      </c>
      <c r="AE527" s="643">
        <v>0</v>
      </c>
      <c r="AF527" s="639" t="s">
        <v>276</v>
      </c>
      <c r="AG527" s="639" t="s">
        <v>277</v>
      </c>
      <c r="AH527" s="639"/>
      <c r="AI527" s="626" t="str">
        <f>IFERROR(VLOOKUP(AH527,Listas!$A$77:$C$83,2,FALSE),"Alerta: Seleccione primero el responsable")</f>
        <v>Alerta: Seleccione primero el responsable</v>
      </c>
      <c r="AJ527" s="640" t="str">
        <f>IFERROR(VLOOKUP(AH527,Listas!$A$77:$C$83,3,FALSE),"Alerta: Seleccione primero el responsable")</f>
        <v>Alerta: Seleccione primero el responsable</v>
      </c>
      <c r="AK527" s="640" t="str">
        <f>IF(J527="Funcionamiento Gastos Generales","No aplica",IF(J527="Funcionamiento Servicios Personales indirectos","No aplica",IFERROR(VLOOKUP(J527,Listas!$A$127:$E$139,3,FALSE),"Alerta: Seleccione la celda en la comumna B con el nombre del proyecto")))</f>
        <v>Alerta: Seleccione la celda en la comumna B con el nombre del proyecto</v>
      </c>
      <c r="AL527" s="640" t="str">
        <f>IF(J527="Funcionamiento Gastos Generales","No aplica",IF(J527="Funcionamiento Servicios Personales","No aplica",IFERROR(VLOOKUP(J527,Listas!$A$220:$D$224,2,FALSE),"Alerta: Seleccione la celda en la comumna B con el nombre del proyecto")))</f>
        <v>Alerta: Seleccione la celda en la comumna B con el nombre del proyecto</v>
      </c>
      <c r="AM527" s="640" t="str">
        <f>IF(J527="Funcionamiento Gastos Generales","No aplica",IF(J527="Funcionamiento Servicios Personales","No aplica",IFERROR(VLOOKUP(J527,Listas!$A$220:$D$224,3,FALSE),"Alerta: Seleccione la celda en la comumna B con el nombre del proyecto")))</f>
        <v>Alerta: Seleccione la celda en la comumna B con el nombre del proyecto</v>
      </c>
      <c r="AN527" s="633"/>
      <c r="AO527" s="633"/>
      <c r="AP527" s="634" t="str">
        <f>IFERROR(VLOOKUP(J527,Listas!$A$182:$E$215,5,FALSE),"Alerta: Seleccione la celda en la comumna B con el nombre del proyecto")</f>
        <v>Alerta: Seleccione la celda en la comumna B con el nombre del proyecto</v>
      </c>
      <c r="AQ527" s="634" t="str">
        <f>IF(J527="Funcionamiento Gastos Generales","No aplica",IF(J527="Funcionamiento Servicios Personales","No aplica",IFERROR(VLOOKUP(J527,Listas!$A$220:$D$224,4,FALSE),"Alerta: Seleccione la celda en la comumna B con el nombre del proyecto")))</f>
        <v>Alerta: Seleccione la celda en la comumna B con el nombre del proyecto</v>
      </c>
      <c r="AR527" s="633"/>
      <c r="AS527" s="634" t="str">
        <f>IFERROR(VLOOKUP(AU527,Listas!$E$85:$L$105,7,FALSE),"Alerta: Seleccione la celda en la comumna AI con el concepto de gasto")</f>
        <v>Alerta: Seleccione la celda en la comumna AI con el concepto de gasto</v>
      </c>
      <c r="AT527" s="634" t="str">
        <f>IFERROR(VLOOKUP(AU527,Listas!$E$85:$L$105,8,FALSE),"Alerta: Seleccione la celda en la comumna AI con el concepto de gasto")</f>
        <v>Alerta: Seleccione la celda en la comumna AI con el concepto de gasto</v>
      </c>
      <c r="AU527" s="633"/>
      <c r="AV527" s="634" t="str">
        <f>IFERROR(VLOOKUP(AU527,Listas!$E$85:$F$105,2,FALSE),"Alerta: Seleccione el Concepto de Gasto primero")</f>
        <v>Alerta: Seleccione el Concepto de Gasto primero</v>
      </c>
      <c r="AW527" s="644"/>
      <c r="AX527" s="645"/>
      <c r="AY527" s="645"/>
      <c r="AZ527" s="645"/>
      <c r="BA527" s="646">
        <f t="shared" si="161"/>
        <v>0</v>
      </c>
      <c r="BB527" s="647"/>
      <c r="BC527" s="648"/>
      <c r="BD527" s="649"/>
      <c r="BE527" s="647"/>
      <c r="BF527" s="644"/>
      <c r="BG527" s="646">
        <f t="shared" si="162"/>
        <v>0</v>
      </c>
      <c r="BH527" s="650"/>
      <c r="BI527" s="647"/>
      <c r="BJ527" s="644"/>
      <c r="BK527" s="646">
        <f t="shared" si="163"/>
        <v>0</v>
      </c>
      <c r="BL527" s="651"/>
      <c r="BM527" s="652">
        <f t="shared" si="164"/>
        <v>1</v>
      </c>
      <c r="BN527" s="628"/>
      <c r="BO527" s="670"/>
      <c r="BP527" s="644"/>
      <c r="BQ527" s="644"/>
      <c r="BR527" s="644"/>
      <c r="BS527" s="644"/>
      <c r="BT527" s="644"/>
      <c r="BU527" s="644"/>
      <c r="BV527" s="644"/>
      <c r="BW527" s="644"/>
      <c r="BX527" s="644"/>
      <c r="BY527" s="644"/>
      <c r="BZ527" s="644"/>
      <c r="CA527" s="644"/>
      <c r="CB527" s="646">
        <f t="shared" si="165"/>
        <v>0</v>
      </c>
      <c r="CC527" s="646">
        <f t="shared" si="166"/>
        <v>0</v>
      </c>
      <c r="CD527" s="614"/>
    </row>
    <row r="528" spans="1:82" s="561" customFormat="1" ht="61.5" customHeight="1">
      <c r="A528" s="625" t="str">
        <f t="shared" si="148"/>
        <v>proyecto-Alerta: Seleccione la celda en la comumna B con el nombre del proyecto-Al-Al--</v>
      </c>
      <c r="B528" s="626" t="str">
        <f t="shared" si="149"/>
        <v>proyecto-Alerta: Seleccione la celda en la comumna B con el nombre del proyecto-Al-Al-</v>
      </c>
      <c r="C528" s="626" t="str">
        <f t="shared" si="150"/>
        <v>proyecto-Alerta: Seleccione la celda en la comumna B con el nombre del proyecto-</v>
      </c>
      <c r="D528" s="626" t="str">
        <f t="shared" si="151"/>
        <v>proyecto--Al-Al-</v>
      </c>
      <c r="E528" s="626" t="str">
        <f t="shared" si="152"/>
        <v>--</v>
      </c>
      <c r="F528" s="627"/>
      <c r="G528" s="628">
        <f t="shared" si="153"/>
        <v>0</v>
      </c>
      <c r="H528" s="629" t="b">
        <f t="shared" si="154"/>
        <v>1</v>
      </c>
      <c r="I528" s="630"/>
      <c r="J528" s="627"/>
      <c r="K528" s="631" t="str">
        <f>+IFERROR(VLOOKUP(J528,Listas!$A$108:$B$114,2,FALSE),"Alerta: Seleccione la celda en la comumna B con el nombre del proyecto")</f>
        <v>Alerta: Seleccione la celda en la comumna B con el nombre del proyecto</v>
      </c>
      <c r="L528" s="632"/>
      <c r="M528" s="633"/>
      <c r="N528" s="634" t="str">
        <f t="shared" si="155"/>
        <v xml:space="preserve">(Cód. ) </v>
      </c>
      <c r="O528" s="635"/>
      <c r="P528" s="636">
        <f>IFERROR(VLOOKUP(W528,'Estimación CRP'!$D$21:$E$30,2,FALSE),0)</f>
        <v>0</v>
      </c>
      <c r="Q528" s="637">
        <f>IF(O528="No aplica","No aplica",WORKDAY.INTL(O528,P528,1,'Estimación CRP'!A714:A730))</f>
        <v>0</v>
      </c>
      <c r="R528" s="636">
        <f t="shared" si="156"/>
        <v>1</v>
      </c>
      <c r="S528" s="636">
        <f t="shared" si="157"/>
        <v>1</v>
      </c>
      <c r="T528" s="636">
        <f t="shared" si="158"/>
        <v>1</v>
      </c>
      <c r="U528" s="638"/>
      <c r="V528" s="638"/>
      <c r="W528" s="639"/>
      <c r="X528" s="640" t="str">
        <f>IFERROR(VLOOKUP(W528,Listas!$A$60:$B$73,2,FALSE),"Alerta: Seleccione primero Modalidad de selección")</f>
        <v>Alerta: Seleccione primero Modalidad de selección</v>
      </c>
      <c r="Y528" s="641">
        <v>0</v>
      </c>
      <c r="Z528" s="641"/>
      <c r="AA528" s="641"/>
      <c r="AB528" s="642">
        <f t="shared" si="159"/>
        <v>0</v>
      </c>
      <c r="AC528" s="642">
        <f t="shared" si="160"/>
        <v>0</v>
      </c>
      <c r="AD528" s="641">
        <v>0</v>
      </c>
      <c r="AE528" s="643">
        <v>0</v>
      </c>
      <c r="AF528" s="639" t="s">
        <v>276</v>
      </c>
      <c r="AG528" s="639" t="s">
        <v>277</v>
      </c>
      <c r="AH528" s="639"/>
      <c r="AI528" s="626" t="str">
        <f>IFERROR(VLOOKUP(AH528,Listas!$A$77:$C$83,2,FALSE),"Alerta: Seleccione primero el responsable")</f>
        <v>Alerta: Seleccione primero el responsable</v>
      </c>
      <c r="AJ528" s="640" t="str">
        <f>IFERROR(VLOOKUP(AH528,Listas!$A$77:$C$83,3,FALSE),"Alerta: Seleccione primero el responsable")</f>
        <v>Alerta: Seleccione primero el responsable</v>
      </c>
      <c r="AK528" s="640" t="str">
        <f>IF(J528="Funcionamiento Gastos Generales","No aplica",IF(J528="Funcionamiento Servicios Personales indirectos","No aplica",IFERROR(VLOOKUP(J528,Listas!$A$127:$E$139,3,FALSE),"Alerta: Seleccione la celda en la comumna B con el nombre del proyecto")))</f>
        <v>Alerta: Seleccione la celda en la comumna B con el nombre del proyecto</v>
      </c>
      <c r="AL528" s="640" t="str">
        <f>IF(J528="Funcionamiento Gastos Generales","No aplica",IF(J528="Funcionamiento Servicios Personales","No aplica",IFERROR(VLOOKUP(J528,Listas!$A$220:$D$224,2,FALSE),"Alerta: Seleccione la celda en la comumna B con el nombre del proyecto")))</f>
        <v>Alerta: Seleccione la celda en la comumna B con el nombre del proyecto</v>
      </c>
      <c r="AM528" s="640" t="str">
        <f>IF(J528="Funcionamiento Gastos Generales","No aplica",IF(J528="Funcionamiento Servicios Personales","No aplica",IFERROR(VLOOKUP(J528,Listas!$A$220:$D$224,3,FALSE),"Alerta: Seleccione la celda en la comumna B con el nombre del proyecto")))</f>
        <v>Alerta: Seleccione la celda en la comumna B con el nombre del proyecto</v>
      </c>
      <c r="AN528" s="633"/>
      <c r="AO528" s="633"/>
      <c r="AP528" s="634" t="str">
        <f>IFERROR(VLOOKUP(J528,Listas!$A$182:$E$215,5,FALSE),"Alerta: Seleccione la celda en la comumna B con el nombre del proyecto")</f>
        <v>Alerta: Seleccione la celda en la comumna B con el nombre del proyecto</v>
      </c>
      <c r="AQ528" s="634" t="str">
        <f>IF(J528="Funcionamiento Gastos Generales","No aplica",IF(J528="Funcionamiento Servicios Personales","No aplica",IFERROR(VLOOKUP(J528,Listas!$A$220:$D$224,4,FALSE),"Alerta: Seleccione la celda en la comumna B con el nombre del proyecto")))</f>
        <v>Alerta: Seleccione la celda en la comumna B con el nombre del proyecto</v>
      </c>
      <c r="AR528" s="633"/>
      <c r="AS528" s="634" t="str">
        <f>IFERROR(VLOOKUP(AU528,Listas!$E$85:$L$105,7,FALSE),"Alerta: Seleccione la celda en la comumna AI con el concepto de gasto")</f>
        <v>Alerta: Seleccione la celda en la comumna AI con el concepto de gasto</v>
      </c>
      <c r="AT528" s="634" t="str">
        <f>IFERROR(VLOOKUP(AU528,Listas!$E$85:$L$105,8,FALSE),"Alerta: Seleccione la celda en la comumna AI con el concepto de gasto")</f>
        <v>Alerta: Seleccione la celda en la comumna AI con el concepto de gasto</v>
      </c>
      <c r="AU528" s="633"/>
      <c r="AV528" s="634" t="str">
        <f>IFERROR(VLOOKUP(AU528,Listas!$E$85:$F$105,2,FALSE),"Alerta: Seleccione el Concepto de Gasto primero")</f>
        <v>Alerta: Seleccione el Concepto de Gasto primero</v>
      </c>
      <c r="AW528" s="644"/>
      <c r="AX528" s="645"/>
      <c r="AY528" s="645"/>
      <c r="AZ528" s="645"/>
      <c r="BA528" s="646">
        <f t="shared" si="161"/>
        <v>0</v>
      </c>
      <c r="BB528" s="647"/>
      <c r="BC528" s="648"/>
      <c r="BD528" s="649"/>
      <c r="BE528" s="647"/>
      <c r="BF528" s="644"/>
      <c r="BG528" s="646">
        <f t="shared" si="162"/>
        <v>0</v>
      </c>
      <c r="BH528" s="650"/>
      <c r="BI528" s="647"/>
      <c r="BJ528" s="644"/>
      <c r="BK528" s="646">
        <f t="shared" si="163"/>
        <v>0</v>
      </c>
      <c r="BL528" s="651"/>
      <c r="BM528" s="652">
        <f t="shared" si="164"/>
        <v>1</v>
      </c>
      <c r="BN528" s="628"/>
      <c r="BO528" s="670"/>
      <c r="BP528" s="644"/>
      <c r="BQ528" s="644"/>
      <c r="BR528" s="644"/>
      <c r="BS528" s="644"/>
      <c r="BT528" s="644"/>
      <c r="BU528" s="644"/>
      <c r="BV528" s="644"/>
      <c r="BW528" s="644"/>
      <c r="BX528" s="644"/>
      <c r="BY528" s="644"/>
      <c r="BZ528" s="644"/>
      <c r="CA528" s="644"/>
      <c r="CB528" s="646">
        <f t="shared" si="165"/>
        <v>0</v>
      </c>
      <c r="CC528" s="646">
        <f t="shared" si="166"/>
        <v>0</v>
      </c>
      <c r="CD528" s="614"/>
    </row>
    <row r="529" spans="1:82" s="561" customFormat="1" ht="61.5" customHeight="1">
      <c r="A529" s="625" t="str">
        <f t="shared" si="148"/>
        <v>proyecto-Alerta: Seleccione la celda en la comumna B con el nombre del proyecto-Al-Al--</v>
      </c>
      <c r="B529" s="626" t="str">
        <f t="shared" si="149"/>
        <v>proyecto-Alerta: Seleccione la celda en la comumna B con el nombre del proyecto-Al-Al-</v>
      </c>
      <c r="C529" s="626" t="str">
        <f t="shared" si="150"/>
        <v>proyecto-Alerta: Seleccione la celda en la comumna B con el nombre del proyecto-</v>
      </c>
      <c r="D529" s="626" t="str">
        <f t="shared" si="151"/>
        <v>proyecto--Al-Al-</v>
      </c>
      <c r="E529" s="626" t="str">
        <f t="shared" si="152"/>
        <v>--</v>
      </c>
      <c r="F529" s="627"/>
      <c r="G529" s="628">
        <f t="shared" si="153"/>
        <v>0</v>
      </c>
      <c r="H529" s="629" t="b">
        <f t="shared" si="154"/>
        <v>1</v>
      </c>
      <c r="I529" s="630"/>
      <c r="J529" s="627"/>
      <c r="K529" s="631" t="str">
        <f>+IFERROR(VLOOKUP(J529,Listas!$A$108:$B$114,2,FALSE),"Alerta: Seleccione la celda en la comumna B con el nombre del proyecto")</f>
        <v>Alerta: Seleccione la celda en la comumna B con el nombre del proyecto</v>
      </c>
      <c r="L529" s="632"/>
      <c r="M529" s="633"/>
      <c r="N529" s="634" t="str">
        <f t="shared" si="155"/>
        <v xml:space="preserve">(Cód. ) </v>
      </c>
      <c r="O529" s="635"/>
      <c r="P529" s="636">
        <f>IFERROR(VLOOKUP(W529,'Estimación CRP'!$D$21:$E$30,2,FALSE),0)</f>
        <v>0</v>
      </c>
      <c r="Q529" s="637">
        <f>IF(O529="No aplica","No aplica",WORKDAY.INTL(O529,P529,1,'Estimación CRP'!A715:A731))</f>
        <v>0</v>
      </c>
      <c r="R529" s="636">
        <f t="shared" si="156"/>
        <v>1</v>
      </c>
      <c r="S529" s="636">
        <f t="shared" si="157"/>
        <v>1</v>
      </c>
      <c r="T529" s="636">
        <f t="shared" si="158"/>
        <v>1</v>
      </c>
      <c r="U529" s="638"/>
      <c r="V529" s="638"/>
      <c r="W529" s="639"/>
      <c r="X529" s="640" t="str">
        <f>IFERROR(VLOOKUP(W529,Listas!$A$60:$B$73,2,FALSE),"Alerta: Seleccione primero Modalidad de selección")</f>
        <v>Alerta: Seleccione primero Modalidad de selección</v>
      </c>
      <c r="Y529" s="641">
        <v>0</v>
      </c>
      <c r="Z529" s="641"/>
      <c r="AA529" s="641"/>
      <c r="AB529" s="642">
        <f t="shared" si="159"/>
        <v>0</v>
      </c>
      <c r="AC529" s="642">
        <f t="shared" si="160"/>
        <v>0</v>
      </c>
      <c r="AD529" s="641">
        <v>0</v>
      </c>
      <c r="AE529" s="643">
        <v>0</v>
      </c>
      <c r="AF529" s="639" t="s">
        <v>276</v>
      </c>
      <c r="AG529" s="639" t="s">
        <v>277</v>
      </c>
      <c r="AH529" s="639"/>
      <c r="AI529" s="626" t="str">
        <f>IFERROR(VLOOKUP(AH529,Listas!$A$77:$C$83,2,FALSE),"Alerta: Seleccione primero el responsable")</f>
        <v>Alerta: Seleccione primero el responsable</v>
      </c>
      <c r="AJ529" s="640" t="str">
        <f>IFERROR(VLOOKUP(AH529,Listas!$A$77:$C$83,3,FALSE),"Alerta: Seleccione primero el responsable")</f>
        <v>Alerta: Seleccione primero el responsable</v>
      </c>
      <c r="AK529" s="640" t="str">
        <f>IF(J529="Funcionamiento Gastos Generales","No aplica",IF(J529="Funcionamiento Servicios Personales indirectos","No aplica",IFERROR(VLOOKUP(J529,Listas!$A$127:$E$139,3,FALSE),"Alerta: Seleccione la celda en la comumna B con el nombre del proyecto")))</f>
        <v>Alerta: Seleccione la celda en la comumna B con el nombre del proyecto</v>
      </c>
      <c r="AL529" s="640" t="str">
        <f>IF(J529="Funcionamiento Gastos Generales","No aplica",IF(J529="Funcionamiento Servicios Personales","No aplica",IFERROR(VLOOKUP(J529,Listas!$A$220:$D$224,2,FALSE),"Alerta: Seleccione la celda en la comumna B con el nombre del proyecto")))</f>
        <v>Alerta: Seleccione la celda en la comumna B con el nombre del proyecto</v>
      </c>
      <c r="AM529" s="640" t="str">
        <f>IF(J529="Funcionamiento Gastos Generales","No aplica",IF(J529="Funcionamiento Servicios Personales","No aplica",IFERROR(VLOOKUP(J529,Listas!$A$220:$D$224,3,FALSE),"Alerta: Seleccione la celda en la comumna B con el nombre del proyecto")))</f>
        <v>Alerta: Seleccione la celda en la comumna B con el nombre del proyecto</v>
      </c>
      <c r="AN529" s="633"/>
      <c r="AO529" s="633"/>
      <c r="AP529" s="634" t="str">
        <f>IFERROR(VLOOKUP(J529,Listas!$A$182:$E$215,5,FALSE),"Alerta: Seleccione la celda en la comumna B con el nombre del proyecto")</f>
        <v>Alerta: Seleccione la celda en la comumna B con el nombre del proyecto</v>
      </c>
      <c r="AQ529" s="634" t="str">
        <f>IF(J529="Funcionamiento Gastos Generales","No aplica",IF(J529="Funcionamiento Servicios Personales","No aplica",IFERROR(VLOOKUP(J529,Listas!$A$220:$D$224,4,FALSE),"Alerta: Seleccione la celda en la comumna B con el nombre del proyecto")))</f>
        <v>Alerta: Seleccione la celda en la comumna B con el nombre del proyecto</v>
      </c>
      <c r="AR529" s="633"/>
      <c r="AS529" s="634" t="str">
        <f>IFERROR(VLOOKUP(AU529,Listas!$E$85:$L$105,7,FALSE),"Alerta: Seleccione la celda en la comumna AI con el concepto de gasto")</f>
        <v>Alerta: Seleccione la celda en la comumna AI con el concepto de gasto</v>
      </c>
      <c r="AT529" s="634" t="str">
        <f>IFERROR(VLOOKUP(AU529,Listas!$E$85:$L$105,8,FALSE),"Alerta: Seleccione la celda en la comumna AI con el concepto de gasto")</f>
        <v>Alerta: Seleccione la celda en la comumna AI con el concepto de gasto</v>
      </c>
      <c r="AU529" s="633"/>
      <c r="AV529" s="634" t="str">
        <f>IFERROR(VLOOKUP(AU529,Listas!$E$85:$F$105,2,FALSE),"Alerta: Seleccione el Concepto de Gasto primero")</f>
        <v>Alerta: Seleccione el Concepto de Gasto primero</v>
      </c>
      <c r="AW529" s="644"/>
      <c r="AX529" s="645"/>
      <c r="AY529" s="645"/>
      <c r="AZ529" s="645"/>
      <c r="BA529" s="646">
        <f t="shared" si="161"/>
        <v>0</v>
      </c>
      <c r="BB529" s="647"/>
      <c r="BC529" s="648"/>
      <c r="BD529" s="649"/>
      <c r="BE529" s="647"/>
      <c r="BF529" s="644"/>
      <c r="BG529" s="646">
        <f t="shared" si="162"/>
        <v>0</v>
      </c>
      <c r="BH529" s="650"/>
      <c r="BI529" s="647"/>
      <c r="BJ529" s="644"/>
      <c r="BK529" s="646">
        <f t="shared" si="163"/>
        <v>0</v>
      </c>
      <c r="BL529" s="651"/>
      <c r="BM529" s="652">
        <f t="shared" si="164"/>
        <v>1</v>
      </c>
      <c r="BN529" s="628"/>
      <c r="BO529" s="670"/>
      <c r="BP529" s="644"/>
      <c r="BQ529" s="644"/>
      <c r="BR529" s="644"/>
      <c r="BS529" s="644"/>
      <c r="BT529" s="644"/>
      <c r="BU529" s="644"/>
      <c r="BV529" s="644"/>
      <c r="BW529" s="644"/>
      <c r="BX529" s="644"/>
      <c r="BY529" s="644"/>
      <c r="BZ529" s="644"/>
      <c r="CA529" s="644"/>
      <c r="CB529" s="646">
        <f t="shared" si="165"/>
        <v>0</v>
      </c>
      <c r="CC529" s="646">
        <f t="shared" si="166"/>
        <v>0</v>
      </c>
      <c r="CD529" s="614"/>
    </row>
    <row r="530" spans="1:82" s="561" customFormat="1" ht="61.5" customHeight="1">
      <c r="A530" s="625" t="str">
        <f t="shared" si="148"/>
        <v>proyecto-Alerta: Seleccione la celda en la comumna B con el nombre del proyecto-Al-Al--</v>
      </c>
      <c r="B530" s="626" t="str">
        <f t="shared" si="149"/>
        <v>proyecto-Alerta: Seleccione la celda en la comumna B con el nombre del proyecto-Al-Al-</v>
      </c>
      <c r="C530" s="626" t="str">
        <f t="shared" si="150"/>
        <v>proyecto-Alerta: Seleccione la celda en la comumna B con el nombre del proyecto-</v>
      </c>
      <c r="D530" s="626" t="str">
        <f t="shared" si="151"/>
        <v>proyecto--Al-Al-</v>
      </c>
      <c r="E530" s="626" t="str">
        <f t="shared" si="152"/>
        <v>--</v>
      </c>
      <c r="F530" s="627"/>
      <c r="G530" s="628">
        <f t="shared" si="153"/>
        <v>0</v>
      </c>
      <c r="H530" s="629" t="b">
        <f t="shared" si="154"/>
        <v>1</v>
      </c>
      <c r="I530" s="630"/>
      <c r="J530" s="627"/>
      <c r="K530" s="631" t="str">
        <f>+IFERROR(VLOOKUP(J530,Listas!$A$108:$B$114,2,FALSE),"Alerta: Seleccione la celda en la comumna B con el nombre del proyecto")</f>
        <v>Alerta: Seleccione la celda en la comumna B con el nombre del proyecto</v>
      </c>
      <c r="L530" s="632"/>
      <c r="M530" s="633"/>
      <c r="N530" s="634" t="str">
        <f t="shared" si="155"/>
        <v xml:space="preserve">(Cód. ) </v>
      </c>
      <c r="O530" s="635"/>
      <c r="P530" s="636">
        <f>IFERROR(VLOOKUP(W530,'Estimación CRP'!$D$21:$E$30,2,FALSE),0)</f>
        <v>0</v>
      </c>
      <c r="Q530" s="637">
        <f>IF(O530="No aplica","No aplica",WORKDAY.INTL(O530,P530,1,'Estimación CRP'!A716:A732))</f>
        <v>0</v>
      </c>
      <c r="R530" s="636">
        <f t="shared" si="156"/>
        <v>1</v>
      </c>
      <c r="S530" s="636">
        <f t="shared" si="157"/>
        <v>1</v>
      </c>
      <c r="T530" s="636">
        <f t="shared" si="158"/>
        <v>1</v>
      </c>
      <c r="U530" s="638"/>
      <c r="V530" s="638"/>
      <c r="W530" s="639"/>
      <c r="X530" s="640" t="str">
        <f>IFERROR(VLOOKUP(W530,Listas!$A$60:$B$73,2,FALSE),"Alerta: Seleccione primero Modalidad de selección")</f>
        <v>Alerta: Seleccione primero Modalidad de selección</v>
      </c>
      <c r="Y530" s="641">
        <v>0</v>
      </c>
      <c r="Z530" s="641"/>
      <c r="AA530" s="641"/>
      <c r="AB530" s="642">
        <f t="shared" si="159"/>
        <v>0</v>
      </c>
      <c r="AC530" s="642">
        <f t="shared" si="160"/>
        <v>0</v>
      </c>
      <c r="AD530" s="641">
        <v>0</v>
      </c>
      <c r="AE530" s="643">
        <v>0</v>
      </c>
      <c r="AF530" s="639" t="s">
        <v>276</v>
      </c>
      <c r="AG530" s="639" t="s">
        <v>277</v>
      </c>
      <c r="AH530" s="639"/>
      <c r="AI530" s="626" t="str">
        <f>IFERROR(VLOOKUP(AH530,Listas!$A$77:$C$83,2,FALSE),"Alerta: Seleccione primero el responsable")</f>
        <v>Alerta: Seleccione primero el responsable</v>
      </c>
      <c r="AJ530" s="640" t="str">
        <f>IFERROR(VLOOKUP(AH530,Listas!$A$77:$C$83,3,FALSE),"Alerta: Seleccione primero el responsable")</f>
        <v>Alerta: Seleccione primero el responsable</v>
      </c>
      <c r="AK530" s="640" t="str">
        <f>IF(J530="Funcionamiento Gastos Generales","No aplica",IF(J530="Funcionamiento Servicios Personales indirectos","No aplica",IFERROR(VLOOKUP(J530,Listas!$A$127:$E$139,3,FALSE),"Alerta: Seleccione la celda en la comumna B con el nombre del proyecto")))</f>
        <v>Alerta: Seleccione la celda en la comumna B con el nombre del proyecto</v>
      </c>
      <c r="AL530" s="640" t="str">
        <f>IF(J530="Funcionamiento Gastos Generales","No aplica",IF(J530="Funcionamiento Servicios Personales","No aplica",IFERROR(VLOOKUP(J530,Listas!$A$220:$D$224,2,FALSE),"Alerta: Seleccione la celda en la comumna B con el nombre del proyecto")))</f>
        <v>Alerta: Seleccione la celda en la comumna B con el nombre del proyecto</v>
      </c>
      <c r="AM530" s="640" t="str">
        <f>IF(J530="Funcionamiento Gastos Generales","No aplica",IF(J530="Funcionamiento Servicios Personales","No aplica",IFERROR(VLOOKUP(J530,Listas!$A$220:$D$224,3,FALSE),"Alerta: Seleccione la celda en la comumna B con el nombre del proyecto")))</f>
        <v>Alerta: Seleccione la celda en la comumna B con el nombre del proyecto</v>
      </c>
      <c r="AN530" s="633"/>
      <c r="AO530" s="633"/>
      <c r="AP530" s="634" t="str">
        <f>IFERROR(VLOOKUP(J530,Listas!$A$182:$E$215,5,FALSE),"Alerta: Seleccione la celda en la comumna B con el nombre del proyecto")</f>
        <v>Alerta: Seleccione la celda en la comumna B con el nombre del proyecto</v>
      </c>
      <c r="AQ530" s="634" t="str">
        <f>IF(J530="Funcionamiento Gastos Generales","No aplica",IF(J530="Funcionamiento Servicios Personales","No aplica",IFERROR(VLOOKUP(J530,Listas!$A$220:$D$224,4,FALSE),"Alerta: Seleccione la celda en la comumna B con el nombre del proyecto")))</f>
        <v>Alerta: Seleccione la celda en la comumna B con el nombre del proyecto</v>
      </c>
      <c r="AR530" s="633"/>
      <c r="AS530" s="634" t="str">
        <f>IFERROR(VLOOKUP(AU530,Listas!$E$85:$L$105,7,FALSE),"Alerta: Seleccione la celda en la comumna AI con el concepto de gasto")</f>
        <v>Alerta: Seleccione la celda en la comumna AI con el concepto de gasto</v>
      </c>
      <c r="AT530" s="634" t="str">
        <f>IFERROR(VLOOKUP(AU530,Listas!$E$85:$L$105,8,FALSE),"Alerta: Seleccione la celda en la comumna AI con el concepto de gasto")</f>
        <v>Alerta: Seleccione la celda en la comumna AI con el concepto de gasto</v>
      </c>
      <c r="AU530" s="633"/>
      <c r="AV530" s="634" t="str">
        <f>IFERROR(VLOOKUP(AU530,Listas!$E$85:$F$105,2,FALSE),"Alerta: Seleccione el Concepto de Gasto primero")</f>
        <v>Alerta: Seleccione el Concepto de Gasto primero</v>
      </c>
      <c r="AW530" s="644"/>
      <c r="AX530" s="645"/>
      <c r="AY530" s="645"/>
      <c r="AZ530" s="645"/>
      <c r="BA530" s="646">
        <f t="shared" si="161"/>
        <v>0</v>
      </c>
      <c r="BB530" s="647"/>
      <c r="BC530" s="648"/>
      <c r="BD530" s="649"/>
      <c r="BE530" s="647"/>
      <c r="BF530" s="644"/>
      <c r="BG530" s="646">
        <f t="shared" si="162"/>
        <v>0</v>
      </c>
      <c r="BH530" s="650"/>
      <c r="BI530" s="647"/>
      <c r="BJ530" s="644"/>
      <c r="BK530" s="646">
        <f t="shared" si="163"/>
        <v>0</v>
      </c>
      <c r="BL530" s="651"/>
      <c r="BM530" s="652">
        <f t="shared" si="164"/>
        <v>1</v>
      </c>
      <c r="BN530" s="628"/>
      <c r="BO530" s="670"/>
      <c r="BP530" s="644"/>
      <c r="BQ530" s="644"/>
      <c r="BR530" s="644"/>
      <c r="BS530" s="644"/>
      <c r="BT530" s="644"/>
      <c r="BU530" s="644"/>
      <c r="BV530" s="644"/>
      <c r="BW530" s="644"/>
      <c r="BX530" s="644"/>
      <c r="BY530" s="644"/>
      <c r="BZ530" s="644"/>
      <c r="CA530" s="644"/>
      <c r="CB530" s="646">
        <f t="shared" si="165"/>
        <v>0</v>
      </c>
      <c r="CC530" s="646">
        <f t="shared" si="166"/>
        <v>0</v>
      </c>
      <c r="CD530" s="614"/>
    </row>
    <row r="531" spans="1:82" s="561" customFormat="1" ht="61.5" customHeight="1">
      <c r="A531" s="625" t="str">
        <f t="shared" si="148"/>
        <v>proyecto-Alerta: Seleccione la celda en la comumna B con el nombre del proyecto-Al-Al--</v>
      </c>
      <c r="B531" s="626" t="str">
        <f t="shared" si="149"/>
        <v>proyecto-Alerta: Seleccione la celda en la comumna B con el nombre del proyecto-Al-Al-</v>
      </c>
      <c r="C531" s="626" t="str">
        <f t="shared" si="150"/>
        <v>proyecto-Alerta: Seleccione la celda en la comumna B con el nombre del proyecto-</v>
      </c>
      <c r="D531" s="626" t="str">
        <f t="shared" si="151"/>
        <v>proyecto--Al-Al-</v>
      </c>
      <c r="E531" s="626" t="str">
        <f t="shared" si="152"/>
        <v>--</v>
      </c>
      <c r="F531" s="627"/>
      <c r="G531" s="628">
        <f t="shared" si="153"/>
        <v>0</v>
      </c>
      <c r="H531" s="629" t="b">
        <f t="shared" si="154"/>
        <v>1</v>
      </c>
      <c r="I531" s="630"/>
      <c r="J531" s="627"/>
      <c r="K531" s="631" t="str">
        <f>+IFERROR(VLOOKUP(J531,Listas!$A$108:$B$114,2,FALSE),"Alerta: Seleccione la celda en la comumna B con el nombre del proyecto")</f>
        <v>Alerta: Seleccione la celda en la comumna B con el nombre del proyecto</v>
      </c>
      <c r="L531" s="632"/>
      <c r="M531" s="633"/>
      <c r="N531" s="634" t="str">
        <f t="shared" si="155"/>
        <v xml:space="preserve">(Cód. ) </v>
      </c>
      <c r="O531" s="635"/>
      <c r="P531" s="636">
        <f>IFERROR(VLOOKUP(W531,'Estimación CRP'!$D$21:$E$30,2,FALSE),0)</f>
        <v>0</v>
      </c>
      <c r="Q531" s="637">
        <f>IF(O531="No aplica","No aplica",WORKDAY.INTL(O531,P531,1,'Estimación CRP'!A717:A733))</f>
        <v>0</v>
      </c>
      <c r="R531" s="636">
        <f t="shared" si="156"/>
        <v>1</v>
      </c>
      <c r="S531" s="636">
        <f t="shared" si="157"/>
        <v>1</v>
      </c>
      <c r="T531" s="636">
        <f t="shared" si="158"/>
        <v>1</v>
      </c>
      <c r="U531" s="638"/>
      <c r="V531" s="638"/>
      <c r="W531" s="639"/>
      <c r="X531" s="640" t="str">
        <f>IFERROR(VLOOKUP(W531,Listas!$A$60:$B$73,2,FALSE),"Alerta: Seleccione primero Modalidad de selección")</f>
        <v>Alerta: Seleccione primero Modalidad de selección</v>
      </c>
      <c r="Y531" s="641">
        <v>0</v>
      </c>
      <c r="Z531" s="641"/>
      <c r="AA531" s="641"/>
      <c r="AB531" s="642">
        <f t="shared" si="159"/>
        <v>0</v>
      </c>
      <c r="AC531" s="642">
        <f t="shared" si="160"/>
        <v>0</v>
      </c>
      <c r="AD531" s="641">
        <v>0</v>
      </c>
      <c r="AE531" s="643">
        <v>0</v>
      </c>
      <c r="AF531" s="639" t="s">
        <v>276</v>
      </c>
      <c r="AG531" s="639" t="s">
        <v>277</v>
      </c>
      <c r="AH531" s="639"/>
      <c r="AI531" s="626" t="str">
        <f>IFERROR(VLOOKUP(AH531,Listas!$A$77:$C$83,2,FALSE),"Alerta: Seleccione primero el responsable")</f>
        <v>Alerta: Seleccione primero el responsable</v>
      </c>
      <c r="AJ531" s="640" t="str">
        <f>IFERROR(VLOOKUP(AH531,Listas!$A$77:$C$83,3,FALSE),"Alerta: Seleccione primero el responsable")</f>
        <v>Alerta: Seleccione primero el responsable</v>
      </c>
      <c r="AK531" s="640" t="str">
        <f>IF(J531="Funcionamiento Gastos Generales","No aplica",IF(J531="Funcionamiento Servicios Personales indirectos","No aplica",IFERROR(VLOOKUP(J531,Listas!$A$127:$E$139,3,FALSE),"Alerta: Seleccione la celda en la comumna B con el nombre del proyecto")))</f>
        <v>Alerta: Seleccione la celda en la comumna B con el nombre del proyecto</v>
      </c>
      <c r="AL531" s="640" t="str">
        <f>IF(J531="Funcionamiento Gastos Generales","No aplica",IF(J531="Funcionamiento Servicios Personales","No aplica",IFERROR(VLOOKUP(J531,Listas!$A$220:$D$224,2,FALSE),"Alerta: Seleccione la celda en la comumna B con el nombre del proyecto")))</f>
        <v>Alerta: Seleccione la celda en la comumna B con el nombre del proyecto</v>
      </c>
      <c r="AM531" s="640" t="str">
        <f>IF(J531="Funcionamiento Gastos Generales","No aplica",IF(J531="Funcionamiento Servicios Personales","No aplica",IFERROR(VLOOKUP(J531,Listas!$A$220:$D$224,3,FALSE),"Alerta: Seleccione la celda en la comumna B con el nombre del proyecto")))</f>
        <v>Alerta: Seleccione la celda en la comumna B con el nombre del proyecto</v>
      </c>
      <c r="AN531" s="633"/>
      <c r="AO531" s="633"/>
      <c r="AP531" s="634" t="str">
        <f>IFERROR(VLOOKUP(J531,Listas!$A$182:$E$215,5,FALSE),"Alerta: Seleccione la celda en la comumna B con el nombre del proyecto")</f>
        <v>Alerta: Seleccione la celda en la comumna B con el nombre del proyecto</v>
      </c>
      <c r="AQ531" s="634" t="str">
        <f>IF(J531="Funcionamiento Gastos Generales","No aplica",IF(J531="Funcionamiento Servicios Personales","No aplica",IFERROR(VLOOKUP(J531,Listas!$A$220:$D$224,4,FALSE),"Alerta: Seleccione la celda en la comumna B con el nombre del proyecto")))</f>
        <v>Alerta: Seleccione la celda en la comumna B con el nombre del proyecto</v>
      </c>
      <c r="AR531" s="633"/>
      <c r="AS531" s="634" t="str">
        <f>IFERROR(VLOOKUP(AU531,Listas!$E$85:$L$105,7,FALSE),"Alerta: Seleccione la celda en la comumna AI con el concepto de gasto")</f>
        <v>Alerta: Seleccione la celda en la comumna AI con el concepto de gasto</v>
      </c>
      <c r="AT531" s="634" t="str">
        <f>IFERROR(VLOOKUP(AU531,Listas!$E$85:$L$105,8,FALSE),"Alerta: Seleccione la celda en la comumna AI con el concepto de gasto")</f>
        <v>Alerta: Seleccione la celda en la comumna AI con el concepto de gasto</v>
      </c>
      <c r="AU531" s="633"/>
      <c r="AV531" s="634" t="str">
        <f>IFERROR(VLOOKUP(AU531,Listas!$E$85:$F$105,2,FALSE),"Alerta: Seleccione el Concepto de Gasto primero")</f>
        <v>Alerta: Seleccione el Concepto de Gasto primero</v>
      </c>
      <c r="AW531" s="644"/>
      <c r="AX531" s="645"/>
      <c r="AY531" s="645"/>
      <c r="AZ531" s="645"/>
      <c r="BA531" s="646">
        <f t="shared" si="161"/>
        <v>0</v>
      </c>
      <c r="BB531" s="647"/>
      <c r="BC531" s="648"/>
      <c r="BD531" s="649"/>
      <c r="BE531" s="647"/>
      <c r="BF531" s="644"/>
      <c r="BG531" s="646">
        <f t="shared" si="162"/>
        <v>0</v>
      </c>
      <c r="BH531" s="650"/>
      <c r="BI531" s="647"/>
      <c r="BJ531" s="644"/>
      <c r="BK531" s="646">
        <f t="shared" si="163"/>
        <v>0</v>
      </c>
      <c r="BL531" s="651"/>
      <c r="BM531" s="652">
        <f t="shared" si="164"/>
        <v>1</v>
      </c>
      <c r="BN531" s="628"/>
      <c r="BO531" s="670"/>
      <c r="BP531" s="644"/>
      <c r="BQ531" s="644"/>
      <c r="BR531" s="644"/>
      <c r="BS531" s="644"/>
      <c r="BT531" s="644"/>
      <c r="BU531" s="644"/>
      <c r="BV531" s="644"/>
      <c r="BW531" s="644"/>
      <c r="BX531" s="644"/>
      <c r="BY531" s="644"/>
      <c r="BZ531" s="644"/>
      <c r="CA531" s="644"/>
      <c r="CB531" s="646">
        <f t="shared" si="165"/>
        <v>0</v>
      </c>
      <c r="CC531" s="646">
        <f t="shared" si="166"/>
        <v>0</v>
      </c>
      <c r="CD531" s="614"/>
    </row>
    <row r="532" spans="1:82" s="561" customFormat="1" ht="61.5" customHeight="1">
      <c r="A532" s="625" t="str">
        <f t="shared" si="148"/>
        <v>proyecto-Alerta: Seleccione la celda en la comumna B con el nombre del proyecto-Al-Al--</v>
      </c>
      <c r="B532" s="626" t="str">
        <f t="shared" si="149"/>
        <v>proyecto-Alerta: Seleccione la celda en la comumna B con el nombre del proyecto-Al-Al-</v>
      </c>
      <c r="C532" s="626" t="str">
        <f t="shared" si="150"/>
        <v>proyecto-Alerta: Seleccione la celda en la comumna B con el nombre del proyecto-</v>
      </c>
      <c r="D532" s="626" t="str">
        <f t="shared" si="151"/>
        <v>proyecto--Al-Al-</v>
      </c>
      <c r="E532" s="626" t="str">
        <f t="shared" si="152"/>
        <v>--</v>
      </c>
      <c r="F532" s="627"/>
      <c r="G532" s="628">
        <f t="shared" si="153"/>
        <v>0</v>
      </c>
      <c r="H532" s="629" t="b">
        <f t="shared" si="154"/>
        <v>1</v>
      </c>
      <c r="I532" s="630"/>
      <c r="J532" s="627"/>
      <c r="K532" s="631" t="str">
        <f>+IFERROR(VLOOKUP(J532,Listas!$A$108:$B$114,2,FALSE),"Alerta: Seleccione la celda en la comumna B con el nombre del proyecto")</f>
        <v>Alerta: Seleccione la celda en la comumna B con el nombre del proyecto</v>
      </c>
      <c r="L532" s="632"/>
      <c r="M532" s="633"/>
      <c r="N532" s="634" t="str">
        <f t="shared" si="155"/>
        <v xml:space="preserve">(Cód. ) </v>
      </c>
      <c r="O532" s="635"/>
      <c r="P532" s="636">
        <f>IFERROR(VLOOKUP(W532,'Estimación CRP'!$D$21:$E$30,2,FALSE),0)</f>
        <v>0</v>
      </c>
      <c r="Q532" s="637">
        <f>IF(O532="No aplica","No aplica",WORKDAY.INTL(O532,P532,1,'Estimación CRP'!A718:A734))</f>
        <v>0</v>
      </c>
      <c r="R532" s="636">
        <f t="shared" si="156"/>
        <v>1</v>
      </c>
      <c r="S532" s="636">
        <f t="shared" si="157"/>
        <v>1</v>
      </c>
      <c r="T532" s="636">
        <f t="shared" si="158"/>
        <v>1</v>
      </c>
      <c r="U532" s="638"/>
      <c r="V532" s="638"/>
      <c r="W532" s="639"/>
      <c r="X532" s="640" t="str">
        <f>IFERROR(VLOOKUP(W532,Listas!$A$60:$B$73,2,FALSE),"Alerta: Seleccione primero Modalidad de selección")</f>
        <v>Alerta: Seleccione primero Modalidad de selección</v>
      </c>
      <c r="Y532" s="641">
        <v>0</v>
      </c>
      <c r="Z532" s="641"/>
      <c r="AA532" s="641"/>
      <c r="AB532" s="642">
        <f t="shared" si="159"/>
        <v>0</v>
      </c>
      <c r="AC532" s="642">
        <f t="shared" si="160"/>
        <v>0</v>
      </c>
      <c r="AD532" s="641">
        <v>0</v>
      </c>
      <c r="AE532" s="643">
        <v>0</v>
      </c>
      <c r="AF532" s="639" t="s">
        <v>276</v>
      </c>
      <c r="AG532" s="639" t="s">
        <v>277</v>
      </c>
      <c r="AH532" s="639"/>
      <c r="AI532" s="626" t="str">
        <f>IFERROR(VLOOKUP(AH532,Listas!$A$77:$C$83,2,FALSE),"Alerta: Seleccione primero el responsable")</f>
        <v>Alerta: Seleccione primero el responsable</v>
      </c>
      <c r="AJ532" s="640" t="str">
        <f>IFERROR(VLOOKUP(AH532,Listas!$A$77:$C$83,3,FALSE),"Alerta: Seleccione primero el responsable")</f>
        <v>Alerta: Seleccione primero el responsable</v>
      </c>
      <c r="AK532" s="640" t="str">
        <f>IF(J532="Funcionamiento Gastos Generales","No aplica",IF(J532="Funcionamiento Servicios Personales indirectos","No aplica",IFERROR(VLOOKUP(J532,Listas!$A$127:$E$139,3,FALSE),"Alerta: Seleccione la celda en la comumna B con el nombre del proyecto")))</f>
        <v>Alerta: Seleccione la celda en la comumna B con el nombre del proyecto</v>
      </c>
      <c r="AL532" s="640" t="str">
        <f>IF(J532="Funcionamiento Gastos Generales","No aplica",IF(J532="Funcionamiento Servicios Personales","No aplica",IFERROR(VLOOKUP(J532,Listas!$A$220:$D$224,2,FALSE),"Alerta: Seleccione la celda en la comumna B con el nombre del proyecto")))</f>
        <v>Alerta: Seleccione la celda en la comumna B con el nombre del proyecto</v>
      </c>
      <c r="AM532" s="640" t="str">
        <f>IF(J532="Funcionamiento Gastos Generales","No aplica",IF(J532="Funcionamiento Servicios Personales","No aplica",IFERROR(VLOOKUP(J532,Listas!$A$220:$D$224,3,FALSE),"Alerta: Seleccione la celda en la comumna B con el nombre del proyecto")))</f>
        <v>Alerta: Seleccione la celda en la comumna B con el nombre del proyecto</v>
      </c>
      <c r="AN532" s="633"/>
      <c r="AO532" s="633"/>
      <c r="AP532" s="634" t="str">
        <f>IFERROR(VLOOKUP(J532,Listas!$A$182:$E$215,5,FALSE),"Alerta: Seleccione la celda en la comumna B con el nombre del proyecto")</f>
        <v>Alerta: Seleccione la celda en la comumna B con el nombre del proyecto</v>
      </c>
      <c r="AQ532" s="634" t="str">
        <f>IF(J532="Funcionamiento Gastos Generales","No aplica",IF(J532="Funcionamiento Servicios Personales","No aplica",IFERROR(VLOOKUP(J532,Listas!$A$220:$D$224,4,FALSE),"Alerta: Seleccione la celda en la comumna B con el nombre del proyecto")))</f>
        <v>Alerta: Seleccione la celda en la comumna B con el nombre del proyecto</v>
      </c>
      <c r="AR532" s="633"/>
      <c r="AS532" s="634" t="str">
        <f>IFERROR(VLOOKUP(AU532,Listas!$E$85:$L$105,7,FALSE),"Alerta: Seleccione la celda en la comumna AI con el concepto de gasto")</f>
        <v>Alerta: Seleccione la celda en la comumna AI con el concepto de gasto</v>
      </c>
      <c r="AT532" s="634" t="str">
        <f>IFERROR(VLOOKUP(AU532,Listas!$E$85:$L$105,8,FALSE),"Alerta: Seleccione la celda en la comumna AI con el concepto de gasto")</f>
        <v>Alerta: Seleccione la celda en la comumna AI con el concepto de gasto</v>
      </c>
      <c r="AU532" s="633"/>
      <c r="AV532" s="634" t="str">
        <f>IFERROR(VLOOKUP(AU532,Listas!$E$85:$F$105,2,FALSE),"Alerta: Seleccione el Concepto de Gasto primero")</f>
        <v>Alerta: Seleccione el Concepto de Gasto primero</v>
      </c>
      <c r="AW532" s="644"/>
      <c r="AX532" s="645"/>
      <c r="AY532" s="645"/>
      <c r="AZ532" s="645"/>
      <c r="BA532" s="646">
        <f t="shared" si="161"/>
        <v>0</v>
      </c>
      <c r="BB532" s="647"/>
      <c r="BC532" s="648"/>
      <c r="BD532" s="649"/>
      <c r="BE532" s="647"/>
      <c r="BF532" s="644"/>
      <c r="BG532" s="646">
        <f t="shared" si="162"/>
        <v>0</v>
      </c>
      <c r="BH532" s="650"/>
      <c r="BI532" s="647"/>
      <c r="BJ532" s="644"/>
      <c r="BK532" s="646">
        <f t="shared" si="163"/>
        <v>0</v>
      </c>
      <c r="BL532" s="651"/>
      <c r="BM532" s="652">
        <f t="shared" si="164"/>
        <v>1</v>
      </c>
      <c r="BN532" s="628"/>
      <c r="BO532" s="670"/>
      <c r="BP532" s="644"/>
      <c r="BQ532" s="644"/>
      <c r="BR532" s="644"/>
      <c r="BS532" s="644"/>
      <c r="BT532" s="644"/>
      <c r="BU532" s="644"/>
      <c r="BV532" s="644"/>
      <c r="BW532" s="644"/>
      <c r="BX532" s="644"/>
      <c r="BY532" s="644"/>
      <c r="BZ532" s="644"/>
      <c r="CA532" s="644"/>
      <c r="CB532" s="646">
        <f t="shared" si="165"/>
        <v>0</v>
      </c>
      <c r="CC532" s="646">
        <f t="shared" si="166"/>
        <v>0</v>
      </c>
      <c r="CD532" s="614"/>
    </row>
    <row r="533" spans="1:82" s="561" customFormat="1" ht="61.5" customHeight="1">
      <c r="A533" s="625" t="str">
        <f t="shared" si="148"/>
        <v>proyecto-Alerta: Seleccione la celda en la comumna B con el nombre del proyecto-Al-Al--</v>
      </c>
      <c r="B533" s="626" t="str">
        <f t="shared" si="149"/>
        <v>proyecto-Alerta: Seleccione la celda en la comumna B con el nombre del proyecto-Al-Al-</v>
      </c>
      <c r="C533" s="626" t="str">
        <f t="shared" si="150"/>
        <v>proyecto-Alerta: Seleccione la celda en la comumna B con el nombre del proyecto-</v>
      </c>
      <c r="D533" s="626" t="str">
        <f t="shared" si="151"/>
        <v>proyecto--Al-Al-</v>
      </c>
      <c r="E533" s="626" t="str">
        <f t="shared" si="152"/>
        <v>--</v>
      </c>
      <c r="F533" s="627"/>
      <c r="G533" s="628">
        <f t="shared" si="153"/>
        <v>0</v>
      </c>
      <c r="H533" s="629" t="b">
        <f t="shared" si="154"/>
        <v>1</v>
      </c>
      <c r="I533" s="630"/>
      <c r="J533" s="627"/>
      <c r="K533" s="631" t="str">
        <f>+IFERROR(VLOOKUP(J533,Listas!$A$108:$B$114,2,FALSE),"Alerta: Seleccione la celda en la comumna B con el nombre del proyecto")</f>
        <v>Alerta: Seleccione la celda en la comumna B con el nombre del proyecto</v>
      </c>
      <c r="L533" s="632"/>
      <c r="M533" s="633"/>
      <c r="N533" s="634" t="str">
        <f t="shared" si="155"/>
        <v xml:space="preserve">(Cód. ) </v>
      </c>
      <c r="O533" s="635"/>
      <c r="P533" s="636">
        <f>IFERROR(VLOOKUP(W533,'Estimación CRP'!$D$21:$E$30,2,FALSE),0)</f>
        <v>0</v>
      </c>
      <c r="Q533" s="637">
        <f>IF(O533="No aplica","No aplica",WORKDAY.INTL(O533,P533,1,'Estimación CRP'!A719:A735))</f>
        <v>0</v>
      </c>
      <c r="R533" s="636">
        <f t="shared" si="156"/>
        <v>1</v>
      </c>
      <c r="S533" s="636">
        <f t="shared" si="157"/>
        <v>1</v>
      </c>
      <c r="T533" s="636">
        <f t="shared" si="158"/>
        <v>1</v>
      </c>
      <c r="U533" s="638"/>
      <c r="V533" s="638"/>
      <c r="W533" s="639"/>
      <c r="X533" s="640" t="str">
        <f>IFERROR(VLOOKUP(W533,Listas!$A$60:$B$73,2,FALSE),"Alerta: Seleccione primero Modalidad de selección")</f>
        <v>Alerta: Seleccione primero Modalidad de selección</v>
      </c>
      <c r="Y533" s="641">
        <v>0</v>
      </c>
      <c r="Z533" s="641"/>
      <c r="AA533" s="641"/>
      <c r="AB533" s="642">
        <f t="shared" si="159"/>
        <v>0</v>
      </c>
      <c r="AC533" s="642">
        <f t="shared" si="160"/>
        <v>0</v>
      </c>
      <c r="AD533" s="641">
        <v>0</v>
      </c>
      <c r="AE533" s="643">
        <v>0</v>
      </c>
      <c r="AF533" s="639" t="s">
        <v>276</v>
      </c>
      <c r="AG533" s="639" t="s">
        <v>277</v>
      </c>
      <c r="AH533" s="639"/>
      <c r="AI533" s="626" t="str">
        <f>IFERROR(VLOOKUP(AH533,Listas!$A$77:$C$83,2,FALSE),"Alerta: Seleccione primero el responsable")</f>
        <v>Alerta: Seleccione primero el responsable</v>
      </c>
      <c r="AJ533" s="640" t="str">
        <f>IFERROR(VLOOKUP(AH533,Listas!$A$77:$C$83,3,FALSE),"Alerta: Seleccione primero el responsable")</f>
        <v>Alerta: Seleccione primero el responsable</v>
      </c>
      <c r="AK533" s="640" t="str">
        <f>IF(J533="Funcionamiento Gastos Generales","No aplica",IF(J533="Funcionamiento Servicios Personales indirectos","No aplica",IFERROR(VLOOKUP(J533,Listas!$A$127:$E$139,3,FALSE),"Alerta: Seleccione la celda en la comumna B con el nombre del proyecto")))</f>
        <v>Alerta: Seleccione la celda en la comumna B con el nombre del proyecto</v>
      </c>
      <c r="AL533" s="640" t="str">
        <f>IF(J533="Funcionamiento Gastos Generales","No aplica",IF(J533="Funcionamiento Servicios Personales","No aplica",IFERROR(VLOOKUP(J533,Listas!$A$220:$D$224,2,FALSE),"Alerta: Seleccione la celda en la comumna B con el nombre del proyecto")))</f>
        <v>Alerta: Seleccione la celda en la comumna B con el nombre del proyecto</v>
      </c>
      <c r="AM533" s="640" t="str">
        <f>IF(J533="Funcionamiento Gastos Generales","No aplica",IF(J533="Funcionamiento Servicios Personales","No aplica",IFERROR(VLOOKUP(J533,Listas!$A$220:$D$224,3,FALSE),"Alerta: Seleccione la celda en la comumna B con el nombre del proyecto")))</f>
        <v>Alerta: Seleccione la celda en la comumna B con el nombre del proyecto</v>
      </c>
      <c r="AN533" s="633"/>
      <c r="AO533" s="633"/>
      <c r="AP533" s="634" t="str">
        <f>IFERROR(VLOOKUP(J533,Listas!$A$182:$E$215,5,FALSE),"Alerta: Seleccione la celda en la comumna B con el nombre del proyecto")</f>
        <v>Alerta: Seleccione la celda en la comumna B con el nombre del proyecto</v>
      </c>
      <c r="AQ533" s="634" t="str">
        <f>IF(J533="Funcionamiento Gastos Generales","No aplica",IF(J533="Funcionamiento Servicios Personales","No aplica",IFERROR(VLOOKUP(J533,Listas!$A$220:$D$224,4,FALSE),"Alerta: Seleccione la celda en la comumna B con el nombre del proyecto")))</f>
        <v>Alerta: Seleccione la celda en la comumna B con el nombre del proyecto</v>
      </c>
      <c r="AR533" s="633"/>
      <c r="AS533" s="634" t="str">
        <f>IFERROR(VLOOKUP(AU533,Listas!$E$85:$L$105,7,FALSE),"Alerta: Seleccione la celda en la comumna AI con el concepto de gasto")</f>
        <v>Alerta: Seleccione la celda en la comumna AI con el concepto de gasto</v>
      </c>
      <c r="AT533" s="634" t="str">
        <f>IFERROR(VLOOKUP(AU533,Listas!$E$85:$L$105,8,FALSE),"Alerta: Seleccione la celda en la comumna AI con el concepto de gasto")</f>
        <v>Alerta: Seleccione la celda en la comumna AI con el concepto de gasto</v>
      </c>
      <c r="AU533" s="633"/>
      <c r="AV533" s="634" t="str">
        <f>IFERROR(VLOOKUP(AU533,Listas!$E$85:$F$105,2,FALSE),"Alerta: Seleccione el Concepto de Gasto primero")</f>
        <v>Alerta: Seleccione el Concepto de Gasto primero</v>
      </c>
      <c r="AW533" s="644"/>
      <c r="AX533" s="645"/>
      <c r="AY533" s="645"/>
      <c r="AZ533" s="645"/>
      <c r="BA533" s="646">
        <f t="shared" si="161"/>
        <v>0</v>
      </c>
      <c r="BB533" s="647"/>
      <c r="BC533" s="648"/>
      <c r="BD533" s="649"/>
      <c r="BE533" s="647"/>
      <c r="BF533" s="644"/>
      <c r="BG533" s="646">
        <f t="shared" si="162"/>
        <v>0</v>
      </c>
      <c r="BH533" s="650"/>
      <c r="BI533" s="647"/>
      <c r="BJ533" s="644"/>
      <c r="BK533" s="646">
        <f t="shared" si="163"/>
        <v>0</v>
      </c>
      <c r="BL533" s="651"/>
      <c r="BM533" s="652">
        <f t="shared" si="164"/>
        <v>1</v>
      </c>
      <c r="BN533" s="628"/>
      <c r="BO533" s="670"/>
      <c r="BP533" s="644"/>
      <c r="BQ533" s="644"/>
      <c r="BR533" s="644"/>
      <c r="BS533" s="644"/>
      <c r="BT533" s="644"/>
      <c r="BU533" s="644"/>
      <c r="BV533" s="644"/>
      <c r="BW533" s="644"/>
      <c r="BX533" s="644"/>
      <c r="BY533" s="644"/>
      <c r="BZ533" s="644"/>
      <c r="CA533" s="644"/>
      <c r="CB533" s="646">
        <f t="shared" si="165"/>
        <v>0</v>
      </c>
      <c r="CC533" s="646">
        <f t="shared" si="166"/>
        <v>0</v>
      </c>
      <c r="CD533" s="614"/>
    </row>
    <row r="534" spans="1:82" s="561" customFormat="1" ht="61.5" customHeight="1">
      <c r="A534" s="625" t="str">
        <f t="shared" si="148"/>
        <v>proyecto-Alerta: Seleccione la celda en la comumna B con el nombre del proyecto-Al-Al--</v>
      </c>
      <c r="B534" s="626" t="str">
        <f t="shared" si="149"/>
        <v>proyecto-Alerta: Seleccione la celda en la comumna B con el nombre del proyecto-Al-Al-</v>
      </c>
      <c r="C534" s="626" t="str">
        <f t="shared" si="150"/>
        <v>proyecto-Alerta: Seleccione la celda en la comumna B con el nombre del proyecto-</v>
      </c>
      <c r="D534" s="626" t="str">
        <f t="shared" si="151"/>
        <v>proyecto--Al-Al-</v>
      </c>
      <c r="E534" s="626" t="str">
        <f t="shared" si="152"/>
        <v>--</v>
      </c>
      <c r="F534" s="627"/>
      <c r="G534" s="628">
        <f t="shared" si="153"/>
        <v>0</v>
      </c>
      <c r="H534" s="629" t="b">
        <f t="shared" si="154"/>
        <v>1</v>
      </c>
      <c r="I534" s="630"/>
      <c r="J534" s="627"/>
      <c r="K534" s="631" t="str">
        <f>+IFERROR(VLOOKUP(J534,Listas!$A$108:$B$114,2,FALSE),"Alerta: Seleccione la celda en la comumna B con el nombre del proyecto")</f>
        <v>Alerta: Seleccione la celda en la comumna B con el nombre del proyecto</v>
      </c>
      <c r="L534" s="632"/>
      <c r="M534" s="633"/>
      <c r="N534" s="634" t="str">
        <f t="shared" si="155"/>
        <v xml:space="preserve">(Cód. ) </v>
      </c>
      <c r="O534" s="635"/>
      <c r="P534" s="636">
        <f>IFERROR(VLOOKUP(W534,'Estimación CRP'!$D$21:$E$30,2,FALSE),0)</f>
        <v>0</v>
      </c>
      <c r="Q534" s="637">
        <f>IF(O534="No aplica","No aplica",WORKDAY.INTL(O534,P534,1,'Estimación CRP'!A720:A736))</f>
        <v>0</v>
      </c>
      <c r="R534" s="636">
        <f t="shared" si="156"/>
        <v>1</v>
      </c>
      <c r="S534" s="636">
        <f t="shared" si="157"/>
        <v>1</v>
      </c>
      <c r="T534" s="636">
        <f t="shared" si="158"/>
        <v>1</v>
      </c>
      <c r="U534" s="638"/>
      <c r="V534" s="638"/>
      <c r="W534" s="639"/>
      <c r="X534" s="640" t="str">
        <f>IFERROR(VLOOKUP(W534,Listas!$A$60:$B$73,2,FALSE),"Alerta: Seleccione primero Modalidad de selección")</f>
        <v>Alerta: Seleccione primero Modalidad de selección</v>
      </c>
      <c r="Y534" s="641">
        <v>0</v>
      </c>
      <c r="Z534" s="641"/>
      <c r="AA534" s="641"/>
      <c r="AB534" s="642">
        <f t="shared" si="159"/>
        <v>0</v>
      </c>
      <c r="AC534" s="642">
        <f t="shared" si="160"/>
        <v>0</v>
      </c>
      <c r="AD534" s="641">
        <v>0</v>
      </c>
      <c r="AE534" s="643">
        <v>0</v>
      </c>
      <c r="AF534" s="639" t="s">
        <v>276</v>
      </c>
      <c r="AG534" s="639" t="s">
        <v>277</v>
      </c>
      <c r="AH534" s="639"/>
      <c r="AI534" s="626" t="str">
        <f>IFERROR(VLOOKUP(AH534,Listas!$A$77:$C$83,2,FALSE),"Alerta: Seleccione primero el responsable")</f>
        <v>Alerta: Seleccione primero el responsable</v>
      </c>
      <c r="AJ534" s="640" t="str">
        <f>IFERROR(VLOOKUP(AH534,Listas!$A$77:$C$83,3,FALSE),"Alerta: Seleccione primero el responsable")</f>
        <v>Alerta: Seleccione primero el responsable</v>
      </c>
      <c r="AK534" s="640" t="str">
        <f>IF(J534="Funcionamiento Gastos Generales","No aplica",IF(J534="Funcionamiento Servicios Personales indirectos","No aplica",IFERROR(VLOOKUP(J534,Listas!$A$127:$E$139,3,FALSE),"Alerta: Seleccione la celda en la comumna B con el nombre del proyecto")))</f>
        <v>Alerta: Seleccione la celda en la comumna B con el nombre del proyecto</v>
      </c>
      <c r="AL534" s="640" t="str">
        <f>IF(J534="Funcionamiento Gastos Generales","No aplica",IF(J534="Funcionamiento Servicios Personales","No aplica",IFERROR(VLOOKUP(J534,Listas!$A$220:$D$224,2,FALSE),"Alerta: Seleccione la celda en la comumna B con el nombre del proyecto")))</f>
        <v>Alerta: Seleccione la celda en la comumna B con el nombre del proyecto</v>
      </c>
      <c r="AM534" s="640" t="str">
        <f>IF(J534="Funcionamiento Gastos Generales","No aplica",IF(J534="Funcionamiento Servicios Personales","No aplica",IFERROR(VLOOKUP(J534,Listas!$A$220:$D$224,3,FALSE),"Alerta: Seleccione la celda en la comumna B con el nombre del proyecto")))</f>
        <v>Alerta: Seleccione la celda en la comumna B con el nombre del proyecto</v>
      </c>
      <c r="AN534" s="633"/>
      <c r="AO534" s="633"/>
      <c r="AP534" s="634" t="str">
        <f>IFERROR(VLOOKUP(J534,Listas!$A$182:$E$215,5,FALSE),"Alerta: Seleccione la celda en la comumna B con el nombre del proyecto")</f>
        <v>Alerta: Seleccione la celda en la comumna B con el nombre del proyecto</v>
      </c>
      <c r="AQ534" s="634" t="str">
        <f>IF(J534="Funcionamiento Gastos Generales","No aplica",IF(J534="Funcionamiento Servicios Personales","No aplica",IFERROR(VLOOKUP(J534,Listas!$A$220:$D$224,4,FALSE),"Alerta: Seleccione la celda en la comumna B con el nombre del proyecto")))</f>
        <v>Alerta: Seleccione la celda en la comumna B con el nombre del proyecto</v>
      </c>
      <c r="AR534" s="633"/>
      <c r="AS534" s="634" t="str">
        <f>IFERROR(VLOOKUP(AU534,Listas!$E$85:$L$105,7,FALSE),"Alerta: Seleccione la celda en la comumna AI con el concepto de gasto")</f>
        <v>Alerta: Seleccione la celda en la comumna AI con el concepto de gasto</v>
      </c>
      <c r="AT534" s="634" t="str">
        <f>IFERROR(VLOOKUP(AU534,Listas!$E$85:$L$105,8,FALSE),"Alerta: Seleccione la celda en la comumna AI con el concepto de gasto")</f>
        <v>Alerta: Seleccione la celda en la comumna AI con el concepto de gasto</v>
      </c>
      <c r="AU534" s="633"/>
      <c r="AV534" s="634" t="str">
        <f>IFERROR(VLOOKUP(AU534,Listas!$E$85:$F$105,2,FALSE),"Alerta: Seleccione el Concepto de Gasto primero")</f>
        <v>Alerta: Seleccione el Concepto de Gasto primero</v>
      </c>
      <c r="AW534" s="644"/>
      <c r="AX534" s="645"/>
      <c r="AY534" s="645"/>
      <c r="AZ534" s="645"/>
      <c r="BA534" s="646">
        <f t="shared" si="161"/>
        <v>0</v>
      </c>
      <c r="BB534" s="647"/>
      <c r="BC534" s="648"/>
      <c r="BD534" s="649"/>
      <c r="BE534" s="647"/>
      <c r="BF534" s="644"/>
      <c r="BG534" s="646">
        <f t="shared" si="162"/>
        <v>0</v>
      </c>
      <c r="BH534" s="650"/>
      <c r="BI534" s="647"/>
      <c r="BJ534" s="644"/>
      <c r="BK534" s="646">
        <f t="shared" si="163"/>
        <v>0</v>
      </c>
      <c r="BL534" s="651"/>
      <c r="BM534" s="652">
        <f t="shared" si="164"/>
        <v>1</v>
      </c>
      <c r="BN534" s="628"/>
      <c r="BO534" s="670"/>
      <c r="BP534" s="644"/>
      <c r="BQ534" s="644"/>
      <c r="BR534" s="644"/>
      <c r="BS534" s="644"/>
      <c r="BT534" s="644"/>
      <c r="BU534" s="644"/>
      <c r="BV534" s="644"/>
      <c r="BW534" s="644"/>
      <c r="BX534" s="644"/>
      <c r="BY534" s="644"/>
      <c r="BZ534" s="644"/>
      <c r="CA534" s="644"/>
      <c r="CB534" s="646">
        <f t="shared" si="165"/>
        <v>0</v>
      </c>
      <c r="CC534" s="646">
        <f t="shared" si="166"/>
        <v>0</v>
      </c>
      <c r="CD534" s="614"/>
    </row>
    <row r="535" spans="1:82" s="561" customFormat="1" ht="61.5" customHeight="1">
      <c r="A535" s="625" t="str">
        <f t="shared" si="148"/>
        <v>proyecto-Alerta: Seleccione la celda en la comumna B con el nombre del proyecto-Al-Al--</v>
      </c>
      <c r="B535" s="626" t="str">
        <f t="shared" si="149"/>
        <v>proyecto-Alerta: Seleccione la celda en la comumna B con el nombre del proyecto-Al-Al-</v>
      </c>
      <c r="C535" s="626" t="str">
        <f t="shared" si="150"/>
        <v>proyecto-Alerta: Seleccione la celda en la comumna B con el nombre del proyecto-</v>
      </c>
      <c r="D535" s="626" t="str">
        <f t="shared" si="151"/>
        <v>proyecto--Al-Al-</v>
      </c>
      <c r="E535" s="626" t="str">
        <f t="shared" si="152"/>
        <v>--</v>
      </c>
      <c r="F535" s="627"/>
      <c r="G535" s="628">
        <f t="shared" si="153"/>
        <v>0</v>
      </c>
      <c r="H535" s="629" t="b">
        <f t="shared" si="154"/>
        <v>1</v>
      </c>
      <c r="I535" s="630"/>
      <c r="J535" s="627"/>
      <c r="K535" s="631" t="str">
        <f>+IFERROR(VLOOKUP(J535,Listas!$A$108:$B$114,2,FALSE),"Alerta: Seleccione la celda en la comumna B con el nombre del proyecto")</f>
        <v>Alerta: Seleccione la celda en la comumna B con el nombre del proyecto</v>
      </c>
      <c r="L535" s="632"/>
      <c r="M535" s="633"/>
      <c r="N535" s="634" t="str">
        <f t="shared" si="155"/>
        <v xml:space="preserve">(Cód. ) </v>
      </c>
      <c r="O535" s="635"/>
      <c r="P535" s="636">
        <f>IFERROR(VLOOKUP(W535,'Estimación CRP'!$D$21:$E$30,2,FALSE),0)</f>
        <v>0</v>
      </c>
      <c r="Q535" s="637">
        <f>IF(O535="No aplica","No aplica",WORKDAY.INTL(O535,P535,1,'Estimación CRP'!A721:A737))</f>
        <v>0</v>
      </c>
      <c r="R535" s="636">
        <f t="shared" si="156"/>
        <v>1</v>
      </c>
      <c r="S535" s="636">
        <f t="shared" si="157"/>
        <v>1</v>
      </c>
      <c r="T535" s="636">
        <f t="shared" si="158"/>
        <v>1</v>
      </c>
      <c r="U535" s="638"/>
      <c r="V535" s="638"/>
      <c r="W535" s="639"/>
      <c r="X535" s="640" t="str">
        <f>IFERROR(VLOOKUP(W535,Listas!$A$60:$B$73,2,FALSE),"Alerta: Seleccione primero Modalidad de selección")</f>
        <v>Alerta: Seleccione primero Modalidad de selección</v>
      </c>
      <c r="Y535" s="641">
        <v>0</v>
      </c>
      <c r="Z535" s="641"/>
      <c r="AA535" s="641"/>
      <c r="AB535" s="642">
        <f t="shared" si="159"/>
        <v>0</v>
      </c>
      <c r="AC535" s="642">
        <f t="shared" si="160"/>
        <v>0</v>
      </c>
      <c r="AD535" s="641">
        <v>0</v>
      </c>
      <c r="AE535" s="643">
        <v>0</v>
      </c>
      <c r="AF535" s="639" t="s">
        <v>276</v>
      </c>
      <c r="AG535" s="639" t="s">
        <v>277</v>
      </c>
      <c r="AH535" s="639"/>
      <c r="AI535" s="626" t="str">
        <f>IFERROR(VLOOKUP(AH535,Listas!$A$77:$C$83,2,FALSE),"Alerta: Seleccione primero el responsable")</f>
        <v>Alerta: Seleccione primero el responsable</v>
      </c>
      <c r="AJ535" s="640" t="str">
        <f>IFERROR(VLOOKUP(AH535,Listas!$A$77:$C$83,3,FALSE),"Alerta: Seleccione primero el responsable")</f>
        <v>Alerta: Seleccione primero el responsable</v>
      </c>
      <c r="AK535" s="640" t="str">
        <f>IF(J535="Funcionamiento Gastos Generales","No aplica",IF(J535="Funcionamiento Servicios Personales indirectos","No aplica",IFERROR(VLOOKUP(J535,Listas!$A$127:$E$139,3,FALSE),"Alerta: Seleccione la celda en la comumna B con el nombre del proyecto")))</f>
        <v>Alerta: Seleccione la celda en la comumna B con el nombre del proyecto</v>
      </c>
      <c r="AL535" s="640" t="str">
        <f>IF(J535="Funcionamiento Gastos Generales","No aplica",IF(J535="Funcionamiento Servicios Personales","No aplica",IFERROR(VLOOKUP(J535,Listas!$A$220:$D$224,2,FALSE),"Alerta: Seleccione la celda en la comumna B con el nombre del proyecto")))</f>
        <v>Alerta: Seleccione la celda en la comumna B con el nombre del proyecto</v>
      </c>
      <c r="AM535" s="640" t="str">
        <f>IF(J535="Funcionamiento Gastos Generales","No aplica",IF(J535="Funcionamiento Servicios Personales","No aplica",IFERROR(VLOOKUP(J535,Listas!$A$220:$D$224,3,FALSE),"Alerta: Seleccione la celda en la comumna B con el nombre del proyecto")))</f>
        <v>Alerta: Seleccione la celda en la comumna B con el nombre del proyecto</v>
      </c>
      <c r="AN535" s="633"/>
      <c r="AO535" s="633"/>
      <c r="AP535" s="634" t="str">
        <f>IFERROR(VLOOKUP(J535,Listas!$A$182:$E$215,5,FALSE),"Alerta: Seleccione la celda en la comumna B con el nombre del proyecto")</f>
        <v>Alerta: Seleccione la celda en la comumna B con el nombre del proyecto</v>
      </c>
      <c r="AQ535" s="634" t="str">
        <f>IF(J535="Funcionamiento Gastos Generales","No aplica",IF(J535="Funcionamiento Servicios Personales","No aplica",IFERROR(VLOOKUP(J535,Listas!$A$220:$D$224,4,FALSE),"Alerta: Seleccione la celda en la comumna B con el nombre del proyecto")))</f>
        <v>Alerta: Seleccione la celda en la comumna B con el nombre del proyecto</v>
      </c>
      <c r="AR535" s="633"/>
      <c r="AS535" s="634" t="str">
        <f>IFERROR(VLOOKUP(AU535,Listas!$E$85:$L$105,7,FALSE),"Alerta: Seleccione la celda en la comumna AI con el concepto de gasto")</f>
        <v>Alerta: Seleccione la celda en la comumna AI con el concepto de gasto</v>
      </c>
      <c r="AT535" s="634" t="str">
        <f>IFERROR(VLOOKUP(AU535,Listas!$E$85:$L$105,8,FALSE),"Alerta: Seleccione la celda en la comumna AI con el concepto de gasto")</f>
        <v>Alerta: Seleccione la celda en la comumna AI con el concepto de gasto</v>
      </c>
      <c r="AU535" s="633"/>
      <c r="AV535" s="634" t="str">
        <f>IFERROR(VLOOKUP(AU535,Listas!$E$85:$F$105,2,FALSE),"Alerta: Seleccione el Concepto de Gasto primero")</f>
        <v>Alerta: Seleccione el Concepto de Gasto primero</v>
      </c>
      <c r="AW535" s="644"/>
      <c r="AX535" s="645"/>
      <c r="AY535" s="645"/>
      <c r="AZ535" s="645"/>
      <c r="BA535" s="646">
        <f t="shared" si="161"/>
        <v>0</v>
      </c>
      <c r="BB535" s="647"/>
      <c r="BC535" s="648"/>
      <c r="BD535" s="649"/>
      <c r="BE535" s="647"/>
      <c r="BF535" s="644"/>
      <c r="BG535" s="646">
        <f t="shared" si="162"/>
        <v>0</v>
      </c>
      <c r="BH535" s="650"/>
      <c r="BI535" s="647"/>
      <c r="BJ535" s="644"/>
      <c r="BK535" s="646">
        <f t="shared" si="163"/>
        <v>0</v>
      </c>
      <c r="BL535" s="651"/>
      <c r="BM535" s="652">
        <f t="shared" si="164"/>
        <v>1</v>
      </c>
      <c r="BN535" s="628"/>
      <c r="BO535" s="670"/>
      <c r="BP535" s="644"/>
      <c r="BQ535" s="644"/>
      <c r="BR535" s="644"/>
      <c r="BS535" s="644"/>
      <c r="BT535" s="644"/>
      <c r="BU535" s="644"/>
      <c r="BV535" s="644"/>
      <c r="BW535" s="644"/>
      <c r="BX535" s="644"/>
      <c r="BY535" s="644"/>
      <c r="BZ535" s="644"/>
      <c r="CA535" s="644"/>
      <c r="CB535" s="646">
        <f t="shared" si="165"/>
        <v>0</v>
      </c>
      <c r="CC535" s="646">
        <f t="shared" si="166"/>
        <v>0</v>
      </c>
      <c r="CD535" s="614"/>
    </row>
    <row r="536" spans="1:82" s="561" customFormat="1" ht="61.5" customHeight="1">
      <c r="A536" s="625" t="str">
        <f t="shared" si="148"/>
        <v>proyecto-Alerta: Seleccione la celda en la comumna B con el nombre del proyecto-Al-Al--</v>
      </c>
      <c r="B536" s="626" t="str">
        <f t="shared" si="149"/>
        <v>proyecto-Alerta: Seleccione la celda en la comumna B con el nombre del proyecto-Al-Al-</v>
      </c>
      <c r="C536" s="626" t="str">
        <f t="shared" si="150"/>
        <v>proyecto-Alerta: Seleccione la celda en la comumna B con el nombre del proyecto-</v>
      </c>
      <c r="D536" s="626" t="str">
        <f t="shared" si="151"/>
        <v>proyecto--Al-Al-</v>
      </c>
      <c r="E536" s="626" t="str">
        <f t="shared" si="152"/>
        <v>--</v>
      </c>
      <c r="F536" s="627"/>
      <c r="G536" s="628">
        <f t="shared" si="153"/>
        <v>0</v>
      </c>
      <c r="H536" s="629" t="b">
        <f t="shared" si="154"/>
        <v>1</v>
      </c>
      <c r="I536" s="630"/>
      <c r="J536" s="627"/>
      <c r="K536" s="631" t="str">
        <f>+IFERROR(VLOOKUP(J536,Listas!$A$108:$B$114,2,FALSE),"Alerta: Seleccione la celda en la comumna B con el nombre del proyecto")</f>
        <v>Alerta: Seleccione la celda en la comumna B con el nombre del proyecto</v>
      </c>
      <c r="L536" s="632"/>
      <c r="M536" s="633"/>
      <c r="N536" s="634" t="str">
        <f t="shared" si="155"/>
        <v xml:space="preserve">(Cód. ) </v>
      </c>
      <c r="O536" s="635"/>
      <c r="P536" s="636">
        <f>IFERROR(VLOOKUP(W536,'Estimación CRP'!$D$21:$E$30,2,FALSE),0)</f>
        <v>0</v>
      </c>
      <c r="Q536" s="637">
        <f>IF(O536="No aplica","No aplica",WORKDAY.INTL(O536,P536,1,'Estimación CRP'!A722:A738))</f>
        <v>0</v>
      </c>
      <c r="R536" s="636">
        <f t="shared" si="156"/>
        <v>1</v>
      </c>
      <c r="S536" s="636">
        <f t="shared" si="157"/>
        <v>1</v>
      </c>
      <c r="T536" s="636">
        <f t="shared" si="158"/>
        <v>1</v>
      </c>
      <c r="U536" s="638"/>
      <c r="V536" s="638"/>
      <c r="W536" s="639"/>
      <c r="X536" s="640" t="str">
        <f>IFERROR(VLOOKUP(W536,Listas!$A$60:$B$73,2,FALSE),"Alerta: Seleccione primero Modalidad de selección")</f>
        <v>Alerta: Seleccione primero Modalidad de selección</v>
      </c>
      <c r="Y536" s="641">
        <v>0</v>
      </c>
      <c r="Z536" s="641"/>
      <c r="AA536" s="641"/>
      <c r="AB536" s="642">
        <f t="shared" si="159"/>
        <v>0</v>
      </c>
      <c r="AC536" s="642">
        <f t="shared" si="160"/>
        <v>0</v>
      </c>
      <c r="AD536" s="641">
        <v>0</v>
      </c>
      <c r="AE536" s="643">
        <v>0</v>
      </c>
      <c r="AF536" s="639" t="s">
        <v>276</v>
      </c>
      <c r="AG536" s="639" t="s">
        <v>277</v>
      </c>
      <c r="AH536" s="639"/>
      <c r="AI536" s="626" t="str">
        <f>IFERROR(VLOOKUP(AH536,Listas!$A$77:$C$83,2,FALSE),"Alerta: Seleccione primero el responsable")</f>
        <v>Alerta: Seleccione primero el responsable</v>
      </c>
      <c r="AJ536" s="640" t="str">
        <f>IFERROR(VLOOKUP(AH536,Listas!$A$77:$C$83,3,FALSE),"Alerta: Seleccione primero el responsable")</f>
        <v>Alerta: Seleccione primero el responsable</v>
      </c>
      <c r="AK536" s="640" t="str">
        <f>IF(J536="Funcionamiento Gastos Generales","No aplica",IF(J536="Funcionamiento Servicios Personales indirectos","No aplica",IFERROR(VLOOKUP(J536,Listas!$A$127:$E$139,3,FALSE),"Alerta: Seleccione la celda en la comumna B con el nombre del proyecto")))</f>
        <v>Alerta: Seleccione la celda en la comumna B con el nombre del proyecto</v>
      </c>
      <c r="AL536" s="640" t="str">
        <f>IF(J536="Funcionamiento Gastos Generales","No aplica",IF(J536="Funcionamiento Servicios Personales","No aplica",IFERROR(VLOOKUP(J536,Listas!$A$220:$D$224,2,FALSE),"Alerta: Seleccione la celda en la comumna B con el nombre del proyecto")))</f>
        <v>Alerta: Seleccione la celda en la comumna B con el nombre del proyecto</v>
      </c>
      <c r="AM536" s="640" t="str">
        <f>IF(J536="Funcionamiento Gastos Generales","No aplica",IF(J536="Funcionamiento Servicios Personales","No aplica",IFERROR(VLOOKUP(J536,Listas!$A$220:$D$224,3,FALSE),"Alerta: Seleccione la celda en la comumna B con el nombre del proyecto")))</f>
        <v>Alerta: Seleccione la celda en la comumna B con el nombre del proyecto</v>
      </c>
      <c r="AN536" s="633"/>
      <c r="AO536" s="633"/>
      <c r="AP536" s="634" t="str">
        <f>IFERROR(VLOOKUP(J536,Listas!$A$182:$E$215,5,FALSE),"Alerta: Seleccione la celda en la comumna B con el nombre del proyecto")</f>
        <v>Alerta: Seleccione la celda en la comumna B con el nombre del proyecto</v>
      </c>
      <c r="AQ536" s="634" t="str">
        <f>IF(J536="Funcionamiento Gastos Generales","No aplica",IF(J536="Funcionamiento Servicios Personales","No aplica",IFERROR(VLOOKUP(J536,Listas!$A$220:$D$224,4,FALSE),"Alerta: Seleccione la celda en la comumna B con el nombre del proyecto")))</f>
        <v>Alerta: Seleccione la celda en la comumna B con el nombre del proyecto</v>
      </c>
      <c r="AR536" s="633"/>
      <c r="AS536" s="634" t="str">
        <f>IFERROR(VLOOKUP(AU536,Listas!$E$85:$L$105,7,FALSE),"Alerta: Seleccione la celda en la comumna AI con el concepto de gasto")</f>
        <v>Alerta: Seleccione la celda en la comumna AI con el concepto de gasto</v>
      </c>
      <c r="AT536" s="634" t="str">
        <f>IFERROR(VLOOKUP(AU536,Listas!$E$85:$L$105,8,FALSE),"Alerta: Seleccione la celda en la comumna AI con el concepto de gasto")</f>
        <v>Alerta: Seleccione la celda en la comumna AI con el concepto de gasto</v>
      </c>
      <c r="AU536" s="633"/>
      <c r="AV536" s="634" t="str">
        <f>IFERROR(VLOOKUP(AU536,Listas!$E$85:$F$105,2,FALSE),"Alerta: Seleccione el Concepto de Gasto primero")</f>
        <v>Alerta: Seleccione el Concepto de Gasto primero</v>
      </c>
      <c r="AW536" s="644"/>
      <c r="AX536" s="645"/>
      <c r="AY536" s="645"/>
      <c r="AZ536" s="645"/>
      <c r="BA536" s="646">
        <f t="shared" si="161"/>
        <v>0</v>
      </c>
      <c r="BB536" s="647"/>
      <c r="BC536" s="648"/>
      <c r="BD536" s="649"/>
      <c r="BE536" s="647"/>
      <c r="BF536" s="644"/>
      <c r="BG536" s="646">
        <f t="shared" si="162"/>
        <v>0</v>
      </c>
      <c r="BH536" s="650"/>
      <c r="BI536" s="647"/>
      <c r="BJ536" s="644"/>
      <c r="BK536" s="646">
        <f t="shared" si="163"/>
        <v>0</v>
      </c>
      <c r="BL536" s="651"/>
      <c r="BM536" s="652">
        <f t="shared" si="164"/>
        <v>1</v>
      </c>
      <c r="BN536" s="628"/>
      <c r="BO536" s="670"/>
      <c r="BP536" s="644"/>
      <c r="BQ536" s="644"/>
      <c r="BR536" s="644"/>
      <c r="BS536" s="644"/>
      <c r="BT536" s="644"/>
      <c r="BU536" s="644"/>
      <c r="BV536" s="644"/>
      <c r="BW536" s="644"/>
      <c r="BX536" s="644"/>
      <c r="BY536" s="644"/>
      <c r="BZ536" s="644"/>
      <c r="CA536" s="644"/>
      <c r="CB536" s="646">
        <f t="shared" si="165"/>
        <v>0</v>
      </c>
      <c r="CC536" s="646">
        <f t="shared" si="166"/>
        <v>0</v>
      </c>
      <c r="CD536" s="614"/>
    </row>
    <row r="537" spans="1:82" s="561" customFormat="1" ht="61.5" customHeight="1">
      <c r="A537" s="625" t="str">
        <f t="shared" si="148"/>
        <v>proyecto-Alerta: Seleccione la celda en la comumna B con el nombre del proyecto-Al-Al--</v>
      </c>
      <c r="B537" s="626" t="str">
        <f t="shared" si="149"/>
        <v>proyecto-Alerta: Seleccione la celda en la comumna B con el nombre del proyecto-Al-Al-</v>
      </c>
      <c r="C537" s="626" t="str">
        <f t="shared" si="150"/>
        <v>proyecto-Alerta: Seleccione la celda en la comumna B con el nombre del proyecto-</v>
      </c>
      <c r="D537" s="626" t="str">
        <f t="shared" si="151"/>
        <v>proyecto--Al-Al-</v>
      </c>
      <c r="E537" s="626" t="str">
        <f t="shared" si="152"/>
        <v>--</v>
      </c>
      <c r="F537" s="627"/>
      <c r="G537" s="628">
        <f t="shared" si="153"/>
        <v>0</v>
      </c>
      <c r="H537" s="629" t="b">
        <f t="shared" si="154"/>
        <v>1</v>
      </c>
      <c r="I537" s="630"/>
      <c r="J537" s="627"/>
      <c r="K537" s="631" t="str">
        <f>+IFERROR(VLOOKUP(J537,Listas!$A$108:$B$114,2,FALSE),"Alerta: Seleccione la celda en la comumna B con el nombre del proyecto")</f>
        <v>Alerta: Seleccione la celda en la comumna B con el nombre del proyecto</v>
      </c>
      <c r="L537" s="632"/>
      <c r="M537" s="633"/>
      <c r="N537" s="634" t="str">
        <f t="shared" si="155"/>
        <v xml:space="preserve">(Cód. ) </v>
      </c>
      <c r="O537" s="635"/>
      <c r="P537" s="636">
        <f>IFERROR(VLOOKUP(W537,'Estimación CRP'!$D$21:$E$30,2,FALSE),0)</f>
        <v>0</v>
      </c>
      <c r="Q537" s="637">
        <f>IF(O537="No aplica","No aplica",WORKDAY.INTL(O537,P537,1,'Estimación CRP'!A723:A739))</f>
        <v>0</v>
      </c>
      <c r="R537" s="636">
        <f t="shared" si="156"/>
        <v>1</v>
      </c>
      <c r="S537" s="636">
        <f t="shared" si="157"/>
        <v>1</v>
      </c>
      <c r="T537" s="636">
        <f t="shared" si="158"/>
        <v>1</v>
      </c>
      <c r="U537" s="638"/>
      <c r="V537" s="638"/>
      <c r="W537" s="639"/>
      <c r="X537" s="640" t="str">
        <f>IFERROR(VLOOKUP(W537,Listas!$A$60:$B$73,2,FALSE),"Alerta: Seleccione primero Modalidad de selección")</f>
        <v>Alerta: Seleccione primero Modalidad de selección</v>
      </c>
      <c r="Y537" s="641">
        <v>0</v>
      </c>
      <c r="Z537" s="641"/>
      <c r="AA537" s="641"/>
      <c r="AB537" s="642">
        <f t="shared" si="159"/>
        <v>0</v>
      </c>
      <c r="AC537" s="642">
        <f t="shared" si="160"/>
        <v>0</v>
      </c>
      <c r="AD537" s="641">
        <v>0</v>
      </c>
      <c r="AE537" s="643">
        <v>0</v>
      </c>
      <c r="AF537" s="639" t="s">
        <v>276</v>
      </c>
      <c r="AG537" s="639" t="s">
        <v>277</v>
      </c>
      <c r="AH537" s="639"/>
      <c r="AI537" s="626" t="str">
        <f>IFERROR(VLOOKUP(AH537,Listas!$A$77:$C$83,2,FALSE),"Alerta: Seleccione primero el responsable")</f>
        <v>Alerta: Seleccione primero el responsable</v>
      </c>
      <c r="AJ537" s="640" t="str">
        <f>IFERROR(VLOOKUP(AH537,Listas!$A$77:$C$83,3,FALSE),"Alerta: Seleccione primero el responsable")</f>
        <v>Alerta: Seleccione primero el responsable</v>
      </c>
      <c r="AK537" s="640" t="str">
        <f>IF(J537="Funcionamiento Gastos Generales","No aplica",IF(J537="Funcionamiento Servicios Personales indirectos","No aplica",IFERROR(VLOOKUP(J537,Listas!$A$127:$E$139,3,FALSE),"Alerta: Seleccione la celda en la comumna B con el nombre del proyecto")))</f>
        <v>Alerta: Seleccione la celda en la comumna B con el nombre del proyecto</v>
      </c>
      <c r="AL537" s="640" t="str">
        <f>IF(J537="Funcionamiento Gastos Generales","No aplica",IF(J537="Funcionamiento Servicios Personales","No aplica",IFERROR(VLOOKUP(J537,Listas!$A$220:$D$224,2,FALSE),"Alerta: Seleccione la celda en la comumna B con el nombre del proyecto")))</f>
        <v>Alerta: Seleccione la celda en la comumna B con el nombre del proyecto</v>
      </c>
      <c r="AM537" s="640" t="str">
        <f>IF(J537="Funcionamiento Gastos Generales","No aplica",IF(J537="Funcionamiento Servicios Personales","No aplica",IFERROR(VLOOKUP(J537,Listas!$A$220:$D$224,3,FALSE),"Alerta: Seleccione la celda en la comumna B con el nombre del proyecto")))</f>
        <v>Alerta: Seleccione la celda en la comumna B con el nombre del proyecto</v>
      </c>
      <c r="AN537" s="633"/>
      <c r="AO537" s="633"/>
      <c r="AP537" s="634" t="str">
        <f>IFERROR(VLOOKUP(J537,Listas!$A$182:$E$215,5,FALSE),"Alerta: Seleccione la celda en la comumna B con el nombre del proyecto")</f>
        <v>Alerta: Seleccione la celda en la comumna B con el nombre del proyecto</v>
      </c>
      <c r="AQ537" s="634" t="str">
        <f>IF(J537="Funcionamiento Gastos Generales","No aplica",IF(J537="Funcionamiento Servicios Personales","No aplica",IFERROR(VLOOKUP(J537,Listas!$A$220:$D$224,4,FALSE),"Alerta: Seleccione la celda en la comumna B con el nombre del proyecto")))</f>
        <v>Alerta: Seleccione la celda en la comumna B con el nombre del proyecto</v>
      </c>
      <c r="AR537" s="633"/>
      <c r="AS537" s="634" t="str">
        <f>IFERROR(VLOOKUP(AU537,Listas!$E$85:$L$105,7,FALSE),"Alerta: Seleccione la celda en la comumna AI con el concepto de gasto")</f>
        <v>Alerta: Seleccione la celda en la comumna AI con el concepto de gasto</v>
      </c>
      <c r="AT537" s="634" t="str">
        <f>IFERROR(VLOOKUP(AU537,Listas!$E$85:$L$105,8,FALSE),"Alerta: Seleccione la celda en la comumna AI con el concepto de gasto")</f>
        <v>Alerta: Seleccione la celda en la comumna AI con el concepto de gasto</v>
      </c>
      <c r="AU537" s="633"/>
      <c r="AV537" s="634" t="str">
        <f>IFERROR(VLOOKUP(AU537,Listas!$E$85:$F$105,2,FALSE),"Alerta: Seleccione el Concepto de Gasto primero")</f>
        <v>Alerta: Seleccione el Concepto de Gasto primero</v>
      </c>
      <c r="AW537" s="644"/>
      <c r="AX537" s="645"/>
      <c r="AY537" s="645"/>
      <c r="AZ537" s="645"/>
      <c r="BA537" s="646">
        <f t="shared" si="161"/>
        <v>0</v>
      </c>
      <c r="BB537" s="647"/>
      <c r="BC537" s="648"/>
      <c r="BD537" s="649"/>
      <c r="BE537" s="647"/>
      <c r="BF537" s="644"/>
      <c r="BG537" s="646">
        <f t="shared" si="162"/>
        <v>0</v>
      </c>
      <c r="BH537" s="650"/>
      <c r="BI537" s="647"/>
      <c r="BJ537" s="644"/>
      <c r="BK537" s="646">
        <f t="shared" si="163"/>
        <v>0</v>
      </c>
      <c r="BL537" s="651"/>
      <c r="BM537" s="652">
        <f t="shared" si="164"/>
        <v>1</v>
      </c>
      <c r="BN537" s="628"/>
      <c r="BO537" s="670"/>
      <c r="BP537" s="644"/>
      <c r="BQ537" s="644"/>
      <c r="BR537" s="644"/>
      <c r="BS537" s="644"/>
      <c r="BT537" s="644"/>
      <c r="BU537" s="644"/>
      <c r="BV537" s="644"/>
      <c r="BW537" s="644"/>
      <c r="BX537" s="644"/>
      <c r="BY537" s="644"/>
      <c r="BZ537" s="644"/>
      <c r="CA537" s="644"/>
      <c r="CB537" s="646">
        <f t="shared" si="165"/>
        <v>0</v>
      </c>
      <c r="CC537" s="646">
        <f t="shared" si="166"/>
        <v>0</v>
      </c>
      <c r="CD537" s="614"/>
    </row>
    <row r="538" spans="1:82" s="561" customFormat="1" ht="61.5" customHeight="1">
      <c r="A538" s="625" t="str">
        <f t="shared" si="148"/>
        <v>proyecto-Alerta: Seleccione la celda en la comumna B con el nombre del proyecto-Al-Al--</v>
      </c>
      <c r="B538" s="626" t="str">
        <f t="shared" si="149"/>
        <v>proyecto-Alerta: Seleccione la celda en la comumna B con el nombre del proyecto-Al-Al-</v>
      </c>
      <c r="C538" s="626" t="str">
        <f t="shared" si="150"/>
        <v>proyecto-Alerta: Seleccione la celda en la comumna B con el nombre del proyecto-</v>
      </c>
      <c r="D538" s="626" t="str">
        <f t="shared" si="151"/>
        <v>proyecto--Al-Al-</v>
      </c>
      <c r="E538" s="626" t="str">
        <f t="shared" si="152"/>
        <v>--</v>
      </c>
      <c r="F538" s="627"/>
      <c r="G538" s="628">
        <f t="shared" si="153"/>
        <v>0</v>
      </c>
      <c r="H538" s="629" t="b">
        <f t="shared" si="154"/>
        <v>1</v>
      </c>
      <c r="I538" s="630"/>
      <c r="J538" s="627"/>
      <c r="K538" s="631" t="str">
        <f>+IFERROR(VLOOKUP(J538,Listas!$A$108:$B$114,2,FALSE),"Alerta: Seleccione la celda en la comumna B con el nombre del proyecto")</f>
        <v>Alerta: Seleccione la celda en la comumna B con el nombre del proyecto</v>
      </c>
      <c r="L538" s="632"/>
      <c r="M538" s="633"/>
      <c r="N538" s="634" t="str">
        <f t="shared" si="155"/>
        <v xml:space="preserve">(Cód. ) </v>
      </c>
      <c r="O538" s="635"/>
      <c r="P538" s="636">
        <f>IFERROR(VLOOKUP(W538,'Estimación CRP'!$D$21:$E$30,2,FALSE),0)</f>
        <v>0</v>
      </c>
      <c r="Q538" s="637">
        <f>IF(O538="No aplica","No aplica",WORKDAY.INTL(O538,P538,1,'Estimación CRP'!A724:A740))</f>
        <v>0</v>
      </c>
      <c r="R538" s="636">
        <f t="shared" si="156"/>
        <v>1</v>
      </c>
      <c r="S538" s="636">
        <f t="shared" si="157"/>
        <v>1</v>
      </c>
      <c r="T538" s="636">
        <f t="shared" si="158"/>
        <v>1</v>
      </c>
      <c r="U538" s="638"/>
      <c r="V538" s="638"/>
      <c r="W538" s="639"/>
      <c r="X538" s="640" t="str">
        <f>IFERROR(VLOOKUP(W538,Listas!$A$60:$B$73,2,FALSE),"Alerta: Seleccione primero Modalidad de selección")</f>
        <v>Alerta: Seleccione primero Modalidad de selección</v>
      </c>
      <c r="Y538" s="641">
        <v>0</v>
      </c>
      <c r="Z538" s="641"/>
      <c r="AA538" s="641"/>
      <c r="AB538" s="642">
        <f t="shared" si="159"/>
        <v>0</v>
      </c>
      <c r="AC538" s="642">
        <f t="shared" si="160"/>
        <v>0</v>
      </c>
      <c r="AD538" s="641">
        <v>0</v>
      </c>
      <c r="AE538" s="643">
        <v>0</v>
      </c>
      <c r="AF538" s="639" t="s">
        <v>276</v>
      </c>
      <c r="AG538" s="639" t="s">
        <v>277</v>
      </c>
      <c r="AH538" s="639"/>
      <c r="AI538" s="626" t="str">
        <f>IFERROR(VLOOKUP(AH538,Listas!$A$77:$C$83,2,FALSE),"Alerta: Seleccione primero el responsable")</f>
        <v>Alerta: Seleccione primero el responsable</v>
      </c>
      <c r="AJ538" s="640" t="str">
        <f>IFERROR(VLOOKUP(AH538,Listas!$A$77:$C$83,3,FALSE),"Alerta: Seleccione primero el responsable")</f>
        <v>Alerta: Seleccione primero el responsable</v>
      </c>
      <c r="AK538" s="640" t="str">
        <f>IF(J538="Funcionamiento Gastos Generales","No aplica",IF(J538="Funcionamiento Servicios Personales indirectos","No aplica",IFERROR(VLOOKUP(J538,Listas!$A$127:$E$139,3,FALSE),"Alerta: Seleccione la celda en la comumna B con el nombre del proyecto")))</f>
        <v>Alerta: Seleccione la celda en la comumna B con el nombre del proyecto</v>
      </c>
      <c r="AL538" s="640" t="str">
        <f>IF(J538="Funcionamiento Gastos Generales","No aplica",IF(J538="Funcionamiento Servicios Personales","No aplica",IFERROR(VLOOKUP(J538,Listas!$A$220:$D$224,2,FALSE),"Alerta: Seleccione la celda en la comumna B con el nombre del proyecto")))</f>
        <v>Alerta: Seleccione la celda en la comumna B con el nombre del proyecto</v>
      </c>
      <c r="AM538" s="640" t="str">
        <f>IF(J538="Funcionamiento Gastos Generales","No aplica",IF(J538="Funcionamiento Servicios Personales","No aplica",IFERROR(VLOOKUP(J538,Listas!$A$220:$D$224,3,FALSE),"Alerta: Seleccione la celda en la comumna B con el nombre del proyecto")))</f>
        <v>Alerta: Seleccione la celda en la comumna B con el nombre del proyecto</v>
      </c>
      <c r="AN538" s="633"/>
      <c r="AO538" s="633"/>
      <c r="AP538" s="634" t="str">
        <f>IFERROR(VLOOKUP(J538,Listas!$A$182:$E$215,5,FALSE),"Alerta: Seleccione la celda en la comumna B con el nombre del proyecto")</f>
        <v>Alerta: Seleccione la celda en la comumna B con el nombre del proyecto</v>
      </c>
      <c r="AQ538" s="634" t="str">
        <f>IF(J538="Funcionamiento Gastos Generales","No aplica",IF(J538="Funcionamiento Servicios Personales","No aplica",IFERROR(VLOOKUP(J538,Listas!$A$220:$D$224,4,FALSE),"Alerta: Seleccione la celda en la comumna B con el nombre del proyecto")))</f>
        <v>Alerta: Seleccione la celda en la comumna B con el nombre del proyecto</v>
      </c>
      <c r="AR538" s="633"/>
      <c r="AS538" s="634" t="str">
        <f>IFERROR(VLOOKUP(AU538,Listas!$E$85:$L$105,7,FALSE),"Alerta: Seleccione la celda en la comumna AI con el concepto de gasto")</f>
        <v>Alerta: Seleccione la celda en la comumna AI con el concepto de gasto</v>
      </c>
      <c r="AT538" s="634" t="str">
        <f>IFERROR(VLOOKUP(AU538,Listas!$E$85:$L$105,8,FALSE),"Alerta: Seleccione la celda en la comumna AI con el concepto de gasto")</f>
        <v>Alerta: Seleccione la celda en la comumna AI con el concepto de gasto</v>
      </c>
      <c r="AU538" s="633"/>
      <c r="AV538" s="634" t="str">
        <f>IFERROR(VLOOKUP(AU538,Listas!$E$85:$F$105,2,FALSE),"Alerta: Seleccione el Concepto de Gasto primero")</f>
        <v>Alerta: Seleccione el Concepto de Gasto primero</v>
      </c>
      <c r="AW538" s="644"/>
      <c r="AX538" s="645"/>
      <c r="AY538" s="645"/>
      <c r="AZ538" s="645"/>
      <c r="BA538" s="646">
        <f t="shared" si="161"/>
        <v>0</v>
      </c>
      <c r="BB538" s="647"/>
      <c r="BC538" s="648"/>
      <c r="BD538" s="649"/>
      <c r="BE538" s="647"/>
      <c r="BF538" s="644"/>
      <c r="BG538" s="646">
        <f t="shared" si="162"/>
        <v>0</v>
      </c>
      <c r="BH538" s="650"/>
      <c r="BI538" s="647"/>
      <c r="BJ538" s="644"/>
      <c r="BK538" s="646">
        <f t="shared" si="163"/>
        <v>0</v>
      </c>
      <c r="BL538" s="651"/>
      <c r="BM538" s="652">
        <f t="shared" si="164"/>
        <v>1</v>
      </c>
      <c r="BN538" s="628"/>
      <c r="BO538" s="670"/>
      <c r="BP538" s="644"/>
      <c r="BQ538" s="644"/>
      <c r="BR538" s="644"/>
      <c r="BS538" s="644"/>
      <c r="BT538" s="644"/>
      <c r="BU538" s="644"/>
      <c r="BV538" s="644"/>
      <c r="BW538" s="644"/>
      <c r="BX538" s="644"/>
      <c r="BY538" s="644"/>
      <c r="BZ538" s="644"/>
      <c r="CA538" s="644"/>
      <c r="CB538" s="646">
        <f t="shared" si="165"/>
        <v>0</v>
      </c>
      <c r="CC538" s="646">
        <f t="shared" si="166"/>
        <v>0</v>
      </c>
      <c r="CD538" s="614"/>
    </row>
    <row r="539" spans="1:82" s="561" customFormat="1" ht="61.5" customHeight="1">
      <c r="A539" s="625" t="str">
        <f t="shared" si="148"/>
        <v>proyecto-Alerta: Seleccione la celda en la comumna B con el nombre del proyecto-Al-Al--</v>
      </c>
      <c r="B539" s="626" t="str">
        <f t="shared" si="149"/>
        <v>proyecto-Alerta: Seleccione la celda en la comumna B con el nombre del proyecto-Al-Al-</v>
      </c>
      <c r="C539" s="626" t="str">
        <f t="shared" si="150"/>
        <v>proyecto-Alerta: Seleccione la celda en la comumna B con el nombre del proyecto-</v>
      </c>
      <c r="D539" s="626" t="str">
        <f t="shared" si="151"/>
        <v>proyecto--Al-Al-</v>
      </c>
      <c r="E539" s="626" t="str">
        <f t="shared" si="152"/>
        <v>--</v>
      </c>
      <c r="F539" s="627"/>
      <c r="G539" s="628">
        <f t="shared" si="153"/>
        <v>0</v>
      </c>
      <c r="H539" s="629" t="b">
        <f t="shared" si="154"/>
        <v>1</v>
      </c>
      <c r="I539" s="630"/>
      <c r="J539" s="627"/>
      <c r="K539" s="631" t="str">
        <f>+IFERROR(VLOOKUP(J539,Listas!$A$108:$B$114,2,FALSE),"Alerta: Seleccione la celda en la comumna B con el nombre del proyecto")</f>
        <v>Alerta: Seleccione la celda en la comumna B con el nombre del proyecto</v>
      </c>
      <c r="L539" s="632"/>
      <c r="M539" s="633"/>
      <c r="N539" s="634" t="str">
        <f t="shared" si="155"/>
        <v xml:space="preserve">(Cód. ) </v>
      </c>
      <c r="O539" s="635"/>
      <c r="P539" s="636">
        <f>IFERROR(VLOOKUP(W539,'Estimación CRP'!$D$21:$E$30,2,FALSE),0)</f>
        <v>0</v>
      </c>
      <c r="Q539" s="637">
        <f>IF(O539="No aplica","No aplica",WORKDAY.INTL(O539,P539,1,'Estimación CRP'!A725:A741))</f>
        <v>0</v>
      </c>
      <c r="R539" s="636">
        <f t="shared" si="156"/>
        <v>1</v>
      </c>
      <c r="S539" s="636">
        <f t="shared" si="157"/>
        <v>1</v>
      </c>
      <c r="T539" s="636">
        <f t="shared" si="158"/>
        <v>1</v>
      </c>
      <c r="U539" s="638"/>
      <c r="V539" s="638"/>
      <c r="W539" s="639"/>
      <c r="X539" s="640" t="str">
        <f>IFERROR(VLOOKUP(W539,Listas!$A$60:$B$73,2,FALSE),"Alerta: Seleccione primero Modalidad de selección")</f>
        <v>Alerta: Seleccione primero Modalidad de selección</v>
      </c>
      <c r="Y539" s="641">
        <v>0</v>
      </c>
      <c r="Z539" s="641"/>
      <c r="AA539" s="641"/>
      <c r="AB539" s="642">
        <f t="shared" si="159"/>
        <v>0</v>
      </c>
      <c r="AC539" s="642">
        <f t="shared" si="160"/>
        <v>0</v>
      </c>
      <c r="AD539" s="641">
        <v>0</v>
      </c>
      <c r="AE539" s="643">
        <v>0</v>
      </c>
      <c r="AF539" s="639" t="s">
        <v>276</v>
      </c>
      <c r="AG539" s="639" t="s">
        <v>277</v>
      </c>
      <c r="AH539" s="639"/>
      <c r="AI539" s="626" t="str">
        <f>IFERROR(VLOOKUP(AH539,Listas!$A$77:$C$83,2,FALSE),"Alerta: Seleccione primero el responsable")</f>
        <v>Alerta: Seleccione primero el responsable</v>
      </c>
      <c r="AJ539" s="640" t="str">
        <f>IFERROR(VLOOKUP(AH539,Listas!$A$77:$C$83,3,FALSE),"Alerta: Seleccione primero el responsable")</f>
        <v>Alerta: Seleccione primero el responsable</v>
      </c>
      <c r="AK539" s="640" t="str">
        <f>IF(J539="Funcionamiento Gastos Generales","No aplica",IF(J539="Funcionamiento Servicios Personales indirectos","No aplica",IFERROR(VLOOKUP(J539,Listas!$A$127:$E$139,3,FALSE),"Alerta: Seleccione la celda en la comumna B con el nombre del proyecto")))</f>
        <v>Alerta: Seleccione la celda en la comumna B con el nombre del proyecto</v>
      </c>
      <c r="AL539" s="640" t="str">
        <f>IF(J539="Funcionamiento Gastos Generales","No aplica",IF(J539="Funcionamiento Servicios Personales","No aplica",IFERROR(VLOOKUP(J539,Listas!$A$220:$D$224,2,FALSE),"Alerta: Seleccione la celda en la comumna B con el nombre del proyecto")))</f>
        <v>Alerta: Seleccione la celda en la comumna B con el nombre del proyecto</v>
      </c>
      <c r="AM539" s="640" t="str">
        <f>IF(J539="Funcionamiento Gastos Generales","No aplica",IF(J539="Funcionamiento Servicios Personales","No aplica",IFERROR(VLOOKUP(J539,Listas!$A$220:$D$224,3,FALSE),"Alerta: Seleccione la celda en la comumna B con el nombre del proyecto")))</f>
        <v>Alerta: Seleccione la celda en la comumna B con el nombre del proyecto</v>
      </c>
      <c r="AN539" s="633"/>
      <c r="AO539" s="633"/>
      <c r="AP539" s="634" t="str">
        <f>IFERROR(VLOOKUP(J539,Listas!$A$182:$E$215,5,FALSE),"Alerta: Seleccione la celda en la comumna B con el nombre del proyecto")</f>
        <v>Alerta: Seleccione la celda en la comumna B con el nombre del proyecto</v>
      </c>
      <c r="AQ539" s="634" t="str">
        <f>IF(J539="Funcionamiento Gastos Generales","No aplica",IF(J539="Funcionamiento Servicios Personales","No aplica",IFERROR(VLOOKUP(J539,Listas!$A$220:$D$224,4,FALSE),"Alerta: Seleccione la celda en la comumna B con el nombre del proyecto")))</f>
        <v>Alerta: Seleccione la celda en la comumna B con el nombre del proyecto</v>
      </c>
      <c r="AR539" s="633"/>
      <c r="AS539" s="634" t="str">
        <f>IFERROR(VLOOKUP(AU539,Listas!$E$85:$L$105,7,FALSE),"Alerta: Seleccione la celda en la comumna AI con el concepto de gasto")</f>
        <v>Alerta: Seleccione la celda en la comumna AI con el concepto de gasto</v>
      </c>
      <c r="AT539" s="634" t="str">
        <f>IFERROR(VLOOKUP(AU539,Listas!$E$85:$L$105,8,FALSE),"Alerta: Seleccione la celda en la comumna AI con el concepto de gasto")</f>
        <v>Alerta: Seleccione la celda en la comumna AI con el concepto de gasto</v>
      </c>
      <c r="AU539" s="633"/>
      <c r="AV539" s="634" t="str">
        <f>IFERROR(VLOOKUP(AU539,Listas!$E$85:$F$105,2,FALSE),"Alerta: Seleccione el Concepto de Gasto primero")</f>
        <v>Alerta: Seleccione el Concepto de Gasto primero</v>
      </c>
      <c r="AW539" s="644"/>
      <c r="AX539" s="645"/>
      <c r="AY539" s="645"/>
      <c r="AZ539" s="645"/>
      <c r="BA539" s="646">
        <f t="shared" si="161"/>
        <v>0</v>
      </c>
      <c r="BB539" s="647"/>
      <c r="BC539" s="648"/>
      <c r="BD539" s="649"/>
      <c r="BE539" s="647"/>
      <c r="BF539" s="644"/>
      <c r="BG539" s="646">
        <f t="shared" si="162"/>
        <v>0</v>
      </c>
      <c r="BH539" s="650"/>
      <c r="BI539" s="647"/>
      <c r="BJ539" s="644"/>
      <c r="BK539" s="646">
        <f t="shared" si="163"/>
        <v>0</v>
      </c>
      <c r="BL539" s="651"/>
      <c r="BM539" s="652">
        <f t="shared" si="164"/>
        <v>1</v>
      </c>
      <c r="BN539" s="628"/>
      <c r="BO539" s="670"/>
      <c r="BP539" s="644"/>
      <c r="BQ539" s="644"/>
      <c r="BR539" s="644"/>
      <c r="BS539" s="644"/>
      <c r="BT539" s="644"/>
      <c r="BU539" s="644"/>
      <c r="BV539" s="644"/>
      <c r="BW539" s="644"/>
      <c r="BX539" s="644"/>
      <c r="BY539" s="644"/>
      <c r="BZ539" s="644"/>
      <c r="CA539" s="644"/>
      <c r="CB539" s="646">
        <f t="shared" si="165"/>
        <v>0</v>
      </c>
      <c r="CC539" s="646">
        <f t="shared" si="166"/>
        <v>0</v>
      </c>
      <c r="CD539" s="614"/>
    </row>
    <row r="540" spans="1:82" s="561" customFormat="1" ht="61.5" customHeight="1">
      <c r="A540" s="625" t="str">
        <f t="shared" si="148"/>
        <v>proyecto-Alerta: Seleccione la celda en la comumna B con el nombre del proyecto-Al-Al--</v>
      </c>
      <c r="B540" s="626" t="str">
        <f t="shared" si="149"/>
        <v>proyecto-Alerta: Seleccione la celda en la comumna B con el nombre del proyecto-Al-Al-</v>
      </c>
      <c r="C540" s="626" t="str">
        <f t="shared" si="150"/>
        <v>proyecto-Alerta: Seleccione la celda en la comumna B con el nombre del proyecto-</v>
      </c>
      <c r="D540" s="626" t="str">
        <f t="shared" si="151"/>
        <v>proyecto--Al-Al-</v>
      </c>
      <c r="E540" s="626" t="str">
        <f t="shared" si="152"/>
        <v>--</v>
      </c>
      <c r="F540" s="627"/>
      <c r="G540" s="628">
        <f t="shared" si="153"/>
        <v>0</v>
      </c>
      <c r="H540" s="629" t="b">
        <f t="shared" si="154"/>
        <v>1</v>
      </c>
      <c r="I540" s="630"/>
      <c r="J540" s="627"/>
      <c r="K540" s="631" t="str">
        <f>+IFERROR(VLOOKUP(J540,Listas!$A$108:$B$114,2,FALSE),"Alerta: Seleccione la celda en la comumna B con el nombre del proyecto")</f>
        <v>Alerta: Seleccione la celda en la comumna B con el nombre del proyecto</v>
      </c>
      <c r="L540" s="632"/>
      <c r="M540" s="633"/>
      <c r="N540" s="634" t="str">
        <f t="shared" si="155"/>
        <v xml:space="preserve">(Cód. ) </v>
      </c>
      <c r="O540" s="635"/>
      <c r="P540" s="636">
        <f>IFERROR(VLOOKUP(W540,'Estimación CRP'!$D$21:$E$30,2,FALSE),0)</f>
        <v>0</v>
      </c>
      <c r="Q540" s="637">
        <f>IF(O540="No aplica","No aplica",WORKDAY.INTL(O540,P540,1,'Estimación CRP'!A726:A742))</f>
        <v>0</v>
      </c>
      <c r="R540" s="636">
        <f t="shared" si="156"/>
        <v>1</v>
      </c>
      <c r="S540" s="636">
        <f t="shared" si="157"/>
        <v>1</v>
      </c>
      <c r="T540" s="636">
        <f t="shared" si="158"/>
        <v>1</v>
      </c>
      <c r="U540" s="638"/>
      <c r="V540" s="638"/>
      <c r="W540" s="639"/>
      <c r="X540" s="640" t="str">
        <f>IFERROR(VLOOKUP(W540,Listas!$A$60:$B$73,2,FALSE),"Alerta: Seleccione primero Modalidad de selección")</f>
        <v>Alerta: Seleccione primero Modalidad de selección</v>
      </c>
      <c r="Y540" s="641">
        <v>0</v>
      </c>
      <c r="Z540" s="641"/>
      <c r="AA540" s="641"/>
      <c r="AB540" s="642">
        <f t="shared" si="159"/>
        <v>0</v>
      </c>
      <c r="AC540" s="642">
        <f t="shared" si="160"/>
        <v>0</v>
      </c>
      <c r="AD540" s="641">
        <v>0</v>
      </c>
      <c r="AE540" s="643">
        <v>0</v>
      </c>
      <c r="AF540" s="639" t="s">
        <v>276</v>
      </c>
      <c r="AG540" s="639" t="s">
        <v>277</v>
      </c>
      <c r="AH540" s="639"/>
      <c r="AI540" s="626" t="str">
        <f>IFERROR(VLOOKUP(AH540,Listas!$A$77:$C$83,2,FALSE),"Alerta: Seleccione primero el responsable")</f>
        <v>Alerta: Seleccione primero el responsable</v>
      </c>
      <c r="AJ540" s="640" t="str">
        <f>IFERROR(VLOOKUP(AH540,Listas!$A$77:$C$83,3,FALSE),"Alerta: Seleccione primero el responsable")</f>
        <v>Alerta: Seleccione primero el responsable</v>
      </c>
      <c r="AK540" s="640" t="str">
        <f>IF(J540="Funcionamiento Gastos Generales","No aplica",IF(J540="Funcionamiento Servicios Personales indirectos","No aplica",IFERROR(VLOOKUP(J540,Listas!$A$127:$E$139,3,FALSE),"Alerta: Seleccione la celda en la comumna B con el nombre del proyecto")))</f>
        <v>Alerta: Seleccione la celda en la comumna B con el nombre del proyecto</v>
      </c>
      <c r="AL540" s="640" t="str">
        <f>IF(J540="Funcionamiento Gastos Generales","No aplica",IF(J540="Funcionamiento Servicios Personales","No aplica",IFERROR(VLOOKUP(J540,Listas!$A$220:$D$224,2,FALSE),"Alerta: Seleccione la celda en la comumna B con el nombre del proyecto")))</f>
        <v>Alerta: Seleccione la celda en la comumna B con el nombre del proyecto</v>
      </c>
      <c r="AM540" s="640" t="str">
        <f>IF(J540="Funcionamiento Gastos Generales","No aplica",IF(J540="Funcionamiento Servicios Personales","No aplica",IFERROR(VLOOKUP(J540,Listas!$A$220:$D$224,3,FALSE),"Alerta: Seleccione la celda en la comumna B con el nombre del proyecto")))</f>
        <v>Alerta: Seleccione la celda en la comumna B con el nombre del proyecto</v>
      </c>
      <c r="AN540" s="633"/>
      <c r="AO540" s="633"/>
      <c r="AP540" s="634" t="str">
        <f>IFERROR(VLOOKUP(J540,Listas!$A$182:$E$215,5,FALSE),"Alerta: Seleccione la celda en la comumna B con el nombre del proyecto")</f>
        <v>Alerta: Seleccione la celda en la comumna B con el nombre del proyecto</v>
      </c>
      <c r="AQ540" s="634" t="str">
        <f>IF(J540="Funcionamiento Gastos Generales","No aplica",IF(J540="Funcionamiento Servicios Personales","No aplica",IFERROR(VLOOKUP(J540,Listas!$A$220:$D$224,4,FALSE),"Alerta: Seleccione la celda en la comumna B con el nombre del proyecto")))</f>
        <v>Alerta: Seleccione la celda en la comumna B con el nombre del proyecto</v>
      </c>
      <c r="AR540" s="633"/>
      <c r="AS540" s="634" t="str">
        <f>IFERROR(VLOOKUP(AU540,Listas!$E$85:$L$105,7,FALSE),"Alerta: Seleccione la celda en la comumna AI con el concepto de gasto")</f>
        <v>Alerta: Seleccione la celda en la comumna AI con el concepto de gasto</v>
      </c>
      <c r="AT540" s="634" t="str">
        <f>IFERROR(VLOOKUP(AU540,Listas!$E$85:$L$105,8,FALSE),"Alerta: Seleccione la celda en la comumna AI con el concepto de gasto")</f>
        <v>Alerta: Seleccione la celda en la comumna AI con el concepto de gasto</v>
      </c>
      <c r="AU540" s="633"/>
      <c r="AV540" s="634" t="str">
        <f>IFERROR(VLOOKUP(AU540,Listas!$E$85:$F$105,2,FALSE),"Alerta: Seleccione el Concepto de Gasto primero")</f>
        <v>Alerta: Seleccione el Concepto de Gasto primero</v>
      </c>
      <c r="AW540" s="644"/>
      <c r="AX540" s="645"/>
      <c r="AY540" s="645"/>
      <c r="AZ540" s="645"/>
      <c r="BA540" s="646">
        <f t="shared" si="161"/>
        <v>0</v>
      </c>
      <c r="BB540" s="647"/>
      <c r="BC540" s="648"/>
      <c r="BD540" s="649"/>
      <c r="BE540" s="647"/>
      <c r="BF540" s="644"/>
      <c r="BG540" s="646">
        <f t="shared" si="162"/>
        <v>0</v>
      </c>
      <c r="BH540" s="650"/>
      <c r="BI540" s="647"/>
      <c r="BJ540" s="644"/>
      <c r="BK540" s="646">
        <f t="shared" si="163"/>
        <v>0</v>
      </c>
      <c r="BL540" s="651"/>
      <c r="BM540" s="652">
        <f t="shared" si="164"/>
        <v>1</v>
      </c>
      <c r="BN540" s="628"/>
      <c r="BO540" s="670"/>
      <c r="BP540" s="644"/>
      <c r="BQ540" s="644"/>
      <c r="BR540" s="644"/>
      <c r="BS540" s="644"/>
      <c r="BT540" s="644"/>
      <c r="BU540" s="644"/>
      <c r="BV540" s="644"/>
      <c r="BW540" s="644"/>
      <c r="BX540" s="644"/>
      <c r="BY540" s="644"/>
      <c r="BZ540" s="644"/>
      <c r="CA540" s="644"/>
      <c r="CB540" s="646">
        <f t="shared" si="165"/>
        <v>0</v>
      </c>
      <c r="CC540" s="646">
        <f t="shared" si="166"/>
        <v>0</v>
      </c>
      <c r="CD540" s="614"/>
    </row>
    <row r="541" spans="1:82" s="561" customFormat="1" ht="61.5" customHeight="1">
      <c r="A541" s="625" t="str">
        <f t="shared" si="148"/>
        <v>proyecto-Alerta: Seleccione la celda en la comumna B con el nombre del proyecto-Al-Al--</v>
      </c>
      <c r="B541" s="626" t="str">
        <f t="shared" si="149"/>
        <v>proyecto-Alerta: Seleccione la celda en la comumna B con el nombre del proyecto-Al-Al-</v>
      </c>
      <c r="C541" s="626" t="str">
        <f t="shared" si="150"/>
        <v>proyecto-Alerta: Seleccione la celda en la comumna B con el nombre del proyecto-</v>
      </c>
      <c r="D541" s="626" t="str">
        <f t="shared" si="151"/>
        <v>proyecto--Al-Al-</v>
      </c>
      <c r="E541" s="626" t="str">
        <f t="shared" si="152"/>
        <v>--</v>
      </c>
      <c r="F541" s="627"/>
      <c r="G541" s="628">
        <f t="shared" si="153"/>
        <v>0</v>
      </c>
      <c r="H541" s="629" t="b">
        <f t="shared" si="154"/>
        <v>1</v>
      </c>
      <c r="I541" s="630"/>
      <c r="J541" s="627"/>
      <c r="K541" s="631" t="str">
        <f>+IFERROR(VLOOKUP(J541,Listas!$A$108:$B$114,2,FALSE),"Alerta: Seleccione la celda en la comumna B con el nombre del proyecto")</f>
        <v>Alerta: Seleccione la celda en la comumna B con el nombre del proyecto</v>
      </c>
      <c r="L541" s="632"/>
      <c r="M541" s="633"/>
      <c r="N541" s="634" t="str">
        <f t="shared" si="155"/>
        <v xml:space="preserve">(Cód. ) </v>
      </c>
      <c r="O541" s="635"/>
      <c r="P541" s="636">
        <f>IFERROR(VLOOKUP(W541,'Estimación CRP'!$D$21:$E$30,2,FALSE),0)</f>
        <v>0</v>
      </c>
      <c r="Q541" s="637">
        <f>IF(O541="No aplica","No aplica",WORKDAY.INTL(O541,P541,1,'Estimación CRP'!A727:A743))</f>
        <v>0</v>
      </c>
      <c r="R541" s="636">
        <f t="shared" si="156"/>
        <v>1</v>
      </c>
      <c r="S541" s="636">
        <f t="shared" si="157"/>
        <v>1</v>
      </c>
      <c r="T541" s="636">
        <f t="shared" si="158"/>
        <v>1</v>
      </c>
      <c r="U541" s="638"/>
      <c r="V541" s="638"/>
      <c r="W541" s="639"/>
      <c r="X541" s="640" t="str">
        <f>IFERROR(VLOOKUP(W541,Listas!$A$60:$B$73,2,FALSE),"Alerta: Seleccione primero Modalidad de selección")</f>
        <v>Alerta: Seleccione primero Modalidad de selección</v>
      </c>
      <c r="Y541" s="641">
        <v>0</v>
      </c>
      <c r="Z541" s="641"/>
      <c r="AA541" s="641"/>
      <c r="AB541" s="642">
        <f t="shared" si="159"/>
        <v>0</v>
      </c>
      <c r="AC541" s="642">
        <f t="shared" si="160"/>
        <v>0</v>
      </c>
      <c r="AD541" s="641">
        <v>0</v>
      </c>
      <c r="AE541" s="643">
        <v>0</v>
      </c>
      <c r="AF541" s="639" t="s">
        <v>276</v>
      </c>
      <c r="AG541" s="639" t="s">
        <v>277</v>
      </c>
      <c r="AH541" s="639"/>
      <c r="AI541" s="626" t="str">
        <f>IFERROR(VLOOKUP(AH541,Listas!$A$77:$C$83,2,FALSE),"Alerta: Seleccione primero el responsable")</f>
        <v>Alerta: Seleccione primero el responsable</v>
      </c>
      <c r="AJ541" s="640" t="str">
        <f>IFERROR(VLOOKUP(AH541,Listas!$A$77:$C$83,3,FALSE),"Alerta: Seleccione primero el responsable")</f>
        <v>Alerta: Seleccione primero el responsable</v>
      </c>
      <c r="AK541" s="640" t="str">
        <f>IF(J541="Funcionamiento Gastos Generales","No aplica",IF(J541="Funcionamiento Servicios Personales indirectos","No aplica",IFERROR(VLOOKUP(J541,Listas!$A$127:$E$139,3,FALSE),"Alerta: Seleccione la celda en la comumna B con el nombre del proyecto")))</f>
        <v>Alerta: Seleccione la celda en la comumna B con el nombre del proyecto</v>
      </c>
      <c r="AL541" s="640" t="str">
        <f>IF(J541="Funcionamiento Gastos Generales","No aplica",IF(J541="Funcionamiento Servicios Personales","No aplica",IFERROR(VLOOKUP(J541,Listas!$A$220:$D$224,2,FALSE),"Alerta: Seleccione la celda en la comumna B con el nombre del proyecto")))</f>
        <v>Alerta: Seleccione la celda en la comumna B con el nombre del proyecto</v>
      </c>
      <c r="AM541" s="640" t="str">
        <f>IF(J541="Funcionamiento Gastos Generales","No aplica",IF(J541="Funcionamiento Servicios Personales","No aplica",IFERROR(VLOOKUP(J541,Listas!$A$220:$D$224,3,FALSE),"Alerta: Seleccione la celda en la comumna B con el nombre del proyecto")))</f>
        <v>Alerta: Seleccione la celda en la comumna B con el nombre del proyecto</v>
      </c>
      <c r="AN541" s="633"/>
      <c r="AO541" s="633"/>
      <c r="AP541" s="634" t="str">
        <f>IFERROR(VLOOKUP(J541,Listas!$A$182:$E$215,5,FALSE),"Alerta: Seleccione la celda en la comumna B con el nombre del proyecto")</f>
        <v>Alerta: Seleccione la celda en la comumna B con el nombre del proyecto</v>
      </c>
      <c r="AQ541" s="634" t="str">
        <f>IF(J541="Funcionamiento Gastos Generales","No aplica",IF(J541="Funcionamiento Servicios Personales","No aplica",IFERROR(VLOOKUP(J541,Listas!$A$220:$D$224,4,FALSE),"Alerta: Seleccione la celda en la comumna B con el nombre del proyecto")))</f>
        <v>Alerta: Seleccione la celda en la comumna B con el nombre del proyecto</v>
      </c>
      <c r="AR541" s="633"/>
      <c r="AS541" s="634" t="str">
        <f>IFERROR(VLOOKUP(AU541,Listas!$E$85:$L$105,7,FALSE),"Alerta: Seleccione la celda en la comumna AI con el concepto de gasto")</f>
        <v>Alerta: Seleccione la celda en la comumna AI con el concepto de gasto</v>
      </c>
      <c r="AT541" s="634" t="str">
        <f>IFERROR(VLOOKUP(AU541,Listas!$E$85:$L$105,8,FALSE),"Alerta: Seleccione la celda en la comumna AI con el concepto de gasto")</f>
        <v>Alerta: Seleccione la celda en la comumna AI con el concepto de gasto</v>
      </c>
      <c r="AU541" s="633"/>
      <c r="AV541" s="634" t="str">
        <f>IFERROR(VLOOKUP(AU541,Listas!$E$85:$F$105,2,FALSE),"Alerta: Seleccione el Concepto de Gasto primero")</f>
        <v>Alerta: Seleccione el Concepto de Gasto primero</v>
      </c>
      <c r="AW541" s="644"/>
      <c r="AX541" s="645"/>
      <c r="AY541" s="645"/>
      <c r="AZ541" s="645"/>
      <c r="BA541" s="646">
        <f t="shared" si="161"/>
        <v>0</v>
      </c>
      <c r="BB541" s="647"/>
      <c r="BC541" s="648"/>
      <c r="BD541" s="649"/>
      <c r="BE541" s="647"/>
      <c r="BF541" s="644"/>
      <c r="BG541" s="646">
        <f t="shared" si="162"/>
        <v>0</v>
      </c>
      <c r="BH541" s="650"/>
      <c r="BI541" s="647"/>
      <c r="BJ541" s="644"/>
      <c r="BK541" s="646">
        <f t="shared" si="163"/>
        <v>0</v>
      </c>
      <c r="BL541" s="651"/>
      <c r="BM541" s="652">
        <f t="shared" si="164"/>
        <v>1</v>
      </c>
      <c r="BN541" s="628"/>
      <c r="BO541" s="670"/>
      <c r="BP541" s="644"/>
      <c r="BQ541" s="644"/>
      <c r="BR541" s="644"/>
      <c r="BS541" s="644"/>
      <c r="BT541" s="644"/>
      <c r="BU541" s="644"/>
      <c r="BV541" s="644"/>
      <c r="BW541" s="644"/>
      <c r="BX541" s="644"/>
      <c r="BY541" s="644"/>
      <c r="BZ541" s="644"/>
      <c r="CA541" s="644"/>
      <c r="CB541" s="646">
        <f t="shared" si="165"/>
        <v>0</v>
      </c>
      <c r="CC541" s="646">
        <f t="shared" si="166"/>
        <v>0</v>
      </c>
      <c r="CD541" s="614"/>
    </row>
    <row r="542" spans="1:82" s="561" customFormat="1" ht="61.5" customHeight="1">
      <c r="A542" s="625" t="str">
        <f t="shared" si="148"/>
        <v>proyecto-Alerta: Seleccione la celda en la comumna B con el nombre del proyecto-Al-Al--</v>
      </c>
      <c r="B542" s="626" t="str">
        <f t="shared" si="149"/>
        <v>proyecto-Alerta: Seleccione la celda en la comumna B con el nombre del proyecto-Al-Al-</v>
      </c>
      <c r="C542" s="626" t="str">
        <f t="shared" si="150"/>
        <v>proyecto-Alerta: Seleccione la celda en la comumna B con el nombre del proyecto-</v>
      </c>
      <c r="D542" s="626" t="str">
        <f t="shared" si="151"/>
        <v>proyecto--Al-Al-</v>
      </c>
      <c r="E542" s="626" t="str">
        <f t="shared" si="152"/>
        <v>--</v>
      </c>
      <c r="F542" s="627"/>
      <c r="G542" s="628">
        <f t="shared" si="153"/>
        <v>0</v>
      </c>
      <c r="H542" s="629" t="b">
        <f t="shared" si="154"/>
        <v>1</v>
      </c>
      <c r="I542" s="630"/>
      <c r="J542" s="627"/>
      <c r="K542" s="631" t="str">
        <f>+IFERROR(VLOOKUP(J542,Listas!$A$108:$B$114,2,FALSE),"Alerta: Seleccione la celda en la comumna B con el nombre del proyecto")</f>
        <v>Alerta: Seleccione la celda en la comumna B con el nombre del proyecto</v>
      </c>
      <c r="L542" s="632"/>
      <c r="M542" s="633"/>
      <c r="N542" s="634" t="str">
        <f t="shared" si="155"/>
        <v xml:space="preserve">(Cód. ) </v>
      </c>
      <c r="O542" s="635"/>
      <c r="P542" s="636">
        <f>IFERROR(VLOOKUP(W542,'Estimación CRP'!$D$21:$E$30,2,FALSE),0)</f>
        <v>0</v>
      </c>
      <c r="Q542" s="637">
        <f>IF(O542="No aplica","No aplica",WORKDAY.INTL(O542,P542,1,'Estimación CRP'!A728:A744))</f>
        <v>0</v>
      </c>
      <c r="R542" s="636">
        <f t="shared" si="156"/>
        <v>1</v>
      </c>
      <c r="S542" s="636">
        <f t="shared" si="157"/>
        <v>1</v>
      </c>
      <c r="T542" s="636">
        <f t="shared" si="158"/>
        <v>1</v>
      </c>
      <c r="U542" s="638"/>
      <c r="V542" s="638"/>
      <c r="W542" s="639"/>
      <c r="X542" s="640" t="str">
        <f>IFERROR(VLOOKUP(W542,Listas!$A$60:$B$73,2,FALSE),"Alerta: Seleccione primero Modalidad de selección")</f>
        <v>Alerta: Seleccione primero Modalidad de selección</v>
      </c>
      <c r="Y542" s="641">
        <v>0</v>
      </c>
      <c r="Z542" s="641"/>
      <c r="AA542" s="641"/>
      <c r="AB542" s="642">
        <f t="shared" si="159"/>
        <v>0</v>
      </c>
      <c r="AC542" s="642">
        <f t="shared" si="160"/>
        <v>0</v>
      </c>
      <c r="AD542" s="641">
        <v>0</v>
      </c>
      <c r="AE542" s="643">
        <v>0</v>
      </c>
      <c r="AF542" s="639" t="s">
        <v>276</v>
      </c>
      <c r="AG542" s="639" t="s">
        <v>277</v>
      </c>
      <c r="AH542" s="639"/>
      <c r="AI542" s="626" t="str">
        <f>IFERROR(VLOOKUP(AH542,Listas!$A$77:$C$83,2,FALSE),"Alerta: Seleccione primero el responsable")</f>
        <v>Alerta: Seleccione primero el responsable</v>
      </c>
      <c r="AJ542" s="640" t="str">
        <f>IFERROR(VLOOKUP(AH542,Listas!$A$77:$C$83,3,FALSE),"Alerta: Seleccione primero el responsable")</f>
        <v>Alerta: Seleccione primero el responsable</v>
      </c>
      <c r="AK542" s="640" t="str">
        <f>IF(J542="Funcionamiento Gastos Generales","No aplica",IF(J542="Funcionamiento Servicios Personales indirectos","No aplica",IFERROR(VLOOKUP(J542,Listas!$A$127:$E$139,3,FALSE),"Alerta: Seleccione la celda en la comumna B con el nombre del proyecto")))</f>
        <v>Alerta: Seleccione la celda en la comumna B con el nombre del proyecto</v>
      </c>
      <c r="AL542" s="640" t="str">
        <f>IF(J542="Funcionamiento Gastos Generales","No aplica",IF(J542="Funcionamiento Servicios Personales","No aplica",IFERROR(VLOOKUP(J542,Listas!$A$220:$D$224,2,FALSE),"Alerta: Seleccione la celda en la comumna B con el nombre del proyecto")))</f>
        <v>Alerta: Seleccione la celda en la comumna B con el nombre del proyecto</v>
      </c>
      <c r="AM542" s="640" t="str">
        <f>IF(J542="Funcionamiento Gastos Generales","No aplica",IF(J542="Funcionamiento Servicios Personales","No aplica",IFERROR(VLOOKUP(J542,Listas!$A$220:$D$224,3,FALSE),"Alerta: Seleccione la celda en la comumna B con el nombre del proyecto")))</f>
        <v>Alerta: Seleccione la celda en la comumna B con el nombre del proyecto</v>
      </c>
      <c r="AN542" s="633"/>
      <c r="AO542" s="633"/>
      <c r="AP542" s="634" t="str">
        <f>IFERROR(VLOOKUP(J542,Listas!$A$182:$E$215,5,FALSE),"Alerta: Seleccione la celda en la comumna B con el nombre del proyecto")</f>
        <v>Alerta: Seleccione la celda en la comumna B con el nombre del proyecto</v>
      </c>
      <c r="AQ542" s="634" t="str">
        <f>IF(J542="Funcionamiento Gastos Generales","No aplica",IF(J542="Funcionamiento Servicios Personales","No aplica",IFERROR(VLOOKUP(J542,Listas!$A$220:$D$224,4,FALSE),"Alerta: Seleccione la celda en la comumna B con el nombre del proyecto")))</f>
        <v>Alerta: Seleccione la celda en la comumna B con el nombre del proyecto</v>
      </c>
      <c r="AR542" s="633"/>
      <c r="AS542" s="634" t="str">
        <f>IFERROR(VLOOKUP(AU542,Listas!$E$85:$L$105,7,FALSE),"Alerta: Seleccione la celda en la comumna AI con el concepto de gasto")</f>
        <v>Alerta: Seleccione la celda en la comumna AI con el concepto de gasto</v>
      </c>
      <c r="AT542" s="634" t="str">
        <f>IFERROR(VLOOKUP(AU542,Listas!$E$85:$L$105,8,FALSE),"Alerta: Seleccione la celda en la comumna AI con el concepto de gasto")</f>
        <v>Alerta: Seleccione la celda en la comumna AI con el concepto de gasto</v>
      </c>
      <c r="AU542" s="633"/>
      <c r="AV542" s="634" t="str">
        <f>IFERROR(VLOOKUP(AU542,Listas!$E$85:$F$105,2,FALSE),"Alerta: Seleccione el Concepto de Gasto primero")</f>
        <v>Alerta: Seleccione el Concepto de Gasto primero</v>
      </c>
      <c r="AW542" s="644"/>
      <c r="AX542" s="645"/>
      <c r="AY542" s="645"/>
      <c r="AZ542" s="645"/>
      <c r="BA542" s="646">
        <f t="shared" si="161"/>
        <v>0</v>
      </c>
      <c r="BB542" s="647"/>
      <c r="BC542" s="648"/>
      <c r="BD542" s="649"/>
      <c r="BE542" s="647"/>
      <c r="BF542" s="644"/>
      <c r="BG542" s="646">
        <f t="shared" si="162"/>
        <v>0</v>
      </c>
      <c r="BH542" s="650"/>
      <c r="BI542" s="647"/>
      <c r="BJ542" s="644"/>
      <c r="BK542" s="646">
        <f t="shared" si="163"/>
        <v>0</v>
      </c>
      <c r="BL542" s="651"/>
      <c r="BM542" s="652">
        <f t="shared" si="164"/>
        <v>1</v>
      </c>
      <c r="BN542" s="628"/>
      <c r="BO542" s="670"/>
      <c r="BP542" s="644"/>
      <c r="BQ542" s="644"/>
      <c r="BR542" s="644"/>
      <c r="BS542" s="644"/>
      <c r="BT542" s="644"/>
      <c r="BU542" s="644"/>
      <c r="BV542" s="644"/>
      <c r="BW542" s="644"/>
      <c r="BX542" s="644"/>
      <c r="BY542" s="644"/>
      <c r="BZ542" s="644"/>
      <c r="CA542" s="644"/>
      <c r="CB542" s="646">
        <f t="shared" si="165"/>
        <v>0</v>
      </c>
      <c r="CC542" s="646">
        <f t="shared" si="166"/>
        <v>0</v>
      </c>
      <c r="CD542" s="614"/>
    </row>
    <row r="543" spans="1:82" s="561" customFormat="1" ht="61.5" customHeight="1">
      <c r="A543" s="625" t="str">
        <f t="shared" si="148"/>
        <v>proyecto-Alerta: Seleccione la celda en la comumna B con el nombre del proyecto-Al-Al--</v>
      </c>
      <c r="B543" s="626" t="str">
        <f t="shared" si="149"/>
        <v>proyecto-Alerta: Seleccione la celda en la comumna B con el nombre del proyecto-Al-Al-</v>
      </c>
      <c r="C543" s="626" t="str">
        <f t="shared" si="150"/>
        <v>proyecto-Alerta: Seleccione la celda en la comumna B con el nombre del proyecto-</v>
      </c>
      <c r="D543" s="626" t="str">
        <f t="shared" si="151"/>
        <v>proyecto--Al-Al-</v>
      </c>
      <c r="E543" s="626" t="str">
        <f t="shared" si="152"/>
        <v>--</v>
      </c>
      <c r="F543" s="627"/>
      <c r="G543" s="628">
        <f t="shared" si="153"/>
        <v>0</v>
      </c>
      <c r="H543" s="629" t="b">
        <f t="shared" si="154"/>
        <v>1</v>
      </c>
      <c r="I543" s="630"/>
      <c r="J543" s="627"/>
      <c r="K543" s="631" t="str">
        <f>+IFERROR(VLOOKUP(J543,Listas!$A$108:$B$114,2,FALSE),"Alerta: Seleccione la celda en la comumna B con el nombre del proyecto")</f>
        <v>Alerta: Seleccione la celda en la comumna B con el nombre del proyecto</v>
      </c>
      <c r="L543" s="632"/>
      <c r="M543" s="633"/>
      <c r="N543" s="634" t="str">
        <f t="shared" si="155"/>
        <v xml:space="preserve">(Cód. ) </v>
      </c>
      <c r="O543" s="635"/>
      <c r="P543" s="636">
        <f>IFERROR(VLOOKUP(W543,'Estimación CRP'!$D$21:$E$30,2,FALSE),0)</f>
        <v>0</v>
      </c>
      <c r="Q543" s="637">
        <f>IF(O543="No aplica","No aplica",WORKDAY.INTL(O543,P543,1,'Estimación CRP'!A729:A745))</f>
        <v>0</v>
      </c>
      <c r="R543" s="636">
        <f t="shared" si="156"/>
        <v>1</v>
      </c>
      <c r="S543" s="636">
        <f t="shared" si="157"/>
        <v>1</v>
      </c>
      <c r="T543" s="636">
        <f t="shared" si="158"/>
        <v>1</v>
      </c>
      <c r="U543" s="638"/>
      <c r="V543" s="638"/>
      <c r="W543" s="639"/>
      <c r="X543" s="640" t="str">
        <f>IFERROR(VLOOKUP(W543,Listas!$A$60:$B$73,2,FALSE),"Alerta: Seleccione primero Modalidad de selección")</f>
        <v>Alerta: Seleccione primero Modalidad de selección</v>
      </c>
      <c r="Y543" s="641">
        <v>0</v>
      </c>
      <c r="Z543" s="641"/>
      <c r="AA543" s="641"/>
      <c r="AB543" s="642">
        <f t="shared" si="159"/>
        <v>0</v>
      </c>
      <c r="AC543" s="642">
        <f t="shared" si="160"/>
        <v>0</v>
      </c>
      <c r="AD543" s="641">
        <v>0</v>
      </c>
      <c r="AE543" s="643">
        <v>0</v>
      </c>
      <c r="AF543" s="639" t="s">
        <v>276</v>
      </c>
      <c r="AG543" s="639" t="s">
        <v>277</v>
      </c>
      <c r="AH543" s="639"/>
      <c r="AI543" s="626" t="str">
        <f>IFERROR(VLOOKUP(AH543,Listas!$A$77:$C$83,2,FALSE),"Alerta: Seleccione primero el responsable")</f>
        <v>Alerta: Seleccione primero el responsable</v>
      </c>
      <c r="AJ543" s="640" t="str">
        <f>IFERROR(VLOOKUP(AH543,Listas!$A$77:$C$83,3,FALSE),"Alerta: Seleccione primero el responsable")</f>
        <v>Alerta: Seleccione primero el responsable</v>
      </c>
      <c r="AK543" s="640" t="str">
        <f>IF(J543="Funcionamiento Gastos Generales","No aplica",IF(J543="Funcionamiento Servicios Personales indirectos","No aplica",IFERROR(VLOOKUP(J543,Listas!$A$127:$E$139,3,FALSE),"Alerta: Seleccione la celda en la comumna B con el nombre del proyecto")))</f>
        <v>Alerta: Seleccione la celda en la comumna B con el nombre del proyecto</v>
      </c>
      <c r="AL543" s="640" t="str">
        <f>IF(J543="Funcionamiento Gastos Generales","No aplica",IF(J543="Funcionamiento Servicios Personales","No aplica",IFERROR(VLOOKUP(J543,Listas!$A$220:$D$224,2,FALSE),"Alerta: Seleccione la celda en la comumna B con el nombre del proyecto")))</f>
        <v>Alerta: Seleccione la celda en la comumna B con el nombre del proyecto</v>
      </c>
      <c r="AM543" s="640" t="str">
        <f>IF(J543="Funcionamiento Gastos Generales","No aplica",IF(J543="Funcionamiento Servicios Personales","No aplica",IFERROR(VLOOKUP(J543,Listas!$A$220:$D$224,3,FALSE),"Alerta: Seleccione la celda en la comumna B con el nombre del proyecto")))</f>
        <v>Alerta: Seleccione la celda en la comumna B con el nombre del proyecto</v>
      </c>
      <c r="AN543" s="633"/>
      <c r="AO543" s="633"/>
      <c r="AP543" s="634" t="str">
        <f>IFERROR(VLOOKUP(J543,Listas!$A$182:$E$215,5,FALSE),"Alerta: Seleccione la celda en la comumna B con el nombre del proyecto")</f>
        <v>Alerta: Seleccione la celda en la comumna B con el nombre del proyecto</v>
      </c>
      <c r="AQ543" s="634" t="str">
        <f>IF(J543="Funcionamiento Gastos Generales","No aplica",IF(J543="Funcionamiento Servicios Personales","No aplica",IFERROR(VLOOKUP(J543,Listas!$A$220:$D$224,4,FALSE),"Alerta: Seleccione la celda en la comumna B con el nombre del proyecto")))</f>
        <v>Alerta: Seleccione la celda en la comumna B con el nombre del proyecto</v>
      </c>
      <c r="AR543" s="633"/>
      <c r="AS543" s="634" t="str">
        <f>IFERROR(VLOOKUP(AU543,Listas!$E$85:$L$105,7,FALSE),"Alerta: Seleccione la celda en la comumna AI con el concepto de gasto")</f>
        <v>Alerta: Seleccione la celda en la comumna AI con el concepto de gasto</v>
      </c>
      <c r="AT543" s="634" t="str">
        <f>IFERROR(VLOOKUP(AU543,Listas!$E$85:$L$105,8,FALSE),"Alerta: Seleccione la celda en la comumna AI con el concepto de gasto")</f>
        <v>Alerta: Seleccione la celda en la comumna AI con el concepto de gasto</v>
      </c>
      <c r="AU543" s="633"/>
      <c r="AV543" s="634" t="str">
        <f>IFERROR(VLOOKUP(AU543,Listas!$E$85:$F$105,2,FALSE),"Alerta: Seleccione el Concepto de Gasto primero")</f>
        <v>Alerta: Seleccione el Concepto de Gasto primero</v>
      </c>
      <c r="AW543" s="644"/>
      <c r="AX543" s="645"/>
      <c r="AY543" s="645"/>
      <c r="AZ543" s="645"/>
      <c r="BA543" s="646">
        <f t="shared" si="161"/>
        <v>0</v>
      </c>
      <c r="BB543" s="647"/>
      <c r="BC543" s="648"/>
      <c r="BD543" s="649"/>
      <c r="BE543" s="647"/>
      <c r="BF543" s="644"/>
      <c r="BG543" s="646">
        <f t="shared" si="162"/>
        <v>0</v>
      </c>
      <c r="BH543" s="650"/>
      <c r="BI543" s="647"/>
      <c r="BJ543" s="644"/>
      <c r="BK543" s="646">
        <f t="shared" si="163"/>
        <v>0</v>
      </c>
      <c r="BL543" s="651"/>
      <c r="BM543" s="652">
        <f t="shared" si="164"/>
        <v>1</v>
      </c>
      <c r="BN543" s="628"/>
      <c r="BO543" s="670"/>
      <c r="BP543" s="644"/>
      <c r="BQ543" s="644"/>
      <c r="BR543" s="644"/>
      <c r="BS543" s="644"/>
      <c r="BT543" s="644"/>
      <c r="BU543" s="644"/>
      <c r="BV543" s="644"/>
      <c r="BW543" s="644"/>
      <c r="BX543" s="644"/>
      <c r="BY543" s="644"/>
      <c r="BZ543" s="644"/>
      <c r="CA543" s="644"/>
      <c r="CB543" s="646">
        <f t="shared" si="165"/>
        <v>0</v>
      </c>
      <c r="CC543" s="646">
        <f t="shared" si="166"/>
        <v>0</v>
      </c>
      <c r="CD543" s="614"/>
    </row>
    <row r="544" spans="1:82" s="561" customFormat="1" ht="61.5" customHeight="1">
      <c r="A544" s="625" t="str">
        <f t="shared" ref="A544:A607" si="167">+CONCATENATE(B544,"-",AO544)</f>
        <v>proyecto-Alerta: Seleccione la celda en la comumna B con el nombre del proyecto-Al-Al--</v>
      </c>
      <c r="B544" s="626" t="str">
        <f t="shared" ref="B544:B607" si="168">CONCATENATE(RIGHT(K544,8),"-",AQ544,"-",LEFT(AS544,2),"-",LEFT(AT544,2),"-",LEFT(AU544,4))</f>
        <v>proyecto-Alerta: Seleccione la celda en la comumna B con el nombre del proyecto-Al-Al-</v>
      </c>
      <c r="C544" s="626" t="str">
        <f t="shared" ref="C544:C607" si="169">+CONCATENATE(RIGHT(K544,8),"-",AQ544,"-",AO544)</f>
        <v>proyecto-Alerta: Seleccione la celda en la comumna B con el nombre del proyecto-</v>
      </c>
      <c r="D544" s="626" t="str">
        <f t="shared" ref="D544:D607" si="170">+CONCATENATE(RIGHT(K544,8),"-",AR544,"-",LEFT(AS544,2),"-",LEFT(AT544,2),"-",LEFT(AU544,4))</f>
        <v>proyecto--Al-Al-</v>
      </c>
      <c r="E544" s="626" t="str">
        <f t="shared" si="152"/>
        <v>--</v>
      </c>
      <c r="F544" s="627"/>
      <c r="G544" s="628">
        <f t="shared" si="153"/>
        <v>0</v>
      </c>
      <c r="H544" s="629" t="b">
        <f t="shared" si="154"/>
        <v>1</v>
      </c>
      <c r="I544" s="630"/>
      <c r="J544" s="627"/>
      <c r="K544" s="631" t="str">
        <f>+IFERROR(VLOOKUP(J544,Listas!$A$108:$B$114,2,FALSE),"Alerta: Seleccione la celda en la comumna B con el nombre del proyecto")</f>
        <v>Alerta: Seleccione la celda en la comumna B con el nombre del proyecto</v>
      </c>
      <c r="L544" s="632"/>
      <c r="M544" s="633"/>
      <c r="N544" s="634" t="str">
        <f t="shared" si="155"/>
        <v xml:space="preserve">(Cód. ) </v>
      </c>
      <c r="O544" s="635"/>
      <c r="P544" s="636">
        <f>IFERROR(VLOOKUP(W544,'Estimación CRP'!$D$21:$E$30,2,FALSE),0)</f>
        <v>0</v>
      </c>
      <c r="Q544" s="637">
        <f>IF(O544="No aplica","No aplica",WORKDAY.INTL(O544,P544,1,'Estimación CRP'!A730:A746))</f>
        <v>0</v>
      </c>
      <c r="R544" s="636">
        <f t="shared" si="156"/>
        <v>1</v>
      </c>
      <c r="S544" s="636">
        <f t="shared" si="157"/>
        <v>1</v>
      </c>
      <c r="T544" s="636">
        <f t="shared" si="158"/>
        <v>1</v>
      </c>
      <c r="U544" s="638"/>
      <c r="V544" s="638"/>
      <c r="W544" s="639"/>
      <c r="X544" s="640" t="str">
        <f>IFERROR(VLOOKUP(W544,Listas!$A$60:$B$73,2,FALSE),"Alerta: Seleccione primero Modalidad de selección")</f>
        <v>Alerta: Seleccione primero Modalidad de selección</v>
      </c>
      <c r="Y544" s="641">
        <v>0</v>
      </c>
      <c r="Z544" s="641"/>
      <c r="AA544" s="641"/>
      <c r="AB544" s="642">
        <f t="shared" si="159"/>
        <v>0</v>
      </c>
      <c r="AC544" s="642">
        <f t="shared" si="160"/>
        <v>0</v>
      </c>
      <c r="AD544" s="641">
        <v>0</v>
      </c>
      <c r="AE544" s="643">
        <v>0</v>
      </c>
      <c r="AF544" s="639" t="s">
        <v>276</v>
      </c>
      <c r="AG544" s="639" t="s">
        <v>277</v>
      </c>
      <c r="AH544" s="639"/>
      <c r="AI544" s="626" t="str">
        <f>IFERROR(VLOOKUP(AH544,Listas!$A$77:$C$83,2,FALSE),"Alerta: Seleccione primero el responsable")</f>
        <v>Alerta: Seleccione primero el responsable</v>
      </c>
      <c r="AJ544" s="640" t="str">
        <f>IFERROR(VLOOKUP(AH544,Listas!$A$77:$C$83,3,FALSE),"Alerta: Seleccione primero el responsable")</f>
        <v>Alerta: Seleccione primero el responsable</v>
      </c>
      <c r="AK544" s="640" t="str">
        <f>IF(J544="Funcionamiento Gastos Generales","No aplica",IF(J544="Funcionamiento Servicios Personales indirectos","No aplica",IFERROR(VLOOKUP(J544,Listas!$A$127:$E$139,3,FALSE),"Alerta: Seleccione la celda en la comumna B con el nombre del proyecto")))</f>
        <v>Alerta: Seleccione la celda en la comumna B con el nombre del proyecto</v>
      </c>
      <c r="AL544" s="640" t="str">
        <f>IF(J544="Funcionamiento Gastos Generales","No aplica",IF(J544="Funcionamiento Servicios Personales","No aplica",IFERROR(VLOOKUP(J544,Listas!$A$220:$D$224,2,FALSE),"Alerta: Seleccione la celda en la comumna B con el nombre del proyecto")))</f>
        <v>Alerta: Seleccione la celda en la comumna B con el nombre del proyecto</v>
      </c>
      <c r="AM544" s="640" t="str">
        <f>IF(J544="Funcionamiento Gastos Generales","No aplica",IF(J544="Funcionamiento Servicios Personales","No aplica",IFERROR(VLOOKUP(J544,Listas!$A$220:$D$224,3,FALSE),"Alerta: Seleccione la celda en la comumna B con el nombre del proyecto")))</f>
        <v>Alerta: Seleccione la celda en la comumna B con el nombre del proyecto</v>
      </c>
      <c r="AN544" s="633"/>
      <c r="AO544" s="633"/>
      <c r="AP544" s="634" t="str">
        <f>IFERROR(VLOOKUP(J544,Listas!$A$182:$E$215,5,FALSE),"Alerta: Seleccione la celda en la comumna B con el nombre del proyecto")</f>
        <v>Alerta: Seleccione la celda en la comumna B con el nombre del proyecto</v>
      </c>
      <c r="AQ544" s="634" t="str">
        <f>IF(J544="Funcionamiento Gastos Generales","No aplica",IF(J544="Funcionamiento Servicios Personales","No aplica",IFERROR(VLOOKUP(J544,Listas!$A$220:$D$224,4,FALSE),"Alerta: Seleccione la celda en la comumna B con el nombre del proyecto")))</f>
        <v>Alerta: Seleccione la celda en la comumna B con el nombre del proyecto</v>
      </c>
      <c r="AR544" s="633"/>
      <c r="AS544" s="634" t="str">
        <f>IFERROR(VLOOKUP(AU544,Listas!$E$85:$L$105,7,FALSE),"Alerta: Seleccione la celda en la comumna AI con el concepto de gasto")</f>
        <v>Alerta: Seleccione la celda en la comumna AI con el concepto de gasto</v>
      </c>
      <c r="AT544" s="634" t="str">
        <f>IFERROR(VLOOKUP(AU544,Listas!$E$85:$L$105,8,FALSE),"Alerta: Seleccione la celda en la comumna AI con el concepto de gasto")</f>
        <v>Alerta: Seleccione la celda en la comumna AI con el concepto de gasto</v>
      </c>
      <c r="AU544" s="633"/>
      <c r="AV544" s="634" t="str">
        <f>IFERROR(VLOOKUP(AU544,Listas!$E$85:$F$105,2,FALSE),"Alerta: Seleccione el Concepto de Gasto primero")</f>
        <v>Alerta: Seleccione el Concepto de Gasto primero</v>
      </c>
      <c r="AW544" s="644"/>
      <c r="AX544" s="645"/>
      <c r="AY544" s="645"/>
      <c r="AZ544" s="645"/>
      <c r="BA544" s="646">
        <f t="shared" si="161"/>
        <v>0</v>
      </c>
      <c r="BB544" s="647"/>
      <c r="BC544" s="648"/>
      <c r="BD544" s="649"/>
      <c r="BE544" s="647"/>
      <c r="BF544" s="644"/>
      <c r="BG544" s="646">
        <f t="shared" si="162"/>
        <v>0</v>
      </c>
      <c r="BH544" s="650"/>
      <c r="BI544" s="647"/>
      <c r="BJ544" s="644"/>
      <c r="BK544" s="646">
        <f t="shared" si="163"/>
        <v>0</v>
      </c>
      <c r="BL544" s="651"/>
      <c r="BM544" s="652">
        <f t="shared" si="164"/>
        <v>1</v>
      </c>
      <c r="BN544" s="628"/>
      <c r="BO544" s="670"/>
      <c r="BP544" s="644"/>
      <c r="BQ544" s="644"/>
      <c r="BR544" s="644"/>
      <c r="BS544" s="644"/>
      <c r="BT544" s="644"/>
      <c r="BU544" s="644"/>
      <c r="BV544" s="644"/>
      <c r="BW544" s="644"/>
      <c r="BX544" s="644"/>
      <c r="BY544" s="644"/>
      <c r="BZ544" s="644"/>
      <c r="CA544" s="644"/>
      <c r="CB544" s="646">
        <f t="shared" si="165"/>
        <v>0</v>
      </c>
      <c r="CC544" s="646">
        <f t="shared" si="166"/>
        <v>0</v>
      </c>
      <c r="CD544" s="614"/>
    </row>
    <row r="545" spans="1:82" s="561" customFormat="1" ht="61.5" customHeight="1">
      <c r="A545" s="625" t="str">
        <f t="shared" si="167"/>
        <v>proyecto-Alerta: Seleccione la celda en la comumna B con el nombre del proyecto-Al-Al--</v>
      </c>
      <c r="B545" s="626" t="str">
        <f t="shared" si="168"/>
        <v>proyecto-Alerta: Seleccione la celda en la comumna B con el nombre del proyecto-Al-Al-</v>
      </c>
      <c r="C545" s="626" t="str">
        <f t="shared" si="169"/>
        <v>proyecto-Alerta: Seleccione la celda en la comumna B con el nombre del proyecto-</v>
      </c>
      <c r="D545" s="626" t="str">
        <f t="shared" si="170"/>
        <v>proyecto--Al-Al-</v>
      </c>
      <c r="E545" s="626" t="str">
        <f t="shared" ref="E545:E608" si="171">+CONCATENATE(AO545,"-",AR545,"-",AU545)</f>
        <v>--</v>
      </c>
      <c r="F545" s="627"/>
      <c r="G545" s="628">
        <f t="shared" ref="G545:G608" si="172">+F545</f>
        <v>0</v>
      </c>
      <c r="H545" s="629" t="b">
        <f t="shared" ref="H545:H608" si="173">+G545=G544</f>
        <v>1</v>
      </c>
      <c r="I545" s="630"/>
      <c r="J545" s="627"/>
      <c r="K545" s="631" t="str">
        <f>+IFERROR(VLOOKUP(J545,Listas!$A$108:$B$114,2,FALSE),"Alerta: Seleccione la celda en la comumna B con el nombre del proyecto")</f>
        <v>Alerta: Seleccione la celda en la comumna B con el nombre del proyecto</v>
      </c>
      <c r="L545" s="632"/>
      <c r="M545" s="633"/>
      <c r="N545" s="634" t="str">
        <f t="shared" ref="N545:N608" si="174">+CONCATENATE("(Cód. ",F545,") ",M545)</f>
        <v xml:space="preserve">(Cód. ) </v>
      </c>
      <c r="O545" s="635"/>
      <c r="P545" s="636">
        <f>IFERROR(VLOOKUP(W545,'Estimación CRP'!$D$21:$E$30,2,FALSE),0)</f>
        <v>0</v>
      </c>
      <c r="Q545" s="637">
        <f>IF(O545="No aplica","No aplica",WORKDAY.INTL(O545,P545,1,'Estimación CRP'!A731:A747))</f>
        <v>0</v>
      </c>
      <c r="R545" s="636">
        <f t="shared" ref="R545:R608" si="175">IF(O545="No aplica","No aplica",MONTH(Q545))</f>
        <v>1</v>
      </c>
      <c r="S545" s="636">
        <f t="shared" ref="S545:S608" si="176">IF(O545="No aplica","No aplica",MONTH(O545))</f>
        <v>1</v>
      </c>
      <c r="T545" s="636">
        <f t="shared" ref="T545:T608" si="177">IF(O545="No aplica","No aplica",S545)</f>
        <v>1</v>
      </c>
      <c r="U545" s="638"/>
      <c r="V545" s="638"/>
      <c r="W545" s="639"/>
      <c r="X545" s="640" t="str">
        <f>IFERROR(VLOOKUP(W545,Listas!$A$60:$B$73,2,FALSE),"Alerta: Seleccione primero Modalidad de selección")</f>
        <v>Alerta: Seleccione primero Modalidad de selección</v>
      </c>
      <c r="Y545" s="641">
        <v>0</v>
      </c>
      <c r="Z545" s="641"/>
      <c r="AA545" s="641"/>
      <c r="AB545" s="642">
        <f t="shared" ref="AB545:AB608" si="178">+BA545</f>
        <v>0</v>
      </c>
      <c r="AC545" s="642">
        <f t="shared" ref="AC545:AC608" si="179">+AB545</f>
        <v>0</v>
      </c>
      <c r="AD545" s="641">
        <v>0</v>
      </c>
      <c r="AE545" s="643">
        <v>0</v>
      </c>
      <c r="AF545" s="639" t="s">
        <v>276</v>
      </c>
      <c r="AG545" s="639" t="s">
        <v>277</v>
      </c>
      <c r="AH545" s="639"/>
      <c r="AI545" s="626" t="str">
        <f>IFERROR(VLOOKUP(AH545,Listas!$A$77:$C$83,2,FALSE),"Alerta: Seleccione primero el responsable")</f>
        <v>Alerta: Seleccione primero el responsable</v>
      </c>
      <c r="AJ545" s="640" t="str">
        <f>IFERROR(VLOOKUP(AH545,Listas!$A$77:$C$83,3,FALSE),"Alerta: Seleccione primero el responsable")</f>
        <v>Alerta: Seleccione primero el responsable</v>
      </c>
      <c r="AK545" s="640" t="str">
        <f>IF(J545="Funcionamiento Gastos Generales","No aplica",IF(J545="Funcionamiento Servicios Personales indirectos","No aplica",IFERROR(VLOOKUP(J545,Listas!$A$127:$E$139,3,FALSE),"Alerta: Seleccione la celda en la comumna B con el nombre del proyecto")))</f>
        <v>Alerta: Seleccione la celda en la comumna B con el nombre del proyecto</v>
      </c>
      <c r="AL545" s="640" t="str">
        <f>IF(J545="Funcionamiento Gastos Generales","No aplica",IF(J545="Funcionamiento Servicios Personales","No aplica",IFERROR(VLOOKUP(J545,Listas!$A$220:$D$224,2,FALSE),"Alerta: Seleccione la celda en la comumna B con el nombre del proyecto")))</f>
        <v>Alerta: Seleccione la celda en la comumna B con el nombre del proyecto</v>
      </c>
      <c r="AM545" s="640" t="str">
        <f>IF(J545="Funcionamiento Gastos Generales","No aplica",IF(J545="Funcionamiento Servicios Personales","No aplica",IFERROR(VLOOKUP(J545,Listas!$A$220:$D$224,3,FALSE),"Alerta: Seleccione la celda en la comumna B con el nombre del proyecto")))</f>
        <v>Alerta: Seleccione la celda en la comumna B con el nombre del proyecto</v>
      </c>
      <c r="AN545" s="633"/>
      <c r="AO545" s="633"/>
      <c r="AP545" s="634" t="str">
        <f>IFERROR(VLOOKUP(J545,Listas!$A$182:$E$215,5,FALSE),"Alerta: Seleccione la celda en la comumna B con el nombre del proyecto")</f>
        <v>Alerta: Seleccione la celda en la comumna B con el nombre del proyecto</v>
      </c>
      <c r="AQ545" s="634" t="str">
        <f>IF(J545="Funcionamiento Gastos Generales","No aplica",IF(J545="Funcionamiento Servicios Personales","No aplica",IFERROR(VLOOKUP(J545,Listas!$A$220:$D$224,4,FALSE),"Alerta: Seleccione la celda en la comumna B con el nombre del proyecto")))</f>
        <v>Alerta: Seleccione la celda en la comumna B con el nombre del proyecto</v>
      </c>
      <c r="AR545" s="633"/>
      <c r="AS545" s="634" t="str">
        <f>IFERROR(VLOOKUP(AU545,Listas!$E$85:$L$105,7,FALSE),"Alerta: Seleccione la celda en la comumna AI con el concepto de gasto")</f>
        <v>Alerta: Seleccione la celda en la comumna AI con el concepto de gasto</v>
      </c>
      <c r="AT545" s="634" t="str">
        <f>IFERROR(VLOOKUP(AU545,Listas!$E$85:$L$105,8,FALSE),"Alerta: Seleccione la celda en la comumna AI con el concepto de gasto")</f>
        <v>Alerta: Seleccione la celda en la comumna AI con el concepto de gasto</v>
      </c>
      <c r="AU545" s="633"/>
      <c r="AV545" s="634" t="str">
        <f>IFERROR(VLOOKUP(AU545,Listas!$E$85:$F$105,2,FALSE),"Alerta: Seleccione el Concepto de Gasto primero")</f>
        <v>Alerta: Seleccione el Concepto de Gasto primero</v>
      </c>
      <c r="AW545" s="644"/>
      <c r="AX545" s="645"/>
      <c r="AY545" s="645"/>
      <c r="AZ545" s="645"/>
      <c r="BA545" s="646">
        <f t="shared" ref="BA545:BA608" si="180">+AW545+AX545+AY545-AZ545</f>
        <v>0</v>
      </c>
      <c r="BB545" s="647"/>
      <c r="BC545" s="648"/>
      <c r="BD545" s="649"/>
      <c r="BE545" s="647"/>
      <c r="BF545" s="644"/>
      <c r="BG545" s="646">
        <f t="shared" ref="BG545:BG608" si="181">+BA545-BF545</f>
        <v>0</v>
      </c>
      <c r="BH545" s="650"/>
      <c r="BI545" s="647"/>
      <c r="BJ545" s="644"/>
      <c r="BK545" s="646">
        <f t="shared" ref="BK545:BK608" si="182">BF545-BJ545</f>
        <v>0</v>
      </c>
      <c r="BL545" s="651"/>
      <c r="BM545" s="652">
        <f t="shared" ref="BM545:BM608" si="183">MONTH(BL545)</f>
        <v>1</v>
      </c>
      <c r="BN545" s="628"/>
      <c r="BO545" s="670"/>
      <c r="BP545" s="644"/>
      <c r="BQ545" s="644"/>
      <c r="BR545" s="644"/>
      <c r="BS545" s="644"/>
      <c r="BT545" s="644"/>
      <c r="BU545" s="644"/>
      <c r="BV545" s="644"/>
      <c r="BW545" s="644"/>
      <c r="BX545" s="644"/>
      <c r="BY545" s="644"/>
      <c r="BZ545" s="644"/>
      <c r="CA545" s="644"/>
      <c r="CB545" s="646">
        <f t="shared" ref="CB545:CB608" si="184">+SUM(BP545:CA545)</f>
        <v>0</v>
      </c>
      <c r="CC545" s="646">
        <f t="shared" ref="CC545:CC608" si="185">BJ545-CB545</f>
        <v>0</v>
      </c>
      <c r="CD545" s="614"/>
    </row>
    <row r="546" spans="1:82" s="561" customFormat="1" ht="61.5" customHeight="1">
      <c r="A546" s="625" t="str">
        <f t="shared" si="167"/>
        <v>proyecto-Alerta: Seleccione la celda en la comumna B con el nombre del proyecto-Al-Al--</v>
      </c>
      <c r="B546" s="626" t="str">
        <f t="shared" si="168"/>
        <v>proyecto-Alerta: Seleccione la celda en la comumna B con el nombre del proyecto-Al-Al-</v>
      </c>
      <c r="C546" s="626" t="str">
        <f t="shared" si="169"/>
        <v>proyecto-Alerta: Seleccione la celda en la comumna B con el nombre del proyecto-</v>
      </c>
      <c r="D546" s="626" t="str">
        <f t="shared" si="170"/>
        <v>proyecto--Al-Al-</v>
      </c>
      <c r="E546" s="626" t="str">
        <f t="shared" si="171"/>
        <v>--</v>
      </c>
      <c r="F546" s="627"/>
      <c r="G546" s="628">
        <f t="shared" si="172"/>
        <v>0</v>
      </c>
      <c r="H546" s="629" t="b">
        <f t="shared" si="173"/>
        <v>1</v>
      </c>
      <c r="I546" s="630"/>
      <c r="J546" s="627"/>
      <c r="K546" s="631" t="str">
        <f>+IFERROR(VLOOKUP(J546,Listas!$A$108:$B$114,2,FALSE),"Alerta: Seleccione la celda en la comumna B con el nombre del proyecto")</f>
        <v>Alerta: Seleccione la celda en la comumna B con el nombre del proyecto</v>
      </c>
      <c r="L546" s="632"/>
      <c r="M546" s="633"/>
      <c r="N546" s="634" t="str">
        <f t="shared" si="174"/>
        <v xml:space="preserve">(Cód. ) </v>
      </c>
      <c r="O546" s="635"/>
      <c r="P546" s="636">
        <f>IFERROR(VLOOKUP(W546,'Estimación CRP'!$D$21:$E$30,2,FALSE),0)</f>
        <v>0</v>
      </c>
      <c r="Q546" s="637">
        <f>IF(O546="No aplica","No aplica",WORKDAY.INTL(O546,P546,1,'Estimación CRP'!A732:A748))</f>
        <v>0</v>
      </c>
      <c r="R546" s="636">
        <f t="shared" si="175"/>
        <v>1</v>
      </c>
      <c r="S546" s="636">
        <f t="shared" si="176"/>
        <v>1</v>
      </c>
      <c r="T546" s="636">
        <f t="shared" si="177"/>
        <v>1</v>
      </c>
      <c r="U546" s="638"/>
      <c r="V546" s="638"/>
      <c r="W546" s="639"/>
      <c r="X546" s="640" t="str">
        <f>IFERROR(VLOOKUP(W546,Listas!$A$60:$B$73,2,FALSE),"Alerta: Seleccione primero Modalidad de selección")</f>
        <v>Alerta: Seleccione primero Modalidad de selección</v>
      </c>
      <c r="Y546" s="641">
        <v>0</v>
      </c>
      <c r="Z546" s="641"/>
      <c r="AA546" s="641"/>
      <c r="AB546" s="642">
        <f t="shared" si="178"/>
        <v>0</v>
      </c>
      <c r="AC546" s="642">
        <f t="shared" si="179"/>
        <v>0</v>
      </c>
      <c r="AD546" s="641">
        <v>0</v>
      </c>
      <c r="AE546" s="643">
        <v>0</v>
      </c>
      <c r="AF546" s="639" t="s">
        <v>276</v>
      </c>
      <c r="AG546" s="639" t="s">
        <v>277</v>
      </c>
      <c r="AH546" s="639"/>
      <c r="AI546" s="626" t="str">
        <f>IFERROR(VLOOKUP(AH546,Listas!$A$77:$C$83,2,FALSE),"Alerta: Seleccione primero el responsable")</f>
        <v>Alerta: Seleccione primero el responsable</v>
      </c>
      <c r="AJ546" s="640" t="str">
        <f>IFERROR(VLOOKUP(AH546,Listas!$A$77:$C$83,3,FALSE),"Alerta: Seleccione primero el responsable")</f>
        <v>Alerta: Seleccione primero el responsable</v>
      </c>
      <c r="AK546" s="640" t="str">
        <f>IF(J546="Funcionamiento Gastos Generales","No aplica",IF(J546="Funcionamiento Servicios Personales indirectos","No aplica",IFERROR(VLOOKUP(J546,Listas!$A$127:$E$139,3,FALSE),"Alerta: Seleccione la celda en la comumna B con el nombre del proyecto")))</f>
        <v>Alerta: Seleccione la celda en la comumna B con el nombre del proyecto</v>
      </c>
      <c r="AL546" s="640" t="str">
        <f>IF(J546="Funcionamiento Gastos Generales","No aplica",IF(J546="Funcionamiento Servicios Personales","No aplica",IFERROR(VLOOKUP(J546,Listas!$A$220:$D$224,2,FALSE),"Alerta: Seleccione la celda en la comumna B con el nombre del proyecto")))</f>
        <v>Alerta: Seleccione la celda en la comumna B con el nombre del proyecto</v>
      </c>
      <c r="AM546" s="640" t="str">
        <f>IF(J546="Funcionamiento Gastos Generales","No aplica",IF(J546="Funcionamiento Servicios Personales","No aplica",IFERROR(VLOOKUP(J546,Listas!$A$220:$D$224,3,FALSE),"Alerta: Seleccione la celda en la comumna B con el nombre del proyecto")))</f>
        <v>Alerta: Seleccione la celda en la comumna B con el nombre del proyecto</v>
      </c>
      <c r="AN546" s="633"/>
      <c r="AO546" s="633"/>
      <c r="AP546" s="634" t="str">
        <f>IFERROR(VLOOKUP(J546,Listas!$A$182:$E$215,5,FALSE),"Alerta: Seleccione la celda en la comumna B con el nombre del proyecto")</f>
        <v>Alerta: Seleccione la celda en la comumna B con el nombre del proyecto</v>
      </c>
      <c r="AQ546" s="634" t="str">
        <f>IF(J546="Funcionamiento Gastos Generales","No aplica",IF(J546="Funcionamiento Servicios Personales","No aplica",IFERROR(VLOOKUP(J546,Listas!$A$220:$D$224,4,FALSE),"Alerta: Seleccione la celda en la comumna B con el nombre del proyecto")))</f>
        <v>Alerta: Seleccione la celda en la comumna B con el nombre del proyecto</v>
      </c>
      <c r="AR546" s="633"/>
      <c r="AS546" s="634" t="str">
        <f>IFERROR(VLOOKUP(AU546,Listas!$E$85:$L$105,7,FALSE),"Alerta: Seleccione la celda en la comumna AI con el concepto de gasto")</f>
        <v>Alerta: Seleccione la celda en la comumna AI con el concepto de gasto</v>
      </c>
      <c r="AT546" s="634" t="str">
        <f>IFERROR(VLOOKUP(AU546,Listas!$E$85:$L$105,8,FALSE),"Alerta: Seleccione la celda en la comumna AI con el concepto de gasto")</f>
        <v>Alerta: Seleccione la celda en la comumna AI con el concepto de gasto</v>
      </c>
      <c r="AU546" s="633"/>
      <c r="AV546" s="634" t="str">
        <f>IFERROR(VLOOKUP(AU546,Listas!$E$85:$F$105,2,FALSE),"Alerta: Seleccione el Concepto de Gasto primero")</f>
        <v>Alerta: Seleccione el Concepto de Gasto primero</v>
      </c>
      <c r="AW546" s="644"/>
      <c r="AX546" s="645"/>
      <c r="AY546" s="645"/>
      <c r="AZ546" s="645"/>
      <c r="BA546" s="646">
        <f t="shared" si="180"/>
        <v>0</v>
      </c>
      <c r="BB546" s="647"/>
      <c r="BC546" s="648"/>
      <c r="BD546" s="649"/>
      <c r="BE546" s="647"/>
      <c r="BF546" s="644"/>
      <c r="BG546" s="646">
        <f t="shared" si="181"/>
        <v>0</v>
      </c>
      <c r="BH546" s="650"/>
      <c r="BI546" s="647"/>
      <c r="BJ546" s="644"/>
      <c r="BK546" s="646">
        <f t="shared" si="182"/>
        <v>0</v>
      </c>
      <c r="BL546" s="651"/>
      <c r="BM546" s="652">
        <f t="shared" si="183"/>
        <v>1</v>
      </c>
      <c r="BN546" s="628"/>
      <c r="BO546" s="670"/>
      <c r="BP546" s="644"/>
      <c r="BQ546" s="644"/>
      <c r="BR546" s="644"/>
      <c r="BS546" s="644"/>
      <c r="BT546" s="644"/>
      <c r="BU546" s="644"/>
      <c r="BV546" s="644"/>
      <c r="BW546" s="644"/>
      <c r="BX546" s="644"/>
      <c r="BY546" s="644"/>
      <c r="BZ546" s="644"/>
      <c r="CA546" s="644"/>
      <c r="CB546" s="646">
        <f t="shared" si="184"/>
        <v>0</v>
      </c>
      <c r="CC546" s="646">
        <f t="shared" si="185"/>
        <v>0</v>
      </c>
      <c r="CD546" s="614"/>
    </row>
    <row r="547" spans="1:82" s="561" customFormat="1" ht="61.5" customHeight="1">
      <c r="A547" s="625" t="str">
        <f t="shared" si="167"/>
        <v>proyecto-Alerta: Seleccione la celda en la comumna B con el nombre del proyecto-Al-Al--</v>
      </c>
      <c r="B547" s="626" t="str">
        <f t="shared" si="168"/>
        <v>proyecto-Alerta: Seleccione la celda en la comumna B con el nombre del proyecto-Al-Al-</v>
      </c>
      <c r="C547" s="626" t="str">
        <f t="shared" si="169"/>
        <v>proyecto-Alerta: Seleccione la celda en la comumna B con el nombre del proyecto-</v>
      </c>
      <c r="D547" s="626" t="str">
        <f t="shared" si="170"/>
        <v>proyecto--Al-Al-</v>
      </c>
      <c r="E547" s="626" t="str">
        <f t="shared" si="171"/>
        <v>--</v>
      </c>
      <c r="F547" s="627"/>
      <c r="G547" s="628">
        <f t="shared" si="172"/>
        <v>0</v>
      </c>
      <c r="H547" s="629" t="b">
        <f t="shared" si="173"/>
        <v>1</v>
      </c>
      <c r="I547" s="630"/>
      <c r="J547" s="627"/>
      <c r="K547" s="631" t="str">
        <f>+IFERROR(VLOOKUP(J547,Listas!$A$108:$B$114,2,FALSE),"Alerta: Seleccione la celda en la comumna B con el nombre del proyecto")</f>
        <v>Alerta: Seleccione la celda en la comumna B con el nombre del proyecto</v>
      </c>
      <c r="L547" s="632"/>
      <c r="M547" s="633"/>
      <c r="N547" s="634" t="str">
        <f t="shared" si="174"/>
        <v xml:space="preserve">(Cód. ) </v>
      </c>
      <c r="O547" s="635"/>
      <c r="P547" s="636">
        <f>IFERROR(VLOOKUP(W547,'Estimación CRP'!$D$21:$E$30,2,FALSE),0)</f>
        <v>0</v>
      </c>
      <c r="Q547" s="637">
        <f>IF(O547="No aplica","No aplica",WORKDAY.INTL(O547,P547,1,'Estimación CRP'!A733:A749))</f>
        <v>0</v>
      </c>
      <c r="R547" s="636">
        <f t="shared" si="175"/>
        <v>1</v>
      </c>
      <c r="S547" s="636">
        <f t="shared" si="176"/>
        <v>1</v>
      </c>
      <c r="T547" s="636">
        <f t="shared" si="177"/>
        <v>1</v>
      </c>
      <c r="U547" s="638"/>
      <c r="V547" s="638"/>
      <c r="W547" s="639"/>
      <c r="X547" s="640" t="str">
        <f>IFERROR(VLOOKUP(W547,Listas!$A$60:$B$73,2,FALSE),"Alerta: Seleccione primero Modalidad de selección")</f>
        <v>Alerta: Seleccione primero Modalidad de selección</v>
      </c>
      <c r="Y547" s="641">
        <v>0</v>
      </c>
      <c r="Z547" s="641"/>
      <c r="AA547" s="641"/>
      <c r="AB547" s="642">
        <f t="shared" si="178"/>
        <v>0</v>
      </c>
      <c r="AC547" s="642">
        <f t="shared" si="179"/>
        <v>0</v>
      </c>
      <c r="AD547" s="641">
        <v>0</v>
      </c>
      <c r="AE547" s="643">
        <v>0</v>
      </c>
      <c r="AF547" s="639" t="s">
        <v>276</v>
      </c>
      <c r="AG547" s="639" t="s">
        <v>277</v>
      </c>
      <c r="AH547" s="639"/>
      <c r="AI547" s="626" t="str">
        <f>IFERROR(VLOOKUP(AH547,Listas!$A$77:$C$83,2,FALSE),"Alerta: Seleccione primero el responsable")</f>
        <v>Alerta: Seleccione primero el responsable</v>
      </c>
      <c r="AJ547" s="640" t="str">
        <f>IFERROR(VLOOKUP(AH547,Listas!$A$77:$C$83,3,FALSE),"Alerta: Seleccione primero el responsable")</f>
        <v>Alerta: Seleccione primero el responsable</v>
      </c>
      <c r="AK547" s="640" t="str">
        <f>IF(J547="Funcionamiento Gastos Generales","No aplica",IF(J547="Funcionamiento Servicios Personales indirectos","No aplica",IFERROR(VLOOKUP(J547,Listas!$A$127:$E$139,3,FALSE),"Alerta: Seleccione la celda en la comumna B con el nombre del proyecto")))</f>
        <v>Alerta: Seleccione la celda en la comumna B con el nombre del proyecto</v>
      </c>
      <c r="AL547" s="640" t="str">
        <f>IF(J547="Funcionamiento Gastos Generales","No aplica",IF(J547="Funcionamiento Servicios Personales","No aplica",IFERROR(VLOOKUP(J547,Listas!$A$220:$D$224,2,FALSE),"Alerta: Seleccione la celda en la comumna B con el nombre del proyecto")))</f>
        <v>Alerta: Seleccione la celda en la comumna B con el nombre del proyecto</v>
      </c>
      <c r="AM547" s="640" t="str">
        <f>IF(J547="Funcionamiento Gastos Generales","No aplica",IF(J547="Funcionamiento Servicios Personales","No aplica",IFERROR(VLOOKUP(J547,Listas!$A$220:$D$224,3,FALSE),"Alerta: Seleccione la celda en la comumna B con el nombre del proyecto")))</f>
        <v>Alerta: Seleccione la celda en la comumna B con el nombre del proyecto</v>
      </c>
      <c r="AN547" s="633"/>
      <c r="AO547" s="633"/>
      <c r="AP547" s="634" t="str">
        <f>IFERROR(VLOOKUP(J547,Listas!$A$182:$E$215,5,FALSE),"Alerta: Seleccione la celda en la comumna B con el nombre del proyecto")</f>
        <v>Alerta: Seleccione la celda en la comumna B con el nombre del proyecto</v>
      </c>
      <c r="AQ547" s="634" t="str">
        <f>IF(J547="Funcionamiento Gastos Generales","No aplica",IF(J547="Funcionamiento Servicios Personales","No aplica",IFERROR(VLOOKUP(J547,Listas!$A$220:$D$224,4,FALSE),"Alerta: Seleccione la celda en la comumna B con el nombre del proyecto")))</f>
        <v>Alerta: Seleccione la celda en la comumna B con el nombre del proyecto</v>
      </c>
      <c r="AR547" s="633"/>
      <c r="AS547" s="634" t="str">
        <f>IFERROR(VLOOKUP(AU547,Listas!$E$85:$L$105,7,FALSE),"Alerta: Seleccione la celda en la comumna AI con el concepto de gasto")</f>
        <v>Alerta: Seleccione la celda en la comumna AI con el concepto de gasto</v>
      </c>
      <c r="AT547" s="634" t="str">
        <f>IFERROR(VLOOKUP(AU547,Listas!$E$85:$L$105,8,FALSE),"Alerta: Seleccione la celda en la comumna AI con el concepto de gasto")</f>
        <v>Alerta: Seleccione la celda en la comumna AI con el concepto de gasto</v>
      </c>
      <c r="AU547" s="633"/>
      <c r="AV547" s="634" t="str">
        <f>IFERROR(VLOOKUP(AU547,Listas!$E$85:$F$105,2,FALSE),"Alerta: Seleccione el Concepto de Gasto primero")</f>
        <v>Alerta: Seleccione el Concepto de Gasto primero</v>
      </c>
      <c r="AW547" s="644"/>
      <c r="AX547" s="645"/>
      <c r="AY547" s="645"/>
      <c r="AZ547" s="645"/>
      <c r="BA547" s="646">
        <f t="shared" si="180"/>
        <v>0</v>
      </c>
      <c r="BB547" s="647"/>
      <c r="BC547" s="648"/>
      <c r="BD547" s="649"/>
      <c r="BE547" s="647"/>
      <c r="BF547" s="644"/>
      <c r="BG547" s="646">
        <f t="shared" si="181"/>
        <v>0</v>
      </c>
      <c r="BH547" s="650"/>
      <c r="BI547" s="647"/>
      <c r="BJ547" s="644"/>
      <c r="BK547" s="646">
        <f t="shared" si="182"/>
        <v>0</v>
      </c>
      <c r="BL547" s="651"/>
      <c r="BM547" s="652">
        <f t="shared" si="183"/>
        <v>1</v>
      </c>
      <c r="BN547" s="628"/>
      <c r="BO547" s="670"/>
      <c r="BP547" s="644"/>
      <c r="BQ547" s="644"/>
      <c r="BR547" s="644"/>
      <c r="BS547" s="644"/>
      <c r="BT547" s="644"/>
      <c r="BU547" s="644"/>
      <c r="BV547" s="644"/>
      <c r="BW547" s="644"/>
      <c r="BX547" s="644"/>
      <c r="BY547" s="644"/>
      <c r="BZ547" s="644"/>
      <c r="CA547" s="644"/>
      <c r="CB547" s="646">
        <f t="shared" si="184"/>
        <v>0</v>
      </c>
      <c r="CC547" s="646">
        <f t="shared" si="185"/>
        <v>0</v>
      </c>
      <c r="CD547" s="614"/>
    </row>
    <row r="548" spans="1:82" s="561" customFormat="1" ht="61.5" customHeight="1">
      <c r="A548" s="625" t="str">
        <f t="shared" si="167"/>
        <v>proyecto-Alerta: Seleccione la celda en la comumna B con el nombre del proyecto-Al-Al--</v>
      </c>
      <c r="B548" s="626" t="str">
        <f t="shared" si="168"/>
        <v>proyecto-Alerta: Seleccione la celda en la comumna B con el nombre del proyecto-Al-Al-</v>
      </c>
      <c r="C548" s="626" t="str">
        <f t="shared" si="169"/>
        <v>proyecto-Alerta: Seleccione la celda en la comumna B con el nombre del proyecto-</v>
      </c>
      <c r="D548" s="626" t="str">
        <f t="shared" si="170"/>
        <v>proyecto--Al-Al-</v>
      </c>
      <c r="E548" s="626" t="str">
        <f t="shared" si="171"/>
        <v>--</v>
      </c>
      <c r="F548" s="627"/>
      <c r="G548" s="628">
        <f t="shared" si="172"/>
        <v>0</v>
      </c>
      <c r="H548" s="629" t="b">
        <f t="shared" si="173"/>
        <v>1</v>
      </c>
      <c r="I548" s="630"/>
      <c r="J548" s="627"/>
      <c r="K548" s="631" t="str">
        <f>+IFERROR(VLOOKUP(J548,Listas!$A$108:$B$114,2,FALSE),"Alerta: Seleccione la celda en la comumna B con el nombre del proyecto")</f>
        <v>Alerta: Seleccione la celda en la comumna B con el nombre del proyecto</v>
      </c>
      <c r="L548" s="632"/>
      <c r="M548" s="633"/>
      <c r="N548" s="634" t="str">
        <f t="shared" si="174"/>
        <v xml:space="preserve">(Cód. ) </v>
      </c>
      <c r="O548" s="635"/>
      <c r="P548" s="636">
        <f>IFERROR(VLOOKUP(W548,'Estimación CRP'!$D$21:$E$30,2,FALSE),0)</f>
        <v>0</v>
      </c>
      <c r="Q548" s="637">
        <f>IF(O548="No aplica","No aplica",WORKDAY.INTL(O548,P548,1,'Estimación CRP'!A734:A750))</f>
        <v>0</v>
      </c>
      <c r="R548" s="636">
        <f t="shared" si="175"/>
        <v>1</v>
      </c>
      <c r="S548" s="636">
        <f t="shared" si="176"/>
        <v>1</v>
      </c>
      <c r="T548" s="636">
        <f t="shared" si="177"/>
        <v>1</v>
      </c>
      <c r="U548" s="638"/>
      <c r="V548" s="638"/>
      <c r="W548" s="639"/>
      <c r="X548" s="640" t="str">
        <f>IFERROR(VLOOKUP(W548,Listas!$A$60:$B$73,2,FALSE),"Alerta: Seleccione primero Modalidad de selección")</f>
        <v>Alerta: Seleccione primero Modalidad de selección</v>
      </c>
      <c r="Y548" s="641">
        <v>0</v>
      </c>
      <c r="Z548" s="641"/>
      <c r="AA548" s="641"/>
      <c r="AB548" s="642">
        <f t="shared" si="178"/>
        <v>0</v>
      </c>
      <c r="AC548" s="642">
        <f t="shared" si="179"/>
        <v>0</v>
      </c>
      <c r="AD548" s="641">
        <v>0</v>
      </c>
      <c r="AE548" s="643">
        <v>0</v>
      </c>
      <c r="AF548" s="639" t="s">
        <v>276</v>
      </c>
      <c r="AG548" s="639" t="s">
        <v>277</v>
      </c>
      <c r="AH548" s="639"/>
      <c r="AI548" s="626" t="str">
        <f>IFERROR(VLOOKUP(AH548,Listas!$A$77:$C$83,2,FALSE),"Alerta: Seleccione primero el responsable")</f>
        <v>Alerta: Seleccione primero el responsable</v>
      </c>
      <c r="AJ548" s="640" t="str">
        <f>IFERROR(VLOOKUP(AH548,Listas!$A$77:$C$83,3,FALSE),"Alerta: Seleccione primero el responsable")</f>
        <v>Alerta: Seleccione primero el responsable</v>
      </c>
      <c r="AK548" s="640" t="str">
        <f>IF(J548="Funcionamiento Gastos Generales","No aplica",IF(J548="Funcionamiento Servicios Personales indirectos","No aplica",IFERROR(VLOOKUP(J548,Listas!$A$127:$E$139,3,FALSE),"Alerta: Seleccione la celda en la comumna B con el nombre del proyecto")))</f>
        <v>Alerta: Seleccione la celda en la comumna B con el nombre del proyecto</v>
      </c>
      <c r="AL548" s="640" t="str">
        <f>IF(J548="Funcionamiento Gastos Generales","No aplica",IF(J548="Funcionamiento Servicios Personales","No aplica",IFERROR(VLOOKUP(J548,Listas!$A$220:$D$224,2,FALSE),"Alerta: Seleccione la celda en la comumna B con el nombre del proyecto")))</f>
        <v>Alerta: Seleccione la celda en la comumna B con el nombre del proyecto</v>
      </c>
      <c r="AM548" s="640" t="str">
        <f>IF(J548="Funcionamiento Gastos Generales","No aplica",IF(J548="Funcionamiento Servicios Personales","No aplica",IFERROR(VLOOKUP(J548,Listas!$A$220:$D$224,3,FALSE),"Alerta: Seleccione la celda en la comumna B con el nombre del proyecto")))</f>
        <v>Alerta: Seleccione la celda en la comumna B con el nombre del proyecto</v>
      </c>
      <c r="AN548" s="633"/>
      <c r="AO548" s="633"/>
      <c r="AP548" s="634" t="str">
        <f>IFERROR(VLOOKUP(J548,Listas!$A$182:$E$215,5,FALSE),"Alerta: Seleccione la celda en la comumna B con el nombre del proyecto")</f>
        <v>Alerta: Seleccione la celda en la comumna B con el nombre del proyecto</v>
      </c>
      <c r="AQ548" s="634" t="str">
        <f>IF(J548="Funcionamiento Gastos Generales","No aplica",IF(J548="Funcionamiento Servicios Personales","No aplica",IFERROR(VLOOKUP(J548,Listas!$A$220:$D$224,4,FALSE),"Alerta: Seleccione la celda en la comumna B con el nombre del proyecto")))</f>
        <v>Alerta: Seleccione la celda en la comumna B con el nombre del proyecto</v>
      </c>
      <c r="AR548" s="633"/>
      <c r="AS548" s="634" t="str">
        <f>IFERROR(VLOOKUP(AU548,Listas!$E$85:$L$105,7,FALSE),"Alerta: Seleccione la celda en la comumna AI con el concepto de gasto")</f>
        <v>Alerta: Seleccione la celda en la comumna AI con el concepto de gasto</v>
      </c>
      <c r="AT548" s="634" t="str">
        <f>IFERROR(VLOOKUP(AU548,Listas!$E$85:$L$105,8,FALSE),"Alerta: Seleccione la celda en la comumna AI con el concepto de gasto")</f>
        <v>Alerta: Seleccione la celda en la comumna AI con el concepto de gasto</v>
      </c>
      <c r="AU548" s="633"/>
      <c r="AV548" s="634" t="str">
        <f>IFERROR(VLOOKUP(AU548,Listas!$E$85:$F$105,2,FALSE),"Alerta: Seleccione el Concepto de Gasto primero")</f>
        <v>Alerta: Seleccione el Concepto de Gasto primero</v>
      </c>
      <c r="AW548" s="644"/>
      <c r="AX548" s="645"/>
      <c r="AY548" s="645"/>
      <c r="AZ548" s="645"/>
      <c r="BA548" s="646">
        <f t="shared" si="180"/>
        <v>0</v>
      </c>
      <c r="BB548" s="647"/>
      <c r="BC548" s="648"/>
      <c r="BD548" s="649"/>
      <c r="BE548" s="647"/>
      <c r="BF548" s="644"/>
      <c r="BG548" s="646">
        <f t="shared" si="181"/>
        <v>0</v>
      </c>
      <c r="BH548" s="650"/>
      <c r="BI548" s="647"/>
      <c r="BJ548" s="644"/>
      <c r="BK548" s="646">
        <f t="shared" si="182"/>
        <v>0</v>
      </c>
      <c r="BL548" s="651"/>
      <c r="BM548" s="652">
        <f t="shared" si="183"/>
        <v>1</v>
      </c>
      <c r="BN548" s="628"/>
      <c r="BO548" s="670"/>
      <c r="BP548" s="644"/>
      <c r="BQ548" s="644"/>
      <c r="BR548" s="644"/>
      <c r="BS548" s="644"/>
      <c r="BT548" s="644"/>
      <c r="BU548" s="644"/>
      <c r="BV548" s="644"/>
      <c r="BW548" s="644"/>
      <c r="BX548" s="644"/>
      <c r="BY548" s="644"/>
      <c r="BZ548" s="644"/>
      <c r="CA548" s="644"/>
      <c r="CB548" s="646">
        <f t="shared" si="184"/>
        <v>0</v>
      </c>
      <c r="CC548" s="646">
        <f t="shared" si="185"/>
        <v>0</v>
      </c>
      <c r="CD548" s="614"/>
    </row>
    <row r="549" spans="1:82" s="561" customFormat="1" ht="61.5" customHeight="1">
      <c r="A549" s="625" t="str">
        <f t="shared" si="167"/>
        <v>proyecto-Alerta: Seleccione la celda en la comumna B con el nombre del proyecto-Al-Al--</v>
      </c>
      <c r="B549" s="626" t="str">
        <f t="shared" si="168"/>
        <v>proyecto-Alerta: Seleccione la celda en la comumna B con el nombre del proyecto-Al-Al-</v>
      </c>
      <c r="C549" s="626" t="str">
        <f t="shared" si="169"/>
        <v>proyecto-Alerta: Seleccione la celda en la comumna B con el nombre del proyecto-</v>
      </c>
      <c r="D549" s="626" t="str">
        <f t="shared" si="170"/>
        <v>proyecto--Al-Al-</v>
      </c>
      <c r="E549" s="626" t="str">
        <f t="shared" si="171"/>
        <v>--</v>
      </c>
      <c r="F549" s="627"/>
      <c r="G549" s="628">
        <f t="shared" si="172"/>
        <v>0</v>
      </c>
      <c r="H549" s="629" t="b">
        <f t="shared" si="173"/>
        <v>1</v>
      </c>
      <c r="I549" s="630"/>
      <c r="J549" s="627"/>
      <c r="K549" s="631" t="str">
        <f>+IFERROR(VLOOKUP(J549,Listas!$A$108:$B$114,2,FALSE),"Alerta: Seleccione la celda en la comumna B con el nombre del proyecto")</f>
        <v>Alerta: Seleccione la celda en la comumna B con el nombre del proyecto</v>
      </c>
      <c r="L549" s="632"/>
      <c r="M549" s="633"/>
      <c r="N549" s="634" t="str">
        <f t="shared" si="174"/>
        <v xml:space="preserve">(Cód. ) </v>
      </c>
      <c r="O549" s="635"/>
      <c r="P549" s="636">
        <f>IFERROR(VLOOKUP(W549,'Estimación CRP'!$D$21:$E$30,2,FALSE),0)</f>
        <v>0</v>
      </c>
      <c r="Q549" s="637">
        <f>IF(O549="No aplica","No aplica",WORKDAY.INTL(O549,P549,1,'Estimación CRP'!A735:A751))</f>
        <v>0</v>
      </c>
      <c r="R549" s="636">
        <f t="shared" si="175"/>
        <v>1</v>
      </c>
      <c r="S549" s="636">
        <f t="shared" si="176"/>
        <v>1</v>
      </c>
      <c r="T549" s="636">
        <f t="shared" si="177"/>
        <v>1</v>
      </c>
      <c r="U549" s="638"/>
      <c r="V549" s="638"/>
      <c r="W549" s="639"/>
      <c r="X549" s="640" t="str">
        <f>IFERROR(VLOOKUP(W549,Listas!$A$60:$B$73,2,FALSE),"Alerta: Seleccione primero Modalidad de selección")</f>
        <v>Alerta: Seleccione primero Modalidad de selección</v>
      </c>
      <c r="Y549" s="641">
        <v>0</v>
      </c>
      <c r="Z549" s="641"/>
      <c r="AA549" s="641"/>
      <c r="AB549" s="642">
        <f t="shared" si="178"/>
        <v>0</v>
      </c>
      <c r="AC549" s="642">
        <f t="shared" si="179"/>
        <v>0</v>
      </c>
      <c r="AD549" s="641">
        <v>0</v>
      </c>
      <c r="AE549" s="643">
        <v>0</v>
      </c>
      <c r="AF549" s="639" t="s">
        <v>276</v>
      </c>
      <c r="AG549" s="639" t="s">
        <v>277</v>
      </c>
      <c r="AH549" s="639"/>
      <c r="AI549" s="626" t="str">
        <f>IFERROR(VLOOKUP(AH549,Listas!$A$77:$C$83,2,FALSE),"Alerta: Seleccione primero el responsable")</f>
        <v>Alerta: Seleccione primero el responsable</v>
      </c>
      <c r="AJ549" s="640" t="str">
        <f>IFERROR(VLOOKUP(AH549,Listas!$A$77:$C$83,3,FALSE),"Alerta: Seleccione primero el responsable")</f>
        <v>Alerta: Seleccione primero el responsable</v>
      </c>
      <c r="AK549" s="640" t="str">
        <f>IF(J549="Funcionamiento Gastos Generales","No aplica",IF(J549="Funcionamiento Servicios Personales indirectos","No aplica",IFERROR(VLOOKUP(J549,Listas!$A$127:$E$139,3,FALSE),"Alerta: Seleccione la celda en la comumna B con el nombre del proyecto")))</f>
        <v>Alerta: Seleccione la celda en la comumna B con el nombre del proyecto</v>
      </c>
      <c r="AL549" s="640" t="str">
        <f>IF(J549="Funcionamiento Gastos Generales","No aplica",IF(J549="Funcionamiento Servicios Personales","No aplica",IFERROR(VLOOKUP(J549,Listas!$A$220:$D$224,2,FALSE),"Alerta: Seleccione la celda en la comumna B con el nombre del proyecto")))</f>
        <v>Alerta: Seleccione la celda en la comumna B con el nombre del proyecto</v>
      </c>
      <c r="AM549" s="640" t="str">
        <f>IF(J549="Funcionamiento Gastos Generales","No aplica",IF(J549="Funcionamiento Servicios Personales","No aplica",IFERROR(VLOOKUP(J549,Listas!$A$220:$D$224,3,FALSE),"Alerta: Seleccione la celda en la comumna B con el nombre del proyecto")))</f>
        <v>Alerta: Seleccione la celda en la comumna B con el nombre del proyecto</v>
      </c>
      <c r="AN549" s="633"/>
      <c r="AO549" s="633"/>
      <c r="AP549" s="634" t="str">
        <f>IFERROR(VLOOKUP(J549,Listas!$A$182:$E$215,5,FALSE),"Alerta: Seleccione la celda en la comumna B con el nombre del proyecto")</f>
        <v>Alerta: Seleccione la celda en la comumna B con el nombre del proyecto</v>
      </c>
      <c r="AQ549" s="634" t="str">
        <f>IF(J549="Funcionamiento Gastos Generales","No aplica",IF(J549="Funcionamiento Servicios Personales","No aplica",IFERROR(VLOOKUP(J549,Listas!$A$220:$D$224,4,FALSE),"Alerta: Seleccione la celda en la comumna B con el nombre del proyecto")))</f>
        <v>Alerta: Seleccione la celda en la comumna B con el nombre del proyecto</v>
      </c>
      <c r="AR549" s="633"/>
      <c r="AS549" s="634" t="str">
        <f>IFERROR(VLOOKUP(AU549,Listas!$E$85:$L$105,7,FALSE),"Alerta: Seleccione la celda en la comumna AI con el concepto de gasto")</f>
        <v>Alerta: Seleccione la celda en la comumna AI con el concepto de gasto</v>
      </c>
      <c r="AT549" s="634" t="str">
        <f>IFERROR(VLOOKUP(AU549,Listas!$E$85:$L$105,8,FALSE),"Alerta: Seleccione la celda en la comumna AI con el concepto de gasto")</f>
        <v>Alerta: Seleccione la celda en la comumna AI con el concepto de gasto</v>
      </c>
      <c r="AU549" s="633"/>
      <c r="AV549" s="634" t="str">
        <f>IFERROR(VLOOKUP(AU549,Listas!$E$85:$F$105,2,FALSE),"Alerta: Seleccione el Concepto de Gasto primero")</f>
        <v>Alerta: Seleccione el Concepto de Gasto primero</v>
      </c>
      <c r="AW549" s="644"/>
      <c r="AX549" s="645"/>
      <c r="AY549" s="645"/>
      <c r="AZ549" s="645"/>
      <c r="BA549" s="646">
        <f t="shared" si="180"/>
        <v>0</v>
      </c>
      <c r="BB549" s="647"/>
      <c r="BC549" s="648"/>
      <c r="BD549" s="649"/>
      <c r="BE549" s="647"/>
      <c r="BF549" s="644"/>
      <c r="BG549" s="646">
        <f t="shared" si="181"/>
        <v>0</v>
      </c>
      <c r="BH549" s="650"/>
      <c r="BI549" s="647"/>
      <c r="BJ549" s="644"/>
      <c r="BK549" s="646">
        <f t="shared" si="182"/>
        <v>0</v>
      </c>
      <c r="BL549" s="651"/>
      <c r="BM549" s="652">
        <f t="shared" si="183"/>
        <v>1</v>
      </c>
      <c r="BN549" s="628"/>
      <c r="BO549" s="670"/>
      <c r="BP549" s="644"/>
      <c r="BQ549" s="644"/>
      <c r="BR549" s="644"/>
      <c r="BS549" s="644"/>
      <c r="BT549" s="644"/>
      <c r="BU549" s="644"/>
      <c r="BV549" s="644"/>
      <c r="BW549" s="644"/>
      <c r="BX549" s="644"/>
      <c r="BY549" s="644"/>
      <c r="BZ549" s="644"/>
      <c r="CA549" s="644"/>
      <c r="CB549" s="646">
        <f t="shared" si="184"/>
        <v>0</v>
      </c>
      <c r="CC549" s="646">
        <f t="shared" si="185"/>
        <v>0</v>
      </c>
      <c r="CD549" s="614"/>
    </row>
    <row r="550" spans="1:82" s="561" customFormat="1" ht="61.5" customHeight="1">
      <c r="A550" s="625" t="str">
        <f t="shared" si="167"/>
        <v>proyecto-Alerta: Seleccione la celda en la comumna B con el nombre del proyecto-Al-Al--</v>
      </c>
      <c r="B550" s="626" t="str">
        <f t="shared" si="168"/>
        <v>proyecto-Alerta: Seleccione la celda en la comumna B con el nombre del proyecto-Al-Al-</v>
      </c>
      <c r="C550" s="626" t="str">
        <f t="shared" si="169"/>
        <v>proyecto-Alerta: Seleccione la celda en la comumna B con el nombre del proyecto-</v>
      </c>
      <c r="D550" s="626" t="str">
        <f t="shared" si="170"/>
        <v>proyecto--Al-Al-</v>
      </c>
      <c r="E550" s="626" t="str">
        <f t="shared" si="171"/>
        <v>--</v>
      </c>
      <c r="F550" s="627"/>
      <c r="G550" s="628">
        <f t="shared" si="172"/>
        <v>0</v>
      </c>
      <c r="H550" s="629" t="b">
        <f t="shared" si="173"/>
        <v>1</v>
      </c>
      <c r="I550" s="630"/>
      <c r="J550" s="627"/>
      <c r="K550" s="631" t="str">
        <f>+IFERROR(VLOOKUP(J550,Listas!$A$108:$B$114,2,FALSE),"Alerta: Seleccione la celda en la comumna B con el nombre del proyecto")</f>
        <v>Alerta: Seleccione la celda en la comumna B con el nombre del proyecto</v>
      </c>
      <c r="L550" s="632"/>
      <c r="M550" s="633"/>
      <c r="N550" s="634" t="str">
        <f t="shared" si="174"/>
        <v xml:space="preserve">(Cód. ) </v>
      </c>
      <c r="O550" s="635"/>
      <c r="P550" s="636">
        <f>IFERROR(VLOOKUP(W550,'Estimación CRP'!$D$21:$E$30,2,FALSE),0)</f>
        <v>0</v>
      </c>
      <c r="Q550" s="637">
        <f>IF(O550="No aplica","No aplica",WORKDAY.INTL(O550,P550,1,'Estimación CRP'!A736:A752))</f>
        <v>0</v>
      </c>
      <c r="R550" s="636">
        <f t="shared" si="175"/>
        <v>1</v>
      </c>
      <c r="S550" s="636">
        <f t="shared" si="176"/>
        <v>1</v>
      </c>
      <c r="T550" s="636">
        <f t="shared" si="177"/>
        <v>1</v>
      </c>
      <c r="U550" s="638"/>
      <c r="V550" s="638"/>
      <c r="W550" s="639"/>
      <c r="X550" s="640" t="str">
        <f>IFERROR(VLOOKUP(W550,Listas!$A$60:$B$73,2,FALSE),"Alerta: Seleccione primero Modalidad de selección")</f>
        <v>Alerta: Seleccione primero Modalidad de selección</v>
      </c>
      <c r="Y550" s="641">
        <v>0</v>
      </c>
      <c r="Z550" s="641"/>
      <c r="AA550" s="641"/>
      <c r="AB550" s="642">
        <f t="shared" si="178"/>
        <v>0</v>
      </c>
      <c r="AC550" s="642">
        <f t="shared" si="179"/>
        <v>0</v>
      </c>
      <c r="AD550" s="641">
        <v>0</v>
      </c>
      <c r="AE550" s="643">
        <v>0</v>
      </c>
      <c r="AF550" s="639" t="s">
        <v>276</v>
      </c>
      <c r="AG550" s="639" t="s">
        <v>277</v>
      </c>
      <c r="AH550" s="639"/>
      <c r="AI550" s="626" t="str">
        <f>IFERROR(VLOOKUP(AH550,Listas!$A$77:$C$83,2,FALSE),"Alerta: Seleccione primero el responsable")</f>
        <v>Alerta: Seleccione primero el responsable</v>
      </c>
      <c r="AJ550" s="640" t="str">
        <f>IFERROR(VLOOKUP(AH550,Listas!$A$77:$C$83,3,FALSE),"Alerta: Seleccione primero el responsable")</f>
        <v>Alerta: Seleccione primero el responsable</v>
      </c>
      <c r="AK550" s="640" t="str">
        <f>IF(J550="Funcionamiento Gastos Generales","No aplica",IF(J550="Funcionamiento Servicios Personales indirectos","No aplica",IFERROR(VLOOKUP(J550,Listas!$A$127:$E$139,3,FALSE),"Alerta: Seleccione la celda en la comumna B con el nombre del proyecto")))</f>
        <v>Alerta: Seleccione la celda en la comumna B con el nombre del proyecto</v>
      </c>
      <c r="AL550" s="640" t="str">
        <f>IF(J550="Funcionamiento Gastos Generales","No aplica",IF(J550="Funcionamiento Servicios Personales","No aplica",IFERROR(VLOOKUP(J550,Listas!$A$220:$D$224,2,FALSE),"Alerta: Seleccione la celda en la comumna B con el nombre del proyecto")))</f>
        <v>Alerta: Seleccione la celda en la comumna B con el nombre del proyecto</v>
      </c>
      <c r="AM550" s="640" t="str">
        <f>IF(J550="Funcionamiento Gastos Generales","No aplica",IF(J550="Funcionamiento Servicios Personales","No aplica",IFERROR(VLOOKUP(J550,Listas!$A$220:$D$224,3,FALSE),"Alerta: Seleccione la celda en la comumna B con el nombre del proyecto")))</f>
        <v>Alerta: Seleccione la celda en la comumna B con el nombre del proyecto</v>
      </c>
      <c r="AN550" s="633"/>
      <c r="AO550" s="633"/>
      <c r="AP550" s="634" t="str">
        <f>IFERROR(VLOOKUP(J550,Listas!$A$182:$E$215,5,FALSE),"Alerta: Seleccione la celda en la comumna B con el nombre del proyecto")</f>
        <v>Alerta: Seleccione la celda en la comumna B con el nombre del proyecto</v>
      </c>
      <c r="AQ550" s="634" t="str">
        <f>IF(J550="Funcionamiento Gastos Generales","No aplica",IF(J550="Funcionamiento Servicios Personales","No aplica",IFERROR(VLOOKUP(J550,Listas!$A$220:$D$224,4,FALSE),"Alerta: Seleccione la celda en la comumna B con el nombre del proyecto")))</f>
        <v>Alerta: Seleccione la celda en la comumna B con el nombre del proyecto</v>
      </c>
      <c r="AR550" s="633"/>
      <c r="AS550" s="634" t="str">
        <f>IFERROR(VLOOKUP(AU550,Listas!$E$85:$L$105,7,FALSE),"Alerta: Seleccione la celda en la comumna AI con el concepto de gasto")</f>
        <v>Alerta: Seleccione la celda en la comumna AI con el concepto de gasto</v>
      </c>
      <c r="AT550" s="634" t="str">
        <f>IFERROR(VLOOKUP(AU550,Listas!$E$85:$L$105,8,FALSE),"Alerta: Seleccione la celda en la comumna AI con el concepto de gasto")</f>
        <v>Alerta: Seleccione la celda en la comumna AI con el concepto de gasto</v>
      </c>
      <c r="AU550" s="633"/>
      <c r="AV550" s="634" t="str">
        <f>IFERROR(VLOOKUP(AU550,Listas!$E$85:$F$105,2,FALSE),"Alerta: Seleccione el Concepto de Gasto primero")</f>
        <v>Alerta: Seleccione el Concepto de Gasto primero</v>
      </c>
      <c r="AW550" s="644"/>
      <c r="AX550" s="645"/>
      <c r="AY550" s="645"/>
      <c r="AZ550" s="645"/>
      <c r="BA550" s="646">
        <f t="shared" si="180"/>
        <v>0</v>
      </c>
      <c r="BB550" s="647"/>
      <c r="BC550" s="648"/>
      <c r="BD550" s="649"/>
      <c r="BE550" s="647"/>
      <c r="BF550" s="644"/>
      <c r="BG550" s="646">
        <f t="shared" si="181"/>
        <v>0</v>
      </c>
      <c r="BH550" s="650"/>
      <c r="BI550" s="647"/>
      <c r="BJ550" s="644"/>
      <c r="BK550" s="646">
        <f t="shared" si="182"/>
        <v>0</v>
      </c>
      <c r="BL550" s="651"/>
      <c r="BM550" s="652">
        <f t="shared" si="183"/>
        <v>1</v>
      </c>
      <c r="BN550" s="628"/>
      <c r="BO550" s="670"/>
      <c r="BP550" s="644"/>
      <c r="BQ550" s="644"/>
      <c r="BR550" s="644"/>
      <c r="BS550" s="644"/>
      <c r="BT550" s="644"/>
      <c r="BU550" s="644"/>
      <c r="BV550" s="644"/>
      <c r="BW550" s="644"/>
      <c r="BX550" s="644"/>
      <c r="BY550" s="644"/>
      <c r="BZ550" s="644"/>
      <c r="CA550" s="644"/>
      <c r="CB550" s="646">
        <f t="shared" si="184"/>
        <v>0</v>
      </c>
      <c r="CC550" s="646">
        <f t="shared" si="185"/>
        <v>0</v>
      </c>
      <c r="CD550" s="614"/>
    </row>
    <row r="551" spans="1:82" s="561" customFormat="1" ht="61.5" customHeight="1">
      <c r="A551" s="625" t="str">
        <f t="shared" si="167"/>
        <v>proyecto-Alerta: Seleccione la celda en la comumna B con el nombre del proyecto-Al-Al--</v>
      </c>
      <c r="B551" s="626" t="str">
        <f t="shared" si="168"/>
        <v>proyecto-Alerta: Seleccione la celda en la comumna B con el nombre del proyecto-Al-Al-</v>
      </c>
      <c r="C551" s="626" t="str">
        <f t="shared" si="169"/>
        <v>proyecto-Alerta: Seleccione la celda en la comumna B con el nombre del proyecto-</v>
      </c>
      <c r="D551" s="626" t="str">
        <f t="shared" si="170"/>
        <v>proyecto--Al-Al-</v>
      </c>
      <c r="E551" s="626" t="str">
        <f t="shared" si="171"/>
        <v>--</v>
      </c>
      <c r="F551" s="627"/>
      <c r="G551" s="628">
        <f t="shared" si="172"/>
        <v>0</v>
      </c>
      <c r="H551" s="629" t="b">
        <f t="shared" si="173"/>
        <v>1</v>
      </c>
      <c r="I551" s="630"/>
      <c r="J551" s="627"/>
      <c r="K551" s="631" t="str">
        <f>+IFERROR(VLOOKUP(J551,Listas!$A$108:$B$114,2,FALSE),"Alerta: Seleccione la celda en la comumna B con el nombre del proyecto")</f>
        <v>Alerta: Seleccione la celda en la comumna B con el nombre del proyecto</v>
      </c>
      <c r="L551" s="632"/>
      <c r="M551" s="633"/>
      <c r="N551" s="634" t="str">
        <f t="shared" si="174"/>
        <v xml:space="preserve">(Cód. ) </v>
      </c>
      <c r="O551" s="635"/>
      <c r="P551" s="636">
        <f>IFERROR(VLOOKUP(W551,'Estimación CRP'!$D$21:$E$30,2,FALSE),0)</f>
        <v>0</v>
      </c>
      <c r="Q551" s="637">
        <f>IF(O551="No aplica","No aplica",WORKDAY.INTL(O551,P551,1,'Estimación CRP'!A737:A753))</f>
        <v>0</v>
      </c>
      <c r="R551" s="636">
        <f t="shared" si="175"/>
        <v>1</v>
      </c>
      <c r="S551" s="636">
        <f t="shared" si="176"/>
        <v>1</v>
      </c>
      <c r="T551" s="636">
        <f t="shared" si="177"/>
        <v>1</v>
      </c>
      <c r="U551" s="638"/>
      <c r="V551" s="638"/>
      <c r="W551" s="639"/>
      <c r="X551" s="640" t="str">
        <f>IFERROR(VLOOKUP(W551,Listas!$A$60:$B$73,2,FALSE),"Alerta: Seleccione primero Modalidad de selección")</f>
        <v>Alerta: Seleccione primero Modalidad de selección</v>
      </c>
      <c r="Y551" s="641">
        <v>0</v>
      </c>
      <c r="Z551" s="641"/>
      <c r="AA551" s="641"/>
      <c r="AB551" s="642">
        <f t="shared" si="178"/>
        <v>0</v>
      </c>
      <c r="AC551" s="642">
        <f t="shared" si="179"/>
        <v>0</v>
      </c>
      <c r="AD551" s="641">
        <v>0</v>
      </c>
      <c r="AE551" s="643">
        <v>0</v>
      </c>
      <c r="AF551" s="639" t="s">
        <v>276</v>
      </c>
      <c r="AG551" s="639" t="s">
        <v>277</v>
      </c>
      <c r="AH551" s="639"/>
      <c r="AI551" s="626" t="str">
        <f>IFERROR(VLOOKUP(AH551,Listas!$A$77:$C$83,2,FALSE),"Alerta: Seleccione primero el responsable")</f>
        <v>Alerta: Seleccione primero el responsable</v>
      </c>
      <c r="AJ551" s="640" t="str">
        <f>IFERROR(VLOOKUP(AH551,Listas!$A$77:$C$83,3,FALSE),"Alerta: Seleccione primero el responsable")</f>
        <v>Alerta: Seleccione primero el responsable</v>
      </c>
      <c r="AK551" s="640" t="str">
        <f>IF(J551="Funcionamiento Gastos Generales","No aplica",IF(J551="Funcionamiento Servicios Personales indirectos","No aplica",IFERROR(VLOOKUP(J551,Listas!$A$127:$E$139,3,FALSE),"Alerta: Seleccione la celda en la comumna B con el nombre del proyecto")))</f>
        <v>Alerta: Seleccione la celda en la comumna B con el nombre del proyecto</v>
      </c>
      <c r="AL551" s="640" t="str">
        <f>IF(J551="Funcionamiento Gastos Generales","No aplica",IF(J551="Funcionamiento Servicios Personales","No aplica",IFERROR(VLOOKUP(J551,Listas!$A$220:$D$224,2,FALSE),"Alerta: Seleccione la celda en la comumna B con el nombre del proyecto")))</f>
        <v>Alerta: Seleccione la celda en la comumna B con el nombre del proyecto</v>
      </c>
      <c r="AM551" s="640" t="str">
        <f>IF(J551="Funcionamiento Gastos Generales","No aplica",IF(J551="Funcionamiento Servicios Personales","No aplica",IFERROR(VLOOKUP(J551,Listas!$A$220:$D$224,3,FALSE),"Alerta: Seleccione la celda en la comumna B con el nombre del proyecto")))</f>
        <v>Alerta: Seleccione la celda en la comumna B con el nombre del proyecto</v>
      </c>
      <c r="AN551" s="633"/>
      <c r="AO551" s="633"/>
      <c r="AP551" s="634" t="str">
        <f>IFERROR(VLOOKUP(J551,Listas!$A$182:$E$215,5,FALSE),"Alerta: Seleccione la celda en la comumna B con el nombre del proyecto")</f>
        <v>Alerta: Seleccione la celda en la comumna B con el nombre del proyecto</v>
      </c>
      <c r="AQ551" s="634" t="str">
        <f>IF(J551="Funcionamiento Gastos Generales","No aplica",IF(J551="Funcionamiento Servicios Personales","No aplica",IFERROR(VLOOKUP(J551,Listas!$A$220:$D$224,4,FALSE),"Alerta: Seleccione la celda en la comumna B con el nombre del proyecto")))</f>
        <v>Alerta: Seleccione la celda en la comumna B con el nombre del proyecto</v>
      </c>
      <c r="AR551" s="633"/>
      <c r="AS551" s="634" t="str">
        <f>IFERROR(VLOOKUP(AU551,Listas!$E$85:$L$105,7,FALSE),"Alerta: Seleccione la celda en la comumna AI con el concepto de gasto")</f>
        <v>Alerta: Seleccione la celda en la comumna AI con el concepto de gasto</v>
      </c>
      <c r="AT551" s="634" t="str">
        <f>IFERROR(VLOOKUP(AU551,Listas!$E$85:$L$105,8,FALSE),"Alerta: Seleccione la celda en la comumna AI con el concepto de gasto")</f>
        <v>Alerta: Seleccione la celda en la comumna AI con el concepto de gasto</v>
      </c>
      <c r="AU551" s="633"/>
      <c r="AV551" s="634" t="str">
        <f>IFERROR(VLOOKUP(AU551,Listas!$E$85:$F$105,2,FALSE),"Alerta: Seleccione el Concepto de Gasto primero")</f>
        <v>Alerta: Seleccione el Concepto de Gasto primero</v>
      </c>
      <c r="AW551" s="644"/>
      <c r="AX551" s="645"/>
      <c r="AY551" s="645"/>
      <c r="AZ551" s="645"/>
      <c r="BA551" s="646">
        <f t="shared" si="180"/>
        <v>0</v>
      </c>
      <c r="BB551" s="647"/>
      <c r="BC551" s="648"/>
      <c r="BD551" s="649"/>
      <c r="BE551" s="647"/>
      <c r="BF551" s="644"/>
      <c r="BG551" s="646">
        <f t="shared" si="181"/>
        <v>0</v>
      </c>
      <c r="BH551" s="650"/>
      <c r="BI551" s="647"/>
      <c r="BJ551" s="644"/>
      <c r="BK551" s="646">
        <f t="shared" si="182"/>
        <v>0</v>
      </c>
      <c r="BL551" s="651"/>
      <c r="BM551" s="652">
        <f t="shared" si="183"/>
        <v>1</v>
      </c>
      <c r="BN551" s="628"/>
      <c r="BO551" s="670"/>
      <c r="BP551" s="644"/>
      <c r="BQ551" s="644"/>
      <c r="BR551" s="644"/>
      <c r="BS551" s="644"/>
      <c r="BT551" s="644"/>
      <c r="BU551" s="644"/>
      <c r="BV551" s="644"/>
      <c r="BW551" s="644"/>
      <c r="BX551" s="644"/>
      <c r="BY551" s="644"/>
      <c r="BZ551" s="644"/>
      <c r="CA551" s="644"/>
      <c r="CB551" s="646">
        <f t="shared" si="184"/>
        <v>0</v>
      </c>
      <c r="CC551" s="646">
        <f t="shared" si="185"/>
        <v>0</v>
      </c>
      <c r="CD551" s="614"/>
    </row>
    <row r="552" spans="1:82" s="561" customFormat="1" ht="61.5" customHeight="1">
      <c r="A552" s="625" t="str">
        <f t="shared" si="167"/>
        <v>proyecto-Alerta: Seleccione la celda en la comumna B con el nombre del proyecto-Al-Al--</v>
      </c>
      <c r="B552" s="626" t="str">
        <f t="shared" si="168"/>
        <v>proyecto-Alerta: Seleccione la celda en la comumna B con el nombre del proyecto-Al-Al-</v>
      </c>
      <c r="C552" s="626" t="str">
        <f t="shared" si="169"/>
        <v>proyecto-Alerta: Seleccione la celda en la comumna B con el nombre del proyecto-</v>
      </c>
      <c r="D552" s="626" t="str">
        <f t="shared" si="170"/>
        <v>proyecto--Al-Al-</v>
      </c>
      <c r="E552" s="626" t="str">
        <f t="shared" si="171"/>
        <v>--</v>
      </c>
      <c r="F552" s="627"/>
      <c r="G552" s="628">
        <f t="shared" si="172"/>
        <v>0</v>
      </c>
      <c r="H552" s="629" t="b">
        <f t="shared" si="173"/>
        <v>1</v>
      </c>
      <c r="I552" s="630"/>
      <c r="J552" s="627"/>
      <c r="K552" s="631" t="str">
        <f>+IFERROR(VLOOKUP(J552,Listas!$A$108:$B$114,2,FALSE),"Alerta: Seleccione la celda en la comumna B con el nombre del proyecto")</f>
        <v>Alerta: Seleccione la celda en la comumna B con el nombre del proyecto</v>
      </c>
      <c r="L552" s="632"/>
      <c r="M552" s="633"/>
      <c r="N552" s="634" t="str">
        <f t="shared" si="174"/>
        <v xml:space="preserve">(Cód. ) </v>
      </c>
      <c r="O552" s="635"/>
      <c r="P552" s="636">
        <f>IFERROR(VLOOKUP(W552,'Estimación CRP'!$D$21:$E$30,2,FALSE),0)</f>
        <v>0</v>
      </c>
      <c r="Q552" s="637">
        <f>IF(O552="No aplica","No aplica",WORKDAY.INTL(O552,P552,1,'Estimación CRP'!A738:A754))</f>
        <v>0</v>
      </c>
      <c r="R552" s="636">
        <f t="shared" si="175"/>
        <v>1</v>
      </c>
      <c r="S552" s="636">
        <f t="shared" si="176"/>
        <v>1</v>
      </c>
      <c r="T552" s="636">
        <f t="shared" si="177"/>
        <v>1</v>
      </c>
      <c r="U552" s="638"/>
      <c r="V552" s="638"/>
      <c r="W552" s="639"/>
      <c r="X552" s="640" t="str">
        <f>IFERROR(VLOOKUP(W552,Listas!$A$60:$B$73,2,FALSE),"Alerta: Seleccione primero Modalidad de selección")</f>
        <v>Alerta: Seleccione primero Modalidad de selección</v>
      </c>
      <c r="Y552" s="641">
        <v>0</v>
      </c>
      <c r="Z552" s="641"/>
      <c r="AA552" s="641"/>
      <c r="AB552" s="642">
        <f t="shared" si="178"/>
        <v>0</v>
      </c>
      <c r="AC552" s="642">
        <f t="shared" si="179"/>
        <v>0</v>
      </c>
      <c r="AD552" s="641">
        <v>0</v>
      </c>
      <c r="AE552" s="643">
        <v>0</v>
      </c>
      <c r="AF552" s="639" t="s">
        <v>276</v>
      </c>
      <c r="AG552" s="639" t="s">
        <v>277</v>
      </c>
      <c r="AH552" s="639"/>
      <c r="AI552" s="626" t="str">
        <f>IFERROR(VLOOKUP(AH552,Listas!$A$77:$C$83,2,FALSE),"Alerta: Seleccione primero el responsable")</f>
        <v>Alerta: Seleccione primero el responsable</v>
      </c>
      <c r="AJ552" s="640" t="str">
        <f>IFERROR(VLOOKUP(AH552,Listas!$A$77:$C$83,3,FALSE),"Alerta: Seleccione primero el responsable")</f>
        <v>Alerta: Seleccione primero el responsable</v>
      </c>
      <c r="AK552" s="640" t="str">
        <f>IF(J552="Funcionamiento Gastos Generales","No aplica",IF(J552="Funcionamiento Servicios Personales indirectos","No aplica",IFERROR(VLOOKUP(J552,Listas!$A$127:$E$139,3,FALSE),"Alerta: Seleccione la celda en la comumna B con el nombre del proyecto")))</f>
        <v>Alerta: Seleccione la celda en la comumna B con el nombre del proyecto</v>
      </c>
      <c r="AL552" s="640" t="str">
        <f>IF(J552="Funcionamiento Gastos Generales","No aplica",IF(J552="Funcionamiento Servicios Personales","No aplica",IFERROR(VLOOKUP(J552,Listas!$A$220:$D$224,2,FALSE),"Alerta: Seleccione la celda en la comumna B con el nombre del proyecto")))</f>
        <v>Alerta: Seleccione la celda en la comumna B con el nombre del proyecto</v>
      </c>
      <c r="AM552" s="640" t="str">
        <f>IF(J552="Funcionamiento Gastos Generales","No aplica",IF(J552="Funcionamiento Servicios Personales","No aplica",IFERROR(VLOOKUP(J552,Listas!$A$220:$D$224,3,FALSE),"Alerta: Seleccione la celda en la comumna B con el nombre del proyecto")))</f>
        <v>Alerta: Seleccione la celda en la comumna B con el nombre del proyecto</v>
      </c>
      <c r="AN552" s="633"/>
      <c r="AO552" s="633"/>
      <c r="AP552" s="634" t="str">
        <f>IFERROR(VLOOKUP(J552,Listas!$A$182:$E$215,5,FALSE),"Alerta: Seleccione la celda en la comumna B con el nombre del proyecto")</f>
        <v>Alerta: Seleccione la celda en la comumna B con el nombre del proyecto</v>
      </c>
      <c r="AQ552" s="634" t="str">
        <f>IF(J552="Funcionamiento Gastos Generales","No aplica",IF(J552="Funcionamiento Servicios Personales","No aplica",IFERROR(VLOOKUP(J552,Listas!$A$220:$D$224,4,FALSE),"Alerta: Seleccione la celda en la comumna B con el nombre del proyecto")))</f>
        <v>Alerta: Seleccione la celda en la comumna B con el nombre del proyecto</v>
      </c>
      <c r="AR552" s="633"/>
      <c r="AS552" s="634" t="str">
        <f>IFERROR(VLOOKUP(AU552,Listas!$E$85:$L$105,7,FALSE),"Alerta: Seleccione la celda en la comumna AI con el concepto de gasto")</f>
        <v>Alerta: Seleccione la celda en la comumna AI con el concepto de gasto</v>
      </c>
      <c r="AT552" s="634" t="str">
        <f>IFERROR(VLOOKUP(AU552,Listas!$E$85:$L$105,8,FALSE),"Alerta: Seleccione la celda en la comumna AI con el concepto de gasto")</f>
        <v>Alerta: Seleccione la celda en la comumna AI con el concepto de gasto</v>
      </c>
      <c r="AU552" s="633"/>
      <c r="AV552" s="634" t="str">
        <f>IFERROR(VLOOKUP(AU552,Listas!$E$85:$F$105,2,FALSE),"Alerta: Seleccione el Concepto de Gasto primero")</f>
        <v>Alerta: Seleccione el Concepto de Gasto primero</v>
      </c>
      <c r="AW552" s="644"/>
      <c r="AX552" s="645"/>
      <c r="AY552" s="645"/>
      <c r="AZ552" s="645"/>
      <c r="BA552" s="646">
        <f t="shared" si="180"/>
        <v>0</v>
      </c>
      <c r="BB552" s="647"/>
      <c r="BC552" s="648"/>
      <c r="BD552" s="649"/>
      <c r="BE552" s="647"/>
      <c r="BF552" s="644"/>
      <c r="BG552" s="646">
        <f t="shared" si="181"/>
        <v>0</v>
      </c>
      <c r="BH552" s="650"/>
      <c r="BI552" s="647"/>
      <c r="BJ552" s="644"/>
      <c r="BK552" s="646">
        <f t="shared" si="182"/>
        <v>0</v>
      </c>
      <c r="BL552" s="651"/>
      <c r="BM552" s="652">
        <f t="shared" si="183"/>
        <v>1</v>
      </c>
      <c r="BN552" s="628"/>
      <c r="BO552" s="670"/>
      <c r="BP552" s="644"/>
      <c r="BQ552" s="644"/>
      <c r="BR552" s="644"/>
      <c r="BS552" s="644"/>
      <c r="BT552" s="644"/>
      <c r="BU552" s="644"/>
      <c r="BV552" s="644"/>
      <c r="BW552" s="644"/>
      <c r="BX552" s="644"/>
      <c r="BY552" s="644"/>
      <c r="BZ552" s="644"/>
      <c r="CA552" s="644"/>
      <c r="CB552" s="646">
        <f t="shared" si="184"/>
        <v>0</v>
      </c>
      <c r="CC552" s="646">
        <f t="shared" si="185"/>
        <v>0</v>
      </c>
      <c r="CD552" s="614"/>
    </row>
    <row r="553" spans="1:82" s="561" customFormat="1" ht="61.5" customHeight="1">
      <c r="A553" s="625" t="str">
        <f t="shared" si="167"/>
        <v>proyecto-Alerta: Seleccione la celda en la comumna B con el nombre del proyecto-Al-Al--</v>
      </c>
      <c r="B553" s="626" t="str">
        <f t="shared" si="168"/>
        <v>proyecto-Alerta: Seleccione la celda en la comumna B con el nombre del proyecto-Al-Al-</v>
      </c>
      <c r="C553" s="626" t="str">
        <f t="shared" si="169"/>
        <v>proyecto-Alerta: Seleccione la celda en la comumna B con el nombre del proyecto-</v>
      </c>
      <c r="D553" s="626" t="str">
        <f t="shared" si="170"/>
        <v>proyecto--Al-Al-</v>
      </c>
      <c r="E553" s="626" t="str">
        <f t="shared" si="171"/>
        <v>--</v>
      </c>
      <c r="F553" s="627"/>
      <c r="G553" s="628">
        <f t="shared" si="172"/>
        <v>0</v>
      </c>
      <c r="H553" s="629" t="b">
        <f t="shared" si="173"/>
        <v>1</v>
      </c>
      <c r="I553" s="630"/>
      <c r="J553" s="627"/>
      <c r="K553" s="631" t="str">
        <f>+IFERROR(VLOOKUP(J553,Listas!$A$108:$B$114,2,FALSE),"Alerta: Seleccione la celda en la comumna B con el nombre del proyecto")</f>
        <v>Alerta: Seleccione la celda en la comumna B con el nombre del proyecto</v>
      </c>
      <c r="L553" s="632"/>
      <c r="M553" s="633"/>
      <c r="N553" s="634" t="str">
        <f t="shared" si="174"/>
        <v xml:space="preserve">(Cód. ) </v>
      </c>
      <c r="O553" s="635"/>
      <c r="P553" s="636">
        <f>IFERROR(VLOOKUP(W553,'Estimación CRP'!$D$21:$E$30,2,FALSE),0)</f>
        <v>0</v>
      </c>
      <c r="Q553" s="637">
        <f>IF(O553="No aplica","No aplica",WORKDAY.INTL(O553,P553,1,'Estimación CRP'!A739:A755))</f>
        <v>0</v>
      </c>
      <c r="R553" s="636">
        <f t="shared" si="175"/>
        <v>1</v>
      </c>
      <c r="S553" s="636">
        <f t="shared" si="176"/>
        <v>1</v>
      </c>
      <c r="T553" s="636">
        <f t="shared" si="177"/>
        <v>1</v>
      </c>
      <c r="U553" s="638"/>
      <c r="V553" s="638"/>
      <c r="W553" s="639"/>
      <c r="X553" s="640" t="str">
        <f>IFERROR(VLOOKUP(W553,Listas!$A$60:$B$73,2,FALSE),"Alerta: Seleccione primero Modalidad de selección")</f>
        <v>Alerta: Seleccione primero Modalidad de selección</v>
      </c>
      <c r="Y553" s="641">
        <v>0</v>
      </c>
      <c r="Z553" s="641"/>
      <c r="AA553" s="641"/>
      <c r="AB553" s="642">
        <f t="shared" si="178"/>
        <v>0</v>
      </c>
      <c r="AC553" s="642">
        <f t="shared" si="179"/>
        <v>0</v>
      </c>
      <c r="AD553" s="641">
        <v>0</v>
      </c>
      <c r="AE553" s="643">
        <v>0</v>
      </c>
      <c r="AF553" s="639" t="s">
        <v>276</v>
      </c>
      <c r="AG553" s="639" t="s">
        <v>277</v>
      </c>
      <c r="AH553" s="639"/>
      <c r="AI553" s="626" t="str">
        <f>IFERROR(VLOOKUP(AH553,Listas!$A$77:$C$83,2,FALSE),"Alerta: Seleccione primero el responsable")</f>
        <v>Alerta: Seleccione primero el responsable</v>
      </c>
      <c r="AJ553" s="640" t="str">
        <f>IFERROR(VLOOKUP(AH553,Listas!$A$77:$C$83,3,FALSE),"Alerta: Seleccione primero el responsable")</f>
        <v>Alerta: Seleccione primero el responsable</v>
      </c>
      <c r="AK553" s="640" t="str">
        <f>IF(J553="Funcionamiento Gastos Generales","No aplica",IF(J553="Funcionamiento Servicios Personales indirectos","No aplica",IFERROR(VLOOKUP(J553,Listas!$A$127:$E$139,3,FALSE),"Alerta: Seleccione la celda en la comumna B con el nombre del proyecto")))</f>
        <v>Alerta: Seleccione la celda en la comumna B con el nombre del proyecto</v>
      </c>
      <c r="AL553" s="640" t="str">
        <f>IF(J553="Funcionamiento Gastos Generales","No aplica",IF(J553="Funcionamiento Servicios Personales","No aplica",IFERROR(VLOOKUP(J553,Listas!$A$220:$D$224,2,FALSE),"Alerta: Seleccione la celda en la comumna B con el nombre del proyecto")))</f>
        <v>Alerta: Seleccione la celda en la comumna B con el nombre del proyecto</v>
      </c>
      <c r="AM553" s="640" t="str">
        <f>IF(J553="Funcionamiento Gastos Generales","No aplica",IF(J553="Funcionamiento Servicios Personales","No aplica",IFERROR(VLOOKUP(J553,Listas!$A$220:$D$224,3,FALSE),"Alerta: Seleccione la celda en la comumna B con el nombre del proyecto")))</f>
        <v>Alerta: Seleccione la celda en la comumna B con el nombre del proyecto</v>
      </c>
      <c r="AN553" s="633"/>
      <c r="AO553" s="633"/>
      <c r="AP553" s="634" t="str">
        <f>IFERROR(VLOOKUP(J553,Listas!$A$182:$E$215,5,FALSE),"Alerta: Seleccione la celda en la comumna B con el nombre del proyecto")</f>
        <v>Alerta: Seleccione la celda en la comumna B con el nombre del proyecto</v>
      </c>
      <c r="AQ553" s="634" t="str">
        <f>IF(J553="Funcionamiento Gastos Generales","No aplica",IF(J553="Funcionamiento Servicios Personales","No aplica",IFERROR(VLOOKUP(J553,Listas!$A$220:$D$224,4,FALSE),"Alerta: Seleccione la celda en la comumna B con el nombre del proyecto")))</f>
        <v>Alerta: Seleccione la celda en la comumna B con el nombre del proyecto</v>
      </c>
      <c r="AR553" s="633"/>
      <c r="AS553" s="634" t="str">
        <f>IFERROR(VLOOKUP(AU553,Listas!$E$85:$L$105,7,FALSE),"Alerta: Seleccione la celda en la comumna AI con el concepto de gasto")</f>
        <v>Alerta: Seleccione la celda en la comumna AI con el concepto de gasto</v>
      </c>
      <c r="AT553" s="634" t="str">
        <f>IFERROR(VLOOKUP(AU553,Listas!$E$85:$L$105,8,FALSE),"Alerta: Seleccione la celda en la comumna AI con el concepto de gasto")</f>
        <v>Alerta: Seleccione la celda en la comumna AI con el concepto de gasto</v>
      </c>
      <c r="AU553" s="633"/>
      <c r="AV553" s="634" t="str">
        <f>IFERROR(VLOOKUP(AU553,Listas!$E$85:$F$105,2,FALSE),"Alerta: Seleccione el Concepto de Gasto primero")</f>
        <v>Alerta: Seleccione el Concepto de Gasto primero</v>
      </c>
      <c r="AW553" s="644"/>
      <c r="AX553" s="645"/>
      <c r="AY553" s="645"/>
      <c r="AZ553" s="645"/>
      <c r="BA553" s="646">
        <f t="shared" si="180"/>
        <v>0</v>
      </c>
      <c r="BB553" s="647"/>
      <c r="BC553" s="648"/>
      <c r="BD553" s="649"/>
      <c r="BE553" s="647"/>
      <c r="BF553" s="644"/>
      <c r="BG553" s="646">
        <f t="shared" si="181"/>
        <v>0</v>
      </c>
      <c r="BH553" s="650"/>
      <c r="BI553" s="647"/>
      <c r="BJ553" s="644"/>
      <c r="BK553" s="646">
        <f t="shared" si="182"/>
        <v>0</v>
      </c>
      <c r="BL553" s="651"/>
      <c r="BM553" s="652">
        <f t="shared" si="183"/>
        <v>1</v>
      </c>
      <c r="BN553" s="628"/>
      <c r="BO553" s="670"/>
      <c r="BP553" s="644"/>
      <c r="BQ553" s="644"/>
      <c r="BR553" s="644"/>
      <c r="BS553" s="644"/>
      <c r="BT553" s="644"/>
      <c r="BU553" s="644"/>
      <c r="BV553" s="644"/>
      <c r="BW553" s="644"/>
      <c r="BX553" s="644"/>
      <c r="BY553" s="644"/>
      <c r="BZ553" s="644"/>
      <c r="CA553" s="644"/>
      <c r="CB553" s="646">
        <f t="shared" si="184"/>
        <v>0</v>
      </c>
      <c r="CC553" s="646">
        <f t="shared" si="185"/>
        <v>0</v>
      </c>
      <c r="CD553" s="614"/>
    </row>
    <row r="554" spans="1:82" s="561" customFormat="1" ht="61.5" customHeight="1">
      <c r="A554" s="625" t="str">
        <f t="shared" si="167"/>
        <v>proyecto-Alerta: Seleccione la celda en la comumna B con el nombre del proyecto-Al-Al--</v>
      </c>
      <c r="B554" s="626" t="str">
        <f t="shared" si="168"/>
        <v>proyecto-Alerta: Seleccione la celda en la comumna B con el nombre del proyecto-Al-Al-</v>
      </c>
      <c r="C554" s="626" t="str">
        <f t="shared" si="169"/>
        <v>proyecto-Alerta: Seleccione la celda en la comumna B con el nombre del proyecto-</v>
      </c>
      <c r="D554" s="626" t="str">
        <f t="shared" si="170"/>
        <v>proyecto--Al-Al-</v>
      </c>
      <c r="E554" s="626" t="str">
        <f t="shared" si="171"/>
        <v>--</v>
      </c>
      <c r="F554" s="627"/>
      <c r="G554" s="628">
        <f t="shared" si="172"/>
        <v>0</v>
      </c>
      <c r="H554" s="629" t="b">
        <f t="shared" si="173"/>
        <v>1</v>
      </c>
      <c r="I554" s="630"/>
      <c r="J554" s="627"/>
      <c r="K554" s="631" t="str">
        <f>+IFERROR(VLOOKUP(J554,Listas!$A$108:$B$114,2,FALSE),"Alerta: Seleccione la celda en la comumna B con el nombre del proyecto")</f>
        <v>Alerta: Seleccione la celda en la comumna B con el nombre del proyecto</v>
      </c>
      <c r="L554" s="632"/>
      <c r="M554" s="633"/>
      <c r="N554" s="634" t="str">
        <f t="shared" si="174"/>
        <v xml:space="preserve">(Cód. ) </v>
      </c>
      <c r="O554" s="635"/>
      <c r="P554" s="636">
        <f>IFERROR(VLOOKUP(W554,'Estimación CRP'!$D$21:$E$30,2,FALSE),0)</f>
        <v>0</v>
      </c>
      <c r="Q554" s="637">
        <f>IF(O554="No aplica","No aplica",WORKDAY.INTL(O554,P554,1,'Estimación CRP'!A740:A756))</f>
        <v>0</v>
      </c>
      <c r="R554" s="636">
        <f t="shared" si="175"/>
        <v>1</v>
      </c>
      <c r="S554" s="636">
        <f t="shared" si="176"/>
        <v>1</v>
      </c>
      <c r="T554" s="636">
        <f t="shared" si="177"/>
        <v>1</v>
      </c>
      <c r="U554" s="638"/>
      <c r="V554" s="638"/>
      <c r="W554" s="639"/>
      <c r="X554" s="640" t="str">
        <f>IFERROR(VLOOKUP(W554,Listas!$A$60:$B$73,2,FALSE),"Alerta: Seleccione primero Modalidad de selección")</f>
        <v>Alerta: Seleccione primero Modalidad de selección</v>
      </c>
      <c r="Y554" s="641">
        <v>0</v>
      </c>
      <c r="Z554" s="641"/>
      <c r="AA554" s="641"/>
      <c r="AB554" s="642">
        <f t="shared" si="178"/>
        <v>0</v>
      </c>
      <c r="AC554" s="642">
        <f t="shared" si="179"/>
        <v>0</v>
      </c>
      <c r="AD554" s="641">
        <v>0</v>
      </c>
      <c r="AE554" s="643">
        <v>0</v>
      </c>
      <c r="AF554" s="639" t="s">
        <v>276</v>
      </c>
      <c r="AG554" s="639" t="s">
        <v>277</v>
      </c>
      <c r="AH554" s="639"/>
      <c r="AI554" s="626" t="str">
        <f>IFERROR(VLOOKUP(AH554,Listas!$A$77:$C$83,2,FALSE),"Alerta: Seleccione primero el responsable")</f>
        <v>Alerta: Seleccione primero el responsable</v>
      </c>
      <c r="AJ554" s="640" t="str">
        <f>IFERROR(VLOOKUP(AH554,Listas!$A$77:$C$83,3,FALSE),"Alerta: Seleccione primero el responsable")</f>
        <v>Alerta: Seleccione primero el responsable</v>
      </c>
      <c r="AK554" s="640" t="str">
        <f>IF(J554="Funcionamiento Gastos Generales","No aplica",IF(J554="Funcionamiento Servicios Personales indirectos","No aplica",IFERROR(VLOOKUP(J554,Listas!$A$127:$E$139,3,FALSE),"Alerta: Seleccione la celda en la comumna B con el nombre del proyecto")))</f>
        <v>Alerta: Seleccione la celda en la comumna B con el nombre del proyecto</v>
      </c>
      <c r="AL554" s="640" t="str">
        <f>IF(J554="Funcionamiento Gastos Generales","No aplica",IF(J554="Funcionamiento Servicios Personales","No aplica",IFERROR(VLOOKUP(J554,Listas!$A$220:$D$224,2,FALSE),"Alerta: Seleccione la celda en la comumna B con el nombre del proyecto")))</f>
        <v>Alerta: Seleccione la celda en la comumna B con el nombre del proyecto</v>
      </c>
      <c r="AM554" s="640" t="str">
        <f>IF(J554="Funcionamiento Gastos Generales","No aplica",IF(J554="Funcionamiento Servicios Personales","No aplica",IFERROR(VLOOKUP(J554,Listas!$A$220:$D$224,3,FALSE),"Alerta: Seleccione la celda en la comumna B con el nombre del proyecto")))</f>
        <v>Alerta: Seleccione la celda en la comumna B con el nombre del proyecto</v>
      </c>
      <c r="AN554" s="633"/>
      <c r="AO554" s="633"/>
      <c r="AP554" s="634" t="str">
        <f>IFERROR(VLOOKUP(J554,Listas!$A$182:$E$215,5,FALSE),"Alerta: Seleccione la celda en la comumna B con el nombre del proyecto")</f>
        <v>Alerta: Seleccione la celda en la comumna B con el nombre del proyecto</v>
      </c>
      <c r="AQ554" s="634" t="str">
        <f>IF(J554="Funcionamiento Gastos Generales","No aplica",IF(J554="Funcionamiento Servicios Personales","No aplica",IFERROR(VLOOKUP(J554,Listas!$A$220:$D$224,4,FALSE),"Alerta: Seleccione la celda en la comumna B con el nombre del proyecto")))</f>
        <v>Alerta: Seleccione la celda en la comumna B con el nombre del proyecto</v>
      </c>
      <c r="AR554" s="633"/>
      <c r="AS554" s="634" t="str">
        <f>IFERROR(VLOOKUP(AU554,Listas!$E$85:$L$105,7,FALSE),"Alerta: Seleccione la celda en la comumna AI con el concepto de gasto")</f>
        <v>Alerta: Seleccione la celda en la comumna AI con el concepto de gasto</v>
      </c>
      <c r="AT554" s="634" t="str">
        <f>IFERROR(VLOOKUP(AU554,Listas!$E$85:$L$105,8,FALSE),"Alerta: Seleccione la celda en la comumna AI con el concepto de gasto")</f>
        <v>Alerta: Seleccione la celda en la comumna AI con el concepto de gasto</v>
      </c>
      <c r="AU554" s="633"/>
      <c r="AV554" s="634" t="str">
        <f>IFERROR(VLOOKUP(AU554,Listas!$E$85:$F$105,2,FALSE),"Alerta: Seleccione el Concepto de Gasto primero")</f>
        <v>Alerta: Seleccione el Concepto de Gasto primero</v>
      </c>
      <c r="AW554" s="644"/>
      <c r="AX554" s="645"/>
      <c r="AY554" s="645"/>
      <c r="AZ554" s="645"/>
      <c r="BA554" s="646">
        <f t="shared" si="180"/>
        <v>0</v>
      </c>
      <c r="BB554" s="647"/>
      <c r="BC554" s="648"/>
      <c r="BD554" s="649"/>
      <c r="BE554" s="647"/>
      <c r="BF554" s="644"/>
      <c r="BG554" s="646">
        <f t="shared" si="181"/>
        <v>0</v>
      </c>
      <c r="BH554" s="650"/>
      <c r="BI554" s="647"/>
      <c r="BJ554" s="644"/>
      <c r="BK554" s="646">
        <f t="shared" si="182"/>
        <v>0</v>
      </c>
      <c r="BL554" s="651"/>
      <c r="BM554" s="652">
        <f t="shared" si="183"/>
        <v>1</v>
      </c>
      <c r="BN554" s="628"/>
      <c r="BO554" s="670"/>
      <c r="BP554" s="644"/>
      <c r="BQ554" s="644"/>
      <c r="BR554" s="644"/>
      <c r="BS554" s="644"/>
      <c r="BT554" s="644"/>
      <c r="BU554" s="644"/>
      <c r="BV554" s="644"/>
      <c r="BW554" s="644"/>
      <c r="BX554" s="644"/>
      <c r="BY554" s="644"/>
      <c r="BZ554" s="644"/>
      <c r="CA554" s="644"/>
      <c r="CB554" s="646">
        <f t="shared" si="184"/>
        <v>0</v>
      </c>
      <c r="CC554" s="646">
        <f t="shared" si="185"/>
        <v>0</v>
      </c>
      <c r="CD554" s="614"/>
    </row>
    <row r="555" spans="1:82" s="561" customFormat="1" ht="61.5" customHeight="1">
      <c r="A555" s="625" t="str">
        <f t="shared" si="167"/>
        <v>proyecto-Alerta: Seleccione la celda en la comumna B con el nombre del proyecto-Al-Al--</v>
      </c>
      <c r="B555" s="626" t="str">
        <f t="shared" si="168"/>
        <v>proyecto-Alerta: Seleccione la celda en la comumna B con el nombre del proyecto-Al-Al-</v>
      </c>
      <c r="C555" s="626" t="str">
        <f t="shared" si="169"/>
        <v>proyecto-Alerta: Seleccione la celda en la comumna B con el nombre del proyecto-</v>
      </c>
      <c r="D555" s="626" t="str">
        <f t="shared" si="170"/>
        <v>proyecto--Al-Al-</v>
      </c>
      <c r="E555" s="626" t="str">
        <f t="shared" si="171"/>
        <v>--</v>
      </c>
      <c r="F555" s="627"/>
      <c r="G555" s="628">
        <f t="shared" si="172"/>
        <v>0</v>
      </c>
      <c r="H555" s="629" t="b">
        <f t="shared" si="173"/>
        <v>1</v>
      </c>
      <c r="I555" s="630"/>
      <c r="J555" s="627"/>
      <c r="K555" s="631" t="str">
        <f>+IFERROR(VLOOKUP(J555,Listas!$A$108:$B$114,2,FALSE),"Alerta: Seleccione la celda en la comumna B con el nombre del proyecto")</f>
        <v>Alerta: Seleccione la celda en la comumna B con el nombre del proyecto</v>
      </c>
      <c r="L555" s="632"/>
      <c r="M555" s="633"/>
      <c r="N555" s="634" t="str">
        <f t="shared" si="174"/>
        <v xml:space="preserve">(Cód. ) </v>
      </c>
      <c r="O555" s="635"/>
      <c r="P555" s="636">
        <f>IFERROR(VLOOKUP(W555,'Estimación CRP'!$D$21:$E$30,2,FALSE),0)</f>
        <v>0</v>
      </c>
      <c r="Q555" s="637">
        <f>IF(O555="No aplica","No aplica",WORKDAY.INTL(O555,P555,1,'Estimación CRP'!A741:A757))</f>
        <v>0</v>
      </c>
      <c r="R555" s="636">
        <f t="shared" si="175"/>
        <v>1</v>
      </c>
      <c r="S555" s="636">
        <f t="shared" si="176"/>
        <v>1</v>
      </c>
      <c r="T555" s="636">
        <f t="shared" si="177"/>
        <v>1</v>
      </c>
      <c r="U555" s="638"/>
      <c r="V555" s="638"/>
      <c r="W555" s="639"/>
      <c r="X555" s="640" t="str">
        <f>IFERROR(VLOOKUP(W555,Listas!$A$60:$B$73,2,FALSE),"Alerta: Seleccione primero Modalidad de selección")</f>
        <v>Alerta: Seleccione primero Modalidad de selección</v>
      </c>
      <c r="Y555" s="641">
        <v>0</v>
      </c>
      <c r="Z555" s="641"/>
      <c r="AA555" s="641"/>
      <c r="AB555" s="642">
        <f t="shared" si="178"/>
        <v>0</v>
      </c>
      <c r="AC555" s="642">
        <f t="shared" si="179"/>
        <v>0</v>
      </c>
      <c r="AD555" s="641">
        <v>0</v>
      </c>
      <c r="AE555" s="643">
        <v>0</v>
      </c>
      <c r="AF555" s="639" t="s">
        <v>276</v>
      </c>
      <c r="AG555" s="639" t="s">
        <v>277</v>
      </c>
      <c r="AH555" s="639"/>
      <c r="AI555" s="626" t="str">
        <f>IFERROR(VLOOKUP(AH555,Listas!$A$77:$C$83,2,FALSE),"Alerta: Seleccione primero el responsable")</f>
        <v>Alerta: Seleccione primero el responsable</v>
      </c>
      <c r="AJ555" s="640" t="str">
        <f>IFERROR(VLOOKUP(AH555,Listas!$A$77:$C$83,3,FALSE),"Alerta: Seleccione primero el responsable")</f>
        <v>Alerta: Seleccione primero el responsable</v>
      </c>
      <c r="AK555" s="640" t="str">
        <f>IF(J555="Funcionamiento Gastos Generales","No aplica",IF(J555="Funcionamiento Servicios Personales indirectos","No aplica",IFERROR(VLOOKUP(J555,Listas!$A$127:$E$139,3,FALSE),"Alerta: Seleccione la celda en la comumna B con el nombre del proyecto")))</f>
        <v>Alerta: Seleccione la celda en la comumna B con el nombre del proyecto</v>
      </c>
      <c r="AL555" s="640" t="str">
        <f>IF(J555="Funcionamiento Gastos Generales","No aplica",IF(J555="Funcionamiento Servicios Personales","No aplica",IFERROR(VLOOKUP(J555,Listas!$A$220:$D$224,2,FALSE),"Alerta: Seleccione la celda en la comumna B con el nombre del proyecto")))</f>
        <v>Alerta: Seleccione la celda en la comumna B con el nombre del proyecto</v>
      </c>
      <c r="AM555" s="640" t="str">
        <f>IF(J555="Funcionamiento Gastos Generales","No aplica",IF(J555="Funcionamiento Servicios Personales","No aplica",IFERROR(VLOOKUP(J555,Listas!$A$220:$D$224,3,FALSE),"Alerta: Seleccione la celda en la comumna B con el nombre del proyecto")))</f>
        <v>Alerta: Seleccione la celda en la comumna B con el nombre del proyecto</v>
      </c>
      <c r="AN555" s="633"/>
      <c r="AO555" s="633"/>
      <c r="AP555" s="634" t="str">
        <f>IFERROR(VLOOKUP(J555,Listas!$A$182:$E$215,5,FALSE),"Alerta: Seleccione la celda en la comumna B con el nombre del proyecto")</f>
        <v>Alerta: Seleccione la celda en la comumna B con el nombre del proyecto</v>
      </c>
      <c r="AQ555" s="634" t="str">
        <f>IF(J555="Funcionamiento Gastos Generales","No aplica",IF(J555="Funcionamiento Servicios Personales","No aplica",IFERROR(VLOOKUP(J555,Listas!$A$220:$D$224,4,FALSE),"Alerta: Seleccione la celda en la comumna B con el nombre del proyecto")))</f>
        <v>Alerta: Seleccione la celda en la comumna B con el nombre del proyecto</v>
      </c>
      <c r="AR555" s="633"/>
      <c r="AS555" s="634" t="str">
        <f>IFERROR(VLOOKUP(AU555,Listas!$E$85:$L$105,7,FALSE),"Alerta: Seleccione la celda en la comumna AI con el concepto de gasto")</f>
        <v>Alerta: Seleccione la celda en la comumna AI con el concepto de gasto</v>
      </c>
      <c r="AT555" s="634" t="str">
        <f>IFERROR(VLOOKUP(AU555,Listas!$E$85:$L$105,8,FALSE),"Alerta: Seleccione la celda en la comumna AI con el concepto de gasto")</f>
        <v>Alerta: Seleccione la celda en la comumna AI con el concepto de gasto</v>
      </c>
      <c r="AU555" s="633"/>
      <c r="AV555" s="634" t="str">
        <f>IFERROR(VLOOKUP(AU555,Listas!$E$85:$F$105,2,FALSE),"Alerta: Seleccione el Concepto de Gasto primero")</f>
        <v>Alerta: Seleccione el Concepto de Gasto primero</v>
      </c>
      <c r="AW555" s="644"/>
      <c r="AX555" s="645"/>
      <c r="AY555" s="645"/>
      <c r="AZ555" s="645"/>
      <c r="BA555" s="646">
        <f t="shared" si="180"/>
        <v>0</v>
      </c>
      <c r="BB555" s="647"/>
      <c r="BC555" s="648"/>
      <c r="BD555" s="649"/>
      <c r="BE555" s="647"/>
      <c r="BF555" s="644"/>
      <c r="BG555" s="646">
        <f t="shared" si="181"/>
        <v>0</v>
      </c>
      <c r="BH555" s="650"/>
      <c r="BI555" s="647"/>
      <c r="BJ555" s="644"/>
      <c r="BK555" s="646">
        <f t="shared" si="182"/>
        <v>0</v>
      </c>
      <c r="BL555" s="651"/>
      <c r="BM555" s="652">
        <f t="shared" si="183"/>
        <v>1</v>
      </c>
      <c r="BN555" s="628"/>
      <c r="BO555" s="670"/>
      <c r="BP555" s="644"/>
      <c r="BQ555" s="644"/>
      <c r="BR555" s="644"/>
      <c r="BS555" s="644"/>
      <c r="BT555" s="644"/>
      <c r="BU555" s="644"/>
      <c r="BV555" s="644"/>
      <c r="BW555" s="644"/>
      <c r="BX555" s="644"/>
      <c r="BY555" s="644"/>
      <c r="BZ555" s="644"/>
      <c r="CA555" s="644"/>
      <c r="CB555" s="646">
        <f t="shared" si="184"/>
        <v>0</v>
      </c>
      <c r="CC555" s="646">
        <f t="shared" si="185"/>
        <v>0</v>
      </c>
      <c r="CD555" s="614"/>
    </row>
    <row r="556" spans="1:82" s="561" customFormat="1" ht="61.5" customHeight="1">
      <c r="A556" s="625" t="str">
        <f t="shared" si="167"/>
        <v>proyecto-Alerta: Seleccione la celda en la comumna B con el nombre del proyecto-Al-Al--</v>
      </c>
      <c r="B556" s="626" t="str">
        <f t="shared" si="168"/>
        <v>proyecto-Alerta: Seleccione la celda en la comumna B con el nombre del proyecto-Al-Al-</v>
      </c>
      <c r="C556" s="626" t="str">
        <f t="shared" si="169"/>
        <v>proyecto-Alerta: Seleccione la celda en la comumna B con el nombre del proyecto-</v>
      </c>
      <c r="D556" s="626" t="str">
        <f t="shared" si="170"/>
        <v>proyecto--Al-Al-</v>
      </c>
      <c r="E556" s="626" t="str">
        <f t="shared" si="171"/>
        <v>--</v>
      </c>
      <c r="F556" s="627"/>
      <c r="G556" s="628">
        <f t="shared" si="172"/>
        <v>0</v>
      </c>
      <c r="H556" s="629" t="b">
        <f t="shared" si="173"/>
        <v>1</v>
      </c>
      <c r="I556" s="630"/>
      <c r="J556" s="627"/>
      <c r="K556" s="631" t="str">
        <f>+IFERROR(VLOOKUP(J556,Listas!$A$108:$B$114,2,FALSE),"Alerta: Seleccione la celda en la comumna B con el nombre del proyecto")</f>
        <v>Alerta: Seleccione la celda en la comumna B con el nombre del proyecto</v>
      </c>
      <c r="L556" s="632"/>
      <c r="M556" s="633"/>
      <c r="N556" s="634" t="str">
        <f t="shared" si="174"/>
        <v xml:space="preserve">(Cód. ) </v>
      </c>
      <c r="O556" s="635"/>
      <c r="P556" s="636">
        <f>IFERROR(VLOOKUP(W556,'Estimación CRP'!$D$21:$E$30,2,FALSE),0)</f>
        <v>0</v>
      </c>
      <c r="Q556" s="637">
        <f>IF(O556="No aplica","No aplica",WORKDAY.INTL(O556,P556,1,'Estimación CRP'!A742:A758))</f>
        <v>0</v>
      </c>
      <c r="R556" s="636">
        <f t="shared" si="175"/>
        <v>1</v>
      </c>
      <c r="S556" s="636">
        <f t="shared" si="176"/>
        <v>1</v>
      </c>
      <c r="T556" s="636">
        <f t="shared" si="177"/>
        <v>1</v>
      </c>
      <c r="U556" s="638"/>
      <c r="V556" s="638"/>
      <c r="W556" s="639"/>
      <c r="X556" s="640" t="str">
        <f>IFERROR(VLOOKUP(W556,Listas!$A$60:$B$73,2,FALSE),"Alerta: Seleccione primero Modalidad de selección")</f>
        <v>Alerta: Seleccione primero Modalidad de selección</v>
      </c>
      <c r="Y556" s="641">
        <v>0</v>
      </c>
      <c r="Z556" s="641"/>
      <c r="AA556" s="641"/>
      <c r="AB556" s="642">
        <f t="shared" si="178"/>
        <v>0</v>
      </c>
      <c r="AC556" s="642">
        <f t="shared" si="179"/>
        <v>0</v>
      </c>
      <c r="AD556" s="641">
        <v>0</v>
      </c>
      <c r="AE556" s="643">
        <v>0</v>
      </c>
      <c r="AF556" s="639" t="s">
        <v>276</v>
      </c>
      <c r="AG556" s="639" t="s">
        <v>277</v>
      </c>
      <c r="AH556" s="639"/>
      <c r="AI556" s="626" t="str">
        <f>IFERROR(VLOOKUP(AH556,Listas!$A$77:$C$83,2,FALSE),"Alerta: Seleccione primero el responsable")</f>
        <v>Alerta: Seleccione primero el responsable</v>
      </c>
      <c r="AJ556" s="640" t="str">
        <f>IFERROR(VLOOKUP(AH556,Listas!$A$77:$C$83,3,FALSE),"Alerta: Seleccione primero el responsable")</f>
        <v>Alerta: Seleccione primero el responsable</v>
      </c>
      <c r="AK556" s="640" t="str">
        <f>IF(J556="Funcionamiento Gastos Generales","No aplica",IF(J556="Funcionamiento Servicios Personales indirectos","No aplica",IFERROR(VLOOKUP(J556,Listas!$A$127:$E$139,3,FALSE),"Alerta: Seleccione la celda en la comumna B con el nombre del proyecto")))</f>
        <v>Alerta: Seleccione la celda en la comumna B con el nombre del proyecto</v>
      </c>
      <c r="AL556" s="640" t="str">
        <f>IF(J556="Funcionamiento Gastos Generales","No aplica",IF(J556="Funcionamiento Servicios Personales","No aplica",IFERROR(VLOOKUP(J556,Listas!$A$220:$D$224,2,FALSE),"Alerta: Seleccione la celda en la comumna B con el nombre del proyecto")))</f>
        <v>Alerta: Seleccione la celda en la comumna B con el nombre del proyecto</v>
      </c>
      <c r="AM556" s="640" t="str">
        <f>IF(J556="Funcionamiento Gastos Generales","No aplica",IF(J556="Funcionamiento Servicios Personales","No aplica",IFERROR(VLOOKUP(J556,Listas!$A$220:$D$224,3,FALSE),"Alerta: Seleccione la celda en la comumna B con el nombre del proyecto")))</f>
        <v>Alerta: Seleccione la celda en la comumna B con el nombre del proyecto</v>
      </c>
      <c r="AN556" s="633"/>
      <c r="AO556" s="633"/>
      <c r="AP556" s="634" t="str">
        <f>IFERROR(VLOOKUP(J556,Listas!$A$182:$E$215,5,FALSE),"Alerta: Seleccione la celda en la comumna B con el nombre del proyecto")</f>
        <v>Alerta: Seleccione la celda en la comumna B con el nombre del proyecto</v>
      </c>
      <c r="AQ556" s="634" t="str">
        <f>IF(J556="Funcionamiento Gastos Generales","No aplica",IF(J556="Funcionamiento Servicios Personales","No aplica",IFERROR(VLOOKUP(J556,Listas!$A$220:$D$224,4,FALSE),"Alerta: Seleccione la celda en la comumna B con el nombre del proyecto")))</f>
        <v>Alerta: Seleccione la celda en la comumna B con el nombre del proyecto</v>
      </c>
      <c r="AR556" s="633"/>
      <c r="AS556" s="634" t="str">
        <f>IFERROR(VLOOKUP(AU556,Listas!$E$85:$L$105,7,FALSE),"Alerta: Seleccione la celda en la comumna AI con el concepto de gasto")</f>
        <v>Alerta: Seleccione la celda en la comumna AI con el concepto de gasto</v>
      </c>
      <c r="AT556" s="634" t="str">
        <f>IFERROR(VLOOKUP(AU556,Listas!$E$85:$L$105,8,FALSE),"Alerta: Seleccione la celda en la comumna AI con el concepto de gasto")</f>
        <v>Alerta: Seleccione la celda en la comumna AI con el concepto de gasto</v>
      </c>
      <c r="AU556" s="633"/>
      <c r="AV556" s="634" t="str">
        <f>IFERROR(VLOOKUP(AU556,Listas!$E$85:$F$105,2,FALSE),"Alerta: Seleccione el Concepto de Gasto primero")</f>
        <v>Alerta: Seleccione el Concepto de Gasto primero</v>
      </c>
      <c r="AW556" s="644"/>
      <c r="AX556" s="645"/>
      <c r="AY556" s="645"/>
      <c r="AZ556" s="645"/>
      <c r="BA556" s="646">
        <f t="shared" si="180"/>
        <v>0</v>
      </c>
      <c r="BB556" s="647"/>
      <c r="BC556" s="648"/>
      <c r="BD556" s="649"/>
      <c r="BE556" s="647"/>
      <c r="BF556" s="644"/>
      <c r="BG556" s="646">
        <f t="shared" si="181"/>
        <v>0</v>
      </c>
      <c r="BH556" s="650"/>
      <c r="BI556" s="647"/>
      <c r="BJ556" s="644"/>
      <c r="BK556" s="646">
        <f t="shared" si="182"/>
        <v>0</v>
      </c>
      <c r="BL556" s="651"/>
      <c r="BM556" s="652">
        <f t="shared" si="183"/>
        <v>1</v>
      </c>
      <c r="BN556" s="628"/>
      <c r="BO556" s="670"/>
      <c r="BP556" s="644"/>
      <c r="BQ556" s="644"/>
      <c r="BR556" s="644"/>
      <c r="BS556" s="644"/>
      <c r="BT556" s="644"/>
      <c r="BU556" s="644"/>
      <c r="BV556" s="644"/>
      <c r="BW556" s="644"/>
      <c r="BX556" s="644"/>
      <c r="BY556" s="644"/>
      <c r="BZ556" s="644"/>
      <c r="CA556" s="644"/>
      <c r="CB556" s="646">
        <f t="shared" si="184"/>
        <v>0</v>
      </c>
      <c r="CC556" s="646">
        <f t="shared" si="185"/>
        <v>0</v>
      </c>
      <c r="CD556" s="614"/>
    </row>
    <row r="557" spans="1:82" s="561" customFormat="1" ht="61.5" customHeight="1">
      <c r="A557" s="625" t="str">
        <f t="shared" si="167"/>
        <v>proyecto-Alerta: Seleccione la celda en la comumna B con el nombre del proyecto-Al-Al--</v>
      </c>
      <c r="B557" s="626" t="str">
        <f t="shared" si="168"/>
        <v>proyecto-Alerta: Seleccione la celda en la comumna B con el nombre del proyecto-Al-Al-</v>
      </c>
      <c r="C557" s="626" t="str">
        <f t="shared" si="169"/>
        <v>proyecto-Alerta: Seleccione la celda en la comumna B con el nombre del proyecto-</v>
      </c>
      <c r="D557" s="626" t="str">
        <f t="shared" si="170"/>
        <v>proyecto--Al-Al-</v>
      </c>
      <c r="E557" s="626" t="str">
        <f t="shared" si="171"/>
        <v>--</v>
      </c>
      <c r="F557" s="627"/>
      <c r="G557" s="628">
        <f t="shared" si="172"/>
        <v>0</v>
      </c>
      <c r="H557" s="629" t="b">
        <f t="shared" si="173"/>
        <v>1</v>
      </c>
      <c r="I557" s="630"/>
      <c r="J557" s="627"/>
      <c r="K557" s="631" t="str">
        <f>+IFERROR(VLOOKUP(J557,Listas!$A$108:$B$114,2,FALSE),"Alerta: Seleccione la celda en la comumna B con el nombre del proyecto")</f>
        <v>Alerta: Seleccione la celda en la comumna B con el nombre del proyecto</v>
      </c>
      <c r="L557" s="632"/>
      <c r="M557" s="633"/>
      <c r="N557" s="634" t="str">
        <f t="shared" si="174"/>
        <v xml:space="preserve">(Cód. ) </v>
      </c>
      <c r="O557" s="635"/>
      <c r="P557" s="636">
        <f>IFERROR(VLOOKUP(W557,'Estimación CRP'!$D$21:$E$30,2,FALSE),0)</f>
        <v>0</v>
      </c>
      <c r="Q557" s="637">
        <f>IF(O557="No aplica","No aplica",WORKDAY.INTL(O557,P557,1,'Estimación CRP'!A743:A759))</f>
        <v>0</v>
      </c>
      <c r="R557" s="636">
        <f t="shared" si="175"/>
        <v>1</v>
      </c>
      <c r="S557" s="636">
        <f t="shared" si="176"/>
        <v>1</v>
      </c>
      <c r="T557" s="636">
        <f t="shared" si="177"/>
        <v>1</v>
      </c>
      <c r="U557" s="638"/>
      <c r="V557" s="638"/>
      <c r="W557" s="639"/>
      <c r="X557" s="640" t="str">
        <f>IFERROR(VLOOKUP(W557,Listas!$A$60:$B$73,2,FALSE),"Alerta: Seleccione primero Modalidad de selección")</f>
        <v>Alerta: Seleccione primero Modalidad de selección</v>
      </c>
      <c r="Y557" s="641">
        <v>0</v>
      </c>
      <c r="Z557" s="641"/>
      <c r="AA557" s="641"/>
      <c r="AB557" s="642">
        <f t="shared" si="178"/>
        <v>0</v>
      </c>
      <c r="AC557" s="642">
        <f t="shared" si="179"/>
        <v>0</v>
      </c>
      <c r="AD557" s="641">
        <v>0</v>
      </c>
      <c r="AE557" s="643">
        <v>0</v>
      </c>
      <c r="AF557" s="639" t="s">
        <v>276</v>
      </c>
      <c r="AG557" s="639" t="s">
        <v>277</v>
      </c>
      <c r="AH557" s="639"/>
      <c r="AI557" s="626" t="str">
        <f>IFERROR(VLOOKUP(AH557,Listas!$A$77:$C$83,2,FALSE),"Alerta: Seleccione primero el responsable")</f>
        <v>Alerta: Seleccione primero el responsable</v>
      </c>
      <c r="AJ557" s="640" t="str">
        <f>IFERROR(VLOOKUP(AH557,Listas!$A$77:$C$83,3,FALSE),"Alerta: Seleccione primero el responsable")</f>
        <v>Alerta: Seleccione primero el responsable</v>
      </c>
      <c r="AK557" s="640" t="str">
        <f>IF(J557="Funcionamiento Gastos Generales","No aplica",IF(J557="Funcionamiento Servicios Personales indirectos","No aplica",IFERROR(VLOOKUP(J557,Listas!$A$127:$E$139,3,FALSE),"Alerta: Seleccione la celda en la comumna B con el nombre del proyecto")))</f>
        <v>Alerta: Seleccione la celda en la comumna B con el nombre del proyecto</v>
      </c>
      <c r="AL557" s="640" t="str">
        <f>IF(J557="Funcionamiento Gastos Generales","No aplica",IF(J557="Funcionamiento Servicios Personales","No aplica",IFERROR(VLOOKUP(J557,Listas!$A$220:$D$224,2,FALSE),"Alerta: Seleccione la celda en la comumna B con el nombre del proyecto")))</f>
        <v>Alerta: Seleccione la celda en la comumna B con el nombre del proyecto</v>
      </c>
      <c r="AM557" s="640" t="str">
        <f>IF(J557="Funcionamiento Gastos Generales","No aplica",IF(J557="Funcionamiento Servicios Personales","No aplica",IFERROR(VLOOKUP(J557,Listas!$A$220:$D$224,3,FALSE),"Alerta: Seleccione la celda en la comumna B con el nombre del proyecto")))</f>
        <v>Alerta: Seleccione la celda en la comumna B con el nombre del proyecto</v>
      </c>
      <c r="AN557" s="633"/>
      <c r="AO557" s="633"/>
      <c r="AP557" s="634" t="str">
        <f>IFERROR(VLOOKUP(J557,Listas!$A$182:$E$215,5,FALSE),"Alerta: Seleccione la celda en la comumna B con el nombre del proyecto")</f>
        <v>Alerta: Seleccione la celda en la comumna B con el nombre del proyecto</v>
      </c>
      <c r="AQ557" s="634" t="str">
        <f>IF(J557="Funcionamiento Gastos Generales","No aplica",IF(J557="Funcionamiento Servicios Personales","No aplica",IFERROR(VLOOKUP(J557,Listas!$A$220:$D$224,4,FALSE),"Alerta: Seleccione la celda en la comumna B con el nombre del proyecto")))</f>
        <v>Alerta: Seleccione la celda en la comumna B con el nombre del proyecto</v>
      </c>
      <c r="AR557" s="633"/>
      <c r="AS557" s="634" t="str">
        <f>IFERROR(VLOOKUP(AU557,Listas!$E$85:$L$105,7,FALSE),"Alerta: Seleccione la celda en la comumna AI con el concepto de gasto")</f>
        <v>Alerta: Seleccione la celda en la comumna AI con el concepto de gasto</v>
      </c>
      <c r="AT557" s="634" t="str">
        <f>IFERROR(VLOOKUP(AU557,Listas!$E$85:$L$105,8,FALSE),"Alerta: Seleccione la celda en la comumna AI con el concepto de gasto")</f>
        <v>Alerta: Seleccione la celda en la comumna AI con el concepto de gasto</v>
      </c>
      <c r="AU557" s="633"/>
      <c r="AV557" s="634" t="str">
        <f>IFERROR(VLOOKUP(AU557,Listas!$E$85:$F$105,2,FALSE),"Alerta: Seleccione el Concepto de Gasto primero")</f>
        <v>Alerta: Seleccione el Concepto de Gasto primero</v>
      </c>
      <c r="AW557" s="644"/>
      <c r="AX557" s="645"/>
      <c r="AY557" s="645"/>
      <c r="AZ557" s="645"/>
      <c r="BA557" s="646">
        <f t="shared" si="180"/>
        <v>0</v>
      </c>
      <c r="BB557" s="647"/>
      <c r="BC557" s="648"/>
      <c r="BD557" s="649"/>
      <c r="BE557" s="647"/>
      <c r="BF557" s="644"/>
      <c r="BG557" s="646">
        <f t="shared" si="181"/>
        <v>0</v>
      </c>
      <c r="BH557" s="650"/>
      <c r="BI557" s="647"/>
      <c r="BJ557" s="644"/>
      <c r="BK557" s="646">
        <f t="shared" si="182"/>
        <v>0</v>
      </c>
      <c r="BL557" s="651"/>
      <c r="BM557" s="652">
        <f t="shared" si="183"/>
        <v>1</v>
      </c>
      <c r="BN557" s="628"/>
      <c r="BO557" s="670"/>
      <c r="BP557" s="644"/>
      <c r="BQ557" s="644"/>
      <c r="BR557" s="644"/>
      <c r="BS557" s="644"/>
      <c r="BT557" s="644"/>
      <c r="BU557" s="644"/>
      <c r="BV557" s="644"/>
      <c r="BW557" s="644"/>
      <c r="BX557" s="644"/>
      <c r="BY557" s="644"/>
      <c r="BZ557" s="644"/>
      <c r="CA557" s="644"/>
      <c r="CB557" s="646">
        <f t="shared" si="184"/>
        <v>0</v>
      </c>
      <c r="CC557" s="646">
        <f t="shared" si="185"/>
        <v>0</v>
      </c>
      <c r="CD557" s="614"/>
    </row>
    <row r="558" spans="1:82" s="561" customFormat="1" ht="61.5" customHeight="1">
      <c r="A558" s="625" t="str">
        <f t="shared" si="167"/>
        <v>proyecto-Alerta: Seleccione la celda en la comumna B con el nombre del proyecto-Al-Al--</v>
      </c>
      <c r="B558" s="626" t="str">
        <f t="shared" si="168"/>
        <v>proyecto-Alerta: Seleccione la celda en la comumna B con el nombre del proyecto-Al-Al-</v>
      </c>
      <c r="C558" s="626" t="str">
        <f t="shared" si="169"/>
        <v>proyecto-Alerta: Seleccione la celda en la comumna B con el nombre del proyecto-</v>
      </c>
      <c r="D558" s="626" t="str">
        <f t="shared" si="170"/>
        <v>proyecto--Al-Al-</v>
      </c>
      <c r="E558" s="626" t="str">
        <f t="shared" si="171"/>
        <v>--</v>
      </c>
      <c r="F558" s="627"/>
      <c r="G558" s="628">
        <f t="shared" si="172"/>
        <v>0</v>
      </c>
      <c r="H558" s="629" t="b">
        <f t="shared" si="173"/>
        <v>1</v>
      </c>
      <c r="I558" s="630"/>
      <c r="J558" s="627"/>
      <c r="K558" s="631" t="str">
        <f>+IFERROR(VLOOKUP(J558,Listas!$A$108:$B$114,2,FALSE),"Alerta: Seleccione la celda en la comumna B con el nombre del proyecto")</f>
        <v>Alerta: Seleccione la celda en la comumna B con el nombre del proyecto</v>
      </c>
      <c r="L558" s="632"/>
      <c r="M558" s="633"/>
      <c r="N558" s="634" t="str">
        <f t="shared" si="174"/>
        <v xml:space="preserve">(Cód. ) </v>
      </c>
      <c r="O558" s="635"/>
      <c r="P558" s="636">
        <f>IFERROR(VLOOKUP(W558,'Estimación CRP'!$D$21:$E$30,2,FALSE),0)</f>
        <v>0</v>
      </c>
      <c r="Q558" s="637">
        <f>IF(O558="No aplica","No aplica",WORKDAY.INTL(O558,P558,1,'Estimación CRP'!A744:A760))</f>
        <v>0</v>
      </c>
      <c r="R558" s="636">
        <f t="shared" si="175"/>
        <v>1</v>
      </c>
      <c r="S558" s="636">
        <f t="shared" si="176"/>
        <v>1</v>
      </c>
      <c r="T558" s="636">
        <f t="shared" si="177"/>
        <v>1</v>
      </c>
      <c r="U558" s="638"/>
      <c r="V558" s="638"/>
      <c r="W558" s="639"/>
      <c r="X558" s="640" t="str">
        <f>IFERROR(VLOOKUP(W558,Listas!$A$60:$B$73,2,FALSE),"Alerta: Seleccione primero Modalidad de selección")</f>
        <v>Alerta: Seleccione primero Modalidad de selección</v>
      </c>
      <c r="Y558" s="641">
        <v>0</v>
      </c>
      <c r="Z558" s="641"/>
      <c r="AA558" s="641"/>
      <c r="AB558" s="642">
        <f t="shared" si="178"/>
        <v>0</v>
      </c>
      <c r="AC558" s="642">
        <f t="shared" si="179"/>
        <v>0</v>
      </c>
      <c r="AD558" s="641">
        <v>0</v>
      </c>
      <c r="AE558" s="643">
        <v>0</v>
      </c>
      <c r="AF558" s="639" t="s">
        <v>276</v>
      </c>
      <c r="AG558" s="639" t="s">
        <v>277</v>
      </c>
      <c r="AH558" s="639"/>
      <c r="AI558" s="626" t="str">
        <f>IFERROR(VLOOKUP(AH558,Listas!$A$77:$C$83,2,FALSE),"Alerta: Seleccione primero el responsable")</f>
        <v>Alerta: Seleccione primero el responsable</v>
      </c>
      <c r="AJ558" s="640" t="str">
        <f>IFERROR(VLOOKUP(AH558,Listas!$A$77:$C$83,3,FALSE),"Alerta: Seleccione primero el responsable")</f>
        <v>Alerta: Seleccione primero el responsable</v>
      </c>
      <c r="AK558" s="640" t="str">
        <f>IF(J558="Funcionamiento Gastos Generales","No aplica",IF(J558="Funcionamiento Servicios Personales indirectos","No aplica",IFERROR(VLOOKUP(J558,Listas!$A$127:$E$139,3,FALSE),"Alerta: Seleccione la celda en la comumna B con el nombre del proyecto")))</f>
        <v>Alerta: Seleccione la celda en la comumna B con el nombre del proyecto</v>
      </c>
      <c r="AL558" s="640" t="str">
        <f>IF(J558="Funcionamiento Gastos Generales","No aplica",IF(J558="Funcionamiento Servicios Personales","No aplica",IFERROR(VLOOKUP(J558,Listas!$A$220:$D$224,2,FALSE),"Alerta: Seleccione la celda en la comumna B con el nombre del proyecto")))</f>
        <v>Alerta: Seleccione la celda en la comumna B con el nombre del proyecto</v>
      </c>
      <c r="AM558" s="640" t="str">
        <f>IF(J558="Funcionamiento Gastos Generales","No aplica",IF(J558="Funcionamiento Servicios Personales","No aplica",IFERROR(VLOOKUP(J558,Listas!$A$220:$D$224,3,FALSE),"Alerta: Seleccione la celda en la comumna B con el nombre del proyecto")))</f>
        <v>Alerta: Seleccione la celda en la comumna B con el nombre del proyecto</v>
      </c>
      <c r="AN558" s="633"/>
      <c r="AO558" s="633"/>
      <c r="AP558" s="634" t="str">
        <f>IFERROR(VLOOKUP(J558,Listas!$A$182:$E$215,5,FALSE),"Alerta: Seleccione la celda en la comumna B con el nombre del proyecto")</f>
        <v>Alerta: Seleccione la celda en la comumna B con el nombre del proyecto</v>
      </c>
      <c r="AQ558" s="634" t="str">
        <f>IF(J558="Funcionamiento Gastos Generales","No aplica",IF(J558="Funcionamiento Servicios Personales","No aplica",IFERROR(VLOOKUP(J558,Listas!$A$220:$D$224,4,FALSE),"Alerta: Seleccione la celda en la comumna B con el nombre del proyecto")))</f>
        <v>Alerta: Seleccione la celda en la comumna B con el nombre del proyecto</v>
      </c>
      <c r="AR558" s="633"/>
      <c r="AS558" s="634" t="str">
        <f>IFERROR(VLOOKUP(AU558,Listas!$E$85:$L$105,7,FALSE),"Alerta: Seleccione la celda en la comumna AI con el concepto de gasto")</f>
        <v>Alerta: Seleccione la celda en la comumna AI con el concepto de gasto</v>
      </c>
      <c r="AT558" s="634" t="str">
        <f>IFERROR(VLOOKUP(AU558,Listas!$E$85:$L$105,8,FALSE),"Alerta: Seleccione la celda en la comumna AI con el concepto de gasto")</f>
        <v>Alerta: Seleccione la celda en la comumna AI con el concepto de gasto</v>
      </c>
      <c r="AU558" s="633"/>
      <c r="AV558" s="634" t="str">
        <f>IFERROR(VLOOKUP(AU558,Listas!$E$85:$F$105,2,FALSE),"Alerta: Seleccione el Concepto de Gasto primero")</f>
        <v>Alerta: Seleccione el Concepto de Gasto primero</v>
      </c>
      <c r="AW558" s="644"/>
      <c r="AX558" s="645"/>
      <c r="AY558" s="645"/>
      <c r="AZ558" s="645"/>
      <c r="BA558" s="646">
        <f t="shared" si="180"/>
        <v>0</v>
      </c>
      <c r="BB558" s="647"/>
      <c r="BC558" s="648"/>
      <c r="BD558" s="649"/>
      <c r="BE558" s="647"/>
      <c r="BF558" s="644"/>
      <c r="BG558" s="646">
        <f t="shared" si="181"/>
        <v>0</v>
      </c>
      <c r="BH558" s="650"/>
      <c r="BI558" s="647"/>
      <c r="BJ558" s="644"/>
      <c r="BK558" s="646">
        <f t="shared" si="182"/>
        <v>0</v>
      </c>
      <c r="BL558" s="651"/>
      <c r="BM558" s="652">
        <f t="shared" si="183"/>
        <v>1</v>
      </c>
      <c r="BN558" s="628"/>
      <c r="BO558" s="670"/>
      <c r="BP558" s="644"/>
      <c r="BQ558" s="644"/>
      <c r="BR558" s="644"/>
      <c r="BS558" s="644"/>
      <c r="BT558" s="644"/>
      <c r="BU558" s="644"/>
      <c r="BV558" s="644"/>
      <c r="BW558" s="644"/>
      <c r="BX558" s="644"/>
      <c r="BY558" s="644"/>
      <c r="BZ558" s="644"/>
      <c r="CA558" s="644"/>
      <c r="CB558" s="646">
        <f t="shared" si="184"/>
        <v>0</v>
      </c>
      <c r="CC558" s="646">
        <f t="shared" si="185"/>
        <v>0</v>
      </c>
      <c r="CD558" s="614"/>
    </row>
    <row r="559" spans="1:82" s="561" customFormat="1" ht="61.5" customHeight="1">
      <c r="A559" s="625" t="str">
        <f t="shared" si="167"/>
        <v>proyecto-Alerta: Seleccione la celda en la comumna B con el nombre del proyecto-Al-Al--</v>
      </c>
      <c r="B559" s="626" t="str">
        <f t="shared" si="168"/>
        <v>proyecto-Alerta: Seleccione la celda en la comumna B con el nombre del proyecto-Al-Al-</v>
      </c>
      <c r="C559" s="626" t="str">
        <f t="shared" si="169"/>
        <v>proyecto-Alerta: Seleccione la celda en la comumna B con el nombre del proyecto-</v>
      </c>
      <c r="D559" s="626" t="str">
        <f t="shared" si="170"/>
        <v>proyecto--Al-Al-</v>
      </c>
      <c r="E559" s="626" t="str">
        <f t="shared" si="171"/>
        <v>--</v>
      </c>
      <c r="F559" s="627"/>
      <c r="G559" s="628">
        <f t="shared" si="172"/>
        <v>0</v>
      </c>
      <c r="H559" s="629" t="b">
        <f t="shared" si="173"/>
        <v>1</v>
      </c>
      <c r="I559" s="630"/>
      <c r="J559" s="627"/>
      <c r="K559" s="631" t="str">
        <f>+IFERROR(VLOOKUP(J559,Listas!$A$108:$B$114,2,FALSE),"Alerta: Seleccione la celda en la comumna B con el nombre del proyecto")</f>
        <v>Alerta: Seleccione la celda en la comumna B con el nombre del proyecto</v>
      </c>
      <c r="L559" s="632"/>
      <c r="M559" s="633"/>
      <c r="N559" s="634" t="str">
        <f t="shared" si="174"/>
        <v xml:space="preserve">(Cód. ) </v>
      </c>
      <c r="O559" s="635"/>
      <c r="P559" s="636">
        <f>IFERROR(VLOOKUP(W559,'Estimación CRP'!$D$21:$E$30,2,FALSE),0)</f>
        <v>0</v>
      </c>
      <c r="Q559" s="637">
        <f>IF(O559="No aplica","No aplica",WORKDAY.INTL(O559,P559,1,'Estimación CRP'!A745:A761))</f>
        <v>0</v>
      </c>
      <c r="R559" s="636">
        <f t="shared" si="175"/>
        <v>1</v>
      </c>
      <c r="S559" s="636">
        <f t="shared" si="176"/>
        <v>1</v>
      </c>
      <c r="T559" s="636">
        <f t="shared" si="177"/>
        <v>1</v>
      </c>
      <c r="U559" s="638"/>
      <c r="V559" s="638"/>
      <c r="W559" s="639"/>
      <c r="X559" s="640" t="str">
        <f>IFERROR(VLOOKUP(W559,Listas!$A$60:$B$73,2,FALSE),"Alerta: Seleccione primero Modalidad de selección")</f>
        <v>Alerta: Seleccione primero Modalidad de selección</v>
      </c>
      <c r="Y559" s="641">
        <v>0</v>
      </c>
      <c r="Z559" s="641"/>
      <c r="AA559" s="641"/>
      <c r="AB559" s="642">
        <f t="shared" si="178"/>
        <v>0</v>
      </c>
      <c r="AC559" s="642">
        <f t="shared" si="179"/>
        <v>0</v>
      </c>
      <c r="AD559" s="641">
        <v>0</v>
      </c>
      <c r="AE559" s="643">
        <v>0</v>
      </c>
      <c r="AF559" s="639" t="s">
        <v>276</v>
      </c>
      <c r="AG559" s="639" t="s">
        <v>277</v>
      </c>
      <c r="AH559" s="639"/>
      <c r="AI559" s="626" t="str">
        <f>IFERROR(VLOOKUP(AH559,Listas!$A$77:$C$83,2,FALSE),"Alerta: Seleccione primero el responsable")</f>
        <v>Alerta: Seleccione primero el responsable</v>
      </c>
      <c r="AJ559" s="640" t="str">
        <f>IFERROR(VLOOKUP(AH559,Listas!$A$77:$C$83,3,FALSE),"Alerta: Seleccione primero el responsable")</f>
        <v>Alerta: Seleccione primero el responsable</v>
      </c>
      <c r="AK559" s="640" t="str">
        <f>IF(J559="Funcionamiento Gastos Generales","No aplica",IF(J559="Funcionamiento Servicios Personales indirectos","No aplica",IFERROR(VLOOKUP(J559,Listas!$A$127:$E$139,3,FALSE),"Alerta: Seleccione la celda en la comumna B con el nombre del proyecto")))</f>
        <v>Alerta: Seleccione la celda en la comumna B con el nombre del proyecto</v>
      </c>
      <c r="AL559" s="640" t="str">
        <f>IF(J559="Funcionamiento Gastos Generales","No aplica",IF(J559="Funcionamiento Servicios Personales","No aplica",IFERROR(VLOOKUP(J559,Listas!$A$220:$D$224,2,FALSE),"Alerta: Seleccione la celda en la comumna B con el nombre del proyecto")))</f>
        <v>Alerta: Seleccione la celda en la comumna B con el nombre del proyecto</v>
      </c>
      <c r="AM559" s="640" t="str">
        <f>IF(J559="Funcionamiento Gastos Generales","No aplica",IF(J559="Funcionamiento Servicios Personales","No aplica",IFERROR(VLOOKUP(J559,Listas!$A$220:$D$224,3,FALSE),"Alerta: Seleccione la celda en la comumna B con el nombre del proyecto")))</f>
        <v>Alerta: Seleccione la celda en la comumna B con el nombre del proyecto</v>
      </c>
      <c r="AN559" s="633"/>
      <c r="AO559" s="633"/>
      <c r="AP559" s="634" t="str">
        <f>IFERROR(VLOOKUP(J559,Listas!$A$182:$E$215,5,FALSE),"Alerta: Seleccione la celda en la comumna B con el nombre del proyecto")</f>
        <v>Alerta: Seleccione la celda en la comumna B con el nombre del proyecto</v>
      </c>
      <c r="AQ559" s="634" t="str">
        <f>IF(J559="Funcionamiento Gastos Generales","No aplica",IF(J559="Funcionamiento Servicios Personales","No aplica",IFERROR(VLOOKUP(J559,Listas!$A$220:$D$224,4,FALSE),"Alerta: Seleccione la celda en la comumna B con el nombre del proyecto")))</f>
        <v>Alerta: Seleccione la celda en la comumna B con el nombre del proyecto</v>
      </c>
      <c r="AR559" s="633"/>
      <c r="AS559" s="634" t="str">
        <f>IFERROR(VLOOKUP(AU559,Listas!$E$85:$L$105,7,FALSE),"Alerta: Seleccione la celda en la comumna AI con el concepto de gasto")</f>
        <v>Alerta: Seleccione la celda en la comumna AI con el concepto de gasto</v>
      </c>
      <c r="AT559" s="634" t="str">
        <f>IFERROR(VLOOKUP(AU559,Listas!$E$85:$L$105,8,FALSE),"Alerta: Seleccione la celda en la comumna AI con el concepto de gasto")</f>
        <v>Alerta: Seleccione la celda en la comumna AI con el concepto de gasto</v>
      </c>
      <c r="AU559" s="633"/>
      <c r="AV559" s="634" t="str">
        <f>IFERROR(VLOOKUP(AU559,Listas!$E$85:$F$105,2,FALSE),"Alerta: Seleccione el Concepto de Gasto primero")</f>
        <v>Alerta: Seleccione el Concepto de Gasto primero</v>
      </c>
      <c r="AW559" s="644"/>
      <c r="AX559" s="645"/>
      <c r="AY559" s="645"/>
      <c r="AZ559" s="645"/>
      <c r="BA559" s="646">
        <f t="shared" si="180"/>
        <v>0</v>
      </c>
      <c r="BB559" s="647"/>
      <c r="BC559" s="648"/>
      <c r="BD559" s="649"/>
      <c r="BE559" s="647"/>
      <c r="BF559" s="644"/>
      <c r="BG559" s="646">
        <f t="shared" si="181"/>
        <v>0</v>
      </c>
      <c r="BH559" s="650"/>
      <c r="BI559" s="647"/>
      <c r="BJ559" s="644"/>
      <c r="BK559" s="646">
        <f t="shared" si="182"/>
        <v>0</v>
      </c>
      <c r="BL559" s="651"/>
      <c r="BM559" s="652">
        <f t="shared" si="183"/>
        <v>1</v>
      </c>
      <c r="BN559" s="628"/>
      <c r="BO559" s="670"/>
      <c r="BP559" s="644"/>
      <c r="BQ559" s="644"/>
      <c r="BR559" s="644"/>
      <c r="BS559" s="644"/>
      <c r="BT559" s="644"/>
      <c r="BU559" s="644"/>
      <c r="BV559" s="644"/>
      <c r="BW559" s="644"/>
      <c r="BX559" s="644"/>
      <c r="BY559" s="644"/>
      <c r="BZ559" s="644"/>
      <c r="CA559" s="644"/>
      <c r="CB559" s="646">
        <f t="shared" si="184"/>
        <v>0</v>
      </c>
      <c r="CC559" s="646">
        <f t="shared" si="185"/>
        <v>0</v>
      </c>
      <c r="CD559" s="614"/>
    </row>
    <row r="560" spans="1:82" s="561" customFormat="1" ht="61.5" customHeight="1">
      <c r="A560" s="625" t="str">
        <f t="shared" si="167"/>
        <v>proyecto-Alerta: Seleccione la celda en la comumna B con el nombre del proyecto-Al-Al--</v>
      </c>
      <c r="B560" s="626" t="str">
        <f t="shared" si="168"/>
        <v>proyecto-Alerta: Seleccione la celda en la comumna B con el nombre del proyecto-Al-Al-</v>
      </c>
      <c r="C560" s="626" t="str">
        <f t="shared" si="169"/>
        <v>proyecto-Alerta: Seleccione la celda en la comumna B con el nombre del proyecto-</v>
      </c>
      <c r="D560" s="626" t="str">
        <f t="shared" si="170"/>
        <v>proyecto--Al-Al-</v>
      </c>
      <c r="E560" s="626" t="str">
        <f t="shared" si="171"/>
        <v>--</v>
      </c>
      <c r="F560" s="627"/>
      <c r="G560" s="628">
        <f t="shared" si="172"/>
        <v>0</v>
      </c>
      <c r="H560" s="629" t="b">
        <f t="shared" si="173"/>
        <v>1</v>
      </c>
      <c r="I560" s="630"/>
      <c r="J560" s="627"/>
      <c r="K560" s="631" t="str">
        <f>+IFERROR(VLOOKUP(J560,Listas!$A$108:$B$114,2,FALSE),"Alerta: Seleccione la celda en la comumna B con el nombre del proyecto")</f>
        <v>Alerta: Seleccione la celda en la comumna B con el nombre del proyecto</v>
      </c>
      <c r="L560" s="632"/>
      <c r="M560" s="633"/>
      <c r="N560" s="634" t="str">
        <f t="shared" si="174"/>
        <v xml:space="preserve">(Cód. ) </v>
      </c>
      <c r="O560" s="635"/>
      <c r="P560" s="636">
        <f>IFERROR(VLOOKUP(W560,'Estimación CRP'!$D$21:$E$30,2,FALSE),0)</f>
        <v>0</v>
      </c>
      <c r="Q560" s="637">
        <f>IF(O560="No aplica","No aplica",WORKDAY.INTL(O560,P560,1,'Estimación CRP'!A746:A762))</f>
        <v>0</v>
      </c>
      <c r="R560" s="636">
        <f t="shared" si="175"/>
        <v>1</v>
      </c>
      <c r="S560" s="636">
        <f t="shared" si="176"/>
        <v>1</v>
      </c>
      <c r="T560" s="636">
        <f t="shared" si="177"/>
        <v>1</v>
      </c>
      <c r="U560" s="638"/>
      <c r="V560" s="638"/>
      <c r="W560" s="639"/>
      <c r="X560" s="640" t="str">
        <f>IFERROR(VLOOKUP(W560,Listas!$A$60:$B$73,2,FALSE),"Alerta: Seleccione primero Modalidad de selección")</f>
        <v>Alerta: Seleccione primero Modalidad de selección</v>
      </c>
      <c r="Y560" s="641">
        <v>0</v>
      </c>
      <c r="Z560" s="641"/>
      <c r="AA560" s="641"/>
      <c r="AB560" s="642">
        <f t="shared" si="178"/>
        <v>0</v>
      </c>
      <c r="AC560" s="642">
        <f t="shared" si="179"/>
        <v>0</v>
      </c>
      <c r="AD560" s="641">
        <v>0</v>
      </c>
      <c r="AE560" s="643">
        <v>0</v>
      </c>
      <c r="AF560" s="639" t="s">
        <v>276</v>
      </c>
      <c r="AG560" s="639" t="s">
        <v>277</v>
      </c>
      <c r="AH560" s="639"/>
      <c r="AI560" s="626" t="str">
        <f>IFERROR(VLOOKUP(AH560,Listas!$A$77:$C$83,2,FALSE),"Alerta: Seleccione primero el responsable")</f>
        <v>Alerta: Seleccione primero el responsable</v>
      </c>
      <c r="AJ560" s="640" t="str">
        <f>IFERROR(VLOOKUP(AH560,Listas!$A$77:$C$83,3,FALSE),"Alerta: Seleccione primero el responsable")</f>
        <v>Alerta: Seleccione primero el responsable</v>
      </c>
      <c r="AK560" s="640" t="str">
        <f>IF(J560="Funcionamiento Gastos Generales","No aplica",IF(J560="Funcionamiento Servicios Personales indirectos","No aplica",IFERROR(VLOOKUP(J560,Listas!$A$127:$E$139,3,FALSE),"Alerta: Seleccione la celda en la comumna B con el nombre del proyecto")))</f>
        <v>Alerta: Seleccione la celda en la comumna B con el nombre del proyecto</v>
      </c>
      <c r="AL560" s="640" t="str">
        <f>IF(J560="Funcionamiento Gastos Generales","No aplica",IF(J560="Funcionamiento Servicios Personales","No aplica",IFERROR(VLOOKUP(J560,Listas!$A$220:$D$224,2,FALSE),"Alerta: Seleccione la celda en la comumna B con el nombre del proyecto")))</f>
        <v>Alerta: Seleccione la celda en la comumna B con el nombre del proyecto</v>
      </c>
      <c r="AM560" s="640" t="str">
        <f>IF(J560="Funcionamiento Gastos Generales","No aplica",IF(J560="Funcionamiento Servicios Personales","No aplica",IFERROR(VLOOKUP(J560,Listas!$A$220:$D$224,3,FALSE),"Alerta: Seleccione la celda en la comumna B con el nombre del proyecto")))</f>
        <v>Alerta: Seleccione la celda en la comumna B con el nombre del proyecto</v>
      </c>
      <c r="AN560" s="633"/>
      <c r="AO560" s="633"/>
      <c r="AP560" s="634" t="str">
        <f>IFERROR(VLOOKUP(J560,Listas!$A$182:$E$215,5,FALSE),"Alerta: Seleccione la celda en la comumna B con el nombre del proyecto")</f>
        <v>Alerta: Seleccione la celda en la comumna B con el nombre del proyecto</v>
      </c>
      <c r="AQ560" s="634" t="str">
        <f>IF(J560="Funcionamiento Gastos Generales","No aplica",IF(J560="Funcionamiento Servicios Personales","No aplica",IFERROR(VLOOKUP(J560,Listas!$A$220:$D$224,4,FALSE),"Alerta: Seleccione la celda en la comumna B con el nombre del proyecto")))</f>
        <v>Alerta: Seleccione la celda en la comumna B con el nombre del proyecto</v>
      </c>
      <c r="AR560" s="633"/>
      <c r="AS560" s="634" t="str">
        <f>IFERROR(VLOOKUP(AU560,Listas!$E$85:$L$105,7,FALSE),"Alerta: Seleccione la celda en la comumna AI con el concepto de gasto")</f>
        <v>Alerta: Seleccione la celda en la comumna AI con el concepto de gasto</v>
      </c>
      <c r="AT560" s="634" t="str">
        <f>IFERROR(VLOOKUP(AU560,Listas!$E$85:$L$105,8,FALSE),"Alerta: Seleccione la celda en la comumna AI con el concepto de gasto")</f>
        <v>Alerta: Seleccione la celda en la comumna AI con el concepto de gasto</v>
      </c>
      <c r="AU560" s="633"/>
      <c r="AV560" s="634" t="str">
        <f>IFERROR(VLOOKUP(AU560,Listas!$E$85:$F$105,2,FALSE),"Alerta: Seleccione el Concepto de Gasto primero")</f>
        <v>Alerta: Seleccione el Concepto de Gasto primero</v>
      </c>
      <c r="AW560" s="644"/>
      <c r="AX560" s="645"/>
      <c r="AY560" s="645"/>
      <c r="AZ560" s="645"/>
      <c r="BA560" s="646">
        <f t="shared" si="180"/>
        <v>0</v>
      </c>
      <c r="BB560" s="647"/>
      <c r="BC560" s="648"/>
      <c r="BD560" s="649"/>
      <c r="BE560" s="647"/>
      <c r="BF560" s="644"/>
      <c r="BG560" s="646">
        <f t="shared" si="181"/>
        <v>0</v>
      </c>
      <c r="BH560" s="650"/>
      <c r="BI560" s="647"/>
      <c r="BJ560" s="644"/>
      <c r="BK560" s="646">
        <f t="shared" si="182"/>
        <v>0</v>
      </c>
      <c r="BL560" s="651"/>
      <c r="BM560" s="652">
        <f t="shared" si="183"/>
        <v>1</v>
      </c>
      <c r="BN560" s="628"/>
      <c r="BO560" s="670"/>
      <c r="BP560" s="644"/>
      <c r="BQ560" s="644"/>
      <c r="BR560" s="644"/>
      <c r="BS560" s="644"/>
      <c r="BT560" s="644"/>
      <c r="BU560" s="644"/>
      <c r="BV560" s="644"/>
      <c r="BW560" s="644"/>
      <c r="BX560" s="644"/>
      <c r="BY560" s="644"/>
      <c r="BZ560" s="644"/>
      <c r="CA560" s="644"/>
      <c r="CB560" s="646">
        <f t="shared" si="184"/>
        <v>0</v>
      </c>
      <c r="CC560" s="646">
        <f t="shared" si="185"/>
        <v>0</v>
      </c>
      <c r="CD560" s="614"/>
    </row>
    <row r="561" spans="1:85" s="561" customFormat="1" ht="61.5" customHeight="1">
      <c r="A561" s="625" t="str">
        <f t="shared" si="167"/>
        <v>proyecto-Alerta: Seleccione la celda en la comumna B con el nombre del proyecto-Al-Al--</v>
      </c>
      <c r="B561" s="626" t="str">
        <f t="shared" si="168"/>
        <v>proyecto-Alerta: Seleccione la celda en la comumna B con el nombre del proyecto-Al-Al-</v>
      </c>
      <c r="C561" s="626" t="str">
        <f t="shared" si="169"/>
        <v>proyecto-Alerta: Seleccione la celda en la comumna B con el nombre del proyecto-</v>
      </c>
      <c r="D561" s="626" t="str">
        <f t="shared" si="170"/>
        <v>proyecto--Al-Al-</v>
      </c>
      <c r="E561" s="626" t="str">
        <f t="shared" si="171"/>
        <v>--</v>
      </c>
      <c r="F561" s="627"/>
      <c r="G561" s="628">
        <f t="shared" si="172"/>
        <v>0</v>
      </c>
      <c r="H561" s="629" t="b">
        <f t="shared" si="173"/>
        <v>1</v>
      </c>
      <c r="I561" s="630"/>
      <c r="J561" s="627"/>
      <c r="K561" s="631" t="str">
        <f>+IFERROR(VLOOKUP(J561,Listas!$A$108:$B$114,2,FALSE),"Alerta: Seleccione la celda en la comumna B con el nombre del proyecto")</f>
        <v>Alerta: Seleccione la celda en la comumna B con el nombre del proyecto</v>
      </c>
      <c r="L561" s="632"/>
      <c r="M561" s="633"/>
      <c r="N561" s="634" t="str">
        <f t="shared" si="174"/>
        <v xml:space="preserve">(Cód. ) </v>
      </c>
      <c r="O561" s="635"/>
      <c r="P561" s="636">
        <f>IFERROR(VLOOKUP(W561,'Estimación CRP'!$D$21:$E$30,2,FALSE),0)</f>
        <v>0</v>
      </c>
      <c r="Q561" s="637">
        <f>IF(O561="No aplica","No aplica",WORKDAY.INTL(O561,P561,1,'Estimación CRP'!A747:A763))</f>
        <v>0</v>
      </c>
      <c r="R561" s="636">
        <f t="shared" si="175"/>
        <v>1</v>
      </c>
      <c r="S561" s="636">
        <f t="shared" si="176"/>
        <v>1</v>
      </c>
      <c r="T561" s="636">
        <f t="shared" si="177"/>
        <v>1</v>
      </c>
      <c r="U561" s="638"/>
      <c r="V561" s="638"/>
      <c r="W561" s="639"/>
      <c r="X561" s="640" t="str">
        <f>IFERROR(VLOOKUP(W561,Listas!$A$60:$B$73,2,FALSE),"Alerta: Seleccione primero Modalidad de selección")</f>
        <v>Alerta: Seleccione primero Modalidad de selección</v>
      </c>
      <c r="Y561" s="641">
        <v>0</v>
      </c>
      <c r="Z561" s="641"/>
      <c r="AA561" s="641"/>
      <c r="AB561" s="642">
        <f t="shared" si="178"/>
        <v>0</v>
      </c>
      <c r="AC561" s="642">
        <f t="shared" si="179"/>
        <v>0</v>
      </c>
      <c r="AD561" s="641">
        <v>0</v>
      </c>
      <c r="AE561" s="643">
        <v>0</v>
      </c>
      <c r="AF561" s="639" t="s">
        <v>276</v>
      </c>
      <c r="AG561" s="639" t="s">
        <v>277</v>
      </c>
      <c r="AH561" s="639"/>
      <c r="AI561" s="626" t="str">
        <f>IFERROR(VLOOKUP(AH561,Listas!$A$77:$C$83,2,FALSE),"Alerta: Seleccione primero el responsable")</f>
        <v>Alerta: Seleccione primero el responsable</v>
      </c>
      <c r="AJ561" s="640" t="str">
        <f>IFERROR(VLOOKUP(AH561,Listas!$A$77:$C$83,3,FALSE),"Alerta: Seleccione primero el responsable")</f>
        <v>Alerta: Seleccione primero el responsable</v>
      </c>
      <c r="AK561" s="640" t="str">
        <f>IF(J561="Funcionamiento Gastos Generales","No aplica",IF(J561="Funcionamiento Servicios Personales indirectos","No aplica",IFERROR(VLOOKUP(J561,Listas!$A$127:$E$139,3,FALSE),"Alerta: Seleccione la celda en la comumna B con el nombre del proyecto")))</f>
        <v>Alerta: Seleccione la celda en la comumna B con el nombre del proyecto</v>
      </c>
      <c r="AL561" s="640" t="str">
        <f>IF(J561="Funcionamiento Gastos Generales","No aplica",IF(J561="Funcionamiento Servicios Personales","No aplica",IFERROR(VLOOKUP(J561,Listas!$A$220:$D$224,2,FALSE),"Alerta: Seleccione la celda en la comumna B con el nombre del proyecto")))</f>
        <v>Alerta: Seleccione la celda en la comumna B con el nombre del proyecto</v>
      </c>
      <c r="AM561" s="640" t="str">
        <f>IF(J561="Funcionamiento Gastos Generales","No aplica",IF(J561="Funcionamiento Servicios Personales","No aplica",IFERROR(VLOOKUP(J561,Listas!$A$220:$D$224,3,FALSE),"Alerta: Seleccione la celda en la comumna B con el nombre del proyecto")))</f>
        <v>Alerta: Seleccione la celda en la comumna B con el nombre del proyecto</v>
      </c>
      <c r="AN561" s="633"/>
      <c r="AO561" s="633"/>
      <c r="AP561" s="634" t="str">
        <f>IFERROR(VLOOKUP(J561,Listas!$A$182:$E$215,5,FALSE),"Alerta: Seleccione la celda en la comumna B con el nombre del proyecto")</f>
        <v>Alerta: Seleccione la celda en la comumna B con el nombre del proyecto</v>
      </c>
      <c r="AQ561" s="634" t="str">
        <f>IF(J561="Funcionamiento Gastos Generales","No aplica",IF(J561="Funcionamiento Servicios Personales","No aplica",IFERROR(VLOOKUP(J561,Listas!$A$220:$D$224,4,FALSE),"Alerta: Seleccione la celda en la comumna B con el nombre del proyecto")))</f>
        <v>Alerta: Seleccione la celda en la comumna B con el nombre del proyecto</v>
      </c>
      <c r="AR561" s="633"/>
      <c r="AS561" s="634" t="str">
        <f>IFERROR(VLOOKUP(AU561,Listas!$E$85:$L$105,7,FALSE),"Alerta: Seleccione la celda en la comumna AI con el concepto de gasto")</f>
        <v>Alerta: Seleccione la celda en la comumna AI con el concepto de gasto</v>
      </c>
      <c r="AT561" s="634" t="str">
        <f>IFERROR(VLOOKUP(AU561,Listas!$E$85:$L$105,8,FALSE),"Alerta: Seleccione la celda en la comumna AI con el concepto de gasto")</f>
        <v>Alerta: Seleccione la celda en la comumna AI con el concepto de gasto</v>
      </c>
      <c r="AU561" s="633"/>
      <c r="AV561" s="634" t="str">
        <f>IFERROR(VLOOKUP(AU561,Listas!$E$85:$F$105,2,FALSE),"Alerta: Seleccione el Concepto de Gasto primero")</f>
        <v>Alerta: Seleccione el Concepto de Gasto primero</v>
      </c>
      <c r="AW561" s="644"/>
      <c r="AX561" s="645"/>
      <c r="AY561" s="645"/>
      <c r="AZ561" s="645"/>
      <c r="BA561" s="646">
        <f t="shared" si="180"/>
        <v>0</v>
      </c>
      <c r="BB561" s="647"/>
      <c r="BC561" s="648"/>
      <c r="BD561" s="649"/>
      <c r="BE561" s="647"/>
      <c r="BF561" s="644"/>
      <c r="BG561" s="646">
        <f t="shared" si="181"/>
        <v>0</v>
      </c>
      <c r="BH561" s="650"/>
      <c r="BI561" s="647"/>
      <c r="BJ561" s="644"/>
      <c r="BK561" s="646">
        <f t="shared" si="182"/>
        <v>0</v>
      </c>
      <c r="BL561" s="651"/>
      <c r="BM561" s="652">
        <f t="shared" si="183"/>
        <v>1</v>
      </c>
      <c r="BN561" s="628"/>
      <c r="BO561" s="670"/>
      <c r="BP561" s="644"/>
      <c r="BQ561" s="644"/>
      <c r="BR561" s="644"/>
      <c r="BS561" s="644"/>
      <c r="BT561" s="644"/>
      <c r="BU561" s="644"/>
      <c r="BV561" s="644"/>
      <c r="BW561" s="644"/>
      <c r="BX561" s="644"/>
      <c r="BY561" s="644"/>
      <c r="BZ561" s="644"/>
      <c r="CA561" s="644"/>
      <c r="CB561" s="646">
        <f t="shared" si="184"/>
        <v>0</v>
      </c>
      <c r="CC561" s="646">
        <f t="shared" si="185"/>
        <v>0</v>
      </c>
      <c r="CD561" s="614"/>
    </row>
    <row r="562" spans="1:85" s="561" customFormat="1" ht="61.5" customHeight="1">
      <c r="A562" s="625" t="str">
        <f t="shared" si="167"/>
        <v>proyecto-Alerta: Seleccione la celda en la comumna B con el nombre del proyecto-Al-Al--</v>
      </c>
      <c r="B562" s="626" t="str">
        <f t="shared" si="168"/>
        <v>proyecto-Alerta: Seleccione la celda en la comumna B con el nombre del proyecto-Al-Al-</v>
      </c>
      <c r="C562" s="626" t="str">
        <f t="shared" si="169"/>
        <v>proyecto-Alerta: Seleccione la celda en la comumna B con el nombre del proyecto-</v>
      </c>
      <c r="D562" s="626" t="str">
        <f t="shared" si="170"/>
        <v>proyecto--Al-Al-</v>
      </c>
      <c r="E562" s="626" t="str">
        <f t="shared" si="171"/>
        <v>--</v>
      </c>
      <c r="F562" s="627"/>
      <c r="G562" s="628">
        <f t="shared" si="172"/>
        <v>0</v>
      </c>
      <c r="H562" s="629" t="b">
        <f t="shared" si="173"/>
        <v>1</v>
      </c>
      <c r="I562" s="630"/>
      <c r="J562" s="627"/>
      <c r="K562" s="631" t="str">
        <f>+IFERROR(VLOOKUP(J562,Listas!$A$108:$B$114,2,FALSE),"Alerta: Seleccione la celda en la comumna B con el nombre del proyecto")</f>
        <v>Alerta: Seleccione la celda en la comumna B con el nombre del proyecto</v>
      </c>
      <c r="L562" s="632"/>
      <c r="M562" s="633"/>
      <c r="N562" s="634" t="str">
        <f t="shared" si="174"/>
        <v xml:space="preserve">(Cód. ) </v>
      </c>
      <c r="O562" s="635"/>
      <c r="P562" s="636">
        <f>IFERROR(VLOOKUP(W562,'Estimación CRP'!$D$21:$E$30,2,FALSE),0)</f>
        <v>0</v>
      </c>
      <c r="Q562" s="637">
        <f>IF(O562="No aplica","No aplica",WORKDAY.INTL(O562,P562,1,'Estimación CRP'!A748:A764))</f>
        <v>0</v>
      </c>
      <c r="R562" s="636">
        <f t="shared" si="175"/>
        <v>1</v>
      </c>
      <c r="S562" s="636">
        <f t="shared" si="176"/>
        <v>1</v>
      </c>
      <c r="T562" s="636">
        <f t="shared" si="177"/>
        <v>1</v>
      </c>
      <c r="U562" s="638"/>
      <c r="V562" s="638"/>
      <c r="W562" s="639"/>
      <c r="X562" s="640" t="str">
        <f>IFERROR(VLOOKUP(W562,Listas!$A$60:$B$73,2,FALSE),"Alerta: Seleccione primero Modalidad de selección")</f>
        <v>Alerta: Seleccione primero Modalidad de selección</v>
      </c>
      <c r="Y562" s="641">
        <v>0</v>
      </c>
      <c r="Z562" s="641"/>
      <c r="AA562" s="641"/>
      <c r="AB562" s="642">
        <f t="shared" si="178"/>
        <v>0</v>
      </c>
      <c r="AC562" s="642">
        <f t="shared" si="179"/>
        <v>0</v>
      </c>
      <c r="AD562" s="641">
        <v>0</v>
      </c>
      <c r="AE562" s="643">
        <v>0</v>
      </c>
      <c r="AF562" s="639" t="s">
        <v>276</v>
      </c>
      <c r="AG562" s="639" t="s">
        <v>277</v>
      </c>
      <c r="AH562" s="639"/>
      <c r="AI562" s="626" t="str">
        <f>IFERROR(VLOOKUP(AH562,Listas!$A$77:$C$83,2,FALSE),"Alerta: Seleccione primero el responsable")</f>
        <v>Alerta: Seleccione primero el responsable</v>
      </c>
      <c r="AJ562" s="640" t="str">
        <f>IFERROR(VLOOKUP(AH562,Listas!$A$77:$C$83,3,FALSE),"Alerta: Seleccione primero el responsable")</f>
        <v>Alerta: Seleccione primero el responsable</v>
      </c>
      <c r="AK562" s="640" t="str">
        <f>IF(J562="Funcionamiento Gastos Generales","No aplica",IF(J562="Funcionamiento Servicios Personales indirectos","No aplica",IFERROR(VLOOKUP(J562,Listas!$A$127:$E$139,3,FALSE),"Alerta: Seleccione la celda en la comumna B con el nombre del proyecto")))</f>
        <v>Alerta: Seleccione la celda en la comumna B con el nombre del proyecto</v>
      </c>
      <c r="AL562" s="640" t="str">
        <f>IF(J562="Funcionamiento Gastos Generales","No aplica",IF(J562="Funcionamiento Servicios Personales","No aplica",IFERROR(VLOOKUP(J562,Listas!$A$220:$D$224,2,FALSE),"Alerta: Seleccione la celda en la comumna B con el nombre del proyecto")))</f>
        <v>Alerta: Seleccione la celda en la comumna B con el nombre del proyecto</v>
      </c>
      <c r="AM562" s="640" t="str">
        <f>IF(J562="Funcionamiento Gastos Generales","No aplica",IF(J562="Funcionamiento Servicios Personales","No aplica",IFERROR(VLOOKUP(J562,Listas!$A$220:$D$224,3,FALSE),"Alerta: Seleccione la celda en la comumna B con el nombre del proyecto")))</f>
        <v>Alerta: Seleccione la celda en la comumna B con el nombre del proyecto</v>
      </c>
      <c r="AN562" s="633"/>
      <c r="AO562" s="633"/>
      <c r="AP562" s="634" t="str">
        <f>IFERROR(VLOOKUP(J562,Listas!$A$182:$E$215,5,FALSE),"Alerta: Seleccione la celda en la comumna B con el nombre del proyecto")</f>
        <v>Alerta: Seleccione la celda en la comumna B con el nombre del proyecto</v>
      </c>
      <c r="AQ562" s="634" t="str">
        <f>IF(J562="Funcionamiento Gastos Generales","No aplica",IF(J562="Funcionamiento Servicios Personales","No aplica",IFERROR(VLOOKUP(J562,Listas!$A$220:$D$224,4,FALSE),"Alerta: Seleccione la celda en la comumna B con el nombre del proyecto")))</f>
        <v>Alerta: Seleccione la celda en la comumna B con el nombre del proyecto</v>
      </c>
      <c r="AR562" s="633"/>
      <c r="AS562" s="634" t="str">
        <f>IFERROR(VLOOKUP(AU562,Listas!$E$85:$L$105,7,FALSE),"Alerta: Seleccione la celda en la comumna AI con el concepto de gasto")</f>
        <v>Alerta: Seleccione la celda en la comumna AI con el concepto de gasto</v>
      </c>
      <c r="AT562" s="634" t="str">
        <f>IFERROR(VLOOKUP(AU562,Listas!$E$85:$L$105,8,FALSE),"Alerta: Seleccione la celda en la comumna AI con el concepto de gasto")</f>
        <v>Alerta: Seleccione la celda en la comumna AI con el concepto de gasto</v>
      </c>
      <c r="AU562" s="633"/>
      <c r="AV562" s="634" t="str">
        <f>IFERROR(VLOOKUP(AU562,Listas!$E$85:$F$105,2,FALSE),"Alerta: Seleccione el Concepto de Gasto primero")</f>
        <v>Alerta: Seleccione el Concepto de Gasto primero</v>
      </c>
      <c r="AW562" s="644"/>
      <c r="AX562" s="645"/>
      <c r="AY562" s="645"/>
      <c r="AZ562" s="645"/>
      <c r="BA562" s="646">
        <f t="shared" si="180"/>
        <v>0</v>
      </c>
      <c r="BB562" s="647"/>
      <c r="BC562" s="648"/>
      <c r="BD562" s="649"/>
      <c r="BE562" s="647"/>
      <c r="BF562" s="644"/>
      <c r="BG562" s="646">
        <f t="shared" si="181"/>
        <v>0</v>
      </c>
      <c r="BH562" s="650"/>
      <c r="BI562" s="647"/>
      <c r="BJ562" s="644"/>
      <c r="BK562" s="646">
        <f t="shared" si="182"/>
        <v>0</v>
      </c>
      <c r="BL562" s="651"/>
      <c r="BM562" s="652">
        <f t="shared" si="183"/>
        <v>1</v>
      </c>
      <c r="BN562" s="628"/>
      <c r="BO562" s="670"/>
      <c r="BP562" s="644"/>
      <c r="BQ562" s="644"/>
      <c r="BR562" s="644"/>
      <c r="BS562" s="644"/>
      <c r="BT562" s="644"/>
      <c r="BU562" s="644"/>
      <c r="BV562" s="644"/>
      <c r="BW562" s="644"/>
      <c r="BX562" s="644"/>
      <c r="BY562" s="644"/>
      <c r="BZ562" s="644"/>
      <c r="CA562" s="644"/>
      <c r="CB562" s="646">
        <f t="shared" si="184"/>
        <v>0</v>
      </c>
      <c r="CC562" s="646">
        <f t="shared" si="185"/>
        <v>0</v>
      </c>
      <c r="CD562" s="614"/>
    </row>
    <row r="563" spans="1:85" s="561" customFormat="1" ht="61.5" customHeight="1">
      <c r="A563" s="625" t="str">
        <f t="shared" si="167"/>
        <v>proyecto-Alerta: Seleccione la celda en la comumna B con el nombre del proyecto-Al-Al--</v>
      </c>
      <c r="B563" s="626" t="str">
        <f t="shared" si="168"/>
        <v>proyecto-Alerta: Seleccione la celda en la comumna B con el nombre del proyecto-Al-Al-</v>
      </c>
      <c r="C563" s="626" t="str">
        <f t="shared" si="169"/>
        <v>proyecto-Alerta: Seleccione la celda en la comumna B con el nombre del proyecto-</v>
      </c>
      <c r="D563" s="626" t="str">
        <f t="shared" si="170"/>
        <v>proyecto--Al-Al-</v>
      </c>
      <c r="E563" s="626" t="str">
        <f t="shared" si="171"/>
        <v>--</v>
      </c>
      <c r="F563" s="627"/>
      <c r="G563" s="628">
        <f t="shared" si="172"/>
        <v>0</v>
      </c>
      <c r="H563" s="629" t="b">
        <f t="shared" si="173"/>
        <v>1</v>
      </c>
      <c r="I563" s="630"/>
      <c r="J563" s="627"/>
      <c r="K563" s="631" t="str">
        <f>+IFERROR(VLOOKUP(J563,Listas!$A$108:$B$114,2,FALSE),"Alerta: Seleccione la celda en la comumna B con el nombre del proyecto")</f>
        <v>Alerta: Seleccione la celda en la comumna B con el nombre del proyecto</v>
      </c>
      <c r="L563" s="632"/>
      <c r="M563" s="633"/>
      <c r="N563" s="634" t="str">
        <f t="shared" si="174"/>
        <v xml:space="preserve">(Cód. ) </v>
      </c>
      <c r="O563" s="635"/>
      <c r="P563" s="636">
        <f>IFERROR(VLOOKUP(W563,'Estimación CRP'!$D$21:$E$30,2,FALSE),0)</f>
        <v>0</v>
      </c>
      <c r="Q563" s="637">
        <f>IF(O563="No aplica","No aplica",WORKDAY.INTL(O563,P563,1,'Estimación CRP'!A749:A765))</f>
        <v>0</v>
      </c>
      <c r="R563" s="636">
        <f t="shared" si="175"/>
        <v>1</v>
      </c>
      <c r="S563" s="636">
        <f t="shared" si="176"/>
        <v>1</v>
      </c>
      <c r="T563" s="636">
        <f t="shared" si="177"/>
        <v>1</v>
      </c>
      <c r="U563" s="638"/>
      <c r="V563" s="638"/>
      <c r="W563" s="639"/>
      <c r="X563" s="640" t="str">
        <f>IFERROR(VLOOKUP(W563,Listas!$A$60:$B$73,2,FALSE),"Alerta: Seleccione primero Modalidad de selección")</f>
        <v>Alerta: Seleccione primero Modalidad de selección</v>
      </c>
      <c r="Y563" s="641">
        <v>0</v>
      </c>
      <c r="Z563" s="641"/>
      <c r="AA563" s="641"/>
      <c r="AB563" s="642">
        <f t="shared" si="178"/>
        <v>0</v>
      </c>
      <c r="AC563" s="642">
        <f t="shared" si="179"/>
        <v>0</v>
      </c>
      <c r="AD563" s="641">
        <v>0</v>
      </c>
      <c r="AE563" s="643">
        <v>0</v>
      </c>
      <c r="AF563" s="639" t="s">
        <v>276</v>
      </c>
      <c r="AG563" s="639" t="s">
        <v>277</v>
      </c>
      <c r="AH563" s="639"/>
      <c r="AI563" s="626" t="str">
        <f>IFERROR(VLOOKUP(AH563,Listas!$A$77:$C$83,2,FALSE),"Alerta: Seleccione primero el responsable")</f>
        <v>Alerta: Seleccione primero el responsable</v>
      </c>
      <c r="AJ563" s="640" t="str">
        <f>IFERROR(VLOOKUP(AH563,Listas!$A$77:$C$83,3,FALSE),"Alerta: Seleccione primero el responsable")</f>
        <v>Alerta: Seleccione primero el responsable</v>
      </c>
      <c r="AK563" s="640" t="str">
        <f>IF(J563="Funcionamiento Gastos Generales","No aplica",IF(J563="Funcionamiento Servicios Personales indirectos","No aplica",IFERROR(VLOOKUP(J563,Listas!$A$127:$E$139,3,FALSE),"Alerta: Seleccione la celda en la comumna B con el nombre del proyecto")))</f>
        <v>Alerta: Seleccione la celda en la comumna B con el nombre del proyecto</v>
      </c>
      <c r="AL563" s="640" t="str">
        <f>IF(J563="Funcionamiento Gastos Generales","No aplica",IF(J563="Funcionamiento Servicios Personales","No aplica",IFERROR(VLOOKUP(J563,Listas!$A$220:$D$224,2,FALSE),"Alerta: Seleccione la celda en la comumna B con el nombre del proyecto")))</f>
        <v>Alerta: Seleccione la celda en la comumna B con el nombre del proyecto</v>
      </c>
      <c r="AM563" s="640" t="str">
        <f>IF(J563="Funcionamiento Gastos Generales","No aplica",IF(J563="Funcionamiento Servicios Personales","No aplica",IFERROR(VLOOKUP(J563,Listas!$A$220:$D$224,3,FALSE),"Alerta: Seleccione la celda en la comumna B con el nombre del proyecto")))</f>
        <v>Alerta: Seleccione la celda en la comumna B con el nombre del proyecto</v>
      </c>
      <c r="AN563" s="633"/>
      <c r="AO563" s="633"/>
      <c r="AP563" s="634" t="str">
        <f>IFERROR(VLOOKUP(J563,Listas!$A$182:$E$215,5,FALSE),"Alerta: Seleccione la celda en la comumna B con el nombre del proyecto")</f>
        <v>Alerta: Seleccione la celda en la comumna B con el nombre del proyecto</v>
      </c>
      <c r="AQ563" s="634" t="str">
        <f>IF(J563="Funcionamiento Gastos Generales","No aplica",IF(J563="Funcionamiento Servicios Personales","No aplica",IFERROR(VLOOKUP(J563,Listas!$A$220:$D$224,4,FALSE),"Alerta: Seleccione la celda en la comumna B con el nombre del proyecto")))</f>
        <v>Alerta: Seleccione la celda en la comumna B con el nombre del proyecto</v>
      </c>
      <c r="AR563" s="633"/>
      <c r="AS563" s="634" t="str">
        <f>IFERROR(VLOOKUP(AU563,Listas!$E$85:$L$105,7,FALSE),"Alerta: Seleccione la celda en la comumna AI con el concepto de gasto")</f>
        <v>Alerta: Seleccione la celda en la comumna AI con el concepto de gasto</v>
      </c>
      <c r="AT563" s="634" t="str">
        <f>IFERROR(VLOOKUP(AU563,Listas!$E$85:$L$105,8,FALSE),"Alerta: Seleccione la celda en la comumna AI con el concepto de gasto")</f>
        <v>Alerta: Seleccione la celda en la comumna AI con el concepto de gasto</v>
      </c>
      <c r="AU563" s="633"/>
      <c r="AV563" s="634" t="str">
        <f>IFERROR(VLOOKUP(AU563,Listas!$E$85:$F$105,2,FALSE),"Alerta: Seleccione el Concepto de Gasto primero")</f>
        <v>Alerta: Seleccione el Concepto de Gasto primero</v>
      </c>
      <c r="AW563" s="644"/>
      <c r="AX563" s="645"/>
      <c r="AY563" s="645"/>
      <c r="AZ563" s="645"/>
      <c r="BA563" s="646">
        <f t="shared" si="180"/>
        <v>0</v>
      </c>
      <c r="BB563" s="647"/>
      <c r="BC563" s="648"/>
      <c r="BD563" s="649"/>
      <c r="BE563" s="647"/>
      <c r="BF563" s="644"/>
      <c r="BG563" s="646">
        <f t="shared" si="181"/>
        <v>0</v>
      </c>
      <c r="BH563" s="650"/>
      <c r="BI563" s="647"/>
      <c r="BJ563" s="644"/>
      <c r="BK563" s="646">
        <f t="shared" si="182"/>
        <v>0</v>
      </c>
      <c r="BL563" s="651"/>
      <c r="BM563" s="652">
        <f t="shared" si="183"/>
        <v>1</v>
      </c>
      <c r="BN563" s="628"/>
      <c r="BO563" s="670"/>
      <c r="BP563" s="644"/>
      <c r="BQ563" s="644"/>
      <c r="BR563" s="644"/>
      <c r="BS563" s="644"/>
      <c r="BT563" s="644"/>
      <c r="BU563" s="644"/>
      <c r="BV563" s="644"/>
      <c r="BW563" s="644"/>
      <c r="BX563" s="644"/>
      <c r="BY563" s="644"/>
      <c r="BZ563" s="644"/>
      <c r="CA563" s="644"/>
      <c r="CB563" s="646">
        <f t="shared" si="184"/>
        <v>0</v>
      </c>
      <c r="CC563" s="646">
        <f t="shared" si="185"/>
        <v>0</v>
      </c>
      <c r="CD563" s="614"/>
    </row>
    <row r="564" spans="1:85" s="561" customFormat="1" ht="61.5" customHeight="1">
      <c r="A564" s="625" t="str">
        <f t="shared" si="167"/>
        <v>proyecto-Alerta: Seleccione la celda en la comumna B con el nombre del proyecto-Al-Al--</v>
      </c>
      <c r="B564" s="626" t="str">
        <f t="shared" si="168"/>
        <v>proyecto-Alerta: Seleccione la celda en la comumna B con el nombre del proyecto-Al-Al-</v>
      </c>
      <c r="C564" s="626" t="str">
        <f t="shared" si="169"/>
        <v>proyecto-Alerta: Seleccione la celda en la comumna B con el nombre del proyecto-</v>
      </c>
      <c r="D564" s="626" t="str">
        <f t="shared" si="170"/>
        <v>proyecto--Al-Al-</v>
      </c>
      <c r="E564" s="626" t="str">
        <f t="shared" si="171"/>
        <v>--</v>
      </c>
      <c r="F564" s="627"/>
      <c r="G564" s="628">
        <f t="shared" si="172"/>
        <v>0</v>
      </c>
      <c r="H564" s="629" t="b">
        <f t="shared" si="173"/>
        <v>1</v>
      </c>
      <c r="I564" s="630"/>
      <c r="J564" s="627"/>
      <c r="K564" s="631" t="str">
        <f>+IFERROR(VLOOKUP(J564,Listas!$A$108:$B$114,2,FALSE),"Alerta: Seleccione la celda en la comumna B con el nombre del proyecto")</f>
        <v>Alerta: Seleccione la celda en la comumna B con el nombre del proyecto</v>
      </c>
      <c r="L564" s="632"/>
      <c r="M564" s="633"/>
      <c r="N564" s="634" t="str">
        <f t="shared" si="174"/>
        <v xml:space="preserve">(Cód. ) </v>
      </c>
      <c r="O564" s="635"/>
      <c r="P564" s="636">
        <f>IFERROR(VLOOKUP(W564,'Estimación CRP'!$D$21:$E$30,2,FALSE),0)</f>
        <v>0</v>
      </c>
      <c r="Q564" s="637">
        <f>IF(O564="No aplica","No aplica",WORKDAY.INTL(O564,P564,1,'Estimación CRP'!A750:A766))</f>
        <v>0</v>
      </c>
      <c r="R564" s="636">
        <f t="shared" si="175"/>
        <v>1</v>
      </c>
      <c r="S564" s="636">
        <f t="shared" si="176"/>
        <v>1</v>
      </c>
      <c r="T564" s="636">
        <f t="shared" si="177"/>
        <v>1</v>
      </c>
      <c r="U564" s="638"/>
      <c r="V564" s="638"/>
      <c r="W564" s="639"/>
      <c r="X564" s="640" t="str">
        <f>IFERROR(VLOOKUP(W564,Listas!$A$60:$B$73,2,FALSE),"Alerta: Seleccione primero Modalidad de selección")</f>
        <v>Alerta: Seleccione primero Modalidad de selección</v>
      </c>
      <c r="Y564" s="641">
        <v>0</v>
      </c>
      <c r="Z564" s="641"/>
      <c r="AA564" s="641"/>
      <c r="AB564" s="642">
        <f t="shared" si="178"/>
        <v>0</v>
      </c>
      <c r="AC564" s="642">
        <f t="shared" si="179"/>
        <v>0</v>
      </c>
      <c r="AD564" s="641">
        <v>0</v>
      </c>
      <c r="AE564" s="643">
        <v>0</v>
      </c>
      <c r="AF564" s="639" t="s">
        <v>276</v>
      </c>
      <c r="AG564" s="639" t="s">
        <v>277</v>
      </c>
      <c r="AH564" s="639"/>
      <c r="AI564" s="626" t="str">
        <f>IFERROR(VLOOKUP(AH564,Listas!$A$77:$C$83,2,FALSE),"Alerta: Seleccione primero el responsable")</f>
        <v>Alerta: Seleccione primero el responsable</v>
      </c>
      <c r="AJ564" s="640" t="str">
        <f>IFERROR(VLOOKUP(AH564,Listas!$A$77:$C$83,3,FALSE),"Alerta: Seleccione primero el responsable")</f>
        <v>Alerta: Seleccione primero el responsable</v>
      </c>
      <c r="AK564" s="640" t="str">
        <f>IF(J564="Funcionamiento Gastos Generales","No aplica",IF(J564="Funcionamiento Servicios Personales indirectos","No aplica",IFERROR(VLOOKUP(J564,Listas!$A$127:$E$139,3,FALSE),"Alerta: Seleccione la celda en la comumna B con el nombre del proyecto")))</f>
        <v>Alerta: Seleccione la celda en la comumna B con el nombre del proyecto</v>
      </c>
      <c r="AL564" s="640" t="str">
        <f>IF(J564="Funcionamiento Gastos Generales","No aplica",IF(J564="Funcionamiento Servicios Personales","No aplica",IFERROR(VLOOKUP(J564,Listas!$A$220:$D$224,2,FALSE),"Alerta: Seleccione la celda en la comumna B con el nombre del proyecto")))</f>
        <v>Alerta: Seleccione la celda en la comumna B con el nombre del proyecto</v>
      </c>
      <c r="AM564" s="640" t="str">
        <f>IF(J564="Funcionamiento Gastos Generales","No aplica",IF(J564="Funcionamiento Servicios Personales","No aplica",IFERROR(VLOOKUP(J564,Listas!$A$220:$D$224,3,FALSE),"Alerta: Seleccione la celda en la comumna B con el nombre del proyecto")))</f>
        <v>Alerta: Seleccione la celda en la comumna B con el nombre del proyecto</v>
      </c>
      <c r="AN564" s="633"/>
      <c r="AO564" s="633"/>
      <c r="AP564" s="634" t="str">
        <f>IFERROR(VLOOKUP(J564,Listas!$A$182:$E$215,5,FALSE),"Alerta: Seleccione la celda en la comumna B con el nombre del proyecto")</f>
        <v>Alerta: Seleccione la celda en la comumna B con el nombre del proyecto</v>
      </c>
      <c r="AQ564" s="634" t="str">
        <f>IF(J564="Funcionamiento Gastos Generales","No aplica",IF(J564="Funcionamiento Servicios Personales","No aplica",IFERROR(VLOOKUP(J564,Listas!$A$220:$D$224,4,FALSE),"Alerta: Seleccione la celda en la comumna B con el nombre del proyecto")))</f>
        <v>Alerta: Seleccione la celda en la comumna B con el nombre del proyecto</v>
      </c>
      <c r="AR564" s="633"/>
      <c r="AS564" s="634" t="str">
        <f>IFERROR(VLOOKUP(AU564,Listas!$E$85:$L$105,7,FALSE),"Alerta: Seleccione la celda en la comumna AI con el concepto de gasto")</f>
        <v>Alerta: Seleccione la celda en la comumna AI con el concepto de gasto</v>
      </c>
      <c r="AT564" s="634" t="str">
        <f>IFERROR(VLOOKUP(AU564,Listas!$E$85:$L$105,8,FALSE),"Alerta: Seleccione la celda en la comumna AI con el concepto de gasto")</f>
        <v>Alerta: Seleccione la celda en la comumna AI con el concepto de gasto</v>
      </c>
      <c r="AU564" s="633"/>
      <c r="AV564" s="634" t="str">
        <f>IFERROR(VLOOKUP(AU564,Listas!$E$85:$F$105,2,FALSE),"Alerta: Seleccione el Concepto de Gasto primero")</f>
        <v>Alerta: Seleccione el Concepto de Gasto primero</v>
      </c>
      <c r="AW564" s="644"/>
      <c r="AX564" s="645"/>
      <c r="AY564" s="645"/>
      <c r="AZ564" s="645"/>
      <c r="BA564" s="646">
        <f t="shared" si="180"/>
        <v>0</v>
      </c>
      <c r="BB564" s="647"/>
      <c r="BC564" s="648"/>
      <c r="BD564" s="649"/>
      <c r="BE564" s="647"/>
      <c r="BF564" s="644"/>
      <c r="BG564" s="646">
        <f t="shared" si="181"/>
        <v>0</v>
      </c>
      <c r="BH564" s="650"/>
      <c r="BI564" s="647"/>
      <c r="BJ564" s="644"/>
      <c r="BK564" s="646">
        <f t="shared" si="182"/>
        <v>0</v>
      </c>
      <c r="BL564" s="651"/>
      <c r="BM564" s="652">
        <f t="shared" si="183"/>
        <v>1</v>
      </c>
      <c r="BN564" s="628"/>
      <c r="BO564" s="670"/>
      <c r="BP564" s="644"/>
      <c r="BQ564" s="644"/>
      <c r="BR564" s="644"/>
      <c r="BS564" s="644"/>
      <c r="BT564" s="644"/>
      <c r="BU564" s="644"/>
      <c r="BV564" s="644"/>
      <c r="BW564" s="644"/>
      <c r="BX564" s="644"/>
      <c r="BY564" s="644"/>
      <c r="BZ564" s="644"/>
      <c r="CA564" s="644"/>
      <c r="CB564" s="646">
        <f t="shared" si="184"/>
        <v>0</v>
      </c>
      <c r="CC564" s="646">
        <f t="shared" si="185"/>
        <v>0</v>
      </c>
      <c r="CD564" s="614"/>
    </row>
    <row r="565" spans="1:85" s="561" customFormat="1" ht="61.5" customHeight="1">
      <c r="A565" s="625" t="str">
        <f t="shared" si="167"/>
        <v>proyecto-Alerta: Seleccione la celda en la comumna B con el nombre del proyecto-Al-Al--</v>
      </c>
      <c r="B565" s="626" t="str">
        <f t="shared" si="168"/>
        <v>proyecto-Alerta: Seleccione la celda en la comumna B con el nombre del proyecto-Al-Al-</v>
      </c>
      <c r="C565" s="626" t="str">
        <f t="shared" si="169"/>
        <v>proyecto-Alerta: Seleccione la celda en la comumna B con el nombre del proyecto-</v>
      </c>
      <c r="D565" s="626" t="str">
        <f t="shared" si="170"/>
        <v>proyecto--Al-Al-</v>
      </c>
      <c r="E565" s="626" t="str">
        <f t="shared" si="171"/>
        <v>--</v>
      </c>
      <c r="F565" s="627"/>
      <c r="G565" s="628">
        <f t="shared" si="172"/>
        <v>0</v>
      </c>
      <c r="H565" s="629" t="b">
        <f t="shared" si="173"/>
        <v>1</v>
      </c>
      <c r="I565" s="630"/>
      <c r="J565" s="627"/>
      <c r="K565" s="631" t="str">
        <f>+IFERROR(VLOOKUP(J565,Listas!$A$108:$B$114,2,FALSE),"Alerta: Seleccione la celda en la comumna B con el nombre del proyecto")</f>
        <v>Alerta: Seleccione la celda en la comumna B con el nombre del proyecto</v>
      </c>
      <c r="L565" s="632"/>
      <c r="M565" s="633"/>
      <c r="N565" s="634" t="str">
        <f t="shared" si="174"/>
        <v xml:space="preserve">(Cód. ) </v>
      </c>
      <c r="O565" s="635"/>
      <c r="P565" s="636">
        <f>IFERROR(VLOOKUP(W565,'Estimación CRP'!$D$21:$E$30,2,FALSE),0)</f>
        <v>0</v>
      </c>
      <c r="Q565" s="637">
        <f>IF(O565="No aplica","No aplica",WORKDAY.INTL(O565,P565,1,'Estimación CRP'!A751:A767))</f>
        <v>0</v>
      </c>
      <c r="R565" s="636">
        <f t="shared" si="175"/>
        <v>1</v>
      </c>
      <c r="S565" s="636">
        <f t="shared" si="176"/>
        <v>1</v>
      </c>
      <c r="T565" s="636">
        <f t="shared" si="177"/>
        <v>1</v>
      </c>
      <c r="U565" s="638"/>
      <c r="V565" s="638"/>
      <c r="W565" s="639"/>
      <c r="X565" s="640" t="str">
        <f>IFERROR(VLOOKUP(W565,Listas!$A$60:$B$73,2,FALSE),"Alerta: Seleccione primero Modalidad de selección")</f>
        <v>Alerta: Seleccione primero Modalidad de selección</v>
      </c>
      <c r="Y565" s="641">
        <v>0</v>
      </c>
      <c r="Z565" s="641"/>
      <c r="AA565" s="641"/>
      <c r="AB565" s="642">
        <f t="shared" si="178"/>
        <v>0</v>
      </c>
      <c r="AC565" s="642">
        <f t="shared" si="179"/>
        <v>0</v>
      </c>
      <c r="AD565" s="641">
        <v>0</v>
      </c>
      <c r="AE565" s="643">
        <v>0</v>
      </c>
      <c r="AF565" s="639" t="s">
        <v>276</v>
      </c>
      <c r="AG565" s="639" t="s">
        <v>277</v>
      </c>
      <c r="AH565" s="639"/>
      <c r="AI565" s="626" t="str">
        <f>IFERROR(VLOOKUP(AH565,Listas!$A$77:$C$83,2,FALSE),"Alerta: Seleccione primero el responsable")</f>
        <v>Alerta: Seleccione primero el responsable</v>
      </c>
      <c r="AJ565" s="640" t="str">
        <f>IFERROR(VLOOKUP(AH565,Listas!$A$77:$C$83,3,FALSE),"Alerta: Seleccione primero el responsable")</f>
        <v>Alerta: Seleccione primero el responsable</v>
      </c>
      <c r="AK565" s="640" t="str">
        <f>IF(J565="Funcionamiento Gastos Generales","No aplica",IF(J565="Funcionamiento Servicios Personales indirectos","No aplica",IFERROR(VLOOKUP(J565,Listas!$A$127:$E$139,3,FALSE),"Alerta: Seleccione la celda en la comumna B con el nombre del proyecto")))</f>
        <v>Alerta: Seleccione la celda en la comumna B con el nombre del proyecto</v>
      </c>
      <c r="AL565" s="640" t="str">
        <f>IF(J565="Funcionamiento Gastos Generales","No aplica",IF(J565="Funcionamiento Servicios Personales","No aplica",IFERROR(VLOOKUP(J565,Listas!$A$220:$D$224,2,FALSE),"Alerta: Seleccione la celda en la comumna B con el nombre del proyecto")))</f>
        <v>Alerta: Seleccione la celda en la comumna B con el nombre del proyecto</v>
      </c>
      <c r="AM565" s="640" t="str">
        <f>IF(J565="Funcionamiento Gastos Generales","No aplica",IF(J565="Funcionamiento Servicios Personales","No aplica",IFERROR(VLOOKUP(J565,Listas!$A$220:$D$224,3,FALSE),"Alerta: Seleccione la celda en la comumna B con el nombre del proyecto")))</f>
        <v>Alerta: Seleccione la celda en la comumna B con el nombre del proyecto</v>
      </c>
      <c r="AN565" s="633"/>
      <c r="AO565" s="633"/>
      <c r="AP565" s="634" t="str">
        <f>IFERROR(VLOOKUP(J565,Listas!$A$182:$E$215,5,FALSE),"Alerta: Seleccione la celda en la comumna B con el nombre del proyecto")</f>
        <v>Alerta: Seleccione la celda en la comumna B con el nombre del proyecto</v>
      </c>
      <c r="AQ565" s="634" t="str">
        <f>IF(J565="Funcionamiento Gastos Generales","No aplica",IF(J565="Funcionamiento Servicios Personales","No aplica",IFERROR(VLOOKUP(J565,Listas!$A$220:$D$224,4,FALSE),"Alerta: Seleccione la celda en la comumna B con el nombre del proyecto")))</f>
        <v>Alerta: Seleccione la celda en la comumna B con el nombre del proyecto</v>
      </c>
      <c r="AR565" s="633"/>
      <c r="AS565" s="634" t="str">
        <f>IFERROR(VLOOKUP(AU565,Listas!$E$85:$L$105,7,FALSE),"Alerta: Seleccione la celda en la comumna AI con el concepto de gasto")</f>
        <v>Alerta: Seleccione la celda en la comumna AI con el concepto de gasto</v>
      </c>
      <c r="AT565" s="634" t="str">
        <f>IFERROR(VLOOKUP(AU565,Listas!$E$85:$L$105,8,FALSE),"Alerta: Seleccione la celda en la comumna AI con el concepto de gasto")</f>
        <v>Alerta: Seleccione la celda en la comumna AI con el concepto de gasto</v>
      </c>
      <c r="AU565" s="633"/>
      <c r="AV565" s="634" t="str">
        <f>IFERROR(VLOOKUP(AU565,Listas!$E$85:$F$105,2,FALSE),"Alerta: Seleccione el Concepto de Gasto primero")</f>
        <v>Alerta: Seleccione el Concepto de Gasto primero</v>
      </c>
      <c r="AW565" s="644"/>
      <c r="AX565" s="645"/>
      <c r="AY565" s="645"/>
      <c r="AZ565" s="645"/>
      <c r="BA565" s="646">
        <f t="shared" si="180"/>
        <v>0</v>
      </c>
      <c r="BB565" s="647"/>
      <c r="BC565" s="648"/>
      <c r="BD565" s="649"/>
      <c r="BE565" s="647"/>
      <c r="BF565" s="644"/>
      <c r="BG565" s="646">
        <f t="shared" si="181"/>
        <v>0</v>
      </c>
      <c r="BH565" s="650"/>
      <c r="BI565" s="647"/>
      <c r="BJ565" s="644"/>
      <c r="BK565" s="646">
        <f t="shared" si="182"/>
        <v>0</v>
      </c>
      <c r="BL565" s="651"/>
      <c r="BM565" s="652">
        <f t="shared" si="183"/>
        <v>1</v>
      </c>
      <c r="BN565" s="628"/>
      <c r="BO565" s="670"/>
      <c r="BP565" s="644"/>
      <c r="BQ565" s="644"/>
      <c r="BR565" s="644"/>
      <c r="BS565" s="644"/>
      <c r="BT565" s="644"/>
      <c r="BU565" s="644"/>
      <c r="BV565" s="644"/>
      <c r="BW565" s="644"/>
      <c r="BX565" s="644"/>
      <c r="BY565" s="644"/>
      <c r="BZ565" s="644"/>
      <c r="CA565" s="644"/>
      <c r="CB565" s="646">
        <f t="shared" si="184"/>
        <v>0</v>
      </c>
      <c r="CC565" s="646">
        <f t="shared" si="185"/>
        <v>0</v>
      </c>
      <c r="CD565" s="614"/>
    </row>
    <row r="566" spans="1:85" s="561" customFormat="1" ht="61.5" customHeight="1">
      <c r="A566" s="625" t="str">
        <f t="shared" si="167"/>
        <v>proyecto-Alerta: Seleccione la celda en la comumna B con el nombre del proyecto-Al-Al--</v>
      </c>
      <c r="B566" s="626" t="str">
        <f t="shared" si="168"/>
        <v>proyecto-Alerta: Seleccione la celda en la comumna B con el nombre del proyecto-Al-Al-</v>
      </c>
      <c r="C566" s="626" t="str">
        <f t="shared" si="169"/>
        <v>proyecto-Alerta: Seleccione la celda en la comumna B con el nombre del proyecto-</v>
      </c>
      <c r="D566" s="626" t="str">
        <f t="shared" si="170"/>
        <v>proyecto--Al-Al-</v>
      </c>
      <c r="E566" s="626" t="str">
        <f t="shared" si="171"/>
        <v>--</v>
      </c>
      <c r="F566" s="627"/>
      <c r="G566" s="628">
        <f t="shared" si="172"/>
        <v>0</v>
      </c>
      <c r="H566" s="629" t="b">
        <f t="shared" si="173"/>
        <v>1</v>
      </c>
      <c r="I566" s="630"/>
      <c r="J566" s="627"/>
      <c r="K566" s="631" t="str">
        <f>+IFERROR(VLOOKUP(J566,Listas!$A$108:$B$114,2,FALSE),"Alerta: Seleccione la celda en la comumna B con el nombre del proyecto")</f>
        <v>Alerta: Seleccione la celda en la comumna B con el nombre del proyecto</v>
      </c>
      <c r="L566" s="632"/>
      <c r="M566" s="633"/>
      <c r="N566" s="634" t="str">
        <f t="shared" si="174"/>
        <v xml:space="preserve">(Cód. ) </v>
      </c>
      <c r="O566" s="635"/>
      <c r="P566" s="636">
        <f>IFERROR(VLOOKUP(W566,'Estimación CRP'!$D$21:$E$30,2,FALSE),0)</f>
        <v>0</v>
      </c>
      <c r="Q566" s="637">
        <f>IF(O566="No aplica","No aplica",WORKDAY.INTL(O566,P566,1,'Estimación CRP'!A752:A768))</f>
        <v>0</v>
      </c>
      <c r="R566" s="636">
        <f t="shared" si="175"/>
        <v>1</v>
      </c>
      <c r="S566" s="636">
        <f t="shared" si="176"/>
        <v>1</v>
      </c>
      <c r="T566" s="636">
        <f t="shared" si="177"/>
        <v>1</v>
      </c>
      <c r="U566" s="638"/>
      <c r="V566" s="638"/>
      <c r="W566" s="639"/>
      <c r="X566" s="640" t="str">
        <f>IFERROR(VLOOKUP(W566,Listas!$A$60:$B$73,2,FALSE),"Alerta: Seleccione primero Modalidad de selección")</f>
        <v>Alerta: Seleccione primero Modalidad de selección</v>
      </c>
      <c r="Y566" s="641">
        <v>0</v>
      </c>
      <c r="Z566" s="641"/>
      <c r="AA566" s="641"/>
      <c r="AB566" s="642">
        <f t="shared" si="178"/>
        <v>0</v>
      </c>
      <c r="AC566" s="642">
        <f t="shared" si="179"/>
        <v>0</v>
      </c>
      <c r="AD566" s="641">
        <v>0</v>
      </c>
      <c r="AE566" s="643">
        <v>0</v>
      </c>
      <c r="AF566" s="639" t="s">
        <v>276</v>
      </c>
      <c r="AG566" s="639" t="s">
        <v>277</v>
      </c>
      <c r="AH566" s="639"/>
      <c r="AI566" s="626" t="str">
        <f>IFERROR(VLOOKUP(AH566,Listas!$A$77:$C$83,2,FALSE),"Alerta: Seleccione primero el responsable")</f>
        <v>Alerta: Seleccione primero el responsable</v>
      </c>
      <c r="AJ566" s="640" t="str">
        <f>IFERROR(VLOOKUP(AH566,Listas!$A$77:$C$83,3,FALSE),"Alerta: Seleccione primero el responsable")</f>
        <v>Alerta: Seleccione primero el responsable</v>
      </c>
      <c r="AK566" s="640" t="str">
        <f>IF(J566="Funcionamiento Gastos Generales","No aplica",IF(J566="Funcionamiento Servicios Personales indirectos","No aplica",IFERROR(VLOOKUP(J566,Listas!$A$127:$E$139,3,FALSE),"Alerta: Seleccione la celda en la comumna B con el nombre del proyecto")))</f>
        <v>Alerta: Seleccione la celda en la comumna B con el nombre del proyecto</v>
      </c>
      <c r="AL566" s="640" t="str">
        <f>IF(J566="Funcionamiento Gastos Generales","No aplica",IF(J566="Funcionamiento Servicios Personales","No aplica",IFERROR(VLOOKUP(J566,Listas!$A$220:$D$224,2,FALSE),"Alerta: Seleccione la celda en la comumna B con el nombre del proyecto")))</f>
        <v>Alerta: Seleccione la celda en la comumna B con el nombre del proyecto</v>
      </c>
      <c r="AM566" s="640" t="str">
        <f>IF(J566="Funcionamiento Gastos Generales","No aplica",IF(J566="Funcionamiento Servicios Personales","No aplica",IFERROR(VLOOKUP(J566,Listas!$A$220:$D$224,3,FALSE),"Alerta: Seleccione la celda en la comumna B con el nombre del proyecto")))</f>
        <v>Alerta: Seleccione la celda en la comumna B con el nombre del proyecto</v>
      </c>
      <c r="AN566" s="633"/>
      <c r="AO566" s="633"/>
      <c r="AP566" s="634" t="str">
        <f>IFERROR(VLOOKUP(J566,Listas!$A$182:$E$215,5,FALSE),"Alerta: Seleccione la celda en la comumna B con el nombre del proyecto")</f>
        <v>Alerta: Seleccione la celda en la comumna B con el nombre del proyecto</v>
      </c>
      <c r="AQ566" s="634" t="str">
        <f>IF(J566="Funcionamiento Gastos Generales","No aplica",IF(J566="Funcionamiento Servicios Personales","No aplica",IFERROR(VLOOKUP(J566,Listas!$A$220:$D$224,4,FALSE),"Alerta: Seleccione la celda en la comumna B con el nombre del proyecto")))</f>
        <v>Alerta: Seleccione la celda en la comumna B con el nombre del proyecto</v>
      </c>
      <c r="AR566" s="633"/>
      <c r="AS566" s="634" t="str">
        <f>IFERROR(VLOOKUP(AU566,Listas!$E$85:$L$105,7,FALSE),"Alerta: Seleccione la celda en la comumna AI con el concepto de gasto")</f>
        <v>Alerta: Seleccione la celda en la comumna AI con el concepto de gasto</v>
      </c>
      <c r="AT566" s="634" t="str">
        <f>IFERROR(VLOOKUP(AU566,Listas!$E$85:$L$105,8,FALSE),"Alerta: Seleccione la celda en la comumna AI con el concepto de gasto")</f>
        <v>Alerta: Seleccione la celda en la comumna AI con el concepto de gasto</v>
      </c>
      <c r="AU566" s="633"/>
      <c r="AV566" s="634" t="str">
        <f>IFERROR(VLOOKUP(AU566,Listas!$E$85:$F$105,2,FALSE),"Alerta: Seleccione el Concepto de Gasto primero")</f>
        <v>Alerta: Seleccione el Concepto de Gasto primero</v>
      </c>
      <c r="AW566" s="644"/>
      <c r="AX566" s="645"/>
      <c r="AY566" s="645"/>
      <c r="AZ566" s="645"/>
      <c r="BA566" s="646">
        <f t="shared" si="180"/>
        <v>0</v>
      </c>
      <c r="BB566" s="647"/>
      <c r="BC566" s="648"/>
      <c r="BD566" s="649"/>
      <c r="BE566" s="647"/>
      <c r="BF566" s="644"/>
      <c r="BG566" s="646">
        <f t="shared" si="181"/>
        <v>0</v>
      </c>
      <c r="BH566" s="650"/>
      <c r="BI566" s="647"/>
      <c r="BJ566" s="644"/>
      <c r="BK566" s="646">
        <f t="shared" si="182"/>
        <v>0</v>
      </c>
      <c r="BL566" s="651"/>
      <c r="BM566" s="652">
        <f t="shared" si="183"/>
        <v>1</v>
      </c>
      <c r="BN566" s="628"/>
      <c r="BO566" s="670"/>
      <c r="BP566" s="644"/>
      <c r="BQ566" s="644"/>
      <c r="BR566" s="644"/>
      <c r="BS566" s="644"/>
      <c r="BT566" s="644"/>
      <c r="BU566" s="644"/>
      <c r="BV566" s="644"/>
      <c r="BW566" s="644"/>
      <c r="BX566" s="644"/>
      <c r="BY566" s="644"/>
      <c r="BZ566" s="644"/>
      <c r="CA566" s="644"/>
      <c r="CB566" s="646">
        <f t="shared" si="184"/>
        <v>0</v>
      </c>
      <c r="CC566" s="646">
        <f t="shared" si="185"/>
        <v>0</v>
      </c>
      <c r="CD566" s="614"/>
      <c r="CG566" s="561" t="s">
        <v>589</v>
      </c>
    </row>
    <row r="567" spans="1:85" s="561" customFormat="1" ht="61.5" customHeight="1">
      <c r="A567" s="625" t="str">
        <f t="shared" si="167"/>
        <v>proyecto-Alerta: Seleccione la celda en la comumna B con el nombre del proyecto-Al-Al--</v>
      </c>
      <c r="B567" s="626" t="str">
        <f t="shared" si="168"/>
        <v>proyecto-Alerta: Seleccione la celda en la comumna B con el nombre del proyecto-Al-Al-</v>
      </c>
      <c r="C567" s="626" t="str">
        <f t="shared" si="169"/>
        <v>proyecto-Alerta: Seleccione la celda en la comumna B con el nombre del proyecto-</v>
      </c>
      <c r="D567" s="626" t="str">
        <f t="shared" si="170"/>
        <v>proyecto--Al-Al-</v>
      </c>
      <c r="E567" s="626" t="str">
        <f t="shared" si="171"/>
        <v>--</v>
      </c>
      <c r="F567" s="627"/>
      <c r="G567" s="628">
        <f t="shared" si="172"/>
        <v>0</v>
      </c>
      <c r="H567" s="629" t="b">
        <f t="shared" si="173"/>
        <v>1</v>
      </c>
      <c r="I567" s="630"/>
      <c r="J567" s="627"/>
      <c r="K567" s="631" t="str">
        <f>+IFERROR(VLOOKUP(J567,Listas!$A$108:$B$114,2,FALSE),"Alerta: Seleccione la celda en la comumna B con el nombre del proyecto")</f>
        <v>Alerta: Seleccione la celda en la comumna B con el nombre del proyecto</v>
      </c>
      <c r="L567" s="632"/>
      <c r="M567" s="633"/>
      <c r="N567" s="634" t="str">
        <f t="shared" si="174"/>
        <v xml:space="preserve">(Cód. ) </v>
      </c>
      <c r="O567" s="635"/>
      <c r="P567" s="636">
        <f>IFERROR(VLOOKUP(W567,'Estimación CRP'!$D$21:$E$30,2,FALSE),0)</f>
        <v>0</v>
      </c>
      <c r="Q567" s="637">
        <f>IF(O567="No aplica","No aplica",WORKDAY.INTL(O567,P567,1,'Estimación CRP'!A753:A769))</f>
        <v>0</v>
      </c>
      <c r="R567" s="636">
        <f t="shared" si="175"/>
        <v>1</v>
      </c>
      <c r="S567" s="636">
        <f t="shared" si="176"/>
        <v>1</v>
      </c>
      <c r="T567" s="636">
        <f t="shared" si="177"/>
        <v>1</v>
      </c>
      <c r="U567" s="638"/>
      <c r="V567" s="638"/>
      <c r="W567" s="639"/>
      <c r="X567" s="640" t="str">
        <f>IFERROR(VLOOKUP(W567,Listas!$A$60:$B$73,2,FALSE),"Alerta: Seleccione primero Modalidad de selección")</f>
        <v>Alerta: Seleccione primero Modalidad de selección</v>
      </c>
      <c r="Y567" s="641">
        <v>0</v>
      </c>
      <c r="Z567" s="641"/>
      <c r="AA567" s="641"/>
      <c r="AB567" s="642">
        <f t="shared" si="178"/>
        <v>0</v>
      </c>
      <c r="AC567" s="642">
        <f t="shared" si="179"/>
        <v>0</v>
      </c>
      <c r="AD567" s="641">
        <v>0</v>
      </c>
      <c r="AE567" s="643">
        <v>0</v>
      </c>
      <c r="AF567" s="639" t="s">
        <v>276</v>
      </c>
      <c r="AG567" s="639" t="s">
        <v>277</v>
      </c>
      <c r="AH567" s="639"/>
      <c r="AI567" s="626" t="str">
        <f>IFERROR(VLOOKUP(AH567,Listas!$A$77:$C$83,2,FALSE),"Alerta: Seleccione primero el responsable")</f>
        <v>Alerta: Seleccione primero el responsable</v>
      </c>
      <c r="AJ567" s="640" t="str">
        <f>IFERROR(VLOOKUP(AH567,Listas!$A$77:$C$83,3,FALSE),"Alerta: Seleccione primero el responsable")</f>
        <v>Alerta: Seleccione primero el responsable</v>
      </c>
      <c r="AK567" s="640" t="str">
        <f>IF(J567="Funcionamiento Gastos Generales","No aplica",IF(J567="Funcionamiento Servicios Personales indirectos","No aplica",IFERROR(VLOOKUP(J567,Listas!$A$127:$E$139,3,FALSE),"Alerta: Seleccione la celda en la comumna B con el nombre del proyecto")))</f>
        <v>Alerta: Seleccione la celda en la comumna B con el nombre del proyecto</v>
      </c>
      <c r="AL567" s="640" t="str">
        <f>IF(J567="Funcionamiento Gastos Generales","No aplica",IF(J567="Funcionamiento Servicios Personales","No aplica",IFERROR(VLOOKUP(J567,Listas!$A$220:$D$224,2,FALSE),"Alerta: Seleccione la celda en la comumna B con el nombre del proyecto")))</f>
        <v>Alerta: Seleccione la celda en la comumna B con el nombre del proyecto</v>
      </c>
      <c r="AM567" s="640" t="str">
        <f>IF(J567="Funcionamiento Gastos Generales","No aplica",IF(J567="Funcionamiento Servicios Personales","No aplica",IFERROR(VLOOKUP(J567,Listas!$A$220:$D$224,3,FALSE),"Alerta: Seleccione la celda en la comumna B con el nombre del proyecto")))</f>
        <v>Alerta: Seleccione la celda en la comumna B con el nombre del proyecto</v>
      </c>
      <c r="AN567" s="633"/>
      <c r="AO567" s="633"/>
      <c r="AP567" s="634" t="str">
        <f>IFERROR(VLOOKUP(J567,Listas!$A$182:$E$215,5,FALSE),"Alerta: Seleccione la celda en la comumna B con el nombre del proyecto")</f>
        <v>Alerta: Seleccione la celda en la comumna B con el nombre del proyecto</v>
      </c>
      <c r="AQ567" s="634" t="str">
        <f>IF(J567="Funcionamiento Gastos Generales","No aplica",IF(J567="Funcionamiento Servicios Personales","No aplica",IFERROR(VLOOKUP(J567,Listas!$A$220:$D$224,4,FALSE),"Alerta: Seleccione la celda en la comumna B con el nombre del proyecto")))</f>
        <v>Alerta: Seleccione la celda en la comumna B con el nombre del proyecto</v>
      </c>
      <c r="AR567" s="633"/>
      <c r="AS567" s="634" t="str">
        <f>IFERROR(VLOOKUP(AU567,Listas!$E$85:$L$105,7,FALSE),"Alerta: Seleccione la celda en la comumna AI con el concepto de gasto")</f>
        <v>Alerta: Seleccione la celda en la comumna AI con el concepto de gasto</v>
      </c>
      <c r="AT567" s="634" t="str">
        <f>IFERROR(VLOOKUP(AU567,Listas!$E$85:$L$105,8,FALSE),"Alerta: Seleccione la celda en la comumna AI con el concepto de gasto")</f>
        <v>Alerta: Seleccione la celda en la comumna AI con el concepto de gasto</v>
      </c>
      <c r="AU567" s="633"/>
      <c r="AV567" s="634" t="str">
        <f>IFERROR(VLOOKUP(AU567,Listas!$E$85:$F$105,2,FALSE),"Alerta: Seleccione el Concepto de Gasto primero")</f>
        <v>Alerta: Seleccione el Concepto de Gasto primero</v>
      </c>
      <c r="AW567" s="644"/>
      <c r="AX567" s="645"/>
      <c r="AY567" s="645"/>
      <c r="AZ567" s="645"/>
      <c r="BA567" s="646">
        <f t="shared" si="180"/>
        <v>0</v>
      </c>
      <c r="BB567" s="647"/>
      <c r="BC567" s="648"/>
      <c r="BD567" s="649"/>
      <c r="BE567" s="647"/>
      <c r="BF567" s="644"/>
      <c r="BG567" s="646">
        <f t="shared" si="181"/>
        <v>0</v>
      </c>
      <c r="BH567" s="650"/>
      <c r="BI567" s="647"/>
      <c r="BJ567" s="644"/>
      <c r="BK567" s="646">
        <f t="shared" si="182"/>
        <v>0</v>
      </c>
      <c r="BL567" s="651"/>
      <c r="BM567" s="652">
        <f t="shared" si="183"/>
        <v>1</v>
      </c>
      <c r="BN567" s="628"/>
      <c r="BO567" s="670"/>
      <c r="BP567" s="644"/>
      <c r="BQ567" s="644"/>
      <c r="BR567" s="644"/>
      <c r="BS567" s="644"/>
      <c r="BT567" s="644"/>
      <c r="BU567" s="644"/>
      <c r="BV567" s="644"/>
      <c r="BW567" s="644"/>
      <c r="BX567" s="644"/>
      <c r="BY567" s="644"/>
      <c r="BZ567" s="644"/>
      <c r="CA567" s="644"/>
      <c r="CB567" s="646">
        <f t="shared" si="184"/>
        <v>0</v>
      </c>
      <c r="CC567" s="646">
        <f t="shared" si="185"/>
        <v>0</v>
      </c>
      <c r="CD567" s="614"/>
    </row>
    <row r="568" spans="1:85" s="561" customFormat="1" ht="61.5" customHeight="1">
      <c r="A568" s="625" t="str">
        <f t="shared" si="167"/>
        <v>proyecto-Alerta: Seleccione la celda en la comumna B con el nombre del proyecto-Al-Al--</v>
      </c>
      <c r="B568" s="626" t="str">
        <f t="shared" si="168"/>
        <v>proyecto-Alerta: Seleccione la celda en la comumna B con el nombre del proyecto-Al-Al-</v>
      </c>
      <c r="C568" s="626" t="str">
        <f t="shared" si="169"/>
        <v>proyecto-Alerta: Seleccione la celda en la comumna B con el nombre del proyecto-</v>
      </c>
      <c r="D568" s="626" t="str">
        <f t="shared" si="170"/>
        <v>proyecto--Al-Al-</v>
      </c>
      <c r="E568" s="626" t="str">
        <f t="shared" si="171"/>
        <v>--</v>
      </c>
      <c r="F568" s="627"/>
      <c r="G568" s="628">
        <f t="shared" si="172"/>
        <v>0</v>
      </c>
      <c r="H568" s="629" t="b">
        <f t="shared" si="173"/>
        <v>1</v>
      </c>
      <c r="I568" s="630"/>
      <c r="J568" s="627"/>
      <c r="K568" s="631" t="str">
        <f>+IFERROR(VLOOKUP(J568,Listas!$A$108:$B$114,2,FALSE),"Alerta: Seleccione la celda en la comumna B con el nombre del proyecto")</f>
        <v>Alerta: Seleccione la celda en la comumna B con el nombre del proyecto</v>
      </c>
      <c r="L568" s="632"/>
      <c r="M568" s="633"/>
      <c r="N568" s="634" t="str">
        <f t="shared" si="174"/>
        <v xml:space="preserve">(Cód. ) </v>
      </c>
      <c r="O568" s="635"/>
      <c r="P568" s="636">
        <f>IFERROR(VLOOKUP(W568,'Estimación CRP'!$D$21:$E$30,2,FALSE),0)</f>
        <v>0</v>
      </c>
      <c r="Q568" s="637">
        <f>IF(O568="No aplica","No aplica",WORKDAY.INTL(O568,P568,1,'Estimación CRP'!A754:A770))</f>
        <v>0</v>
      </c>
      <c r="R568" s="636">
        <f t="shared" si="175"/>
        <v>1</v>
      </c>
      <c r="S568" s="636">
        <f t="shared" si="176"/>
        <v>1</v>
      </c>
      <c r="T568" s="636">
        <f t="shared" si="177"/>
        <v>1</v>
      </c>
      <c r="U568" s="638"/>
      <c r="V568" s="638"/>
      <c r="W568" s="639"/>
      <c r="X568" s="640" t="str">
        <f>IFERROR(VLOOKUP(W568,Listas!$A$60:$B$73,2,FALSE),"Alerta: Seleccione primero Modalidad de selección")</f>
        <v>Alerta: Seleccione primero Modalidad de selección</v>
      </c>
      <c r="Y568" s="641">
        <v>0</v>
      </c>
      <c r="Z568" s="641"/>
      <c r="AA568" s="641"/>
      <c r="AB568" s="642">
        <f t="shared" si="178"/>
        <v>0</v>
      </c>
      <c r="AC568" s="642">
        <f t="shared" si="179"/>
        <v>0</v>
      </c>
      <c r="AD568" s="641">
        <v>0</v>
      </c>
      <c r="AE568" s="643">
        <v>0</v>
      </c>
      <c r="AF568" s="639" t="s">
        <v>276</v>
      </c>
      <c r="AG568" s="639" t="s">
        <v>277</v>
      </c>
      <c r="AH568" s="639"/>
      <c r="AI568" s="626" t="str">
        <f>IFERROR(VLOOKUP(AH568,Listas!$A$77:$C$83,2,FALSE),"Alerta: Seleccione primero el responsable")</f>
        <v>Alerta: Seleccione primero el responsable</v>
      </c>
      <c r="AJ568" s="640" t="str">
        <f>IFERROR(VLOOKUP(AH568,Listas!$A$77:$C$83,3,FALSE),"Alerta: Seleccione primero el responsable")</f>
        <v>Alerta: Seleccione primero el responsable</v>
      </c>
      <c r="AK568" s="640" t="str">
        <f>IF(J568="Funcionamiento Gastos Generales","No aplica",IF(J568="Funcionamiento Servicios Personales indirectos","No aplica",IFERROR(VLOOKUP(J568,Listas!$A$127:$E$139,3,FALSE),"Alerta: Seleccione la celda en la comumna B con el nombre del proyecto")))</f>
        <v>Alerta: Seleccione la celda en la comumna B con el nombre del proyecto</v>
      </c>
      <c r="AL568" s="640" t="str">
        <f>IF(J568="Funcionamiento Gastos Generales","No aplica",IF(J568="Funcionamiento Servicios Personales","No aplica",IFERROR(VLOOKUP(J568,Listas!$A$220:$D$224,2,FALSE),"Alerta: Seleccione la celda en la comumna B con el nombre del proyecto")))</f>
        <v>Alerta: Seleccione la celda en la comumna B con el nombre del proyecto</v>
      </c>
      <c r="AM568" s="640" t="str">
        <f>IF(J568="Funcionamiento Gastos Generales","No aplica",IF(J568="Funcionamiento Servicios Personales","No aplica",IFERROR(VLOOKUP(J568,Listas!$A$220:$D$224,3,FALSE),"Alerta: Seleccione la celda en la comumna B con el nombre del proyecto")))</f>
        <v>Alerta: Seleccione la celda en la comumna B con el nombre del proyecto</v>
      </c>
      <c r="AN568" s="633"/>
      <c r="AO568" s="633"/>
      <c r="AP568" s="634" t="str">
        <f>IFERROR(VLOOKUP(J568,Listas!$A$182:$E$215,5,FALSE),"Alerta: Seleccione la celda en la comumna B con el nombre del proyecto")</f>
        <v>Alerta: Seleccione la celda en la comumna B con el nombre del proyecto</v>
      </c>
      <c r="AQ568" s="634" t="str">
        <f>IF(J568="Funcionamiento Gastos Generales","No aplica",IF(J568="Funcionamiento Servicios Personales","No aplica",IFERROR(VLOOKUP(J568,Listas!$A$220:$D$224,4,FALSE),"Alerta: Seleccione la celda en la comumna B con el nombre del proyecto")))</f>
        <v>Alerta: Seleccione la celda en la comumna B con el nombre del proyecto</v>
      </c>
      <c r="AR568" s="633"/>
      <c r="AS568" s="634" t="str">
        <f>IFERROR(VLOOKUP(AU568,Listas!$E$85:$L$105,7,FALSE),"Alerta: Seleccione la celda en la comumna AI con el concepto de gasto")</f>
        <v>Alerta: Seleccione la celda en la comumna AI con el concepto de gasto</v>
      </c>
      <c r="AT568" s="634" t="str">
        <f>IFERROR(VLOOKUP(AU568,Listas!$E$85:$L$105,8,FALSE),"Alerta: Seleccione la celda en la comumna AI con el concepto de gasto")</f>
        <v>Alerta: Seleccione la celda en la comumna AI con el concepto de gasto</v>
      </c>
      <c r="AU568" s="633"/>
      <c r="AV568" s="634" t="str">
        <f>IFERROR(VLOOKUP(AU568,Listas!$E$85:$F$105,2,FALSE),"Alerta: Seleccione el Concepto de Gasto primero")</f>
        <v>Alerta: Seleccione el Concepto de Gasto primero</v>
      </c>
      <c r="AW568" s="644"/>
      <c r="AX568" s="645"/>
      <c r="AY568" s="645"/>
      <c r="AZ568" s="645"/>
      <c r="BA568" s="646">
        <f t="shared" si="180"/>
        <v>0</v>
      </c>
      <c r="BB568" s="647"/>
      <c r="BC568" s="648"/>
      <c r="BD568" s="649"/>
      <c r="BE568" s="647"/>
      <c r="BF568" s="644"/>
      <c r="BG568" s="646">
        <f t="shared" si="181"/>
        <v>0</v>
      </c>
      <c r="BH568" s="650"/>
      <c r="BI568" s="647"/>
      <c r="BJ568" s="644"/>
      <c r="BK568" s="646">
        <f t="shared" si="182"/>
        <v>0</v>
      </c>
      <c r="BL568" s="651"/>
      <c r="BM568" s="652">
        <f t="shared" si="183"/>
        <v>1</v>
      </c>
      <c r="BN568" s="628"/>
      <c r="BO568" s="670"/>
      <c r="BP568" s="644"/>
      <c r="BQ568" s="644"/>
      <c r="BR568" s="644"/>
      <c r="BS568" s="644"/>
      <c r="BT568" s="644"/>
      <c r="BU568" s="644"/>
      <c r="BV568" s="644"/>
      <c r="BW568" s="644"/>
      <c r="BX568" s="644"/>
      <c r="BY568" s="644"/>
      <c r="BZ568" s="644"/>
      <c r="CA568" s="644"/>
      <c r="CB568" s="646">
        <f t="shared" si="184"/>
        <v>0</v>
      </c>
      <c r="CC568" s="646">
        <f t="shared" si="185"/>
        <v>0</v>
      </c>
      <c r="CD568" s="614"/>
    </row>
    <row r="569" spans="1:85" s="561" customFormat="1" ht="61.5" customHeight="1">
      <c r="A569" s="625" t="str">
        <f t="shared" si="167"/>
        <v>proyecto-Alerta: Seleccione la celda en la comumna B con el nombre del proyecto-Al-Al--</v>
      </c>
      <c r="B569" s="626" t="str">
        <f t="shared" si="168"/>
        <v>proyecto-Alerta: Seleccione la celda en la comumna B con el nombre del proyecto-Al-Al-</v>
      </c>
      <c r="C569" s="626" t="str">
        <f t="shared" si="169"/>
        <v>proyecto-Alerta: Seleccione la celda en la comumna B con el nombre del proyecto-</v>
      </c>
      <c r="D569" s="626" t="str">
        <f t="shared" si="170"/>
        <v>proyecto--Al-Al-</v>
      </c>
      <c r="E569" s="626" t="str">
        <f t="shared" si="171"/>
        <v>--</v>
      </c>
      <c r="F569" s="627"/>
      <c r="G569" s="628">
        <f t="shared" si="172"/>
        <v>0</v>
      </c>
      <c r="H569" s="629" t="b">
        <f t="shared" si="173"/>
        <v>1</v>
      </c>
      <c r="I569" s="630"/>
      <c r="J569" s="627"/>
      <c r="K569" s="631" t="str">
        <f>+IFERROR(VLOOKUP(J569,Listas!$A$108:$B$114,2,FALSE),"Alerta: Seleccione la celda en la comumna B con el nombre del proyecto")</f>
        <v>Alerta: Seleccione la celda en la comumna B con el nombre del proyecto</v>
      </c>
      <c r="L569" s="632"/>
      <c r="M569" s="633"/>
      <c r="N569" s="634" t="str">
        <f t="shared" si="174"/>
        <v xml:space="preserve">(Cód. ) </v>
      </c>
      <c r="O569" s="635"/>
      <c r="P569" s="636">
        <f>IFERROR(VLOOKUP(W569,'Estimación CRP'!$D$21:$E$30,2,FALSE),0)</f>
        <v>0</v>
      </c>
      <c r="Q569" s="637">
        <f>IF(O569="No aplica","No aplica",WORKDAY.INTL(O569,P569,1,'Estimación CRP'!A755:A771))</f>
        <v>0</v>
      </c>
      <c r="R569" s="636">
        <f t="shared" si="175"/>
        <v>1</v>
      </c>
      <c r="S569" s="636">
        <f t="shared" si="176"/>
        <v>1</v>
      </c>
      <c r="T569" s="636">
        <f t="shared" si="177"/>
        <v>1</v>
      </c>
      <c r="U569" s="638"/>
      <c r="V569" s="638"/>
      <c r="W569" s="639"/>
      <c r="X569" s="640" t="str">
        <f>IFERROR(VLOOKUP(W569,Listas!$A$60:$B$73,2,FALSE),"Alerta: Seleccione primero Modalidad de selección")</f>
        <v>Alerta: Seleccione primero Modalidad de selección</v>
      </c>
      <c r="Y569" s="641">
        <v>0</v>
      </c>
      <c r="Z569" s="641"/>
      <c r="AA569" s="641"/>
      <c r="AB569" s="642">
        <f t="shared" si="178"/>
        <v>0</v>
      </c>
      <c r="AC569" s="642">
        <f t="shared" si="179"/>
        <v>0</v>
      </c>
      <c r="AD569" s="641">
        <v>0</v>
      </c>
      <c r="AE569" s="643">
        <v>0</v>
      </c>
      <c r="AF569" s="639" t="s">
        <v>276</v>
      </c>
      <c r="AG569" s="639" t="s">
        <v>277</v>
      </c>
      <c r="AH569" s="639"/>
      <c r="AI569" s="626" t="str">
        <f>IFERROR(VLOOKUP(AH569,Listas!$A$77:$C$83,2,FALSE),"Alerta: Seleccione primero el responsable")</f>
        <v>Alerta: Seleccione primero el responsable</v>
      </c>
      <c r="AJ569" s="640" t="str">
        <f>IFERROR(VLOOKUP(AH569,Listas!$A$77:$C$83,3,FALSE),"Alerta: Seleccione primero el responsable")</f>
        <v>Alerta: Seleccione primero el responsable</v>
      </c>
      <c r="AK569" s="640" t="str">
        <f>IF(J569="Funcionamiento Gastos Generales","No aplica",IF(J569="Funcionamiento Servicios Personales indirectos","No aplica",IFERROR(VLOOKUP(J569,Listas!$A$127:$E$139,3,FALSE),"Alerta: Seleccione la celda en la comumna B con el nombre del proyecto")))</f>
        <v>Alerta: Seleccione la celda en la comumna B con el nombre del proyecto</v>
      </c>
      <c r="AL569" s="640" t="str">
        <f>IF(J569="Funcionamiento Gastos Generales","No aplica",IF(J569="Funcionamiento Servicios Personales","No aplica",IFERROR(VLOOKUP(J569,Listas!$A$220:$D$224,2,FALSE),"Alerta: Seleccione la celda en la comumna B con el nombre del proyecto")))</f>
        <v>Alerta: Seleccione la celda en la comumna B con el nombre del proyecto</v>
      </c>
      <c r="AM569" s="640" t="str">
        <f>IF(J569="Funcionamiento Gastos Generales","No aplica",IF(J569="Funcionamiento Servicios Personales","No aplica",IFERROR(VLOOKUP(J569,Listas!$A$220:$D$224,3,FALSE),"Alerta: Seleccione la celda en la comumna B con el nombre del proyecto")))</f>
        <v>Alerta: Seleccione la celda en la comumna B con el nombre del proyecto</v>
      </c>
      <c r="AN569" s="633"/>
      <c r="AO569" s="633"/>
      <c r="AP569" s="634" t="str">
        <f>IFERROR(VLOOKUP(J569,Listas!$A$182:$E$215,5,FALSE),"Alerta: Seleccione la celda en la comumna B con el nombre del proyecto")</f>
        <v>Alerta: Seleccione la celda en la comumna B con el nombre del proyecto</v>
      </c>
      <c r="AQ569" s="634" t="str">
        <f>IF(J569="Funcionamiento Gastos Generales","No aplica",IF(J569="Funcionamiento Servicios Personales","No aplica",IFERROR(VLOOKUP(J569,Listas!$A$220:$D$224,4,FALSE),"Alerta: Seleccione la celda en la comumna B con el nombre del proyecto")))</f>
        <v>Alerta: Seleccione la celda en la comumna B con el nombre del proyecto</v>
      </c>
      <c r="AR569" s="633"/>
      <c r="AS569" s="634" t="str">
        <f>IFERROR(VLOOKUP(AU569,Listas!$E$85:$L$105,7,FALSE),"Alerta: Seleccione la celda en la comumna AI con el concepto de gasto")</f>
        <v>Alerta: Seleccione la celda en la comumna AI con el concepto de gasto</v>
      </c>
      <c r="AT569" s="634" t="str">
        <f>IFERROR(VLOOKUP(AU569,Listas!$E$85:$L$105,8,FALSE),"Alerta: Seleccione la celda en la comumna AI con el concepto de gasto")</f>
        <v>Alerta: Seleccione la celda en la comumna AI con el concepto de gasto</v>
      </c>
      <c r="AU569" s="633"/>
      <c r="AV569" s="634" t="str">
        <f>IFERROR(VLOOKUP(AU569,Listas!$E$85:$F$105,2,FALSE),"Alerta: Seleccione el Concepto de Gasto primero")</f>
        <v>Alerta: Seleccione el Concepto de Gasto primero</v>
      </c>
      <c r="AW569" s="644"/>
      <c r="AX569" s="645"/>
      <c r="AY569" s="645"/>
      <c r="AZ569" s="645"/>
      <c r="BA569" s="646">
        <f t="shared" si="180"/>
        <v>0</v>
      </c>
      <c r="BB569" s="647"/>
      <c r="BC569" s="648"/>
      <c r="BD569" s="649"/>
      <c r="BE569" s="647"/>
      <c r="BF569" s="644"/>
      <c r="BG569" s="646">
        <f t="shared" si="181"/>
        <v>0</v>
      </c>
      <c r="BH569" s="650"/>
      <c r="BI569" s="647"/>
      <c r="BJ569" s="644"/>
      <c r="BK569" s="646">
        <f t="shared" si="182"/>
        <v>0</v>
      </c>
      <c r="BL569" s="651"/>
      <c r="BM569" s="652">
        <f t="shared" si="183"/>
        <v>1</v>
      </c>
      <c r="BN569" s="628"/>
      <c r="BO569" s="670"/>
      <c r="BP569" s="644"/>
      <c r="BQ569" s="644"/>
      <c r="BR569" s="644"/>
      <c r="BS569" s="644"/>
      <c r="BT569" s="644"/>
      <c r="BU569" s="644"/>
      <c r="BV569" s="644"/>
      <c r="BW569" s="644"/>
      <c r="BX569" s="644"/>
      <c r="BY569" s="644"/>
      <c r="BZ569" s="644"/>
      <c r="CA569" s="644"/>
      <c r="CB569" s="646">
        <f t="shared" si="184"/>
        <v>0</v>
      </c>
      <c r="CC569" s="646">
        <f t="shared" si="185"/>
        <v>0</v>
      </c>
      <c r="CD569" s="614"/>
    </row>
    <row r="570" spans="1:85" s="561" customFormat="1" ht="61.5" customHeight="1">
      <c r="A570" s="625" t="str">
        <f t="shared" si="167"/>
        <v>proyecto-Alerta: Seleccione la celda en la comumna B con el nombre del proyecto-Al-Al--</v>
      </c>
      <c r="B570" s="626" t="str">
        <f t="shared" si="168"/>
        <v>proyecto-Alerta: Seleccione la celda en la comumna B con el nombre del proyecto-Al-Al-</v>
      </c>
      <c r="C570" s="626" t="str">
        <f t="shared" si="169"/>
        <v>proyecto-Alerta: Seleccione la celda en la comumna B con el nombre del proyecto-</v>
      </c>
      <c r="D570" s="626" t="str">
        <f t="shared" si="170"/>
        <v>proyecto--Al-Al-</v>
      </c>
      <c r="E570" s="626" t="str">
        <f t="shared" si="171"/>
        <v>--</v>
      </c>
      <c r="F570" s="627"/>
      <c r="G570" s="628">
        <f t="shared" si="172"/>
        <v>0</v>
      </c>
      <c r="H570" s="629" t="b">
        <f t="shared" si="173"/>
        <v>1</v>
      </c>
      <c r="I570" s="630"/>
      <c r="J570" s="627"/>
      <c r="K570" s="631" t="str">
        <f>+IFERROR(VLOOKUP(J570,Listas!$A$108:$B$114,2,FALSE),"Alerta: Seleccione la celda en la comumna B con el nombre del proyecto")</f>
        <v>Alerta: Seleccione la celda en la comumna B con el nombre del proyecto</v>
      </c>
      <c r="L570" s="632"/>
      <c r="M570" s="633"/>
      <c r="N570" s="634" t="str">
        <f t="shared" si="174"/>
        <v xml:space="preserve">(Cód. ) </v>
      </c>
      <c r="O570" s="635"/>
      <c r="P570" s="636">
        <f>IFERROR(VLOOKUP(W570,'Estimación CRP'!$D$21:$E$30,2,FALSE),0)</f>
        <v>0</v>
      </c>
      <c r="Q570" s="637">
        <f>IF(O570="No aplica","No aplica",WORKDAY.INTL(O570,P570,1,'Estimación CRP'!A756:A772))</f>
        <v>0</v>
      </c>
      <c r="R570" s="636">
        <f t="shared" si="175"/>
        <v>1</v>
      </c>
      <c r="S570" s="636">
        <f t="shared" si="176"/>
        <v>1</v>
      </c>
      <c r="T570" s="636">
        <f t="shared" si="177"/>
        <v>1</v>
      </c>
      <c r="U570" s="638"/>
      <c r="V570" s="638"/>
      <c r="W570" s="639"/>
      <c r="X570" s="640" t="str">
        <f>IFERROR(VLOOKUP(W570,Listas!$A$60:$B$73,2,FALSE),"Alerta: Seleccione primero Modalidad de selección")</f>
        <v>Alerta: Seleccione primero Modalidad de selección</v>
      </c>
      <c r="Y570" s="641">
        <v>0</v>
      </c>
      <c r="Z570" s="641"/>
      <c r="AA570" s="641"/>
      <c r="AB570" s="642">
        <f t="shared" si="178"/>
        <v>0</v>
      </c>
      <c r="AC570" s="642">
        <f t="shared" si="179"/>
        <v>0</v>
      </c>
      <c r="AD570" s="641">
        <v>0</v>
      </c>
      <c r="AE570" s="643">
        <v>0</v>
      </c>
      <c r="AF570" s="639" t="s">
        <v>276</v>
      </c>
      <c r="AG570" s="639" t="s">
        <v>277</v>
      </c>
      <c r="AH570" s="639"/>
      <c r="AI570" s="626" t="str">
        <f>IFERROR(VLOOKUP(AH570,Listas!$A$77:$C$83,2,FALSE),"Alerta: Seleccione primero el responsable")</f>
        <v>Alerta: Seleccione primero el responsable</v>
      </c>
      <c r="AJ570" s="640" t="str">
        <f>IFERROR(VLOOKUP(AH570,Listas!$A$77:$C$83,3,FALSE),"Alerta: Seleccione primero el responsable")</f>
        <v>Alerta: Seleccione primero el responsable</v>
      </c>
      <c r="AK570" s="640" t="str">
        <f>IF(J570="Funcionamiento Gastos Generales","No aplica",IF(J570="Funcionamiento Servicios Personales indirectos","No aplica",IFERROR(VLOOKUP(J570,Listas!$A$127:$E$139,3,FALSE),"Alerta: Seleccione la celda en la comumna B con el nombre del proyecto")))</f>
        <v>Alerta: Seleccione la celda en la comumna B con el nombre del proyecto</v>
      </c>
      <c r="AL570" s="640" t="str">
        <f>IF(J570="Funcionamiento Gastos Generales","No aplica",IF(J570="Funcionamiento Servicios Personales","No aplica",IFERROR(VLOOKUP(J570,Listas!$A$220:$D$224,2,FALSE),"Alerta: Seleccione la celda en la comumna B con el nombre del proyecto")))</f>
        <v>Alerta: Seleccione la celda en la comumna B con el nombre del proyecto</v>
      </c>
      <c r="AM570" s="640" t="str">
        <f>IF(J570="Funcionamiento Gastos Generales","No aplica",IF(J570="Funcionamiento Servicios Personales","No aplica",IFERROR(VLOOKUP(J570,Listas!$A$220:$D$224,3,FALSE),"Alerta: Seleccione la celda en la comumna B con el nombre del proyecto")))</f>
        <v>Alerta: Seleccione la celda en la comumna B con el nombre del proyecto</v>
      </c>
      <c r="AN570" s="633"/>
      <c r="AO570" s="633"/>
      <c r="AP570" s="634" t="str">
        <f>IFERROR(VLOOKUP(J570,Listas!$A$182:$E$215,5,FALSE),"Alerta: Seleccione la celda en la comumna B con el nombre del proyecto")</f>
        <v>Alerta: Seleccione la celda en la comumna B con el nombre del proyecto</v>
      </c>
      <c r="AQ570" s="634" t="str">
        <f>IF(J570="Funcionamiento Gastos Generales","No aplica",IF(J570="Funcionamiento Servicios Personales","No aplica",IFERROR(VLOOKUP(J570,Listas!$A$220:$D$224,4,FALSE),"Alerta: Seleccione la celda en la comumna B con el nombre del proyecto")))</f>
        <v>Alerta: Seleccione la celda en la comumna B con el nombre del proyecto</v>
      </c>
      <c r="AR570" s="633"/>
      <c r="AS570" s="634" t="str">
        <f>IFERROR(VLOOKUP(AU570,Listas!$E$85:$L$105,7,FALSE),"Alerta: Seleccione la celda en la comumna AI con el concepto de gasto")</f>
        <v>Alerta: Seleccione la celda en la comumna AI con el concepto de gasto</v>
      </c>
      <c r="AT570" s="634" t="str">
        <f>IFERROR(VLOOKUP(AU570,Listas!$E$85:$L$105,8,FALSE),"Alerta: Seleccione la celda en la comumna AI con el concepto de gasto")</f>
        <v>Alerta: Seleccione la celda en la comumna AI con el concepto de gasto</v>
      </c>
      <c r="AU570" s="633"/>
      <c r="AV570" s="634" t="str">
        <f>IFERROR(VLOOKUP(AU570,Listas!$E$85:$F$105,2,FALSE),"Alerta: Seleccione el Concepto de Gasto primero")</f>
        <v>Alerta: Seleccione el Concepto de Gasto primero</v>
      </c>
      <c r="AW570" s="644"/>
      <c r="AX570" s="645"/>
      <c r="AY570" s="645"/>
      <c r="AZ570" s="645"/>
      <c r="BA570" s="646">
        <f t="shared" si="180"/>
        <v>0</v>
      </c>
      <c r="BB570" s="647"/>
      <c r="BC570" s="648"/>
      <c r="BD570" s="649"/>
      <c r="BE570" s="647"/>
      <c r="BF570" s="644"/>
      <c r="BG570" s="646">
        <f t="shared" si="181"/>
        <v>0</v>
      </c>
      <c r="BH570" s="650"/>
      <c r="BI570" s="647"/>
      <c r="BJ570" s="644"/>
      <c r="BK570" s="646">
        <f t="shared" si="182"/>
        <v>0</v>
      </c>
      <c r="BL570" s="651"/>
      <c r="BM570" s="652">
        <f t="shared" si="183"/>
        <v>1</v>
      </c>
      <c r="BN570" s="628"/>
      <c r="BO570" s="670"/>
      <c r="BP570" s="644"/>
      <c r="BQ570" s="644"/>
      <c r="BR570" s="644"/>
      <c r="BS570" s="644"/>
      <c r="BT570" s="644"/>
      <c r="BU570" s="644"/>
      <c r="BV570" s="644"/>
      <c r="BW570" s="644"/>
      <c r="BX570" s="644"/>
      <c r="BY570" s="644"/>
      <c r="BZ570" s="644"/>
      <c r="CA570" s="644"/>
      <c r="CB570" s="646">
        <f t="shared" si="184"/>
        <v>0</v>
      </c>
      <c r="CC570" s="646">
        <f t="shared" si="185"/>
        <v>0</v>
      </c>
      <c r="CD570" s="614"/>
    </row>
    <row r="571" spans="1:85" s="561" customFormat="1" ht="61.5" customHeight="1">
      <c r="A571" s="625" t="str">
        <f t="shared" si="167"/>
        <v>proyecto-Alerta: Seleccione la celda en la comumna B con el nombre del proyecto-Al-Al--</v>
      </c>
      <c r="B571" s="626" t="str">
        <f t="shared" si="168"/>
        <v>proyecto-Alerta: Seleccione la celda en la comumna B con el nombre del proyecto-Al-Al-</v>
      </c>
      <c r="C571" s="626" t="str">
        <f t="shared" si="169"/>
        <v>proyecto-Alerta: Seleccione la celda en la comumna B con el nombre del proyecto-</v>
      </c>
      <c r="D571" s="626" t="str">
        <f t="shared" si="170"/>
        <v>proyecto--Al-Al-</v>
      </c>
      <c r="E571" s="626" t="str">
        <f t="shared" si="171"/>
        <v>--</v>
      </c>
      <c r="F571" s="627"/>
      <c r="G571" s="628">
        <f t="shared" si="172"/>
        <v>0</v>
      </c>
      <c r="H571" s="629" t="b">
        <f t="shared" si="173"/>
        <v>1</v>
      </c>
      <c r="I571" s="630"/>
      <c r="J571" s="627"/>
      <c r="K571" s="631" t="str">
        <f>+IFERROR(VLOOKUP(J571,Listas!$A$108:$B$114,2,FALSE),"Alerta: Seleccione la celda en la comumna B con el nombre del proyecto")</f>
        <v>Alerta: Seleccione la celda en la comumna B con el nombre del proyecto</v>
      </c>
      <c r="L571" s="632"/>
      <c r="M571" s="633"/>
      <c r="N571" s="634" t="str">
        <f t="shared" si="174"/>
        <v xml:space="preserve">(Cód. ) </v>
      </c>
      <c r="O571" s="635"/>
      <c r="P571" s="636">
        <f>IFERROR(VLOOKUP(W571,'Estimación CRP'!$D$21:$E$30,2,FALSE),0)</f>
        <v>0</v>
      </c>
      <c r="Q571" s="637">
        <f>IF(O571="No aplica","No aplica",WORKDAY.INTL(O571,P571,1,'Estimación CRP'!A757:A773))</f>
        <v>0</v>
      </c>
      <c r="R571" s="636">
        <f t="shared" si="175"/>
        <v>1</v>
      </c>
      <c r="S571" s="636">
        <f t="shared" si="176"/>
        <v>1</v>
      </c>
      <c r="T571" s="636">
        <f t="shared" si="177"/>
        <v>1</v>
      </c>
      <c r="U571" s="638"/>
      <c r="V571" s="638"/>
      <c r="W571" s="639"/>
      <c r="X571" s="640" t="str">
        <f>IFERROR(VLOOKUP(W571,Listas!$A$60:$B$73,2,FALSE),"Alerta: Seleccione primero Modalidad de selección")</f>
        <v>Alerta: Seleccione primero Modalidad de selección</v>
      </c>
      <c r="Y571" s="641">
        <v>0</v>
      </c>
      <c r="Z571" s="641"/>
      <c r="AA571" s="641"/>
      <c r="AB571" s="642">
        <f t="shared" si="178"/>
        <v>0</v>
      </c>
      <c r="AC571" s="642">
        <f t="shared" si="179"/>
        <v>0</v>
      </c>
      <c r="AD571" s="641">
        <v>0</v>
      </c>
      <c r="AE571" s="643">
        <v>0</v>
      </c>
      <c r="AF571" s="639" t="s">
        <v>276</v>
      </c>
      <c r="AG571" s="639" t="s">
        <v>277</v>
      </c>
      <c r="AH571" s="639"/>
      <c r="AI571" s="626" t="str">
        <f>IFERROR(VLOOKUP(AH571,Listas!$A$77:$C$83,2,FALSE),"Alerta: Seleccione primero el responsable")</f>
        <v>Alerta: Seleccione primero el responsable</v>
      </c>
      <c r="AJ571" s="640" t="str">
        <f>IFERROR(VLOOKUP(AH571,Listas!$A$77:$C$83,3,FALSE),"Alerta: Seleccione primero el responsable")</f>
        <v>Alerta: Seleccione primero el responsable</v>
      </c>
      <c r="AK571" s="640" t="str">
        <f>IF(J571="Funcionamiento Gastos Generales","No aplica",IF(J571="Funcionamiento Servicios Personales indirectos","No aplica",IFERROR(VLOOKUP(J571,Listas!$A$127:$E$139,3,FALSE),"Alerta: Seleccione la celda en la comumna B con el nombre del proyecto")))</f>
        <v>Alerta: Seleccione la celda en la comumna B con el nombre del proyecto</v>
      </c>
      <c r="AL571" s="640" t="str">
        <f>IF(J571="Funcionamiento Gastos Generales","No aplica",IF(J571="Funcionamiento Servicios Personales","No aplica",IFERROR(VLOOKUP(J571,Listas!$A$220:$D$224,2,FALSE),"Alerta: Seleccione la celda en la comumna B con el nombre del proyecto")))</f>
        <v>Alerta: Seleccione la celda en la comumna B con el nombre del proyecto</v>
      </c>
      <c r="AM571" s="640" t="str">
        <f>IF(J571="Funcionamiento Gastos Generales","No aplica",IF(J571="Funcionamiento Servicios Personales","No aplica",IFERROR(VLOOKUP(J571,Listas!$A$220:$D$224,3,FALSE),"Alerta: Seleccione la celda en la comumna B con el nombre del proyecto")))</f>
        <v>Alerta: Seleccione la celda en la comumna B con el nombre del proyecto</v>
      </c>
      <c r="AN571" s="633"/>
      <c r="AO571" s="633"/>
      <c r="AP571" s="634" t="str">
        <f>IFERROR(VLOOKUP(J571,Listas!$A$182:$E$215,5,FALSE),"Alerta: Seleccione la celda en la comumna B con el nombre del proyecto")</f>
        <v>Alerta: Seleccione la celda en la comumna B con el nombre del proyecto</v>
      </c>
      <c r="AQ571" s="634" t="str">
        <f>IF(J571="Funcionamiento Gastos Generales","No aplica",IF(J571="Funcionamiento Servicios Personales","No aplica",IFERROR(VLOOKUP(J571,Listas!$A$220:$D$224,4,FALSE),"Alerta: Seleccione la celda en la comumna B con el nombre del proyecto")))</f>
        <v>Alerta: Seleccione la celda en la comumna B con el nombre del proyecto</v>
      </c>
      <c r="AR571" s="633"/>
      <c r="AS571" s="634" t="str">
        <f>IFERROR(VLOOKUP(AU571,Listas!$E$85:$L$105,7,FALSE),"Alerta: Seleccione la celda en la comumna AI con el concepto de gasto")</f>
        <v>Alerta: Seleccione la celda en la comumna AI con el concepto de gasto</v>
      </c>
      <c r="AT571" s="634" t="str">
        <f>IFERROR(VLOOKUP(AU571,Listas!$E$85:$L$105,8,FALSE),"Alerta: Seleccione la celda en la comumna AI con el concepto de gasto")</f>
        <v>Alerta: Seleccione la celda en la comumna AI con el concepto de gasto</v>
      </c>
      <c r="AU571" s="633"/>
      <c r="AV571" s="634" t="str">
        <f>IFERROR(VLOOKUP(AU571,Listas!$E$85:$F$105,2,FALSE),"Alerta: Seleccione el Concepto de Gasto primero")</f>
        <v>Alerta: Seleccione el Concepto de Gasto primero</v>
      </c>
      <c r="AW571" s="644"/>
      <c r="AX571" s="645"/>
      <c r="AY571" s="645"/>
      <c r="AZ571" s="645"/>
      <c r="BA571" s="646">
        <f t="shared" si="180"/>
        <v>0</v>
      </c>
      <c r="BB571" s="647"/>
      <c r="BC571" s="648"/>
      <c r="BD571" s="649"/>
      <c r="BE571" s="647"/>
      <c r="BF571" s="644"/>
      <c r="BG571" s="646">
        <f t="shared" si="181"/>
        <v>0</v>
      </c>
      <c r="BH571" s="650"/>
      <c r="BI571" s="647"/>
      <c r="BJ571" s="644"/>
      <c r="BK571" s="646">
        <f t="shared" si="182"/>
        <v>0</v>
      </c>
      <c r="BL571" s="651"/>
      <c r="BM571" s="652">
        <f t="shared" si="183"/>
        <v>1</v>
      </c>
      <c r="BN571" s="628"/>
      <c r="BO571" s="670"/>
      <c r="BP571" s="644"/>
      <c r="BQ571" s="644"/>
      <c r="BR571" s="644"/>
      <c r="BS571" s="644"/>
      <c r="BT571" s="644"/>
      <c r="BU571" s="644"/>
      <c r="BV571" s="644"/>
      <c r="BW571" s="644"/>
      <c r="BX571" s="644"/>
      <c r="BY571" s="644"/>
      <c r="BZ571" s="644"/>
      <c r="CA571" s="644"/>
      <c r="CB571" s="646">
        <f t="shared" si="184"/>
        <v>0</v>
      </c>
      <c r="CC571" s="646">
        <f t="shared" si="185"/>
        <v>0</v>
      </c>
      <c r="CD571" s="614"/>
    </row>
    <row r="572" spans="1:85" s="561" customFormat="1" ht="61.5" customHeight="1">
      <c r="A572" s="625" t="str">
        <f t="shared" si="167"/>
        <v>proyecto-Alerta: Seleccione la celda en la comumna B con el nombre del proyecto-Al-Al--</v>
      </c>
      <c r="B572" s="626" t="str">
        <f t="shared" si="168"/>
        <v>proyecto-Alerta: Seleccione la celda en la comumna B con el nombre del proyecto-Al-Al-</v>
      </c>
      <c r="C572" s="626" t="str">
        <f t="shared" si="169"/>
        <v>proyecto-Alerta: Seleccione la celda en la comumna B con el nombre del proyecto-</v>
      </c>
      <c r="D572" s="626" t="str">
        <f t="shared" si="170"/>
        <v>proyecto--Al-Al-</v>
      </c>
      <c r="E572" s="626" t="str">
        <f t="shared" si="171"/>
        <v>--</v>
      </c>
      <c r="F572" s="627"/>
      <c r="G572" s="628">
        <f t="shared" si="172"/>
        <v>0</v>
      </c>
      <c r="H572" s="629" t="b">
        <f t="shared" si="173"/>
        <v>1</v>
      </c>
      <c r="I572" s="630"/>
      <c r="J572" s="627"/>
      <c r="K572" s="631" t="str">
        <f>+IFERROR(VLOOKUP(J572,Listas!$A$108:$B$114,2,FALSE),"Alerta: Seleccione la celda en la comumna B con el nombre del proyecto")</f>
        <v>Alerta: Seleccione la celda en la comumna B con el nombre del proyecto</v>
      </c>
      <c r="L572" s="632"/>
      <c r="M572" s="633"/>
      <c r="N572" s="634" t="str">
        <f t="shared" si="174"/>
        <v xml:space="preserve">(Cód. ) </v>
      </c>
      <c r="O572" s="635"/>
      <c r="P572" s="636">
        <f>IFERROR(VLOOKUP(W572,'Estimación CRP'!$D$21:$E$30,2,FALSE),0)</f>
        <v>0</v>
      </c>
      <c r="Q572" s="637">
        <f>IF(O572="No aplica","No aplica",WORKDAY.INTL(O572,P572,1,'Estimación CRP'!A758:A774))</f>
        <v>0</v>
      </c>
      <c r="R572" s="636">
        <f t="shared" si="175"/>
        <v>1</v>
      </c>
      <c r="S572" s="636">
        <f t="shared" si="176"/>
        <v>1</v>
      </c>
      <c r="T572" s="636">
        <f t="shared" si="177"/>
        <v>1</v>
      </c>
      <c r="U572" s="638"/>
      <c r="V572" s="638"/>
      <c r="W572" s="639"/>
      <c r="X572" s="640" t="str">
        <f>IFERROR(VLOOKUP(W572,Listas!$A$60:$B$73,2,FALSE),"Alerta: Seleccione primero Modalidad de selección")</f>
        <v>Alerta: Seleccione primero Modalidad de selección</v>
      </c>
      <c r="Y572" s="641">
        <v>0</v>
      </c>
      <c r="Z572" s="641"/>
      <c r="AA572" s="641"/>
      <c r="AB572" s="642">
        <f t="shared" si="178"/>
        <v>0</v>
      </c>
      <c r="AC572" s="642">
        <f t="shared" si="179"/>
        <v>0</v>
      </c>
      <c r="AD572" s="641">
        <v>0</v>
      </c>
      <c r="AE572" s="643">
        <v>0</v>
      </c>
      <c r="AF572" s="639" t="s">
        <v>276</v>
      </c>
      <c r="AG572" s="639" t="s">
        <v>277</v>
      </c>
      <c r="AH572" s="639"/>
      <c r="AI572" s="626" t="str">
        <f>IFERROR(VLOOKUP(AH572,Listas!$A$77:$C$83,2,FALSE),"Alerta: Seleccione primero el responsable")</f>
        <v>Alerta: Seleccione primero el responsable</v>
      </c>
      <c r="AJ572" s="640" t="str">
        <f>IFERROR(VLOOKUP(AH572,Listas!$A$77:$C$83,3,FALSE),"Alerta: Seleccione primero el responsable")</f>
        <v>Alerta: Seleccione primero el responsable</v>
      </c>
      <c r="AK572" s="640" t="str">
        <f>IF(J572="Funcionamiento Gastos Generales","No aplica",IF(J572="Funcionamiento Servicios Personales indirectos","No aplica",IFERROR(VLOOKUP(J572,Listas!$A$127:$E$139,3,FALSE),"Alerta: Seleccione la celda en la comumna B con el nombre del proyecto")))</f>
        <v>Alerta: Seleccione la celda en la comumna B con el nombre del proyecto</v>
      </c>
      <c r="AL572" s="640" t="str">
        <f>IF(J572="Funcionamiento Gastos Generales","No aplica",IF(J572="Funcionamiento Servicios Personales","No aplica",IFERROR(VLOOKUP(J572,Listas!$A$220:$D$224,2,FALSE),"Alerta: Seleccione la celda en la comumna B con el nombre del proyecto")))</f>
        <v>Alerta: Seleccione la celda en la comumna B con el nombre del proyecto</v>
      </c>
      <c r="AM572" s="640" t="str">
        <f>IF(J572="Funcionamiento Gastos Generales","No aplica",IF(J572="Funcionamiento Servicios Personales","No aplica",IFERROR(VLOOKUP(J572,Listas!$A$220:$D$224,3,FALSE),"Alerta: Seleccione la celda en la comumna B con el nombre del proyecto")))</f>
        <v>Alerta: Seleccione la celda en la comumna B con el nombre del proyecto</v>
      </c>
      <c r="AN572" s="633"/>
      <c r="AO572" s="633"/>
      <c r="AP572" s="634" t="str">
        <f>IFERROR(VLOOKUP(J572,Listas!$A$182:$E$215,5,FALSE),"Alerta: Seleccione la celda en la comumna B con el nombre del proyecto")</f>
        <v>Alerta: Seleccione la celda en la comumna B con el nombre del proyecto</v>
      </c>
      <c r="AQ572" s="634" t="str">
        <f>IF(J572="Funcionamiento Gastos Generales","No aplica",IF(J572="Funcionamiento Servicios Personales","No aplica",IFERROR(VLOOKUP(J572,Listas!$A$220:$D$224,4,FALSE),"Alerta: Seleccione la celda en la comumna B con el nombre del proyecto")))</f>
        <v>Alerta: Seleccione la celda en la comumna B con el nombre del proyecto</v>
      </c>
      <c r="AR572" s="633"/>
      <c r="AS572" s="634" t="str">
        <f>IFERROR(VLOOKUP(AU572,Listas!$E$85:$L$105,7,FALSE),"Alerta: Seleccione la celda en la comumna AI con el concepto de gasto")</f>
        <v>Alerta: Seleccione la celda en la comumna AI con el concepto de gasto</v>
      </c>
      <c r="AT572" s="634" t="str">
        <f>IFERROR(VLOOKUP(AU572,Listas!$E$85:$L$105,8,FALSE),"Alerta: Seleccione la celda en la comumna AI con el concepto de gasto")</f>
        <v>Alerta: Seleccione la celda en la comumna AI con el concepto de gasto</v>
      </c>
      <c r="AU572" s="633"/>
      <c r="AV572" s="634" t="str">
        <f>IFERROR(VLOOKUP(AU572,Listas!$E$85:$F$105,2,FALSE),"Alerta: Seleccione el Concepto de Gasto primero")</f>
        <v>Alerta: Seleccione el Concepto de Gasto primero</v>
      </c>
      <c r="AW572" s="644"/>
      <c r="AX572" s="645"/>
      <c r="AY572" s="645"/>
      <c r="AZ572" s="645"/>
      <c r="BA572" s="646">
        <f t="shared" si="180"/>
        <v>0</v>
      </c>
      <c r="BB572" s="647"/>
      <c r="BC572" s="648"/>
      <c r="BD572" s="649"/>
      <c r="BE572" s="647"/>
      <c r="BF572" s="644"/>
      <c r="BG572" s="646">
        <f t="shared" si="181"/>
        <v>0</v>
      </c>
      <c r="BH572" s="650"/>
      <c r="BI572" s="647"/>
      <c r="BJ572" s="644"/>
      <c r="BK572" s="646">
        <f t="shared" si="182"/>
        <v>0</v>
      </c>
      <c r="BL572" s="651"/>
      <c r="BM572" s="652">
        <f t="shared" si="183"/>
        <v>1</v>
      </c>
      <c r="BN572" s="628"/>
      <c r="BO572" s="670"/>
      <c r="BP572" s="644"/>
      <c r="BQ572" s="644"/>
      <c r="BR572" s="644"/>
      <c r="BS572" s="644"/>
      <c r="BT572" s="644"/>
      <c r="BU572" s="644"/>
      <c r="BV572" s="644"/>
      <c r="BW572" s="644"/>
      <c r="BX572" s="644"/>
      <c r="BY572" s="644"/>
      <c r="BZ572" s="644"/>
      <c r="CA572" s="644"/>
      <c r="CB572" s="646">
        <f t="shared" si="184"/>
        <v>0</v>
      </c>
      <c r="CC572" s="646">
        <f t="shared" si="185"/>
        <v>0</v>
      </c>
      <c r="CD572" s="614"/>
    </row>
    <row r="573" spans="1:85" s="561" customFormat="1" ht="61.5" customHeight="1">
      <c r="A573" s="625" t="str">
        <f t="shared" si="167"/>
        <v>proyecto-Alerta: Seleccione la celda en la comumna B con el nombre del proyecto-Al-Al--</v>
      </c>
      <c r="B573" s="626" t="str">
        <f t="shared" si="168"/>
        <v>proyecto-Alerta: Seleccione la celda en la comumna B con el nombre del proyecto-Al-Al-</v>
      </c>
      <c r="C573" s="626" t="str">
        <f t="shared" si="169"/>
        <v>proyecto-Alerta: Seleccione la celda en la comumna B con el nombre del proyecto-</v>
      </c>
      <c r="D573" s="626" t="str">
        <f t="shared" si="170"/>
        <v>proyecto--Al-Al-</v>
      </c>
      <c r="E573" s="626" t="str">
        <f t="shared" si="171"/>
        <v>--</v>
      </c>
      <c r="F573" s="627"/>
      <c r="G573" s="628">
        <f t="shared" si="172"/>
        <v>0</v>
      </c>
      <c r="H573" s="629" t="b">
        <f t="shared" si="173"/>
        <v>1</v>
      </c>
      <c r="I573" s="630"/>
      <c r="J573" s="627"/>
      <c r="K573" s="631" t="str">
        <f>+IFERROR(VLOOKUP(J573,Listas!$A$108:$B$114,2,FALSE),"Alerta: Seleccione la celda en la comumna B con el nombre del proyecto")</f>
        <v>Alerta: Seleccione la celda en la comumna B con el nombre del proyecto</v>
      </c>
      <c r="L573" s="632"/>
      <c r="M573" s="633"/>
      <c r="N573" s="634" t="str">
        <f t="shared" si="174"/>
        <v xml:space="preserve">(Cód. ) </v>
      </c>
      <c r="O573" s="635"/>
      <c r="P573" s="636">
        <f>IFERROR(VLOOKUP(W573,'Estimación CRP'!$D$21:$E$30,2,FALSE),0)</f>
        <v>0</v>
      </c>
      <c r="Q573" s="637">
        <f>IF(O573="No aplica","No aplica",WORKDAY.INTL(O573,P573,1,'Estimación CRP'!A759:A775))</f>
        <v>0</v>
      </c>
      <c r="R573" s="636">
        <f t="shared" si="175"/>
        <v>1</v>
      </c>
      <c r="S573" s="636">
        <f t="shared" si="176"/>
        <v>1</v>
      </c>
      <c r="T573" s="636">
        <f t="shared" si="177"/>
        <v>1</v>
      </c>
      <c r="U573" s="638"/>
      <c r="V573" s="638"/>
      <c r="W573" s="639"/>
      <c r="X573" s="640" t="str">
        <f>IFERROR(VLOOKUP(W573,Listas!$A$60:$B$73,2,FALSE),"Alerta: Seleccione primero Modalidad de selección")</f>
        <v>Alerta: Seleccione primero Modalidad de selección</v>
      </c>
      <c r="Y573" s="641">
        <v>0</v>
      </c>
      <c r="Z573" s="641"/>
      <c r="AA573" s="641"/>
      <c r="AB573" s="642">
        <f t="shared" si="178"/>
        <v>0</v>
      </c>
      <c r="AC573" s="642">
        <f t="shared" si="179"/>
        <v>0</v>
      </c>
      <c r="AD573" s="641">
        <v>0</v>
      </c>
      <c r="AE573" s="643">
        <v>0</v>
      </c>
      <c r="AF573" s="639" t="s">
        <v>276</v>
      </c>
      <c r="AG573" s="639" t="s">
        <v>277</v>
      </c>
      <c r="AH573" s="639"/>
      <c r="AI573" s="626" t="str">
        <f>IFERROR(VLOOKUP(AH573,Listas!$A$77:$C$83,2,FALSE),"Alerta: Seleccione primero el responsable")</f>
        <v>Alerta: Seleccione primero el responsable</v>
      </c>
      <c r="AJ573" s="640" t="str">
        <f>IFERROR(VLOOKUP(AH573,Listas!$A$77:$C$83,3,FALSE),"Alerta: Seleccione primero el responsable")</f>
        <v>Alerta: Seleccione primero el responsable</v>
      </c>
      <c r="AK573" s="640" t="str">
        <f>IF(J573="Funcionamiento Gastos Generales","No aplica",IF(J573="Funcionamiento Servicios Personales indirectos","No aplica",IFERROR(VLOOKUP(J573,Listas!$A$127:$E$139,3,FALSE),"Alerta: Seleccione la celda en la comumna B con el nombre del proyecto")))</f>
        <v>Alerta: Seleccione la celda en la comumna B con el nombre del proyecto</v>
      </c>
      <c r="AL573" s="640" t="str">
        <f>IF(J573="Funcionamiento Gastos Generales","No aplica",IF(J573="Funcionamiento Servicios Personales","No aplica",IFERROR(VLOOKUP(J573,Listas!$A$220:$D$224,2,FALSE),"Alerta: Seleccione la celda en la comumna B con el nombre del proyecto")))</f>
        <v>Alerta: Seleccione la celda en la comumna B con el nombre del proyecto</v>
      </c>
      <c r="AM573" s="640" t="str">
        <f>IF(J573="Funcionamiento Gastos Generales","No aplica",IF(J573="Funcionamiento Servicios Personales","No aplica",IFERROR(VLOOKUP(J573,Listas!$A$220:$D$224,3,FALSE),"Alerta: Seleccione la celda en la comumna B con el nombre del proyecto")))</f>
        <v>Alerta: Seleccione la celda en la comumna B con el nombre del proyecto</v>
      </c>
      <c r="AN573" s="633"/>
      <c r="AO573" s="633"/>
      <c r="AP573" s="634" t="str">
        <f>IFERROR(VLOOKUP(J573,Listas!$A$182:$E$215,5,FALSE),"Alerta: Seleccione la celda en la comumna B con el nombre del proyecto")</f>
        <v>Alerta: Seleccione la celda en la comumna B con el nombre del proyecto</v>
      </c>
      <c r="AQ573" s="634" t="str">
        <f>IF(J573="Funcionamiento Gastos Generales","No aplica",IF(J573="Funcionamiento Servicios Personales","No aplica",IFERROR(VLOOKUP(J573,Listas!$A$220:$D$224,4,FALSE),"Alerta: Seleccione la celda en la comumna B con el nombre del proyecto")))</f>
        <v>Alerta: Seleccione la celda en la comumna B con el nombre del proyecto</v>
      </c>
      <c r="AR573" s="633"/>
      <c r="AS573" s="634" t="str">
        <f>IFERROR(VLOOKUP(AU573,Listas!$E$85:$L$105,7,FALSE),"Alerta: Seleccione la celda en la comumna AI con el concepto de gasto")</f>
        <v>Alerta: Seleccione la celda en la comumna AI con el concepto de gasto</v>
      </c>
      <c r="AT573" s="634" t="str">
        <f>IFERROR(VLOOKUP(AU573,Listas!$E$85:$L$105,8,FALSE),"Alerta: Seleccione la celda en la comumna AI con el concepto de gasto")</f>
        <v>Alerta: Seleccione la celda en la comumna AI con el concepto de gasto</v>
      </c>
      <c r="AU573" s="633"/>
      <c r="AV573" s="634" t="str">
        <f>IFERROR(VLOOKUP(AU573,Listas!$E$85:$F$105,2,FALSE),"Alerta: Seleccione el Concepto de Gasto primero")</f>
        <v>Alerta: Seleccione el Concepto de Gasto primero</v>
      </c>
      <c r="AW573" s="644"/>
      <c r="AX573" s="645"/>
      <c r="AY573" s="645"/>
      <c r="AZ573" s="645"/>
      <c r="BA573" s="646">
        <f t="shared" si="180"/>
        <v>0</v>
      </c>
      <c r="BB573" s="647"/>
      <c r="BC573" s="648"/>
      <c r="BD573" s="649"/>
      <c r="BE573" s="647"/>
      <c r="BF573" s="644"/>
      <c r="BG573" s="646">
        <f t="shared" si="181"/>
        <v>0</v>
      </c>
      <c r="BH573" s="650"/>
      <c r="BI573" s="647"/>
      <c r="BJ573" s="644"/>
      <c r="BK573" s="646">
        <f t="shared" si="182"/>
        <v>0</v>
      </c>
      <c r="BL573" s="651"/>
      <c r="BM573" s="652">
        <f t="shared" si="183"/>
        <v>1</v>
      </c>
      <c r="BN573" s="628"/>
      <c r="BO573" s="670"/>
      <c r="BP573" s="644"/>
      <c r="BQ573" s="644"/>
      <c r="BR573" s="644"/>
      <c r="BS573" s="644"/>
      <c r="BT573" s="644"/>
      <c r="BU573" s="644"/>
      <c r="BV573" s="644"/>
      <c r="BW573" s="644"/>
      <c r="BX573" s="644"/>
      <c r="BY573" s="644"/>
      <c r="BZ573" s="644"/>
      <c r="CA573" s="644"/>
      <c r="CB573" s="646">
        <f t="shared" si="184"/>
        <v>0</v>
      </c>
      <c r="CC573" s="646">
        <f t="shared" si="185"/>
        <v>0</v>
      </c>
      <c r="CD573" s="614"/>
    </row>
    <row r="574" spans="1:85" s="561" customFormat="1" ht="61.5" customHeight="1">
      <c r="A574" s="625" t="str">
        <f t="shared" si="167"/>
        <v>proyecto-Alerta: Seleccione la celda en la comumna B con el nombre del proyecto-Al-Al--</v>
      </c>
      <c r="B574" s="626" t="str">
        <f t="shared" si="168"/>
        <v>proyecto-Alerta: Seleccione la celda en la comumna B con el nombre del proyecto-Al-Al-</v>
      </c>
      <c r="C574" s="626" t="str">
        <f t="shared" si="169"/>
        <v>proyecto-Alerta: Seleccione la celda en la comumna B con el nombre del proyecto-</v>
      </c>
      <c r="D574" s="626" t="str">
        <f t="shared" si="170"/>
        <v>proyecto--Al-Al-</v>
      </c>
      <c r="E574" s="626" t="str">
        <f t="shared" si="171"/>
        <v>--</v>
      </c>
      <c r="F574" s="627"/>
      <c r="G574" s="628">
        <f t="shared" si="172"/>
        <v>0</v>
      </c>
      <c r="H574" s="629" t="b">
        <f t="shared" si="173"/>
        <v>1</v>
      </c>
      <c r="I574" s="630"/>
      <c r="J574" s="627"/>
      <c r="K574" s="631" t="str">
        <f>+IFERROR(VLOOKUP(J574,Listas!$A$108:$B$114,2,FALSE),"Alerta: Seleccione la celda en la comumna B con el nombre del proyecto")</f>
        <v>Alerta: Seleccione la celda en la comumna B con el nombre del proyecto</v>
      </c>
      <c r="L574" s="632"/>
      <c r="M574" s="633"/>
      <c r="N574" s="634" t="str">
        <f t="shared" si="174"/>
        <v xml:space="preserve">(Cód. ) </v>
      </c>
      <c r="O574" s="635"/>
      <c r="P574" s="636">
        <f>IFERROR(VLOOKUP(W574,'Estimación CRP'!$D$21:$E$30,2,FALSE),0)</f>
        <v>0</v>
      </c>
      <c r="Q574" s="637">
        <f>IF(O574="No aplica","No aplica",WORKDAY.INTL(O574,P574,1,'Estimación CRP'!A760:A776))</f>
        <v>0</v>
      </c>
      <c r="R574" s="636">
        <f t="shared" si="175"/>
        <v>1</v>
      </c>
      <c r="S574" s="636">
        <f t="shared" si="176"/>
        <v>1</v>
      </c>
      <c r="T574" s="636">
        <f t="shared" si="177"/>
        <v>1</v>
      </c>
      <c r="U574" s="638"/>
      <c r="V574" s="638"/>
      <c r="W574" s="639"/>
      <c r="X574" s="640" t="str">
        <f>IFERROR(VLOOKUP(W574,Listas!$A$60:$B$73,2,FALSE),"Alerta: Seleccione primero Modalidad de selección")</f>
        <v>Alerta: Seleccione primero Modalidad de selección</v>
      </c>
      <c r="Y574" s="641">
        <v>0</v>
      </c>
      <c r="Z574" s="641"/>
      <c r="AA574" s="641"/>
      <c r="AB574" s="642">
        <f t="shared" si="178"/>
        <v>0</v>
      </c>
      <c r="AC574" s="642">
        <f t="shared" si="179"/>
        <v>0</v>
      </c>
      <c r="AD574" s="641">
        <v>0</v>
      </c>
      <c r="AE574" s="643">
        <v>0</v>
      </c>
      <c r="AF574" s="639" t="s">
        <v>276</v>
      </c>
      <c r="AG574" s="639" t="s">
        <v>277</v>
      </c>
      <c r="AH574" s="639"/>
      <c r="AI574" s="626" t="str">
        <f>IFERROR(VLOOKUP(AH574,Listas!$A$77:$C$83,2,FALSE),"Alerta: Seleccione primero el responsable")</f>
        <v>Alerta: Seleccione primero el responsable</v>
      </c>
      <c r="AJ574" s="640" t="str">
        <f>IFERROR(VLOOKUP(AH574,Listas!$A$77:$C$83,3,FALSE),"Alerta: Seleccione primero el responsable")</f>
        <v>Alerta: Seleccione primero el responsable</v>
      </c>
      <c r="AK574" s="640" t="str">
        <f>IF(J574="Funcionamiento Gastos Generales","No aplica",IF(J574="Funcionamiento Servicios Personales indirectos","No aplica",IFERROR(VLOOKUP(J574,Listas!$A$127:$E$139,3,FALSE),"Alerta: Seleccione la celda en la comumna B con el nombre del proyecto")))</f>
        <v>Alerta: Seleccione la celda en la comumna B con el nombre del proyecto</v>
      </c>
      <c r="AL574" s="640" t="str">
        <f>IF(J574="Funcionamiento Gastos Generales","No aplica",IF(J574="Funcionamiento Servicios Personales","No aplica",IFERROR(VLOOKUP(J574,Listas!$A$220:$D$224,2,FALSE),"Alerta: Seleccione la celda en la comumna B con el nombre del proyecto")))</f>
        <v>Alerta: Seleccione la celda en la comumna B con el nombre del proyecto</v>
      </c>
      <c r="AM574" s="640" t="str">
        <f>IF(J574="Funcionamiento Gastos Generales","No aplica",IF(J574="Funcionamiento Servicios Personales","No aplica",IFERROR(VLOOKUP(J574,Listas!$A$220:$D$224,3,FALSE),"Alerta: Seleccione la celda en la comumna B con el nombre del proyecto")))</f>
        <v>Alerta: Seleccione la celda en la comumna B con el nombre del proyecto</v>
      </c>
      <c r="AN574" s="633"/>
      <c r="AO574" s="633"/>
      <c r="AP574" s="634" t="str">
        <f>IFERROR(VLOOKUP(J574,Listas!$A$182:$E$215,5,FALSE),"Alerta: Seleccione la celda en la comumna B con el nombre del proyecto")</f>
        <v>Alerta: Seleccione la celda en la comumna B con el nombre del proyecto</v>
      </c>
      <c r="AQ574" s="634" t="str">
        <f>IF(J574="Funcionamiento Gastos Generales","No aplica",IF(J574="Funcionamiento Servicios Personales","No aplica",IFERROR(VLOOKUP(J574,Listas!$A$220:$D$224,4,FALSE),"Alerta: Seleccione la celda en la comumna B con el nombre del proyecto")))</f>
        <v>Alerta: Seleccione la celda en la comumna B con el nombre del proyecto</v>
      </c>
      <c r="AR574" s="633"/>
      <c r="AS574" s="634" t="str">
        <f>IFERROR(VLOOKUP(AU574,Listas!$E$85:$L$105,7,FALSE),"Alerta: Seleccione la celda en la comumna AI con el concepto de gasto")</f>
        <v>Alerta: Seleccione la celda en la comumna AI con el concepto de gasto</v>
      </c>
      <c r="AT574" s="634" t="str">
        <f>IFERROR(VLOOKUP(AU574,Listas!$E$85:$L$105,8,FALSE),"Alerta: Seleccione la celda en la comumna AI con el concepto de gasto")</f>
        <v>Alerta: Seleccione la celda en la comumna AI con el concepto de gasto</v>
      </c>
      <c r="AU574" s="633"/>
      <c r="AV574" s="634" t="str">
        <f>IFERROR(VLOOKUP(AU574,Listas!$E$85:$F$105,2,FALSE),"Alerta: Seleccione el Concepto de Gasto primero")</f>
        <v>Alerta: Seleccione el Concepto de Gasto primero</v>
      </c>
      <c r="AW574" s="644"/>
      <c r="AX574" s="645"/>
      <c r="AY574" s="645"/>
      <c r="AZ574" s="645"/>
      <c r="BA574" s="646">
        <f t="shared" si="180"/>
        <v>0</v>
      </c>
      <c r="BB574" s="647"/>
      <c r="BC574" s="648"/>
      <c r="BD574" s="649"/>
      <c r="BE574" s="647"/>
      <c r="BF574" s="644"/>
      <c r="BG574" s="646">
        <f t="shared" si="181"/>
        <v>0</v>
      </c>
      <c r="BH574" s="650"/>
      <c r="BI574" s="647"/>
      <c r="BJ574" s="644"/>
      <c r="BK574" s="646">
        <f t="shared" si="182"/>
        <v>0</v>
      </c>
      <c r="BL574" s="651"/>
      <c r="BM574" s="652">
        <f t="shared" si="183"/>
        <v>1</v>
      </c>
      <c r="BN574" s="628"/>
      <c r="BO574" s="670"/>
      <c r="BP574" s="644"/>
      <c r="BQ574" s="644"/>
      <c r="BR574" s="644"/>
      <c r="BS574" s="644"/>
      <c r="BT574" s="644"/>
      <c r="BU574" s="644"/>
      <c r="BV574" s="644"/>
      <c r="BW574" s="644"/>
      <c r="BX574" s="644"/>
      <c r="BY574" s="644"/>
      <c r="BZ574" s="644"/>
      <c r="CA574" s="644"/>
      <c r="CB574" s="646">
        <f t="shared" si="184"/>
        <v>0</v>
      </c>
      <c r="CC574" s="646">
        <f t="shared" si="185"/>
        <v>0</v>
      </c>
      <c r="CD574" s="614"/>
    </row>
    <row r="575" spans="1:85" s="561" customFormat="1" ht="61.5" customHeight="1">
      <c r="A575" s="625" t="str">
        <f t="shared" si="167"/>
        <v>proyecto-Alerta: Seleccione la celda en la comumna B con el nombre del proyecto-Al-Al--</v>
      </c>
      <c r="B575" s="626" t="str">
        <f t="shared" si="168"/>
        <v>proyecto-Alerta: Seleccione la celda en la comumna B con el nombre del proyecto-Al-Al-</v>
      </c>
      <c r="C575" s="626" t="str">
        <f t="shared" si="169"/>
        <v>proyecto-Alerta: Seleccione la celda en la comumna B con el nombre del proyecto-</v>
      </c>
      <c r="D575" s="626" t="str">
        <f t="shared" si="170"/>
        <v>proyecto--Al-Al-</v>
      </c>
      <c r="E575" s="626" t="str">
        <f t="shared" si="171"/>
        <v>--</v>
      </c>
      <c r="F575" s="627"/>
      <c r="G575" s="628">
        <f t="shared" si="172"/>
        <v>0</v>
      </c>
      <c r="H575" s="629" t="b">
        <f t="shared" si="173"/>
        <v>1</v>
      </c>
      <c r="I575" s="630"/>
      <c r="J575" s="627"/>
      <c r="K575" s="631" t="str">
        <f>+IFERROR(VLOOKUP(J575,Listas!$A$108:$B$114,2,FALSE),"Alerta: Seleccione la celda en la comumna B con el nombre del proyecto")</f>
        <v>Alerta: Seleccione la celda en la comumna B con el nombre del proyecto</v>
      </c>
      <c r="L575" s="632"/>
      <c r="M575" s="633"/>
      <c r="N575" s="634" t="str">
        <f t="shared" si="174"/>
        <v xml:space="preserve">(Cód. ) </v>
      </c>
      <c r="O575" s="635"/>
      <c r="P575" s="636">
        <f>IFERROR(VLOOKUP(W575,'Estimación CRP'!$D$21:$E$30,2,FALSE),0)</f>
        <v>0</v>
      </c>
      <c r="Q575" s="637">
        <f>IF(O575="No aplica","No aplica",WORKDAY.INTL(O575,P575,1,'Estimación CRP'!A761:A777))</f>
        <v>0</v>
      </c>
      <c r="R575" s="636">
        <f t="shared" si="175"/>
        <v>1</v>
      </c>
      <c r="S575" s="636">
        <f t="shared" si="176"/>
        <v>1</v>
      </c>
      <c r="T575" s="636">
        <f t="shared" si="177"/>
        <v>1</v>
      </c>
      <c r="U575" s="638"/>
      <c r="V575" s="638"/>
      <c r="W575" s="639"/>
      <c r="X575" s="640" t="str">
        <f>IFERROR(VLOOKUP(W575,Listas!$A$60:$B$73,2,FALSE),"Alerta: Seleccione primero Modalidad de selección")</f>
        <v>Alerta: Seleccione primero Modalidad de selección</v>
      </c>
      <c r="Y575" s="641">
        <v>0</v>
      </c>
      <c r="Z575" s="641"/>
      <c r="AA575" s="641"/>
      <c r="AB575" s="642">
        <f t="shared" si="178"/>
        <v>0</v>
      </c>
      <c r="AC575" s="642">
        <f t="shared" si="179"/>
        <v>0</v>
      </c>
      <c r="AD575" s="641">
        <v>0</v>
      </c>
      <c r="AE575" s="643">
        <v>0</v>
      </c>
      <c r="AF575" s="639" t="s">
        <v>276</v>
      </c>
      <c r="AG575" s="639" t="s">
        <v>277</v>
      </c>
      <c r="AH575" s="639"/>
      <c r="AI575" s="626" t="str">
        <f>IFERROR(VLOOKUP(AH575,Listas!$A$77:$C$83,2,FALSE),"Alerta: Seleccione primero el responsable")</f>
        <v>Alerta: Seleccione primero el responsable</v>
      </c>
      <c r="AJ575" s="640" t="str">
        <f>IFERROR(VLOOKUP(AH575,Listas!$A$77:$C$83,3,FALSE),"Alerta: Seleccione primero el responsable")</f>
        <v>Alerta: Seleccione primero el responsable</v>
      </c>
      <c r="AK575" s="640" t="str">
        <f>IF(J575="Funcionamiento Gastos Generales","No aplica",IF(J575="Funcionamiento Servicios Personales indirectos","No aplica",IFERROR(VLOOKUP(J575,Listas!$A$127:$E$139,3,FALSE),"Alerta: Seleccione la celda en la comumna B con el nombre del proyecto")))</f>
        <v>Alerta: Seleccione la celda en la comumna B con el nombre del proyecto</v>
      </c>
      <c r="AL575" s="640" t="str">
        <f>IF(J575="Funcionamiento Gastos Generales","No aplica",IF(J575="Funcionamiento Servicios Personales","No aplica",IFERROR(VLOOKUP(J575,Listas!$A$220:$D$224,2,FALSE),"Alerta: Seleccione la celda en la comumna B con el nombre del proyecto")))</f>
        <v>Alerta: Seleccione la celda en la comumna B con el nombre del proyecto</v>
      </c>
      <c r="AM575" s="640" t="str">
        <f>IF(J575="Funcionamiento Gastos Generales","No aplica",IF(J575="Funcionamiento Servicios Personales","No aplica",IFERROR(VLOOKUP(J575,Listas!$A$220:$D$224,3,FALSE),"Alerta: Seleccione la celda en la comumna B con el nombre del proyecto")))</f>
        <v>Alerta: Seleccione la celda en la comumna B con el nombre del proyecto</v>
      </c>
      <c r="AN575" s="633"/>
      <c r="AO575" s="633"/>
      <c r="AP575" s="634" t="str">
        <f>IFERROR(VLOOKUP(J575,Listas!$A$182:$E$215,5,FALSE),"Alerta: Seleccione la celda en la comumna B con el nombre del proyecto")</f>
        <v>Alerta: Seleccione la celda en la comumna B con el nombre del proyecto</v>
      </c>
      <c r="AQ575" s="634" t="str">
        <f>IF(J575="Funcionamiento Gastos Generales","No aplica",IF(J575="Funcionamiento Servicios Personales","No aplica",IFERROR(VLOOKUP(J575,Listas!$A$220:$D$224,4,FALSE),"Alerta: Seleccione la celda en la comumna B con el nombre del proyecto")))</f>
        <v>Alerta: Seleccione la celda en la comumna B con el nombre del proyecto</v>
      </c>
      <c r="AR575" s="633"/>
      <c r="AS575" s="634" t="str">
        <f>IFERROR(VLOOKUP(AU575,Listas!$E$85:$L$105,7,FALSE),"Alerta: Seleccione la celda en la comumna AI con el concepto de gasto")</f>
        <v>Alerta: Seleccione la celda en la comumna AI con el concepto de gasto</v>
      </c>
      <c r="AT575" s="634" t="str">
        <f>IFERROR(VLOOKUP(AU575,Listas!$E$85:$L$105,8,FALSE),"Alerta: Seleccione la celda en la comumna AI con el concepto de gasto")</f>
        <v>Alerta: Seleccione la celda en la comumna AI con el concepto de gasto</v>
      </c>
      <c r="AU575" s="633"/>
      <c r="AV575" s="634" t="str">
        <f>IFERROR(VLOOKUP(AU575,Listas!$E$85:$F$105,2,FALSE),"Alerta: Seleccione el Concepto de Gasto primero")</f>
        <v>Alerta: Seleccione el Concepto de Gasto primero</v>
      </c>
      <c r="AW575" s="644"/>
      <c r="AX575" s="645"/>
      <c r="AY575" s="645"/>
      <c r="AZ575" s="645"/>
      <c r="BA575" s="646">
        <f t="shared" si="180"/>
        <v>0</v>
      </c>
      <c r="BB575" s="647"/>
      <c r="BC575" s="648"/>
      <c r="BD575" s="649"/>
      <c r="BE575" s="647"/>
      <c r="BF575" s="644"/>
      <c r="BG575" s="646">
        <f t="shared" si="181"/>
        <v>0</v>
      </c>
      <c r="BH575" s="650"/>
      <c r="BI575" s="647"/>
      <c r="BJ575" s="644"/>
      <c r="BK575" s="646">
        <f t="shared" si="182"/>
        <v>0</v>
      </c>
      <c r="BL575" s="651"/>
      <c r="BM575" s="652">
        <f t="shared" si="183"/>
        <v>1</v>
      </c>
      <c r="BN575" s="628"/>
      <c r="BO575" s="670"/>
      <c r="BP575" s="644"/>
      <c r="BQ575" s="644"/>
      <c r="BR575" s="644"/>
      <c r="BS575" s="644"/>
      <c r="BT575" s="644"/>
      <c r="BU575" s="644"/>
      <c r="BV575" s="644"/>
      <c r="BW575" s="644"/>
      <c r="BX575" s="644"/>
      <c r="BY575" s="644"/>
      <c r="BZ575" s="644"/>
      <c r="CA575" s="644"/>
      <c r="CB575" s="646">
        <f t="shared" si="184"/>
        <v>0</v>
      </c>
      <c r="CC575" s="646">
        <f t="shared" si="185"/>
        <v>0</v>
      </c>
      <c r="CD575" s="614"/>
    </row>
    <row r="576" spans="1:85" s="561" customFormat="1" ht="61.5" customHeight="1">
      <c r="A576" s="625" t="str">
        <f t="shared" si="167"/>
        <v>proyecto-Alerta: Seleccione la celda en la comumna B con el nombre del proyecto-Al-Al--</v>
      </c>
      <c r="B576" s="626" t="str">
        <f t="shared" si="168"/>
        <v>proyecto-Alerta: Seleccione la celda en la comumna B con el nombre del proyecto-Al-Al-</v>
      </c>
      <c r="C576" s="626" t="str">
        <f t="shared" si="169"/>
        <v>proyecto-Alerta: Seleccione la celda en la comumna B con el nombre del proyecto-</v>
      </c>
      <c r="D576" s="626" t="str">
        <f t="shared" si="170"/>
        <v>proyecto--Al-Al-</v>
      </c>
      <c r="E576" s="626" t="str">
        <f t="shared" si="171"/>
        <v>--</v>
      </c>
      <c r="F576" s="627"/>
      <c r="G576" s="628">
        <f t="shared" si="172"/>
        <v>0</v>
      </c>
      <c r="H576" s="629" t="b">
        <f t="shared" si="173"/>
        <v>1</v>
      </c>
      <c r="I576" s="630"/>
      <c r="J576" s="627"/>
      <c r="K576" s="631" t="str">
        <f>+IFERROR(VLOOKUP(J576,Listas!$A$108:$B$114,2,FALSE),"Alerta: Seleccione la celda en la comumna B con el nombre del proyecto")</f>
        <v>Alerta: Seleccione la celda en la comumna B con el nombre del proyecto</v>
      </c>
      <c r="L576" s="632"/>
      <c r="M576" s="633"/>
      <c r="N576" s="634" t="str">
        <f t="shared" si="174"/>
        <v xml:space="preserve">(Cód. ) </v>
      </c>
      <c r="O576" s="635"/>
      <c r="P576" s="636">
        <f>IFERROR(VLOOKUP(W576,'Estimación CRP'!$D$21:$E$30,2,FALSE),0)</f>
        <v>0</v>
      </c>
      <c r="Q576" s="637">
        <f>IF(O576="No aplica","No aplica",WORKDAY.INTL(O576,P576,1,'Estimación CRP'!A762:A778))</f>
        <v>0</v>
      </c>
      <c r="R576" s="636">
        <f t="shared" si="175"/>
        <v>1</v>
      </c>
      <c r="S576" s="636">
        <f t="shared" si="176"/>
        <v>1</v>
      </c>
      <c r="T576" s="636">
        <f t="shared" si="177"/>
        <v>1</v>
      </c>
      <c r="U576" s="638"/>
      <c r="V576" s="638"/>
      <c r="W576" s="639"/>
      <c r="X576" s="640" t="str">
        <f>IFERROR(VLOOKUP(W576,Listas!$A$60:$B$73,2,FALSE),"Alerta: Seleccione primero Modalidad de selección")</f>
        <v>Alerta: Seleccione primero Modalidad de selección</v>
      </c>
      <c r="Y576" s="641">
        <v>0</v>
      </c>
      <c r="Z576" s="641"/>
      <c r="AA576" s="641"/>
      <c r="AB576" s="642">
        <f t="shared" si="178"/>
        <v>0</v>
      </c>
      <c r="AC576" s="642">
        <f t="shared" si="179"/>
        <v>0</v>
      </c>
      <c r="AD576" s="641">
        <v>0</v>
      </c>
      <c r="AE576" s="643">
        <v>0</v>
      </c>
      <c r="AF576" s="639" t="s">
        <v>276</v>
      </c>
      <c r="AG576" s="639" t="s">
        <v>277</v>
      </c>
      <c r="AH576" s="639"/>
      <c r="AI576" s="626" t="str">
        <f>IFERROR(VLOOKUP(AH576,Listas!$A$77:$C$83,2,FALSE),"Alerta: Seleccione primero el responsable")</f>
        <v>Alerta: Seleccione primero el responsable</v>
      </c>
      <c r="AJ576" s="640" t="str">
        <f>IFERROR(VLOOKUP(AH576,Listas!$A$77:$C$83,3,FALSE),"Alerta: Seleccione primero el responsable")</f>
        <v>Alerta: Seleccione primero el responsable</v>
      </c>
      <c r="AK576" s="640" t="str">
        <f>IF(J576="Funcionamiento Gastos Generales","No aplica",IF(J576="Funcionamiento Servicios Personales indirectos","No aplica",IFERROR(VLOOKUP(J576,Listas!$A$127:$E$139,3,FALSE),"Alerta: Seleccione la celda en la comumna B con el nombre del proyecto")))</f>
        <v>Alerta: Seleccione la celda en la comumna B con el nombre del proyecto</v>
      </c>
      <c r="AL576" s="640" t="str">
        <f>IF(J576="Funcionamiento Gastos Generales","No aplica",IF(J576="Funcionamiento Servicios Personales","No aplica",IFERROR(VLOOKUP(J576,Listas!$A$220:$D$224,2,FALSE),"Alerta: Seleccione la celda en la comumna B con el nombre del proyecto")))</f>
        <v>Alerta: Seleccione la celda en la comumna B con el nombre del proyecto</v>
      </c>
      <c r="AM576" s="640" t="str">
        <f>IF(J576="Funcionamiento Gastos Generales","No aplica",IF(J576="Funcionamiento Servicios Personales","No aplica",IFERROR(VLOOKUP(J576,Listas!$A$220:$D$224,3,FALSE),"Alerta: Seleccione la celda en la comumna B con el nombre del proyecto")))</f>
        <v>Alerta: Seleccione la celda en la comumna B con el nombre del proyecto</v>
      </c>
      <c r="AN576" s="633"/>
      <c r="AO576" s="633"/>
      <c r="AP576" s="634" t="str">
        <f>IFERROR(VLOOKUP(J576,Listas!$A$182:$E$215,5,FALSE),"Alerta: Seleccione la celda en la comumna B con el nombre del proyecto")</f>
        <v>Alerta: Seleccione la celda en la comumna B con el nombre del proyecto</v>
      </c>
      <c r="AQ576" s="634" t="str">
        <f>IF(J576="Funcionamiento Gastos Generales","No aplica",IF(J576="Funcionamiento Servicios Personales","No aplica",IFERROR(VLOOKUP(J576,Listas!$A$220:$D$224,4,FALSE),"Alerta: Seleccione la celda en la comumna B con el nombre del proyecto")))</f>
        <v>Alerta: Seleccione la celda en la comumna B con el nombre del proyecto</v>
      </c>
      <c r="AR576" s="633"/>
      <c r="AS576" s="634" t="str">
        <f>IFERROR(VLOOKUP(AU576,Listas!$E$85:$L$105,7,FALSE),"Alerta: Seleccione la celda en la comumna AI con el concepto de gasto")</f>
        <v>Alerta: Seleccione la celda en la comumna AI con el concepto de gasto</v>
      </c>
      <c r="AT576" s="634" t="str">
        <f>IFERROR(VLOOKUP(AU576,Listas!$E$85:$L$105,8,FALSE),"Alerta: Seleccione la celda en la comumna AI con el concepto de gasto")</f>
        <v>Alerta: Seleccione la celda en la comumna AI con el concepto de gasto</v>
      </c>
      <c r="AU576" s="633"/>
      <c r="AV576" s="634" t="str">
        <f>IFERROR(VLOOKUP(AU576,Listas!$E$85:$F$105,2,FALSE),"Alerta: Seleccione el Concepto de Gasto primero")</f>
        <v>Alerta: Seleccione el Concepto de Gasto primero</v>
      </c>
      <c r="AW576" s="644"/>
      <c r="AX576" s="645"/>
      <c r="AY576" s="645"/>
      <c r="AZ576" s="645"/>
      <c r="BA576" s="646">
        <f t="shared" si="180"/>
        <v>0</v>
      </c>
      <c r="BB576" s="647"/>
      <c r="BC576" s="648"/>
      <c r="BD576" s="649"/>
      <c r="BE576" s="647"/>
      <c r="BF576" s="644"/>
      <c r="BG576" s="646">
        <f t="shared" si="181"/>
        <v>0</v>
      </c>
      <c r="BH576" s="650"/>
      <c r="BI576" s="647"/>
      <c r="BJ576" s="644"/>
      <c r="BK576" s="646">
        <f t="shared" si="182"/>
        <v>0</v>
      </c>
      <c r="BL576" s="651"/>
      <c r="BM576" s="652">
        <f t="shared" si="183"/>
        <v>1</v>
      </c>
      <c r="BN576" s="628"/>
      <c r="BO576" s="670"/>
      <c r="BP576" s="644"/>
      <c r="BQ576" s="644"/>
      <c r="BR576" s="644"/>
      <c r="BS576" s="644"/>
      <c r="BT576" s="644"/>
      <c r="BU576" s="644"/>
      <c r="BV576" s="644"/>
      <c r="BW576" s="644"/>
      <c r="BX576" s="644"/>
      <c r="BY576" s="644"/>
      <c r="BZ576" s="644"/>
      <c r="CA576" s="644"/>
      <c r="CB576" s="646">
        <f t="shared" si="184"/>
        <v>0</v>
      </c>
      <c r="CC576" s="646">
        <f t="shared" si="185"/>
        <v>0</v>
      </c>
      <c r="CD576" s="614"/>
    </row>
    <row r="577" spans="1:85" s="561" customFormat="1" ht="61.5" customHeight="1">
      <c r="A577" s="625" t="str">
        <f t="shared" si="167"/>
        <v>proyecto-Alerta: Seleccione la celda en la comumna B con el nombre del proyecto-Al-Al--</v>
      </c>
      <c r="B577" s="626" t="str">
        <f t="shared" si="168"/>
        <v>proyecto-Alerta: Seleccione la celda en la comumna B con el nombre del proyecto-Al-Al-</v>
      </c>
      <c r="C577" s="626" t="str">
        <f t="shared" si="169"/>
        <v>proyecto-Alerta: Seleccione la celda en la comumna B con el nombre del proyecto-</v>
      </c>
      <c r="D577" s="626" t="str">
        <f t="shared" si="170"/>
        <v>proyecto--Al-Al-</v>
      </c>
      <c r="E577" s="626" t="str">
        <f t="shared" si="171"/>
        <v>--</v>
      </c>
      <c r="F577" s="627"/>
      <c r="G577" s="628">
        <f t="shared" si="172"/>
        <v>0</v>
      </c>
      <c r="H577" s="629" t="b">
        <f t="shared" si="173"/>
        <v>1</v>
      </c>
      <c r="I577" s="630"/>
      <c r="J577" s="627"/>
      <c r="K577" s="631" t="str">
        <f>+IFERROR(VLOOKUP(J577,Listas!$A$108:$B$114,2,FALSE),"Alerta: Seleccione la celda en la comumna B con el nombre del proyecto")</f>
        <v>Alerta: Seleccione la celda en la comumna B con el nombre del proyecto</v>
      </c>
      <c r="L577" s="632"/>
      <c r="M577" s="633"/>
      <c r="N577" s="634" t="str">
        <f t="shared" si="174"/>
        <v xml:space="preserve">(Cód. ) </v>
      </c>
      <c r="O577" s="635"/>
      <c r="P577" s="636">
        <f>IFERROR(VLOOKUP(W577,'Estimación CRP'!$D$21:$E$30,2,FALSE),0)</f>
        <v>0</v>
      </c>
      <c r="Q577" s="637">
        <f>IF(O577="No aplica","No aplica",WORKDAY.INTL(O577,P577,1,'Estimación CRP'!A763:A779))</f>
        <v>0</v>
      </c>
      <c r="R577" s="636">
        <f t="shared" si="175"/>
        <v>1</v>
      </c>
      <c r="S577" s="636">
        <f t="shared" si="176"/>
        <v>1</v>
      </c>
      <c r="T577" s="636">
        <f t="shared" si="177"/>
        <v>1</v>
      </c>
      <c r="U577" s="638"/>
      <c r="V577" s="638"/>
      <c r="W577" s="639"/>
      <c r="X577" s="640" t="str">
        <f>IFERROR(VLOOKUP(W577,Listas!$A$60:$B$73,2,FALSE),"Alerta: Seleccione primero Modalidad de selección")</f>
        <v>Alerta: Seleccione primero Modalidad de selección</v>
      </c>
      <c r="Y577" s="641">
        <v>0</v>
      </c>
      <c r="Z577" s="641"/>
      <c r="AA577" s="641"/>
      <c r="AB577" s="642">
        <f t="shared" si="178"/>
        <v>0</v>
      </c>
      <c r="AC577" s="642">
        <f t="shared" si="179"/>
        <v>0</v>
      </c>
      <c r="AD577" s="641">
        <v>0</v>
      </c>
      <c r="AE577" s="643">
        <v>0</v>
      </c>
      <c r="AF577" s="639" t="s">
        <v>276</v>
      </c>
      <c r="AG577" s="639" t="s">
        <v>277</v>
      </c>
      <c r="AH577" s="639"/>
      <c r="AI577" s="626" t="str">
        <f>IFERROR(VLOOKUP(AH577,Listas!$A$77:$C$83,2,FALSE),"Alerta: Seleccione primero el responsable")</f>
        <v>Alerta: Seleccione primero el responsable</v>
      </c>
      <c r="AJ577" s="640" t="str">
        <f>IFERROR(VLOOKUP(AH577,Listas!$A$77:$C$83,3,FALSE),"Alerta: Seleccione primero el responsable")</f>
        <v>Alerta: Seleccione primero el responsable</v>
      </c>
      <c r="AK577" s="640" t="str">
        <f>IF(J577="Funcionamiento Gastos Generales","No aplica",IF(J577="Funcionamiento Servicios Personales indirectos","No aplica",IFERROR(VLOOKUP(J577,Listas!$A$127:$E$139,3,FALSE),"Alerta: Seleccione la celda en la comumna B con el nombre del proyecto")))</f>
        <v>Alerta: Seleccione la celda en la comumna B con el nombre del proyecto</v>
      </c>
      <c r="AL577" s="640" t="str">
        <f>IF(J577="Funcionamiento Gastos Generales","No aplica",IF(J577="Funcionamiento Servicios Personales","No aplica",IFERROR(VLOOKUP(J577,Listas!$A$220:$D$224,2,FALSE),"Alerta: Seleccione la celda en la comumna B con el nombre del proyecto")))</f>
        <v>Alerta: Seleccione la celda en la comumna B con el nombre del proyecto</v>
      </c>
      <c r="AM577" s="640" t="str">
        <f>IF(J577="Funcionamiento Gastos Generales","No aplica",IF(J577="Funcionamiento Servicios Personales","No aplica",IFERROR(VLOOKUP(J577,Listas!$A$220:$D$224,3,FALSE),"Alerta: Seleccione la celda en la comumna B con el nombre del proyecto")))</f>
        <v>Alerta: Seleccione la celda en la comumna B con el nombre del proyecto</v>
      </c>
      <c r="AN577" s="633"/>
      <c r="AO577" s="633"/>
      <c r="AP577" s="634" t="str">
        <f>IFERROR(VLOOKUP(J577,Listas!$A$182:$E$215,5,FALSE),"Alerta: Seleccione la celda en la comumna B con el nombre del proyecto")</f>
        <v>Alerta: Seleccione la celda en la comumna B con el nombre del proyecto</v>
      </c>
      <c r="AQ577" s="634" t="str">
        <f>IF(J577="Funcionamiento Gastos Generales","No aplica",IF(J577="Funcionamiento Servicios Personales","No aplica",IFERROR(VLOOKUP(J577,Listas!$A$220:$D$224,4,FALSE),"Alerta: Seleccione la celda en la comumna B con el nombre del proyecto")))</f>
        <v>Alerta: Seleccione la celda en la comumna B con el nombre del proyecto</v>
      </c>
      <c r="AR577" s="633"/>
      <c r="AS577" s="634" t="str">
        <f>IFERROR(VLOOKUP(AU577,Listas!$E$85:$L$105,7,FALSE),"Alerta: Seleccione la celda en la comumna AI con el concepto de gasto")</f>
        <v>Alerta: Seleccione la celda en la comumna AI con el concepto de gasto</v>
      </c>
      <c r="AT577" s="634" t="str">
        <f>IFERROR(VLOOKUP(AU577,Listas!$E$85:$L$105,8,FALSE),"Alerta: Seleccione la celda en la comumna AI con el concepto de gasto")</f>
        <v>Alerta: Seleccione la celda en la comumna AI con el concepto de gasto</v>
      </c>
      <c r="AU577" s="633"/>
      <c r="AV577" s="634" t="str">
        <f>IFERROR(VLOOKUP(AU577,Listas!$E$85:$F$105,2,FALSE),"Alerta: Seleccione el Concepto de Gasto primero")</f>
        <v>Alerta: Seleccione el Concepto de Gasto primero</v>
      </c>
      <c r="AW577" s="644"/>
      <c r="AX577" s="645"/>
      <c r="AY577" s="645"/>
      <c r="AZ577" s="645"/>
      <c r="BA577" s="646">
        <f t="shared" si="180"/>
        <v>0</v>
      </c>
      <c r="BB577" s="647"/>
      <c r="BC577" s="648"/>
      <c r="BD577" s="649"/>
      <c r="BE577" s="647"/>
      <c r="BF577" s="644"/>
      <c r="BG577" s="646">
        <f t="shared" si="181"/>
        <v>0</v>
      </c>
      <c r="BH577" s="650"/>
      <c r="BI577" s="647"/>
      <c r="BJ577" s="644"/>
      <c r="BK577" s="646">
        <f t="shared" si="182"/>
        <v>0</v>
      </c>
      <c r="BL577" s="651"/>
      <c r="BM577" s="652">
        <f t="shared" si="183"/>
        <v>1</v>
      </c>
      <c r="BN577" s="628"/>
      <c r="BO577" s="670"/>
      <c r="BP577" s="644"/>
      <c r="BQ577" s="644"/>
      <c r="BR577" s="644"/>
      <c r="BS577" s="644"/>
      <c r="BT577" s="644"/>
      <c r="BU577" s="644"/>
      <c r="BV577" s="644"/>
      <c r="BW577" s="644"/>
      <c r="BX577" s="644"/>
      <c r="BY577" s="644"/>
      <c r="BZ577" s="644"/>
      <c r="CA577" s="644"/>
      <c r="CB577" s="646">
        <f t="shared" si="184"/>
        <v>0</v>
      </c>
      <c r="CC577" s="646">
        <f t="shared" si="185"/>
        <v>0</v>
      </c>
      <c r="CD577" s="614"/>
    </row>
    <row r="578" spans="1:85" s="561" customFormat="1" ht="61.5" customHeight="1">
      <c r="A578" s="625" t="str">
        <f t="shared" si="167"/>
        <v>proyecto-Alerta: Seleccione la celda en la comumna B con el nombre del proyecto-Al-Al--</v>
      </c>
      <c r="B578" s="626" t="str">
        <f t="shared" si="168"/>
        <v>proyecto-Alerta: Seleccione la celda en la comumna B con el nombre del proyecto-Al-Al-</v>
      </c>
      <c r="C578" s="626" t="str">
        <f t="shared" si="169"/>
        <v>proyecto-Alerta: Seleccione la celda en la comumna B con el nombre del proyecto-</v>
      </c>
      <c r="D578" s="626" t="str">
        <f t="shared" si="170"/>
        <v>proyecto--Al-Al-</v>
      </c>
      <c r="E578" s="626" t="str">
        <f t="shared" si="171"/>
        <v>--</v>
      </c>
      <c r="F578" s="627"/>
      <c r="G578" s="628">
        <f t="shared" si="172"/>
        <v>0</v>
      </c>
      <c r="H578" s="629" t="b">
        <f t="shared" si="173"/>
        <v>1</v>
      </c>
      <c r="I578" s="630"/>
      <c r="J578" s="627"/>
      <c r="K578" s="631" t="str">
        <f>+IFERROR(VLOOKUP(J578,Listas!$A$108:$B$114,2,FALSE),"Alerta: Seleccione la celda en la comumna B con el nombre del proyecto")</f>
        <v>Alerta: Seleccione la celda en la comumna B con el nombre del proyecto</v>
      </c>
      <c r="L578" s="632"/>
      <c r="M578" s="633"/>
      <c r="N578" s="634" t="str">
        <f t="shared" si="174"/>
        <v xml:space="preserve">(Cód. ) </v>
      </c>
      <c r="O578" s="635"/>
      <c r="P578" s="636">
        <f>IFERROR(VLOOKUP(W578,'Estimación CRP'!$D$21:$E$30,2,FALSE),0)</f>
        <v>0</v>
      </c>
      <c r="Q578" s="637">
        <f>IF(O578="No aplica","No aplica",WORKDAY.INTL(O578,P578,1,'Estimación CRP'!A764:A780))</f>
        <v>0</v>
      </c>
      <c r="R578" s="636">
        <f t="shared" si="175"/>
        <v>1</v>
      </c>
      <c r="S578" s="636">
        <f t="shared" si="176"/>
        <v>1</v>
      </c>
      <c r="T578" s="636">
        <f t="shared" si="177"/>
        <v>1</v>
      </c>
      <c r="U578" s="638"/>
      <c r="V578" s="638"/>
      <c r="W578" s="639"/>
      <c r="X578" s="640" t="str">
        <f>IFERROR(VLOOKUP(W578,Listas!$A$60:$B$73,2,FALSE),"Alerta: Seleccione primero Modalidad de selección")</f>
        <v>Alerta: Seleccione primero Modalidad de selección</v>
      </c>
      <c r="Y578" s="641">
        <v>0</v>
      </c>
      <c r="Z578" s="641"/>
      <c r="AA578" s="641"/>
      <c r="AB578" s="642">
        <f t="shared" si="178"/>
        <v>0</v>
      </c>
      <c r="AC578" s="642">
        <f t="shared" si="179"/>
        <v>0</v>
      </c>
      <c r="AD578" s="641">
        <v>0</v>
      </c>
      <c r="AE578" s="643">
        <v>0</v>
      </c>
      <c r="AF578" s="639" t="s">
        <v>276</v>
      </c>
      <c r="AG578" s="639" t="s">
        <v>277</v>
      </c>
      <c r="AH578" s="639"/>
      <c r="AI578" s="626" t="str">
        <f>IFERROR(VLOOKUP(AH578,Listas!$A$77:$C$83,2,FALSE),"Alerta: Seleccione primero el responsable")</f>
        <v>Alerta: Seleccione primero el responsable</v>
      </c>
      <c r="AJ578" s="640" t="str">
        <f>IFERROR(VLOOKUP(AH578,Listas!$A$77:$C$83,3,FALSE),"Alerta: Seleccione primero el responsable")</f>
        <v>Alerta: Seleccione primero el responsable</v>
      </c>
      <c r="AK578" s="640" t="str">
        <f>IF(J578="Funcionamiento Gastos Generales","No aplica",IF(J578="Funcionamiento Servicios Personales indirectos","No aplica",IFERROR(VLOOKUP(J578,Listas!$A$127:$E$139,3,FALSE),"Alerta: Seleccione la celda en la comumna B con el nombre del proyecto")))</f>
        <v>Alerta: Seleccione la celda en la comumna B con el nombre del proyecto</v>
      </c>
      <c r="AL578" s="640" t="str">
        <f>IF(J578="Funcionamiento Gastos Generales","No aplica",IF(J578="Funcionamiento Servicios Personales","No aplica",IFERROR(VLOOKUP(J578,Listas!$A$220:$D$224,2,FALSE),"Alerta: Seleccione la celda en la comumna B con el nombre del proyecto")))</f>
        <v>Alerta: Seleccione la celda en la comumna B con el nombre del proyecto</v>
      </c>
      <c r="AM578" s="640" t="str">
        <f>IF(J578="Funcionamiento Gastos Generales","No aplica",IF(J578="Funcionamiento Servicios Personales","No aplica",IFERROR(VLOOKUP(J578,Listas!$A$220:$D$224,3,FALSE),"Alerta: Seleccione la celda en la comumna B con el nombre del proyecto")))</f>
        <v>Alerta: Seleccione la celda en la comumna B con el nombre del proyecto</v>
      </c>
      <c r="AN578" s="633"/>
      <c r="AO578" s="633"/>
      <c r="AP578" s="634" t="str">
        <f>IFERROR(VLOOKUP(J578,Listas!$A$182:$E$215,5,FALSE),"Alerta: Seleccione la celda en la comumna B con el nombre del proyecto")</f>
        <v>Alerta: Seleccione la celda en la comumna B con el nombre del proyecto</v>
      </c>
      <c r="AQ578" s="634" t="str">
        <f>IF(J578="Funcionamiento Gastos Generales","No aplica",IF(J578="Funcionamiento Servicios Personales","No aplica",IFERROR(VLOOKUP(J578,Listas!$A$220:$D$224,4,FALSE),"Alerta: Seleccione la celda en la comumna B con el nombre del proyecto")))</f>
        <v>Alerta: Seleccione la celda en la comumna B con el nombre del proyecto</v>
      </c>
      <c r="AR578" s="633"/>
      <c r="AS578" s="634" t="str">
        <f>IFERROR(VLOOKUP(AU578,Listas!$E$85:$L$105,7,FALSE),"Alerta: Seleccione la celda en la comumna AI con el concepto de gasto")</f>
        <v>Alerta: Seleccione la celda en la comumna AI con el concepto de gasto</v>
      </c>
      <c r="AT578" s="634" t="str">
        <f>IFERROR(VLOOKUP(AU578,Listas!$E$85:$L$105,8,FALSE),"Alerta: Seleccione la celda en la comumna AI con el concepto de gasto")</f>
        <v>Alerta: Seleccione la celda en la comumna AI con el concepto de gasto</v>
      </c>
      <c r="AU578" s="633"/>
      <c r="AV578" s="634" t="str">
        <f>IFERROR(VLOOKUP(AU578,Listas!$E$85:$F$105,2,FALSE),"Alerta: Seleccione el Concepto de Gasto primero")</f>
        <v>Alerta: Seleccione el Concepto de Gasto primero</v>
      </c>
      <c r="AW578" s="644"/>
      <c r="AX578" s="645"/>
      <c r="AY578" s="645"/>
      <c r="AZ578" s="645"/>
      <c r="BA578" s="646">
        <f t="shared" si="180"/>
        <v>0</v>
      </c>
      <c r="BB578" s="647"/>
      <c r="BC578" s="648"/>
      <c r="BD578" s="649"/>
      <c r="BE578" s="647"/>
      <c r="BF578" s="644"/>
      <c r="BG578" s="646">
        <f t="shared" si="181"/>
        <v>0</v>
      </c>
      <c r="BH578" s="650"/>
      <c r="BI578" s="647"/>
      <c r="BJ578" s="644"/>
      <c r="BK578" s="646">
        <f t="shared" si="182"/>
        <v>0</v>
      </c>
      <c r="BL578" s="651"/>
      <c r="BM578" s="652">
        <f t="shared" si="183"/>
        <v>1</v>
      </c>
      <c r="BN578" s="628"/>
      <c r="BO578" s="670"/>
      <c r="BP578" s="644"/>
      <c r="BQ578" s="644"/>
      <c r="BR578" s="644"/>
      <c r="BS578" s="644"/>
      <c r="BT578" s="644"/>
      <c r="BU578" s="644"/>
      <c r="BV578" s="644"/>
      <c r="BW578" s="644"/>
      <c r="BX578" s="644"/>
      <c r="BY578" s="644"/>
      <c r="BZ578" s="644"/>
      <c r="CA578" s="644"/>
      <c r="CB578" s="646">
        <f t="shared" si="184"/>
        <v>0</v>
      </c>
      <c r="CC578" s="646">
        <f t="shared" si="185"/>
        <v>0</v>
      </c>
      <c r="CD578" s="614"/>
    </row>
    <row r="579" spans="1:85" s="561" customFormat="1" ht="61.5" customHeight="1">
      <c r="A579" s="625" t="str">
        <f t="shared" si="167"/>
        <v>proyecto-Alerta: Seleccione la celda en la comumna B con el nombre del proyecto-Al-Al--</v>
      </c>
      <c r="B579" s="626" t="str">
        <f t="shared" si="168"/>
        <v>proyecto-Alerta: Seleccione la celda en la comumna B con el nombre del proyecto-Al-Al-</v>
      </c>
      <c r="C579" s="626" t="str">
        <f t="shared" si="169"/>
        <v>proyecto-Alerta: Seleccione la celda en la comumna B con el nombre del proyecto-</v>
      </c>
      <c r="D579" s="626" t="str">
        <f t="shared" si="170"/>
        <v>proyecto--Al-Al-</v>
      </c>
      <c r="E579" s="626" t="str">
        <f t="shared" si="171"/>
        <v>--</v>
      </c>
      <c r="F579" s="627"/>
      <c r="G579" s="628">
        <f t="shared" si="172"/>
        <v>0</v>
      </c>
      <c r="H579" s="629" t="b">
        <f t="shared" si="173"/>
        <v>1</v>
      </c>
      <c r="I579" s="630"/>
      <c r="J579" s="627"/>
      <c r="K579" s="631" t="str">
        <f>+IFERROR(VLOOKUP(J579,Listas!$A$108:$B$114,2,FALSE),"Alerta: Seleccione la celda en la comumna B con el nombre del proyecto")</f>
        <v>Alerta: Seleccione la celda en la comumna B con el nombre del proyecto</v>
      </c>
      <c r="L579" s="632"/>
      <c r="M579" s="633"/>
      <c r="N579" s="634" t="str">
        <f t="shared" si="174"/>
        <v xml:space="preserve">(Cód. ) </v>
      </c>
      <c r="O579" s="635"/>
      <c r="P579" s="636">
        <f>IFERROR(VLOOKUP(W579,'Estimación CRP'!$D$21:$E$30,2,FALSE),0)</f>
        <v>0</v>
      </c>
      <c r="Q579" s="637">
        <f>IF(O579="No aplica","No aplica",WORKDAY.INTL(O579,P579,1,'Estimación CRP'!A765:A781))</f>
        <v>0</v>
      </c>
      <c r="R579" s="636">
        <f t="shared" si="175"/>
        <v>1</v>
      </c>
      <c r="S579" s="636">
        <f t="shared" si="176"/>
        <v>1</v>
      </c>
      <c r="T579" s="636">
        <f t="shared" si="177"/>
        <v>1</v>
      </c>
      <c r="U579" s="638"/>
      <c r="V579" s="638"/>
      <c r="W579" s="639"/>
      <c r="X579" s="640" t="str">
        <f>IFERROR(VLOOKUP(W579,Listas!$A$60:$B$73,2,FALSE),"Alerta: Seleccione primero Modalidad de selección")</f>
        <v>Alerta: Seleccione primero Modalidad de selección</v>
      </c>
      <c r="Y579" s="641">
        <v>0</v>
      </c>
      <c r="Z579" s="641"/>
      <c r="AA579" s="641"/>
      <c r="AB579" s="642">
        <f t="shared" si="178"/>
        <v>0</v>
      </c>
      <c r="AC579" s="642">
        <f t="shared" si="179"/>
        <v>0</v>
      </c>
      <c r="AD579" s="641">
        <v>0</v>
      </c>
      <c r="AE579" s="643">
        <v>0</v>
      </c>
      <c r="AF579" s="639" t="s">
        <v>276</v>
      </c>
      <c r="AG579" s="639" t="s">
        <v>277</v>
      </c>
      <c r="AH579" s="639"/>
      <c r="AI579" s="626" t="str">
        <f>IFERROR(VLOOKUP(AH579,Listas!$A$77:$C$83,2,FALSE),"Alerta: Seleccione primero el responsable")</f>
        <v>Alerta: Seleccione primero el responsable</v>
      </c>
      <c r="AJ579" s="640" t="str">
        <f>IFERROR(VLOOKUP(AH579,Listas!$A$77:$C$83,3,FALSE),"Alerta: Seleccione primero el responsable")</f>
        <v>Alerta: Seleccione primero el responsable</v>
      </c>
      <c r="AK579" s="640" t="str">
        <f>IF(J579="Funcionamiento Gastos Generales","No aplica",IF(J579="Funcionamiento Servicios Personales indirectos","No aplica",IFERROR(VLOOKUP(J579,Listas!$A$127:$E$139,3,FALSE),"Alerta: Seleccione la celda en la comumna B con el nombre del proyecto")))</f>
        <v>Alerta: Seleccione la celda en la comumna B con el nombre del proyecto</v>
      </c>
      <c r="AL579" s="640" t="str">
        <f>IF(J579="Funcionamiento Gastos Generales","No aplica",IF(J579="Funcionamiento Servicios Personales","No aplica",IFERROR(VLOOKUP(J579,Listas!$A$220:$D$224,2,FALSE),"Alerta: Seleccione la celda en la comumna B con el nombre del proyecto")))</f>
        <v>Alerta: Seleccione la celda en la comumna B con el nombre del proyecto</v>
      </c>
      <c r="AM579" s="640" t="str">
        <f>IF(J579="Funcionamiento Gastos Generales","No aplica",IF(J579="Funcionamiento Servicios Personales","No aplica",IFERROR(VLOOKUP(J579,Listas!$A$220:$D$224,3,FALSE),"Alerta: Seleccione la celda en la comumna B con el nombre del proyecto")))</f>
        <v>Alerta: Seleccione la celda en la comumna B con el nombre del proyecto</v>
      </c>
      <c r="AN579" s="633"/>
      <c r="AO579" s="633"/>
      <c r="AP579" s="634" t="str">
        <f>IFERROR(VLOOKUP(J579,Listas!$A$182:$E$215,5,FALSE),"Alerta: Seleccione la celda en la comumna B con el nombre del proyecto")</f>
        <v>Alerta: Seleccione la celda en la comumna B con el nombre del proyecto</v>
      </c>
      <c r="AQ579" s="634" t="str">
        <f>IF(J579="Funcionamiento Gastos Generales","No aplica",IF(J579="Funcionamiento Servicios Personales","No aplica",IFERROR(VLOOKUP(J579,Listas!$A$220:$D$224,4,FALSE),"Alerta: Seleccione la celda en la comumna B con el nombre del proyecto")))</f>
        <v>Alerta: Seleccione la celda en la comumna B con el nombre del proyecto</v>
      </c>
      <c r="AR579" s="633"/>
      <c r="AS579" s="634" t="str">
        <f>IFERROR(VLOOKUP(AU579,Listas!$E$85:$L$105,7,FALSE),"Alerta: Seleccione la celda en la comumna AI con el concepto de gasto")</f>
        <v>Alerta: Seleccione la celda en la comumna AI con el concepto de gasto</v>
      </c>
      <c r="AT579" s="634" t="str">
        <f>IFERROR(VLOOKUP(AU579,Listas!$E$85:$L$105,8,FALSE),"Alerta: Seleccione la celda en la comumna AI con el concepto de gasto")</f>
        <v>Alerta: Seleccione la celda en la comumna AI con el concepto de gasto</v>
      </c>
      <c r="AU579" s="633"/>
      <c r="AV579" s="634" t="str">
        <f>IFERROR(VLOOKUP(AU579,Listas!$E$85:$F$105,2,FALSE),"Alerta: Seleccione el Concepto de Gasto primero")</f>
        <v>Alerta: Seleccione el Concepto de Gasto primero</v>
      </c>
      <c r="AW579" s="644"/>
      <c r="AX579" s="645"/>
      <c r="AY579" s="645"/>
      <c r="AZ579" s="645"/>
      <c r="BA579" s="646">
        <f t="shared" si="180"/>
        <v>0</v>
      </c>
      <c r="BB579" s="647"/>
      <c r="BC579" s="648"/>
      <c r="BD579" s="649"/>
      <c r="BE579" s="647"/>
      <c r="BF579" s="644"/>
      <c r="BG579" s="646">
        <f t="shared" si="181"/>
        <v>0</v>
      </c>
      <c r="BH579" s="650"/>
      <c r="BI579" s="647"/>
      <c r="BJ579" s="644"/>
      <c r="BK579" s="646">
        <f t="shared" si="182"/>
        <v>0</v>
      </c>
      <c r="BL579" s="651"/>
      <c r="BM579" s="652">
        <f t="shared" si="183"/>
        <v>1</v>
      </c>
      <c r="BN579" s="628"/>
      <c r="BO579" s="670"/>
      <c r="BP579" s="644"/>
      <c r="BQ579" s="644"/>
      <c r="BR579" s="644"/>
      <c r="BS579" s="644"/>
      <c r="BT579" s="644"/>
      <c r="BU579" s="644"/>
      <c r="BV579" s="644"/>
      <c r="BW579" s="644"/>
      <c r="BX579" s="644"/>
      <c r="BY579" s="644"/>
      <c r="BZ579" s="644"/>
      <c r="CA579" s="644"/>
      <c r="CB579" s="646">
        <f t="shared" si="184"/>
        <v>0</v>
      </c>
      <c r="CC579" s="646">
        <f t="shared" si="185"/>
        <v>0</v>
      </c>
      <c r="CD579" s="614"/>
    </row>
    <row r="580" spans="1:85" s="561" customFormat="1" ht="61.5" customHeight="1">
      <c r="A580" s="625" t="str">
        <f t="shared" si="167"/>
        <v>proyecto-Alerta: Seleccione la celda en la comumna B con el nombre del proyecto-Al-Al--</v>
      </c>
      <c r="B580" s="626" t="str">
        <f t="shared" si="168"/>
        <v>proyecto-Alerta: Seleccione la celda en la comumna B con el nombre del proyecto-Al-Al-</v>
      </c>
      <c r="C580" s="626" t="str">
        <f t="shared" si="169"/>
        <v>proyecto-Alerta: Seleccione la celda en la comumna B con el nombre del proyecto-</v>
      </c>
      <c r="D580" s="626" t="str">
        <f t="shared" si="170"/>
        <v>proyecto--Al-Al-</v>
      </c>
      <c r="E580" s="626" t="str">
        <f t="shared" si="171"/>
        <v>--</v>
      </c>
      <c r="F580" s="627"/>
      <c r="G580" s="628">
        <f t="shared" si="172"/>
        <v>0</v>
      </c>
      <c r="H580" s="629" t="b">
        <f t="shared" si="173"/>
        <v>1</v>
      </c>
      <c r="I580" s="630"/>
      <c r="J580" s="627"/>
      <c r="K580" s="631" t="str">
        <f>+IFERROR(VLOOKUP(J580,Listas!$A$108:$B$114,2,FALSE),"Alerta: Seleccione la celda en la comumna B con el nombre del proyecto")</f>
        <v>Alerta: Seleccione la celda en la comumna B con el nombre del proyecto</v>
      </c>
      <c r="L580" s="632"/>
      <c r="M580" s="633"/>
      <c r="N580" s="634" t="str">
        <f t="shared" si="174"/>
        <v xml:space="preserve">(Cód. ) </v>
      </c>
      <c r="O580" s="635"/>
      <c r="P580" s="636">
        <f>IFERROR(VLOOKUP(W580,'Estimación CRP'!$D$21:$E$30,2,FALSE),0)</f>
        <v>0</v>
      </c>
      <c r="Q580" s="637">
        <f>IF(O580="No aplica","No aplica",WORKDAY.INTL(O580,P580,1,'Estimación CRP'!A766:A782))</f>
        <v>0</v>
      </c>
      <c r="R580" s="636">
        <f t="shared" si="175"/>
        <v>1</v>
      </c>
      <c r="S580" s="636">
        <f t="shared" si="176"/>
        <v>1</v>
      </c>
      <c r="T580" s="636">
        <f t="shared" si="177"/>
        <v>1</v>
      </c>
      <c r="U580" s="638"/>
      <c r="V580" s="638"/>
      <c r="W580" s="639"/>
      <c r="X580" s="640" t="str">
        <f>IFERROR(VLOOKUP(W580,Listas!$A$60:$B$73,2,FALSE),"Alerta: Seleccione primero Modalidad de selección")</f>
        <v>Alerta: Seleccione primero Modalidad de selección</v>
      </c>
      <c r="Y580" s="641">
        <v>0</v>
      </c>
      <c r="Z580" s="641"/>
      <c r="AA580" s="641"/>
      <c r="AB580" s="642">
        <f t="shared" si="178"/>
        <v>0</v>
      </c>
      <c r="AC580" s="642">
        <f t="shared" si="179"/>
        <v>0</v>
      </c>
      <c r="AD580" s="641">
        <v>0</v>
      </c>
      <c r="AE580" s="643">
        <v>0</v>
      </c>
      <c r="AF580" s="639" t="s">
        <v>276</v>
      </c>
      <c r="AG580" s="639" t="s">
        <v>277</v>
      </c>
      <c r="AH580" s="639"/>
      <c r="AI580" s="626" t="str">
        <f>IFERROR(VLOOKUP(AH580,Listas!$A$77:$C$83,2,FALSE),"Alerta: Seleccione primero el responsable")</f>
        <v>Alerta: Seleccione primero el responsable</v>
      </c>
      <c r="AJ580" s="640" t="str">
        <f>IFERROR(VLOOKUP(AH580,Listas!$A$77:$C$83,3,FALSE),"Alerta: Seleccione primero el responsable")</f>
        <v>Alerta: Seleccione primero el responsable</v>
      </c>
      <c r="AK580" s="640" t="str">
        <f>IF(J580="Funcionamiento Gastos Generales","No aplica",IF(J580="Funcionamiento Servicios Personales indirectos","No aplica",IFERROR(VLOOKUP(J580,Listas!$A$127:$E$139,3,FALSE),"Alerta: Seleccione la celda en la comumna B con el nombre del proyecto")))</f>
        <v>Alerta: Seleccione la celda en la comumna B con el nombre del proyecto</v>
      </c>
      <c r="AL580" s="640" t="str">
        <f>IF(J580="Funcionamiento Gastos Generales","No aplica",IF(J580="Funcionamiento Servicios Personales","No aplica",IFERROR(VLOOKUP(J580,Listas!$A$220:$D$224,2,FALSE),"Alerta: Seleccione la celda en la comumna B con el nombre del proyecto")))</f>
        <v>Alerta: Seleccione la celda en la comumna B con el nombre del proyecto</v>
      </c>
      <c r="AM580" s="640" t="str">
        <f>IF(J580="Funcionamiento Gastos Generales","No aplica",IF(J580="Funcionamiento Servicios Personales","No aplica",IFERROR(VLOOKUP(J580,Listas!$A$220:$D$224,3,FALSE),"Alerta: Seleccione la celda en la comumna B con el nombre del proyecto")))</f>
        <v>Alerta: Seleccione la celda en la comumna B con el nombre del proyecto</v>
      </c>
      <c r="AN580" s="633"/>
      <c r="AO580" s="633"/>
      <c r="AP580" s="634" t="str">
        <f>IFERROR(VLOOKUP(J580,Listas!$A$182:$E$215,5,FALSE),"Alerta: Seleccione la celda en la comumna B con el nombre del proyecto")</f>
        <v>Alerta: Seleccione la celda en la comumna B con el nombre del proyecto</v>
      </c>
      <c r="AQ580" s="634" t="str">
        <f>IF(J580="Funcionamiento Gastos Generales","No aplica",IF(J580="Funcionamiento Servicios Personales","No aplica",IFERROR(VLOOKUP(J580,Listas!$A$220:$D$224,4,FALSE),"Alerta: Seleccione la celda en la comumna B con el nombre del proyecto")))</f>
        <v>Alerta: Seleccione la celda en la comumna B con el nombre del proyecto</v>
      </c>
      <c r="AR580" s="633"/>
      <c r="AS580" s="634" t="str">
        <f>IFERROR(VLOOKUP(AU580,Listas!$E$85:$L$105,7,FALSE),"Alerta: Seleccione la celda en la comumna AI con el concepto de gasto")</f>
        <v>Alerta: Seleccione la celda en la comumna AI con el concepto de gasto</v>
      </c>
      <c r="AT580" s="634" t="str">
        <f>IFERROR(VLOOKUP(AU580,Listas!$E$85:$L$105,8,FALSE),"Alerta: Seleccione la celda en la comumna AI con el concepto de gasto")</f>
        <v>Alerta: Seleccione la celda en la comumna AI con el concepto de gasto</v>
      </c>
      <c r="AU580" s="633"/>
      <c r="AV580" s="634" t="str">
        <f>IFERROR(VLOOKUP(AU580,Listas!$E$85:$F$105,2,FALSE),"Alerta: Seleccione el Concepto de Gasto primero")</f>
        <v>Alerta: Seleccione el Concepto de Gasto primero</v>
      </c>
      <c r="AW580" s="644"/>
      <c r="AX580" s="645"/>
      <c r="AY580" s="645"/>
      <c r="AZ580" s="645"/>
      <c r="BA580" s="646">
        <f t="shared" si="180"/>
        <v>0</v>
      </c>
      <c r="BB580" s="647"/>
      <c r="BC580" s="648"/>
      <c r="BD580" s="649"/>
      <c r="BE580" s="647"/>
      <c r="BF580" s="644"/>
      <c r="BG580" s="646">
        <f t="shared" si="181"/>
        <v>0</v>
      </c>
      <c r="BH580" s="650"/>
      <c r="BI580" s="647"/>
      <c r="BJ580" s="644"/>
      <c r="BK580" s="646">
        <f t="shared" si="182"/>
        <v>0</v>
      </c>
      <c r="BL580" s="651"/>
      <c r="BM580" s="652">
        <f t="shared" si="183"/>
        <v>1</v>
      </c>
      <c r="BN580" s="628"/>
      <c r="BO580" s="670"/>
      <c r="BP580" s="644"/>
      <c r="BQ580" s="644"/>
      <c r="BR580" s="644"/>
      <c r="BS580" s="644"/>
      <c r="BT580" s="644"/>
      <c r="BU580" s="644"/>
      <c r="BV580" s="644"/>
      <c r="BW580" s="644"/>
      <c r="BX580" s="644"/>
      <c r="BY580" s="644"/>
      <c r="BZ580" s="644"/>
      <c r="CA580" s="644"/>
      <c r="CB580" s="646">
        <f t="shared" si="184"/>
        <v>0</v>
      </c>
      <c r="CC580" s="646">
        <f t="shared" si="185"/>
        <v>0</v>
      </c>
      <c r="CD580" s="614"/>
    </row>
    <row r="581" spans="1:85" s="561" customFormat="1" ht="61.5" customHeight="1">
      <c r="A581" s="625" t="str">
        <f t="shared" si="167"/>
        <v>proyecto-Alerta: Seleccione la celda en la comumna B con el nombre del proyecto-Al-Al--</v>
      </c>
      <c r="B581" s="626" t="str">
        <f t="shared" si="168"/>
        <v>proyecto-Alerta: Seleccione la celda en la comumna B con el nombre del proyecto-Al-Al-</v>
      </c>
      <c r="C581" s="626" t="str">
        <f t="shared" si="169"/>
        <v>proyecto-Alerta: Seleccione la celda en la comumna B con el nombre del proyecto-</v>
      </c>
      <c r="D581" s="626" t="str">
        <f t="shared" si="170"/>
        <v>proyecto--Al-Al-</v>
      </c>
      <c r="E581" s="626" t="str">
        <f t="shared" si="171"/>
        <v>--</v>
      </c>
      <c r="F581" s="627"/>
      <c r="G581" s="628">
        <f t="shared" si="172"/>
        <v>0</v>
      </c>
      <c r="H581" s="629" t="b">
        <f t="shared" si="173"/>
        <v>1</v>
      </c>
      <c r="I581" s="630"/>
      <c r="J581" s="627"/>
      <c r="K581" s="631" t="str">
        <f>+IFERROR(VLOOKUP(J581,Listas!$A$108:$B$114,2,FALSE),"Alerta: Seleccione la celda en la comumna B con el nombre del proyecto")</f>
        <v>Alerta: Seleccione la celda en la comumna B con el nombre del proyecto</v>
      </c>
      <c r="L581" s="632"/>
      <c r="M581" s="633"/>
      <c r="N581" s="634" t="str">
        <f t="shared" si="174"/>
        <v xml:space="preserve">(Cód. ) </v>
      </c>
      <c r="O581" s="635"/>
      <c r="P581" s="636">
        <f>IFERROR(VLOOKUP(W581,'Estimación CRP'!$D$21:$E$30,2,FALSE),0)</f>
        <v>0</v>
      </c>
      <c r="Q581" s="637">
        <f>IF(O581="No aplica","No aplica",WORKDAY.INTL(O581,P581,1,'Estimación CRP'!A767:A783))</f>
        <v>0</v>
      </c>
      <c r="R581" s="636">
        <f t="shared" si="175"/>
        <v>1</v>
      </c>
      <c r="S581" s="636">
        <f t="shared" si="176"/>
        <v>1</v>
      </c>
      <c r="T581" s="636">
        <f t="shared" si="177"/>
        <v>1</v>
      </c>
      <c r="U581" s="638"/>
      <c r="V581" s="638"/>
      <c r="W581" s="639"/>
      <c r="X581" s="640" t="str">
        <f>IFERROR(VLOOKUP(W581,Listas!$A$60:$B$73,2,FALSE),"Alerta: Seleccione primero Modalidad de selección")</f>
        <v>Alerta: Seleccione primero Modalidad de selección</v>
      </c>
      <c r="Y581" s="641">
        <v>0</v>
      </c>
      <c r="Z581" s="641"/>
      <c r="AA581" s="641"/>
      <c r="AB581" s="642">
        <f t="shared" si="178"/>
        <v>0</v>
      </c>
      <c r="AC581" s="642">
        <f t="shared" si="179"/>
        <v>0</v>
      </c>
      <c r="AD581" s="641">
        <v>0</v>
      </c>
      <c r="AE581" s="643">
        <v>0</v>
      </c>
      <c r="AF581" s="639" t="s">
        <v>276</v>
      </c>
      <c r="AG581" s="639" t="s">
        <v>277</v>
      </c>
      <c r="AH581" s="639"/>
      <c r="AI581" s="626" t="str">
        <f>IFERROR(VLOOKUP(AH581,Listas!$A$77:$C$83,2,FALSE),"Alerta: Seleccione primero el responsable")</f>
        <v>Alerta: Seleccione primero el responsable</v>
      </c>
      <c r="AJ581" s="640" t="str">
        <f>IFERROR(VLOOKUP(AH581,Listas!$A$77:$C$83,3,FALSE),"Alerta: Seleccione primero el responsable")</f>
        <v>Alerta: Seleccione primero el responsable</v>
      </c>
      <c r="AK581" s="640" t="str">
        <f>IF(J581="Funcionamiento Gastos Generales","No aplica",IF(J581="Funcionamiento Servicios Personales indirectos","No aplica",IFERROR(VLOOKUP(J581,Listas!$A$127:$E$139,3,FALSE),"Alerta: Seleccione la celda en la comumna B con el nombre del proyecto")))</f>
        <v>Alerta: Seleccione la celda en la comumna B con el nombre del proyecto</v>
      </c>
      <c r="AL581" s="640" t="str">
        <f>IF(J581="Funcionamiento Gastos Generales","No aplica",IF(J581="Funcionamiento Servicios Personales","No aplica",IFERROR(VLOOKUP(J581,Listas!$A$220:$D$224,2,FALSE),"Alerta: Seleccione la celda en la comumna B con el nombre del proyecto")))</f>
        <v>Alerta: Seleccione la celda en la comumna B con el nombre del proyecto</v>
      </c>
      <c r="AM581" s="640" t="str">
        <f>IF(J581="Funcionamiento Gastos Generales","No aplica",IF(J581="Funcionamiento Servicios Personales","No aplica",IFERROR(VLOOKUP(J581,Listas!$A$220:$D$224,3,FALSE),"Alerta: Seleccione la celda en la comumna B con el nombre del proyecto")))</f>
        <v>Alerta: Seleccione la celda en la comumna B con el nombre del proyecto</v>
      </c>
      <c r="AN581" s="633"/>
      <c r="AO581" s="633"/>
      <c r="AP581" s="634" t="str">
        <f>IFERROR(VLOOKUP(J581,Listas!$A$182:$E$215,5,FALSE),"Alerta: Seleccione la celda en la comumna B con el nombre del proyecto")</f>
        <v>Alerta: Seleccione la celda en la comumna B con el nombre del proyecto</v>
      </c>
      <c r="AQ581" s="634" t="str">
        <f>IF(J581="Funcionamiento Gastos Generales","No aplica",IF(J581="Funcionamiento Servicios Personales","No aplica",IFERROR(VLOOKUP(J581,Listas!$A$220:$D$224,4,FALSE),"Alerta: Seleccione la celda en la comumna B con el nombre del proyecto")))</f>
        <v>Alerta: Seleccione la celda en la comumna B con el nombre del proyecto</v>
      </c>
      <c r="AR581" s="633"/>
      <c r="AS581" s="634" t="str">
        <f>IFERROR(VLOOKUP(AU581,Listas!$E$85:$L$105,7,FALSE),"Alerta: Seleccione la celda en la comumna AI con el concepto de gasto")</f>
        <v>Alerta: Seleccione la celda en la comumna AI con el concepto de gasto</v>
      </c>
      <c r="AT581" s="634" t="str">
        <f>IFERROR(VLOOKUP(AU581,Listas!$E$85:$L$105,8,FALSE),"Alerta: Seleccione la celda en la comumna AI con el concepto de gasto")</f>
        <v>Alerta: Seleccione la celda en la comumna AI con el concepto de gasto</v>
      </c>
      <c r="AU581" s="633"/>
      <c r="AV581" s="634" t="str">
        <f>IFERROR(VLOOKUP(AU581,Listas!$E$85:$F$105,2,FALSE),"Alerta: Seleccione el Concepto de Gasto primero")</f>
        <v>Alerta: Seleccione el Concepto de Gasto primero</v>
      </c>
      <c r="AW581" s="644"/>
      <c r="AX581" s="645"/>
      <c r="AY581" s="645"/>
      <c r="AZ581" s="645"/>
      <c r="BA581" s="646">
        <f t="shared" si="180"/>
        <v>0</v>
      </c>
      <c r="BB581" s="647"/>
      <c r="BC581" s="648"/>
      <c r="BD581" s="649"/>
      <c r="BE581" s="647"/>
      <c r="BF581" s="644"/>
      <c r="BG581" s="646">
        <f t="shared" si="181"/>
        <v>0</v>
      </c>
      <c r="BH581" s="650"/>
      <c r="BI581" s="647"/>
      <c r="BJ581" s="644"/>
      <c r="BK581" s="646">
        <f t="shared" si="182"/>
        <v>0</v>
      </c>
      <c r="BL581" s="651"/>
      <c r="BM581" s="652">
        <f t="shared" si="183"/>
        <v>1</v>
      </c>
      <c r="BN581" s="628"/>
      <c r="BO581" s="670"/>
      <c r="BP581" s="644"/>
      <c r="BQ581" s="644"/>
      <c r="BR581" s="644"/>
      <c r="BS581" s="644"/>
      <c r="BT581" s="644"/>
      <c r="BU581" s="644"/>
      <c r="BV581" s="644"/>
      <c r="BW581" s="644"/>
      <c r="BX581" s="644"/>
      <c r="BY581" s="644"/>
      <c r="BZ581" s="644"/>
      <c r="CA581" s="644"/>
      <c r="CB581" s="646">
        <f t="shared" si="184"/>
        <v>0</v>
      </c>
      <c r="CC581" s="646">
        <f t="shared" si="185"/>
        <v>0</v>
      </c>
      <c r="CD581" s="614"/>
    </row>
    <row r="582" spans="1:85" s="561" customFormat="1" ht="61.5" customHeight="1">
      <c r="A582" s="625" t="str">
        <f t="shared" si="167"/>
        <v>proyecto-Alerta: Seleccione la celda en la comumna B con el nombre del proyecto-Al-Al--</v>
      </c>
      <c r="B582" s="626" t="str">
        <f t="shared" si="168"/>
        <v>proyecto-Alerta: Seleccione la celda en la comumna B con el nombre del proyecto-Al-Al-</v>
      </c>
      <c r="C582" s="626" t="str">
        <f t="shared" si="169"/>
        <v>proyecto-Alerta: Seleccione la celda en la comumna B con el nombre del proyecto-</v>
      </c>
      <c r="D582" s="626" t="str">
        <f t="shared" si="170"/>
        <v>proyecto--Al-Al-</v>
      </c>
      <c r="E582" s="626" t="str">
        <f t="shared" si="171"/>
        <v>--</v>
      </c>
      <c r="F582" s="627"/>
      <c r="G582" s="628">
        <f t="shared" si="172"/>
        <v>0</v>
      </c>
      <c r="H582" s="629" t="b">
        <f t="shared" si="173"/>
        <v>1</v>
      </c>
      <c r="I582" s="630"/>
      <c r="J582" s="627"/>
      <c r="K582" s="631" t="str">
        <f>+IFERROR(VLOOKUP(J582,Listas!$A$108:$B$114,2,FALSE),"Alerta: Seleccione la celda en la comumna B con el nombre del proyecto")</f>
        <v>Alerta: Seleccione la celda en la comumna B con el nombre del proyecto</v>
      </c>
      <c r="L582" s="632"/>
      <c r="M582" s="633"/>
      <c r="N582" s="634" t="str">
        <f t="shared" si="174"/>
        <v xml:space="preserve">(Cód. ) </v>
      </c>
      <c r="O582" s="635"/>
      <c r="P582" s="636">
        <f>IFERROR(VLOOKUP(W582,'Estimación CRP'!$D$21:$E$30,2,FALSE),0)</f>
        <v>0</v>
      </c>
      <c r="Q582" s="637">
        <f>IF(O582="No aplica","No aplica",WORKDAY.INTL(O582,P582,1,'Estimación CRP'!A768:A784))</f>
        <v>0</v>
      </c>
      <c r="R582" s="636">
        <f t="shared" si="175"/>
        <v>1</v>
      </c>
      <c r="S582" s="636">
        <f t="shared" si="176"/>
        <v>1</v>
      </c>
      <c r="T582" s="636">
        <f t="shared" si="177"/>
        <v>1</v>
      </c>
      <c r="U582" s="638"/>
      <c r="V582" s="638"/>
      <c r="W582" s="639"/>
      <c r="X582" s="640" t="str">
        <f>IFERROR(VLOOKUP(W582,Listas!$A$60:$B$73,2,FALSE),"Alerta: Seleccione primero Modalidad de selección")</f>
        <v>Alerta: Seleccione primero Modalidad de selección</v>
      </c>
      <c r="Y582" s="641">
        <v>0</v>
      </c>
      <c r="Z582" s="641"/>
      <c r="AA582" s="641"/>
      <c r="AB582" s="642">
        <f t="shared" si="178"/>
        <v>0</v>
      </c>
      <c r="AC582" s="642">
        <f t="shared" si="179"/>
        <v>0</v>
      </c>
      <c r="AD582" s="641">
        <v>0</v>
      </c>
      <c r="AE582" s="643">
        <v>0</v>
      </c>
      <c r="AF582" s="639" t="s">
        <v>276</v>
      </c>
      <c r="AG582" s="639" t="s">
        <v>277</v>
      </c>
      <c r="AH582" s="639"/>
      <c r="AI582" s="626" t="str">
        <f>IFERROR(VLOOKUP(AH582,Listas!$A$77:$C$83,2,FALSE),"Alerta: Seleccione primero el responsable")</f>
        <v>Alerta: Seleccione primero el responsable</v>
      </c>
      <c r="AJ582" s="640" t="str">
        <f>IFERROR(VLOOKUP(AH582,Listas!$A$77:$C$83,3,FALSE),"Alerta: Seleccione primero el responsable")</f>
        <v>Alerta: Seleccione primero el responsable</v>
      </c>
      <c r="AK582" s="640" t="str">
        <f>IF(J582="Funcionamiento Gastos Generales","No aplica",IF(J582="Funcionamiento Servicios Personales indirectos","No aplica",IFERROR(VLOOKUP(J582,Listas!$A$127:$E$139,3,FALSE),"Alerta: Seleccione la celda en la comumna B con el nombre del proyecto")))</f>
        <v>Alerta: Seleccione la celda en la comumna B con el nombre del proyecto</v>
      </c>
      <c r="AL582" s="640" t="str">
        <f>IF(J582="Funcionamiento Gastos Generales","No aplica",IF(J582="Funcionamiento Servicios Personales","No aplica",IFERROR(VLOOKUP(J582,Listas!$A$220:$D$224,2,FALSE),"Alerta: Seleccione la celda en la comumna B con el nombre del proyecto")))</f>
        <v>Alerta: Seleccione la celda en la comumna B con el nombre del proyecto</v>
      </c>
      <c r="AM582" s="640" t="str">
        <f>IF(J582="Funcionamiento Gastos Generales","No aplica",IF(J582="Funcionamiento Servicios Personales","No aplica",IFERROR(VLOOKUP(J582,Listas!$A$220:$D$224,3,FALSE),"Alerta: Seleccione la celda en la comumna B con el nombre del proyecto")))</f>
        <v>Alerta: Seleccione la celda en la comumna B con el nombre del proyecto</v>
      </c>
      <c r="AN582" s="633"/>
      <c r="AO582" s="633"/>
      <c r="AP582" s="634" t="str">
        <f>IFERROR(VLOOKUP(J582,Listas!$A$182:$E$215,5,FALSE),"Alerta: Seleccione la celda en la comumna B con el nombre del proyecto")</f>
        <v>Alerta: Seleccione la celda en la comumna B con el nombre del proyecto</v>
      </c>
      <c r="AQ582" s="634" t="str">
        <f>IF(J582="Funcionamiento Gastos Generales","No aplica",IF(J582="Funcionamiento Servicios Personales","No aplica",IFERROR(VLOOKUP(J582,Listas!$A$220:$D$224,4,FALSE),"Alerta: Seleccione la celda en la comumna B con el nombre del proyecto")))</f>
        <v>Alerta: Seleccione la celda en la comumna B con el nombre del proyecto</v>
      </c>
      <c r="AR582" s="633"/>
      <c r="AS582" s="634" t="str">
        <f>IFERROR(VLOOKUP(AU582,Listas!$E$85:$L$105,7,FALSE),"Alerta: Seleccione la celda en la comumna AI con el concepto de gasto")</f>
        <v>Alerta: Seleccione la celda en la comumna AI con el concepto de gasto</v>
      </c>
      <c r="AT582" s="634" t="str">
        <f>IFERROR(VLOOKUP(AU582,Listas!$E$85:$L$105,8,FALSE),"Alerta: Seleccione la celda en la comumna AI con el concepto de gasto")</f>
        <v>Alerta: Seleccione la celda en la comumna AI con el concepto de gasto</v>
      </c>
      <c r="AU582" s="633"/>
      <c r="AV582" s="634" t="str">
        <f>IFERROR(VLOOKUP(AU582,Listas!$E$85:$F$105,2,FALSE),"Alerta: Seleccione el Concepto de Gasto primero")</f>
        <v>Alerta: Seleccione el Concepto de Gasto primero</v>
      </c>
      <c r="AW582" s="644"/>
      <c r="AX582" s="645"/>
      <c r="AY582" s="645"/>
      <c r="AZ582" s="645"/>
      <c r="BA582" s="646">
        <f t="shared" si="180"/>
        <v>0</v>
      </c>
      <c r="BB582" s="647"/>
      <c r="BC582" s="648"/>
      <c r="BD582" s="649"/>
      <c r="BE582" s="647"/>
      <c r="BF582" s="644"/>
      <c r="BG582" s="646">
        <f t="shared" si="181"/>
        <v>0</v>
      </c>
      <c r="BH582" s="650"/>
      <c r="BI582" s="647"/>
      <c r="BJ582" s="644"/>
      <c r="BK582" s="646">
        <f t="shared" si="182"/>
        <v>0</v>
      </c>
      <c r="BL582" s="651"/>
      <c r="BM582" s="652">
        <f t="shared" si="183"/>
        <v>1</v>
      </c>
      <c r="BN582" s="628"/>
      <c r="BO582" s="670"/>
      <c r="BP582" s="644"/>
      <c r="BQ582" s="644"/>
      <c r="BR582" s="644"/>
      <c r="BS582" s="644"/>
      <c r="BT582" s="644"/>
      <c r="BU582" s="644"/>
      <c r="BV582" s="644"/>
      <c r="BW582" s="644"/>
      <c r="BX582" s="644"/>
      <c r="BY582" s="644"/>
      <c r="BZ582" s="644"/>
      <c r="CA582" s="644"/>
      <c r="CB582" s="646">
        <f t="shared" si="184"/>
        <v>0</v>
      </c>
      <c r="CC582" s="646">
        <f t="shared" si="185"/>
        <v>0</v>
      </c>
      <c r="CD582" s="614"/>
    </row>
    <row r="583" spans="1:85" s="561" customFormat="1" ht="61.5" customHeight="1">
      <c r="A583" s="625" t="str">
        <f t="shared" si="167"/>
        <v>proyecto-Alerta: Seleccione la celda en la comumna B con el nombre del proyecto-Al-Al--</v>
      </c>
      <c r="B583" s="626" t="str">
        <f t="shared" si="168"/>
        <v>proyecto-Alerta: Seleccione la celda en la comumna B con el nombre del proyecto-Al-Al-</v>
      </c>
      <c r="C583" s="626" t="str">
        <f t="shared" si="169"/>
        <v>proyecto-Alerta: Seleccione la celda en la comumna B con el nombre del proyecto-</v>
      </c>
      <c r="D583" s="626" t="str">
        <f t="shared" si="170"/>
        <v>proyecto--Al-Al-</v>
      </c>
      <c r="E583" s="626" t="str">
        <f t="shared" si="171"/>
        <v>--</v>
      </c>
      <c r="F583" s="627"/>
      <c r="G583" s="628">
        <f t="shared" si="172"/>
        <v>0</v>
      </c>
      <c r="H583" s="629" t="b">
        <f t="shared" si="173"/>
        <v>1</v>
      </c>
      <c r="I583" s="630"/>
      <c r="J583" s="627"/>
      <c r="K583" s="631" t="str">
        <f>+IFERROR(VLOOKUP(J583,Listas!$A$108:$B$114,2,FALSE),"Alerta: Seleccione la celda en la comumna B con el nombre del proyecto")</f>
        <v>Alerta: Seleccione la celda en la comumna B con el nombre del proyecto</v>
      </c>
      <c r="L583" s="632"/>
      <c r="M583" s="633"/>
      <c r="N583" s="634" t="str">
        <f t="shared" si="174"/>
        <v xml:space="preserve">(Cód. ) </v>
      </c>
      <c r="O583" s="635"/>
      <c r="P583" s="636">
        <f>IFERROR(VLOOKUP(W583,'Estimación CRP'!$D$21:$E$30,2,FALSE),0)</f>
        <v>0</v>
      </c>
      <c r="Q583" s="637">
        <f>IF(O583="No aplica","No aplica",WORKDAY.INTL(O583,P583,1,'Estimación CRP'!A769:A785))</f>
        <v>0</v>
      </c>
      <c r="R583" s="636">
        <f t="shared" si="175"/>
        <v>1</v>
      </c>
      <c r="S583" s="636">
        <f t="shared" si="176"/>
        <v>1</v>
      </c>
      <c r="T583" s="636">
        <f t="shared" si="177"/>
        <v>1</v>
      </c>
      <c r="U583" s="638"/>
      <c r="V583" s="638"/>
      <c r="W583" s="639"/>
      <c r="X583" s="640" t="str">
        <f>IFERROR(VLOOKUP(W583,Listas!$A$60:$B$73,2,FALSE),"Alerta: Seleccione primero Modalidad de selección")</f>
        <v>Alerta: Seleccione primero Modalidad de selección</v>
      </c>
      <c r="Y583" s="641">
        <v>0</v>
      </c>
      <c r="Z583" s="641"/>
      <c r="AA583" s="641"/>
      <c r="AB583" s="642">
        <f t="shared" si="178"/>
        <v>0</v>
      </c>
      <c r="AC583" s="642">
        <f t="shared" si="179"/>
        <v>0</v>
      </c>
      <c r="AD583" s="641">
        <v>0</v>
      </c>
      <c r="AE583" s="643">
        <v>0</v>
      </c>
      <c r="AF583" s="639" t="s">
        <v>276</v>
      </c>
      <c r="AG583" s="639" t="s">
        <v>277</v>
      </c>
      <c r="AH583" s="639"/>
      <c r="AI583" s="626" t="str">
        <f>IFERROR(VLOOKUP(AH583,Listas!$A$77:$C$83,2,FALSE),"Alerta: Seleccione primero el responsable")</f>
        <v>Alerta: Seleccione primero el responsable</v>
      </c>
      <c r="AJ583" s="640" t="str">
        <f>IFERROR(VLOOKUP(AH583,Listas!$A$77:$C$83,3,FALSE),"Alerta: Seleccione primero el responsable")</f>
        <v>Alerta: Seleccione primero el responsable</v>
      </c>
      <c r="AK583" s="640" t="str">
        <f>IF(J583="Funcionamiento Gastos Generales","No aplica",IF(J583="Funcionamiento Servicios Personales indirectos","No aplica",IFERROR(VLOOKUP(J583,Listas!$A$127:$E$139,3,FALSE),"Alerta: Seleccione la celda en la comumna B con el nombre del proyecto")))</f>
        <v>Alerta: Seleccione la celda en la comumna B con el nombre del proyecto</v>
      </c>
      <c r="AL583" s="640" t="str">
        <f>IF(J583="Funcionamiento Gastos Generales","No aplica",IF(J583="Funcionamiento Servicios Personales","No aplica",IFERROR(VLOOKUP(J583,Listas!$A$220:$D$224,2,FALSE),"Alerta: Seleccione la celda en la comumna B con el nombre del proyecto")))</f>
        <v>Alerta: Seleccione la celda en la comumna B con el nombre del proyecto</v>
      </c>
      <c r="AM583" s="640" t="str">
        <f>IF(J583="Funcionamiento Gastos Generales","No aplica",IF(J583="Funcionamiento Servicios Personales","No aplica",IFERROR(VLOOKUP(J583,Listas!$A$220:$D$224,3,FALSE),"Alerta: Seleccione la celda en la comumna B con el nombre del proyecto")))</f>
        <v>Alerta: Seleccione la celda en la comumna B con el nombre del proyecto</v>
      </c>
      <c r="AN583" s="633"/>
      <c r="AO583" s="633"/>
      <c r="AP583" s="634" t="str">
        <f>IFERROR(VLOOKUP(J583,Listas!$A$182:$E$215,5,FALSE),"Alerta: Seleccione la celda en la comumna B con el nombre del proyecto")</f>
        <v>Alerta: Seleccione la celda en la comumna B con el nombre del proyecto</v>
      </c>
      <c r="AQ583" s="634" t="str">
        <f>IF(J583="Funcionamiento Gastos Generales","No aplica",IF(J583="Funcionamiento Servicios Personales","No aplica",IFERROR(VLOOKUP(J583,Listas!$A$220:$D$224,4,FALSE),"Alerta: Seleccione la celda en la comumna B con el nombre del proyecto")))</f>
        <v>Alerta: Seleccione la celda en la comumna B con el nombre del proyecto</v>
      </c>
      <c r="AR583" s="633"/>
      <c r="AS583" s="634" t="str">
        <f>IFERROR(VLOOKUP(AU583,Listas!$E$85:$L$105,7,FALSE),"Alerta: Seleccione la celda en la comumna AI con el concepto de gasto")</f>
        <v>Alerta: Seleccione la celda en la comumna AI con el concepto de gasto</v>
      </c>
      <c r="AT583" s="634" t="str">
        <f>IFERROR(VLOOKUP(AU583,Listas!$E$85:$L$105,8,FALSE),"Alerta: Seleccione la celda en la comumna AI con el concepto de gasto")</f>
        <v>Alerta: Seleccione la celda en la comumna AI con el concepto de gasto</v>
      </c>
      <c r="AU583" s="633"/>
      <c r="AV583" s="634" t="str">
        <f>IFERROR(VLOOKUP(AU583,Listas!$E$85:$F$105,2,FALSE),"Alerta: Seleccione el Concepto de Gasto primero")</f>
        <v>Alerta: Seleccione el Concepto de Gasto primero</v>
      </c>
      <c r="AW583" s="644"/>
      <c r="AX583" s="645"/>
      <c r="AY583" s="645"/>
      <c r="AZ583" s="645"/>
      <c r="BA583" s="646">
        <f t="shared" si="180"/>
        <v>0</v>
      </c>
      <c r="BB583" s="647"/>
      <c r="BC583" s="648"/>
      <c r="BD583" s="649"/>
      <c r="BE583" s="647"/>
      <c r="BF583" s="644"/>
      <c r="BG583" s="646">
        <f t="shared" si="181"/>
        <v>0</v>
      </c>
      <c r="BH583" s="650"/>
      <c r="BI583" s="647"/>
      <c r="BJ583" s="644"/>
      <c r="BK583" s="646">
        <f t="shared" si="182"/>
        <v>0</v>
      </c>
      <c r="BL583" s="651"/>
      <c r="BM583" s="652">
        <f t="shared" si="183"/>
        <v>1</v>
      </c>
      <c r="BN583" s="628"/>
      <c r="BO583" s="670"/>
      <c r="BP583" s="644"/>
      <c r="BQ583" s="644"/>
      <c r="BR583" s="644"/>
      <c r="BS583" s="644"/>
      <c r="BT583" s="644"/>
      <c r="BU583" s="644"/>
      <c r="BV583" s="644"/>
      <c r="BW583" s="644"/>
      <c r="BX583" s="644"/>
      <c r="BY583" s="644"/>
      <c r="BZ583" s="644"/>
      <c r="CA583" s="644"/>
      <c r="CB583" s="646">
        <f t="shared" si="184"/>
        <v>0</v>
      </c>
      <c r="CC583" s="646">
        <f t="shared" si="185"/>
        <v>0</v>
      </c>
      <c r="CD583" s="614"/>
    </row>
    <row r="584" spans="1:85" s="561" customFormat="1" ht="61.5" customHeight="1">
      <c r="A584" s="625" t="str">
        <f t="shared" si="167"/>
        <v>proyecto-Alerta: Seleccione la celda en la comumna B con el nombre del proyecto-Al-Al--</v>
      </c>
      <c r="B584" s="626" t="str">
        <f t="shared" si="168"/>
        <v>proyecto-Alerta: Seleccione la celda en la comumna B con el nombre del proyecto-Al-Al-</v>
      </c>
      <c r="C584" s="626" t="str">
        <f t="shared" si="169"/>
        <v>proyecto-Alerta: Seleccione la celda en la comumna B con el nombre del proyecto-</v>
      </c>
      <c r="D584" s="626" t="str">
        <f t="shared" si="170"/>
        <v>proyecto--Al-Al-</v>
      </c>
      <c r="E584" s="626" t="str">
        <f t="shared" si="171"/>
        <v>--</v>
      </c>
      <c r="F584" s="627"/>
      <c r="G584" s="628">
        <f t="shared" si="172"/>
        <v>0</v>
      </c>
      <c r="H584" s="629" t="b">
        <f t="shared" si="173"/>
        <v>1</v>
      </c>
      <c r="I584" s="630"/>
      <c r="J584" s="627"/>
      <c r="K584" s="631" t="str">
        <f>+IFERROR(VLOOKUP(J584,Listas!$A$108:$B$114,2,FALSE),"Alerta: Seleccione la celda en la comumna B con el nombre del proyecto")</f>
        <v>Alerta: Seleccione la celda en la comumna B con el nombre del proyecto</v>
      </c>
      <c r="L584" s="632"/>
      <c r="M584" s="633"/>
      <c r="N584" s="634" t="str">
        <f t="shared" si="174"/>
        <v xml:space="preserve">(Cód. ) </v>
      </c>
      <c r="O584" s="635"/>
      <c r="P584" s="636">
        <f>IFERROR(VLOOKUP(W584,'Estimación CRP'!$D$21:$E$30,2,FALSE),0)</f>
        <v>0</v>
      </c>
      <c r="Q584" s="637">
        <f>IF(O584="No aplica","No aplica",WORKDAY.INTL(O584,P584,1,'Estimación CRP'!A770:A786))</f>
        <v>0</v>
      </c>
      <c r="R584" s="636">
        <f t="shared" si="175"/>
        <v>1</v>
      </c>
      <c r="S584" s="636">
        <f t="shared" si="176"/>
        <v>1</v>
      </c>
      <c r="T584" s="636">
        <f t="shared" si="177"/>
        <v>1</v>
      </c>
      <c r="U584" s="638"/>
      <c r="V584" s="638"/>
      <c r="W584" s="639"/>
      <c r="X584" s="640" t="str">
        <f>IFERROR(VLOOKUP(W584,Listas!$A$60:$B$73,2,FALSE),"Alerta: Seleccione primero Modalidad de selección")</f>
        <v>Alerta: Seleccione primero Modalidad de selección</v>
      </c>
      <c r="Y584" s="641">
        <v>0</v>
      </c>
      <c r="Z584" s="641"/>
      <c r="AA584" s="641"/>
      <c r="AB584" s="642">
        <f t="shared" si="178"/>
        <v>0</v>
      </c>
      <c r="AC584" s="642">
        <f t="shared" si="179"/>
        <v>0</v>
      </c>
      <c r="AD584" s="641">
        <v>0</v>
      </c>
      <c r="AE584" s="643">
        <v>0</v>
      </c>
      <c r="AF584" s="639" t="s">
        <v>276</v>
      </c>
      <c r="AG584" s="639" t="s">
        <v>277</v>
      </c>
      <c r="AH584" s="639"/>
      <c r="AI584" s="626" t="str">
        <f>IFERROR(VLOOKUP(AH584,Listas!$A$77:$C$83,2,FALSE),"Alerta: Seleccione primero el responsable")</f>
        <v>Alerta: Seleccione primero el responsable</v>
      </c>
      <c r="AJ584" s="640" t="str">
        <f>IFERROR(VLOOKUP(AH584,Listas!$A$77:$C$83,3,FALSE),"Alerta: Seleccione primero el responsable")</f>
        <v>Alerta: Seleccione primero el responsable</v>
      </c>
      <c r="AK584" s="640" t="str">
        <f>IF(J584="Funcionamiento Gastos Generales","No aplica",IF(J584="Funcionamiento Servicios Personales indirectos","No aplica",IFERROR(VLOOKUP(J584,Listas!$A$127:$E$139,3,FALSE),"Alerta: Seleccione la celda en la comumna B con el nombre del proyecto")))</f>
        <v>Alerta: Seleccione la celda en la comumna B con el nombre del proyecto</v>
      </c>
      <c r="AL584" s="640" t="str">
        <f>IF(J584="Funcionamiento Gastos Generales","No aplica",IF(J584="Funcionamiento Servicios Personales","No aplica",IFERROR(VLOOKUP(J584,Listas!$A$220:$D$224,2,FALSE),"Alerta: Seleccione la celda en la comumna B con el nombre del proyecto")))</f>
        <v>Alerta: Seleccione la celda en la comumna B con el nombre del proyecto</v>
      </c>
      <c r="AM584" s="640" t="str">
        <f>IF(J584="Funcionamiento Gastos Generales","No aplica",IF(J584="Funcionamiento Servicios Personales","No aplica",IFERROR(VLOOKUP(J584,Listas!$A$220:$D$224,3,FALSE),"Alerta: Seleccione la celda en la comumna B con el nombre del proyecto")))</f>
        <v>Alerta: Seleccione la celda en la comumna B con el nombre del proyecto</v>
      </c>
      <c r="AN584" s="633"/>
      <c r="AO584" s="633"/>
      <c r="AP584" s="634" t="str">
        <f>IFERROR(VLOOKUP(J584,Listas!$A$182:$E$215,5,FALSE),"Alerta: Seleccione la celda en la comumna B con el nombre del proyecto")</f>
        <v>Alerta: Seleccione la celda en la comumna B con el nombre del proyecto</v>
      </c>
      <c r="AQ584" s="634" t="str">
        <f>IF(J584="Funcionamiento Gastos Generales","No aplica",IF(J584="Funcionamiento Servicios Personales","No aplica",IFERROR(VLOOKUP(J584,Listas!$A$220:$D$224,4,FALSE),"Alerta: Seleccione la celda en la comumna B con el nombre del proyecto")))</f>
        <v>Alerta: Seleccione la celda en la comumna B con el nombre del proyecto</v>
      </c>
      <c r="AR584" s="633"/>
      <c r="AS584" s="634" t="str">
        <f>IFERROR(VLOOKUP(AU584,Listas!$E$85:$L$105,7,FALSE),"Alerta: Seleccione la celda en la comumna AI con el concepto de gasto")</f>
        <v>Alerta: Seleccione la celda en la comumna AI con el concepto de gasto</v>
      </c>
      <c r="AT584" s="634" t="str">
        <f>IFERROR(VLOOKUP(AU584,Listas!$E$85:$L$105,8,FALSE),"Alerta: Seleccione la celda en la comumna AI con el concepto de gasto")</f>
        <v>Alerta: Seleccione la celda en la comumna AI con el concepto de gasto</v>
      </c>
      <c r="AU584" s="633"/>
      <c r="AV584" s="634" t="str">
        <f>IFERROR(VLOOKUP(AU584,Listas!$E$85:$F$105,2,FALSE),"Alerta: Seleccione el Concepto de Gasto primero")</f>
        <v>Alerta: Seleccione el Concepto de Gasto primero</v>
      </c>
      <c r="AW584" s="644"/>
      <c r="AX584" s="645"/>
      <c r="AY584" s="645"/>
      <c r="AZ584" s="645"/>
      <c r="BA584" s="646">
        <f t="shared" si="180"/>
        <v>0</v>
      </c>
      <c r="BB584" s="647"/>
      <c r="BC584" s="648"/>
      <c r="BD584" s="649"/>
      <c r="BE584" s="647"/>
      <c r="BF584" s="644"/>
      <c r="BG584" s="646">
        <f t="shared" si="181"/>
        <v>0</v>
      </c>
      <c r="BH584" s="650"/>
      <c r="BI584" s="647"/>
      <c r="BJ584" s="644"/>
      <c r="BK584" s="646">
        <f t="shared" si="182"/>
        <v>0</v>
      </c>
      <c r="BL584" s="651"/>
      <c r="BM584" s="652">
        <f t="shared" si="183"/>
        <v>1</v>
      </c>
      <c r="BN584" s="628"/>
      <c r="BO584" s="670"/>
      <c r="BP584" s="644"/>
      <c r="BQ584" s="644"/>
      <c r="BR584" s="644"/>
      <c r="BS584" s="644"/>
      <c r="BT584" s="644"/>
      <c r="BU584" s="644"/>
      <c r="BV584" s="644"/>
      <c r="BW584" s="644"/>
      <c r="BX584" s="644"/>
      <c r="BY584" s="644"/>
      <c r="BZ584" s="644"/>
      <c r="CA584" s="644"/>
      <c r="CB584" s="646">
        <f t="shared" si="184"/>
        <v>0</v>
      </c>
      <c r="CC584" s="646">
        <f t="shared" si="185"/>
        <v>0</v>
      </c>
      <c r="CD584" s="614"/>
    </row>
    <row r="585" spans="1:85" s="561" customFormat="1" ht="61.5" customHeight="1">
      <c r="A585" s="625" t="str">
        <f t="shared" si="167"/>
        <v>proyecto-Alerta: Seleccione la celda en la comumna B con el nombre del proyecto-Al-Al--</v>
      </c>
      <c r="B585" s="626" t="str">
        <f t="shared" si="168"/>
        <v>proyecto-Alerta: Seleccione la celda en la comumna B con el nombre del proyecto-Al-Al-</v>
      </c>
      <c r="C585" s="626" t="str">
        <f t="shared" si="169"/>
        <v>proyecto-Alerta: Seleccione la celda en la comumna B con el nombre del proyecto-</v>
      </c>
      <c r="D585" s="626" t="str">
        <f t="shared" si="170"/>
        <v>proyecto--Al-Al-</v>
      </c>
      <c r="E585" s="626" t="str">
        <f t="shared" si="171"/>
        <v>--</v>
      </c>
      <c r="F585" s="627"/>
      <c r="G585" s="628">
        <f t="shared" si="172"/>
        <v>0</v>
      </c>
      <c r="H585" s="629" t="b">
        <f t="shared" si="173"/>
        <v>1</v>
      </c>
      <c r="I585" s="630"/>
      <c r="J585" s="627"/>
      <c r="K585" s="631" t="str">
        <f>+IFERROR(VLOOKUP(J585,Listas!$A$108:$B$114,2,FALSE),"Alerta: Seleccione la celda en la comumna B con el nombre del proyecto")</f>
        <v>Alerta: Seleccione la celda en la comumna B con el nombre del proyecto</v>
      </c>
      <c r="L585" s="632"/>
      <c r="M585" s="633"/>
      <c r="N585" s="634" t="str">
        <f t="shared" si="174"/>
        <v xml:space="preserve">(Cód. ) </v>
      </c>
      <c r="O585" s="635"/>
      <c r="P585" s="636">
        <f>IFERROR(VLOOKUP(W585,'Estimación CRP'!$D$21:$E$30,2,FALSE),0)</f>
        <v>0</v>
      </c>
      <c r="Q585" s="637">
        <f>IF(O585="No aplica","No aplica",WORKDAY.INTL(O585,P585,1,'Estimación CRP'!A771:A787))</f>
        <v>0</v>
      </c>
      <c r="R585" s="636">
        <f t="shared" si="175"/>
        <v>1</v>
      </c>
      <c r="S585" s="636">
        <f t="shared" si="176"/>
        <v>1</v>
      </c>
      <c r="T585" s="636">
        <f t="shared" si="177"/>
        <v>1</v>
      </c>
      <c r="U585" s="638"/>
      <c r="V585" s="638"/>
      <c r="W585" s="639"/>
      <c r="X585" s="640" t="str">
        <f>IFERROR(VLOOKUP(W585,Listas!$A$60:$B$73,2,FALSE),"Alerta: Seleccione primero Modalidad de selección")</f>
        <v>Alerta: Seleccione primero Modalidad de selección</v>
      </c>
      <c r="Y585" s="641">
        <v>0</v>
      </c>
      <c r="Z585" s="641"/>
      <c r="AA585" s="641"/>
      <c r="AB585" s="642">
        <f t="shared" si="178"/>
        <v>0</v>
      </c>
      <c r="AC585" s="642">
        <f t="shared" si="179"/>
        <v>0</v>
      </c>
      <c r="AD585" s="641">
        <v>0</v>
      </c>
      <c r="AE585" s="643">
        <v>0</v>
      </c>
      <c r="AF585" s="639" t="s">
        <v>276</v>
      </c>
      <c r="AG585" s="639" t="s">
        <v>277</v>
      </c>
      <c r="AH585" s="639"/>
      <c r="AI585" s="626" t="str">
        <f>IFERROR(VLOOKUP(AH585,Listas!$A$77:$C$83,2,FALSE),"Alerta: Seleccione primero el responsable")</f>
        <v>Alerta: Seleccione primero el responsable</v>
      </c>
      <c r="AJ585" s="640" t="str">
        <f>IFERROR(VLOOKUP(AH585,Listas!$A$77:$C$83,3,FALSE),"Alerta: Seleccione primero el responsable")</f>
        <v>Alerta: Seleccione primero el responsable</v>
      </c>
      <c r="AK585" s="640" t="str">
        <f>IF(J585="Funcionamiento Gastos Generales","No aplica",IF(J585="Funcionamiento Servicios Personales indirectos","No aplica",IFERROR(VLOOKUP(J585,Listas!$A$127:$E$139,3,FALSE),"Alerta: Seleccione la celda en la comumna B con el nombre del proyecto")))</f>
        <v>Alerta: Seleccione la celda en la comumna B con el nombre del proyecto</v>
      </c>
      <c r="AL585" s="640" t="str">
        <f>IF(J585="Funcionamiento Gastos Generales","No aplica",IF(J585="Funcionamiento Servicios Personales","No aplica",IFERROR(VLOOKUP(J585,Listas!$A$220:$D$224,2,FALSE),"Alerta: Seleccione la celda en la comumna B con el nombre del proyecto")))</f>
        <v>Alerta: Seleccione la celda en la comumna B con el nombre del proyecto</v>
      </c>
      <c r="AM585" s="640" t="str">
        <f>IF(J585="Funcionamiento Gastos Generales","No aplica",IF(J585="Funcionamiento Servicios Personales","No aplica",IFERROR(VLOOKUP(J585,Listas!$A$220:$D$224,3,FALSE),"Alerta: Seleccione la celda en la comumna B con el nombre del proyecto")))</f>
        <v>Alerta: Seleccione la celda en la comumna B con el nombre del proyecto</v>
      </c>
      <c r="AN585" s="633"/>
      <c r="AO585" s="633"/>
      <c r="AP585" s="634" t="str">
        <f>IFERROR(VLOOKUP(J585,Listas!$A$182:$E$215,5,FALSE),"Alerta: Seleccione la celda en la comumna B con el nombre del proyecto")</f>
        <v>Alerta: Seleccione la celda en la comumna B con el nombre del proyecto</v>
      </c>
      <c r="AQ585" s="634" t="str">
        <f>IF(J585="Funcionamiento Gastos Generales","No aplica",IF(J585="Funcionamiento Servicios Personales","No aplica",IFERROR(VLOOKUP(J585,Listas!$A$220:$D$224,4,FALSE),"Alerta: Seleccione la celda en la comumna B con el nombre del proyecto")))</f>
        <v>Alerta: Seleccione la celda en la comumna B con el nombre del proyecto</v>
      </c>
      <c r="AR585" s="633"/>
      <c r="AS585" s="634" t="str">
        <f>IFERROR(VLOOKUP(AU585,Listas!$E$85:$L$105,7,FALSE),"Alerta: Seleccione la celda en la comumna AI con el concepto de gasto")</f>
        <v>Alerta: Seleccione la celda en la comumna AI con el concepto de gasto</v>
      </c>
      <c r="AT585" s="634" t="str">
        <f>IFERROR(VLOOKUP(AU585,Listas!$E$85:$L$105,8,FALSE),"Alerta: Seleccione la celda en la comumna AI con el concepto de gasto")</f>
        <v>Alerta: Seleccione la celda en la comumna AI con el concepto de gasto</v>
      </c>
      <c r="AU585" s="633"/>
      <c r="AV585" s="634" t="str">
        <f>IFERROR(VLOOKUP(AU585,Listas!$E$85:$F$105,2,FALSE),"Alerta: Seleccione el Concepto de Gasto primero")</f>
        <v>Alerta: Seleccione el Concepto de Gasto primero</v>
      </c>
      <c r="AW585" s="644"/>
      <c r="AX585" s="645"/>
      <c r="AY585" s="645"/>
      <c r="AZ585" s="645"/>
      <c r="BA585" s="646">
        <f t="shared" si="180"/>
        <v>0</v>
      </c>
      <c r="BB585" s="647"/>
      <c r="BC585" s="648"/>
      <c r="BD585" s="649"/>
      <c r="BE585" s="647"/>
      <c r="BF585" s="644"/>
      <c r="BG585" s="646">
        <f t="shared" si="181"/>
        <v>0</v>
      </c>
      <c r="BH585" s="650"/>
      <c r="BI585" s="647"/>
      <c r="BJ585" s="644"/>
      <c r="BK585" s="646">
        <f t="shared" si="182"/>
        <v>0</v>
      </c>
      <c r="BL585" s="651"/>
      <c r="BM585" s="652">
        <f t="shared" si="183"/>
        <v>1</v>
      </c>
      <c r="BN585" s="628"/>
      <c r="BO585" s="670"/>
      <c r="BP585" s="644"/>
      <c r="BQ585" s="644"/>
      <c r="BR585" s="644"/>
      <c r="BS585" s="644"/>
      <c r="BT585" s="644"/>
      <c r="BU585" s="644"/>
      <c r="BV585" s="644"/>
      <c r="BW585" s="644"/>
      <c r="BX585" s="644"/>
      <c r="BY585" s="644"/>
      <c r="BZ585" s="644"/>
      <c r="CA585" s="644"/>
      <c r="CB585" s="646">
        <f t="shared" si="184"/>
        <v>0</v>
      </c>
      <c r="CC585" s="646">
        <f t="shared" si="185"/>
        <v>0</v>
      </c>
      <c r="CD585" s="614"/>
    </row>
    <row r="586" spans="1:85" s="561" customFormat="1" ht="61.5" customHeight="1">
      <c r="A586" s="625" t="str">
        <f t="shared" si="167"/>
        <v>proyecto-Alerta: Seleccione la celda en la comumna B con el nombre del proyecto-Al-Al--</v>
      </c>
      <c r="B586" s="626" t="str">
        <f t="shared" si="168"/>
        <v>proyecto-Alerta: Seleccione la celda en la comumna B con el nombre del proyecto-Al-Al-</v>
      </c>
      <c r="C586" s="626" t="str">
        <f t="shared" si="169"/>
        <v>proyecto-Alerta: Seleccione la celda en la comumna B con el nombre del proyecto-</v>
      </c>
      <c r="D586" s="626" t="str">
        <f t="shared" si="170"/>
        <v>proyecto--Al-Al-</v>
      </c>
      <c r="E586" s="626" t="str">
        <f t="shared" si="171"/>
        <v>--</v>
      </c>
      <c r="F586" s="627"/>
      <c r="G586" s="628">
        <f t="shared" si="172"/>
        <v>0</v>
      </c>
      <c r="H586" s="629" t="b">
        <f t="shared" si="173"/>
        <v>1</v>
      </c>
      <c r="I586" s="630"/>
      <c r="J586" s="627"/>
      <c r="K586" s="631" t="str">
        <f>+IFERROR(VLOOKUP(J586,Listas!$A$108:$B$114,2,FALSE),"Alerta: Seleccione la celda en la comumna B con el nombre del proyecto")</f>
        <v>Alerta: Seleccione la celda en la comumna B con el nombre del proyecto</v>
      </c>
      <c r="L586" s="632"/>
      <c r="M586" s="633"/>
      <c r="N586" s="634" t="str">
        <f t="shared" si="174"/>
        <v xml:space="preserve">(Cód. ) </v>
      </c>
      <c r="O586" s="635"/>
      <c r="P586" s="636">
        <f>IFERROR(VLOOKUP(W586,'Estimación CRP'!$D$21:$E$30,2,FALSE),0)</f>
        <v>0</v>
      </c>
      <c r="Q586" s="637">
        <f>IF(O586="No aplica","No aplica",WORKDAY.INTL(O586,P586,1,'Estimación CRP'!A772:A788))</f>
        <v>0</v>
      </c>
      <c r="R586" s="636">
        <f t="shared" si="175"/>
        <v>1</v>
      </c>
      <c r="S586" s="636">
        <f t="shared" si="176"/>
        <v>1</v>
      </c>
      <c r="T586" s="636">
        <f t="shared" si="177"/>
        <v>1</v>
      </c>
      <c r="U586" s="638"/>
      <c r="V586" s="638"/>
      <c r="W586" s="639"/>
      <c r="X586" s="640" t="str">
        <f>IFERROR(VLOOKUP(W586,Listas!$A$60:$B$73,2,FALSE),"Alerta: Seleccione primero Modalidad de selección")</f>
        <v>Alerta: Seleccione primero Modalidad de selección</v>
      </c>
      <c r="Y586" s="641">
        <v>0</v>
      </c>
      <c r="Z586" s="641"/>
      <c r="AA586" s="641"/>
      <c r="AB586" s="642">
        <f t="shared" si="178"/>
        <v>0</v>
      </c>
      <c r="AC586" s="642">
        <f t="shared" si="179"/>
        <v>0</v>
      </c>
      <c r="AD586" s="641">
        <v>0</v>
      </c>
      <c r="AE586" s="643">
        <v>0</v>
      </c>
      <c r="AF586" s="639" t="s">
        <v>276</v>
      </c>
      <c r="AG586" s="639" t="s">
        <v>277</v>
      </c>
      <c r="AH586" s="639"/>
      <c r="AI586" s="626" t="str">
        <f>IFERROR(VLOOKUP(AH586,Listas!$A$77:$C$83,2,FALSE),"Alerta: Seleccione primero el responsable")</f>
        <v>Alerta: Seleccione primero el responsable</v>
      </c>
      <c r="AJ586" s="640" t="str">
        <f>IFERROR(VLOOKUP(AH586,Listas!$A$77:$C$83,3,FALSE),"Alerta: Seleccione primero el responsable")</f>
        <v>Alerta: Seleccione primero el responsable</v>
      </c>
      <c r="AK586" s="640" t="str">
        <f>IF(J586="Funcionamiento Gastos Generales","No aplica",IF(J586="Funcionamiento Servicios Personales indirectos","No aplica",IFERROR(VLOOKUP(J586,Listas!$A$127:$E$139,3,FALSE),"Alerta: Seleccione la celda en la comumna B con el nombre del proyecto")))</f>
        <v>Alerta: Seleccione la celda en la comumna B con el nombre del proyecto</v>
      </c>
      <c r="AL586" s="640" t="str">
        <f>IF(J586="Funcionamiento Gastos Generales","No aplica",IF(J586="Funcionamiento Servicios Personales","No aplica",IFERROR(VLOOKUP(J586,Listas!$A$220:$D$224,2,FALSE),"Alerta: Seleccione la celda en la comumna B con el nombre del proyecto")))</f>
        <v>Alerta: Seleccione la celda en la comumna B con el nombre del proyecto</v>
      </c>
      <c r="AM586" s="640" t="str">
        <f>IF(J586="Funcionamiento Gastos Generales","No aplica",IF(J586="Funcionamiento Servicios Personales","No aplica",IFERROR(VLOOKUP(J586,Listas!$A$220:$D$224,3,FALSE),"Alerta: Seleccione la celda en la comumna B con el nombre del proyecto")))</f>
        <v>Alerta: Seleccione la celda en la comumna B con el nombre del proyecto</v>
      </c>
      <c r="AN586" s="633"/>
      <c r="AO586" s="633"/>
      <c r="AP586" s="634" t="str">
        <f>IFERROR(VLOOKUP(J586,Listas!$A$182:$E$215,5,FALSE),"Alerta: Seleccione la celda en la comumna B con el nombre del proyecto")</f>
        <v>Alerta: Seleccione la celda en la comumna B con el nombre del proyecto</v>
      </c>
      <c r="AQ586" s="634" t="str">
        <f>IF(J586="Funcionamiento Gastos Generales","No aplica",IF(J586="Funcionamiento Servicios Personales","No aplica",IFERROR(VLOOKUP(J586,Listas!$A$220:$D$224,4,FALSE),"Alerta: Seleccione la celda en la comumna B con el nombre del proyecto")))</f>
        <v>Alerta: Seleccione la celda en la comumna B con el nombre del proyecto</v>
      </c>
      <c r="AR586" s="633"/>
      <c r="AS586" s="634" t="str">
        <f>IFERROR(VLOOKUP(AU586,Listas!$E$85:$L$105,7,FALSE),"Alerta: Seleccione la celda en la comumna AI con el concepto de gasto")</f>
        <v>Alerta: Seleccione la celda en la comumna AI con el concepto de gasto</v>
      </c>
      <c r="AT586" s="634" t="str">
        <f>IFERROR(VLOOKUP(AU586,Listas!$E$85:$L$105,8,FALSE),"Alerta: Seleccione la celda en la comumna AI con el concepto de gasto")</f>
        <v>Alerta: Seleccione la celda en la comumna AI con el concepto de gasto</v>
      </c>
      <c r="AU586" s="633"/>
      <c r="AV586" s="634" t="str">
        <f>IFERROR(VLOOKUP(AU586,Listas!$E$85:$F$105,2,FALSE),"Alerta: Seleccione el Concepto de Gasto primero")</f>
        <v>Alerta: Seleccione el Concepto de Gasto primero</v>
      </c>
      <c r="AW586" s="644"/>
      <c r="AX586" s="645"/>
      <c r="AY586" s="645"/>
      <c r="AZ586" s="645"/>
      <c r="BA586" s="646">
        <f t="shared" si="180"/>
        <v>0</v>
      </c>
      <c r="BB586" s="647"/>
      <c r="BC586" s="648"/>
      <c r="BD586" s="649"/>
      <c r="BE586" s="647"/>
      <c r="BF586" s="644"/>
      <c r="BG586" s="646">
        <f t="shared" si="181"/>
        <v>0</v>
      </c>
      <c r="BH586" s="650"/>
      <c r="BI586" s="647"/>
      <c r="BJ586" s="644"/>
      <c r="BK586" s="646">
        <f t="shared" si="182"/>
        <v>0</v>
      </c>
      <c r="BL586" s="651"/>
      <c r="BM586" s="652">
        <f t="shared" si="183"/>
        <v>1</v>
      </c>
      <c r="BN586" s="628"/>
      <c r="BO586" s="670"/>
      <c r="BP586" s="644"/>
      <c r="BQ586" s="644"/>
      <c r="BR586" s="644"/>
      <c r="BS586" s="644"/>
      <c r="BT586" s="644"/>
      <c r="BU586" s="644"/>
      <c r="BV586" s="644"/>
      <c r="BW586" s="644"/>
      <c r="BX586" s="644"/>
      <c r="BY586" s="644"/>
      <c r="BZ586" s="644"/>
      <c r="CA586" s="644"/>
      <c r="CB586" s="646">
        <f t="shared" si="184"/>
        <v>0</v>
      </c>
      <c r="CC586" s="646">
        <f t="shared" si="185"/>
        <v>0</v>
      </c>
      <c r="CD586" s="614"/>
    </row>
    <row r="587" spans="1:85" s="561" customFormat="1" ht="61.5" customHeight="1">
      <c r="A587" s="625" t="str">
        <f t="shared" si="167"/>
        <v>proyecto-Alerta: Seleccione la celda en la comumna B con el nombre del proyecto-Al-Al--</v>
      </c>
      <c r="B587" s="626" t="str">
        <f t="shared" si="168"/>
        <v>proyecto-Alerta: Seleccione la celda en la comumna B con el nombre del proyecto-Al-Al-</v>
      </c>
      <c r="C587" s="626" t="str">
        <f t="shared" si="169"/>
        <v>proyecto-Alerta: Seleccione la celda en la comumna B con el nombre del proyecto-</v>
      </c>
      <c r="D587" s="626" t="str">
        <f t="shared" si="170"/>
        <v>proyecto--Al-Al-</v>
      </c>
      <c r="E587" s="626" t="str">
        <f t="shared" si="171"/>
        <v>--</v>
      </c>
      <c r="F587" s="627"/>
      <c r="G587" s="628">
        <f t="shared" si="172"/>
        <v>0</v>
      </c>
      <c r="H587" s="629" t="b">
        <f t="shared" si="173"/>
        <v>1</v>
      </c>
      <c r="I587" s="630"/>
      <c r="J587" s="627"/>
      <c r="K587" s="631" t="str">
        <f>+IFERROR(VLOOKUP(J587,Listas!$A$108:$B$114,2,FALSE),"Alerta: Seleccione la celda en la comumna B con el nombre del proyecto")</f>
        <v>Alerta: Seleccione la celda en la comumna B con el nombre del proyecto</v>
      </c>
      <c r="L587" s="632"/>
      <c r="M587" s="633"/>
      <c r="N587" s="634" t="str">
        <f t="shared" si="174"/>
        <v xml:space="preserve">(Cód. ) </v>
      </c>
      <c r="O587" s="635"/>
      <c r="P587" s="636">
        <f>IFERROR(VLOOKUP(W587,'Estimación CRP'!$D$21:$E$30,2,FALSE),0)</f>
        <v>0</v>
      </c>
      <c r="Q587" s="637">
        <f>IF(O587="No aplica","No aplica",WORKDAY.INTL(O587,P587,1,'Estimación CRP'!A773:A789))</f>
        <v>0</v>
      </c>
      <c r="R587" s="636">
        <f t="shared" si="175"/>
        <v>1</v>
      </c>
      <c r="S587" s="636">
        <f t="shared" si="176"/>
        <v>1</v>
      </c>
      <c r="T587" s="636">
        <f t="shared" si="177"/>
        <v>1</v>
      </c>
      <c r="U587" s="638"/>
      <c r="V587" s="638"/>
      <c r="W587" s="639"/>
      <c r="X587" s="640" t="str">
        <f>IFERROR(VLOOKUP(W587,Listas!$A$60:$B$73,2,FALSE),"Alerta: Seleccione primero Modalidad de selección")</f>
        <v>Alerta: Seleccione primero Modalidad de selección</v>
      </c>
      <c r="Y587" s="641">
        <v>0</v>
      </c>
      <c r="Z587" s="641"/>
      <c r="AA587" s="641"/>
      <c r="AB587" s="642">
        <f t="shared" si="178"/>
        <v>0</v>
      </c>
      <c r="AC587" s="642">
        <f t="shared" si="179"/>
        <v>0</v>
      </c>
      <c r="AD587" s="641">
        <v>0</v>
      </c>
      <c r="AE587" s="643">
        <v>0</v>
      </c>
      <c r="AF587" s="639" t="s">
        <v>276</v>
      </c>
      <c r="AG587" s="639" t="s">
        <v>277</v>
      </c>
      <c r="AH587" s="639"/>
      <c r="AI587" s="626" t="str">
        <f>IFERROR(VLOOKUP(AH587,Listas!$A$77:$C$83,2,FALSE),"Alerta: Seleccione primero el responsable")</f>
        <v>Alerta: Seleccione primero el responsable</v>
      </c>
      <c r="AJ587" s="640" t="str">
        <f>IFERROR(VLOOKUP(AH587,Listas!$A$77:$C$83,3,FALSE),"Alerta: Seleccione primero el responsable")</f>
        <v>Alerta: Seleccione primero el responsable</v>
      </c>
      <c r="AK587" s="640" t="str">
        <f>IF(J587="Funcionamiento Gastos Generales","No aplica",IF(J587="Funcionamiento Servicios Personales indirectos","No aplica",IFERROR(VLOOKUP(J587,Listas!$A$127:$E$139,3,FALSE),"Alerta: Seleccione la celda en la comumna B con el nombre del proyecto")))</f>
        <v>Alerta: Seleccione la celda en la comumna B con el nombre del proyecto</v>
      </c>
      <c r="AL587" s="640" t="str">
        <f>IF(J587="Funcionamiento Gastos Generales","No aplica",IF(J587="Funcionamiento Servicios Personales","No aplica",IFERROR(VLOOKUP(J587,Listas!$A$220:$D$224,2,FALSE),"Alerta: Seleccione la celda en la comumna B con el nombre del proyecto")))</f>
        <v>Alerta: Seleccione la celda en la comumna B con el nombre del proyecto</v>
      </c>
      <c r="AM587" s="640" t="str">
        <f>IF(J587="Funcionamiento Gastos Generales","No aplica",IF(J587="Funcionamiento Servicios Personales","No aplica",IFERROR(VLOOKUP(J587,Listas!$A$220:$D$224,3,FALSE),"Alerta: Seleccione la celda en la comumna B con el nombre del proyecto")))</f>
        <v>Alerta: Seleccione la celda en la comumna B con el nombre del proyecto</v>
      </c>
      <c r="AN587" s="633"/>
      <c r="AO587" s="633"/>
      <c r="AP587" s="634" t="str">
        <f>IFERROR(VLOOKUP(J587,Listas!$A$182:$E$215,5,FALSE),"Alerta: Seleccione la celda en la comumna B con el nombre del proyecto")</f>
        <v>Alerta: Seleccione la celda en la comumna B con el nombre del proyecto</v>
      </c>
      <c r="AQ587" s="634" t="str">
        <f>IF(J587="Funcionamiento Gastos Generales","No aplica",IF(J587="Funcionamiento Servicios Personales","No aplica",IFERROR(VLOOKUP(J587,Listas!$A$220:$D$224,4,FALSE),"Alerta: Seleccione la celda en la comumna B con el nombre del proyecto")))</f>
        <v>Alerta: Seleccione la celda en la comumna B con el nombre del proyecto</v>
      </c>
      <c r="AR587" s="633"/>
      <c r="AS587" s="634" t="str">
        <f>IFERROR(VLOOKUP(AU587,Listas!$E$85:$L$105,7,FALSE),"Alerta: Seleccione la celda en la comumna AI con el concepto de gasto")</f>
        <v>Alerta: Seleccione la celda en la comumna AI con el concepto de gasto</v>
      </c>
      <c r="AT587" s="634" t="str">
        <f>IFERROR(VLOOKUP(AU587,Listas!$E$85:$L$105,8,FALSE),"Alerta: Seleccione la celda en la comumna AI con el concepto de gasto")</f>
        <v>Alerta: Seleccione la celda en la comumna AI con el concepto de gasto</v>
      </c>
      <c r="AU587" s="633"/>
      <c r="AV587" s="634" t="str">
        <f>IFERROR(VLOOKUP(AU587,Listas!$E$85:$F$105,2,FALSE),"Alerta: Seleccione el Concepto de Gasto primero")</f>
        <v>Alerta: Seleccione el Concepto de Gasto primero</v>
      </c>
      <c r="AW587" s="644"/>
      <c r="AX587" s="645"/>
      <c r="AY587" s="645"/>
      <c r="AZ587" s="645"/>
      <c r="BA587" s="646">
        <f t="shared" si="180"/>
        <v>0</v>
      </c>
      <c r="BB587" s="647"/>
      <c r="BC587" s="648"/>
      <c r="BD587" s="649"/>
      <c r="BE587" s="647"/>
      <c r="BF587" s="644"/>
      <c r="BG587" s="646">
        <f t="shared" si="181"/>
        <v>0</v>
      </c>
      <c r="BH587" s="650"/>
      <c r="BI587" s="647"/>
      <c r="BJ587" s="644"/>
      <c r="BK587" s="646">
        <f t="shared" si="182"/>
        <v>0</v>
      </c>
      <c r="BL587" s="651"/>
      <c r="BM587" s="652">
        <f t="shared" si="183"/>
        <v>1</v>
      </c>
      <c r="BN587" s="628"/>
      <c r="BO587" s="670"/>
      <c r="BP587" s="644"/>
      <c r="BQ587" s="644"/>
      <c r="BR587" s="644"/>
      <c r="BS587" s="644"/>
      <c r="BT587" s="644"/>
      <c r="BU587" s="644"/>
      <c r="BV587" s="644"/>
      <c r="BW587" s="644"/>
      <c r="BX587" s="644"/>
      <c r="BY587" s="644"/>
      <c r="BZ587" s="644"/>
      <c r="CA587" s="644"/>
      <c r="CB587" s="646">
        <f t="shared" si="184"/>
        <v>0</v>
      </c>
      <c r="CC587" s="646">
        <f t="shared" si="185"/>
        <v>0</v>
      </c>
      <c r="CD587" s="614"/>
    </row>
    <row r="588" spans="1:85" s="561" customFormat="1" ht="61.5" customHeight="1">
      <c r="A588" s="625" t="str">
        <f t="shared" si="167"/>
        <v>proyecto-Alerta: Seleccione la celda en la comumna B con el nombre del proyecto-Al-Al--</v>
      </c>
      <c r="B588" s="626" t="str">
        <f t="shared" si="168"/>
        <v>proyecto-Alerta: Seleccione la celda en la comumna B con el nombre del proyecto-Al-Al-</v>
      </c>
      <c r="C588" s="626" t="str">
        <f t="shared" si="169"/>
        <v>proyecto-Alerta: Seleccione la celda en la comumna B con el nombre del proyecto-</v>
      </c>
      <c r="D588" s="626" t="str">
        <f t="shared" si="170"/>
        <v>proyecto--Al-Al-</v>
      </c>
      <c r="E588" s="626" t="str">
        <f t="shared" si="171"/>
        <v>--</v>
      </c>
      <c r="F588" s="627"/>
      <c r="G588" s="628">
        <f t="shared" si="172"/>
        <v>0</v>
      </c>
      <c r="H588" s="629" t="b">
        <f t="shared" si="173"/>
        <v>1</v>
      </c>
      <c r="I588" s="630"/>
      <c r="J588" s="627"/>
      <c r="K588" s="631" t="str">
        <f>+IFERROR(VLOOKUP(J588,Listas!$A$108:$B$114,2,FALSE),"Alerta: Seleccione la celda en la comumna B con el nombre del proyecto")</f>
        <v>Alerta: Seleccione la celda en la comumna B con el nombre del proyecto</v>
      </c>
      <c r="L588" s="632"/>
      <c r="M588" s="633"/>
      <c r="N588" s="634" t="str">
        <f t="shared" si="174"/>
        <v xml:space="preserve">(Cód. ) </v>
      </c>
      <c r="O588" s="635"/>
      <c r="P588" s="636">
        <f>IFERROR(VLOOKUP(W588,'Estimación CRP'!$D$21:$E$30,2,FALSE),0)</f>
        <v>0</v>
      </c>
      <c r="Q588" s="637">
        <f>IF(O588="No aplica","No aplica",WORKDAY.INTL(O588,P588,1,'Estimación CRP'!A774:A790))</f>
        <v>0</v>
      </c>
      <c r="R588" s="636">
        <f t="shared" si="175"/>
        <v>1</v>
      </c>
      <c r="S588" s="636">
        <f t="shared" si="176"/>
        <v>1</v>
      </c>
      <c r="T588" s="636">
        <f t="shared" si="177"/>
        <v>1</v>
      </c>
      <c r="U588" s="638"/>
      <c r="V588" s="638"/>
      <c r="W588" s="639"/>
      <c r="X588" s="640" t="str">
        <f>IFERROR(VLOOKUP(W588,Listas!$A$60:$B$73,2,FALSE),"Alerta: Seleccione primero Modalidad de selección")</f>
        <v>Alerta: Seleccione primero Modalidad de selección</v>
      </c>
      <c r="Y588" s="641">
        <v>0</v>
      </c>
      <c r="Z588" s="641"/>
      <c r="AA588" s="641"/>
      <c r="AB588" s="642">
        <f t="shared" si="178"/>
        <v>0</v>
      </c>
      <c r="AC588" s="642">
        <f t="shared" si="179"/>
        <v>0</v>
      </c>
      <c r="AD588" s="641">
        <v>0</v>
      </c>
      <c r="AE588" s="643">
        <v>0</v>
      </c>
      <c r="AF588" s="639" t="s">
        <v>276</v>
      </c>
      <c r="AG588" s="639" t="s">
        <v>277</v>
      </c>
      <c r="AH588" s="639"/>
      <c r="AI588" s="626" t="str">
        <f>IFERROR(VLOOKUP(AH588,Listas!$A$77:$C$83,2,FALSE),"Alerta: Seleccione primero el responsable")</f>
        <v>Alerta: Seleccione primero el responsable</v>
      </c>
      <c r="AJ588" s="640" t="str">
        <f>IFERROR(VLOOKUP(AH588,Listas!$A$77:$C$83,3,FALSE),"Alerta: Seleccione primero el responsable")</f>
        <v>Alerta: Seleccione primero el responsable</v>
      </c>
      <c r="AK588" s="640" t="str">
        <f>IF(J588="Funcionamiento Gastos Generales","No aplica",IF(J588="Funcionamiento Servicios Personales indirectos","No aplica",IFERROR(VLOOKUP(J588,Listas!$A$127:$E$139,3,FALSE),"Alerta: Seleccione la celda en la comumna B con el nombre del proyecto")))</f>
        <v>Alerta: Seleccione la celda en la comumna B con el nombre del proyecto</v>
      </c>
      <c r="AL588" s="640" t="str">
        <f>IF(J588="Funcionamiento Gastos Generales","No aplica",IF(J588="Funcionamiento Servicios Personales","No aplica",IFERROR(VLOOKUP(J588,Listas!$A$220:$D$224,2,FALSE),"Alerta: Seleccione la celda en la comumna B con el nombre del proyecto")))</f>
        <v>Alerta: Seleccione la celda en la comumna B con el nombre del proyecto</v>
      </c>
      <c r="AM588" s="640" t="str">
        <f>IF(J588="Funcionamiento Gastos Generales","No aplica",IF(J588="Funcionamiento Servicios Personales","No aplica",IFERROR(VLOOKUP(J588,Listas!$A$220:$D$224,3,FALSE),"Alerta: Seleccione la celda en la comumna B con el nombre del proyecto")))</f>
        <v>Alerta: Seleccione la celda en la comumna B con el nombre del proyecto</v>
      </c>
      <c r="AN588" s="633"/>
      <c r="AO588" s="633"/>
      <c r="AP588" s="634" t="str">
        <f>IFERROR(VLOOKUP(J588,Listas!$A$182:$E$215,5,FALSE),"Alerta: Seleccione la celda en la comumna B con el nombre del proyecto")</f>
        <v>Alerta: Seleccione la celda en la comumna B con el nombre del proyecto</v>
      </c>
      <c r="AQ588" s="634" t="str">
        <f>IF(J588="Funcionamiento Gastos Generales","No aplica",IF(J588="Funcionamiento Servicios Personales","No aplica",IFERROR(VLOOKUP(J588,Listas!$A$220:$D$224,4,FALSE),"Alerta: Seleccione la celda en la comumna B con el nombre del proyecto")))</f>
        <v>Alerta: Seleccione la celda en la comumna B con el nombre del proyecto</v>
      </c>
      <c r="AR588" s="633"/>
      <c r="AS588" s="634" t="str">
        <f>IFERROR(VLOOKUP(AU588,Listas!$E$85:$L$105,7,FALSE),"Alerta: Seleccione la celda en la comumna AI con el concepto de gasto")</f>
        <v>Alerta: Seleccione la celda en la comumna AI con el concepto de gasto</v>
      </c>
      <c r="AT588" s="634" t="str">
        <f>IFERROR(VLOOKUP(AU588,Listas!$E$85:$L$105,8,FALSE),"Alerta: Seleccione la celda en la comumna AI con el concepto de gasto")</f>
        <v>Alerta: Seleccione la celda en la comumna AI con el concepto de gasto</v>
      </c>
      <c r="AU588" s="633"/>
      <c r="AV588" s="634" t="str">
        <f>IFERROR(VLOOKUP(AU588,Listas!$E$85:$F$105,2,FALSE),"Alerta: Seleccione el Concepto de Gasto primero")</f>
        <v>Alerta: Seleccione el Concepto de Gasto primero</v>
      </c>
      <c r="AW588" s="644"/>
      <c r="AX588" s="645"/>
      <c r="AY588" s="645"/>
      <c r="AZ588" s="645"/>
      <c r="BA588" s="646">
        <f t="shared" si="180"/>
        <v>0</v>
      </c>
      <c r="BB588" s="647"/>
      <c r="BC588" s="648"/>
      <c r="BD588" s="649"/>
      <c r="BE588" s="647"/>
      <c r="BF588" s="644"/>
      <c r="BG588" s="646">
        <f t="shared" si="181"/>
        <v>0</v>
      </c>
      <c r="BH588" s="650"/>
      <c r="BI588" s="647"/>
      <c r="BJ588" s="644"/>
      <c r="BK588" s="646">
        <f t="shared" si="182"/>
        <v>0</v>
      </c>
      <c r="BL588" s="651"/>
      <c r="BM588" s="652">
        <f t="shared" si="183"/>
        <v>1</v>
      </c>
      <c r="BN588" s="628"/>
      <c r="BO588" s="670"/>
      <c r="BP588" s="644"/>
      <c r="BQ588" s="644"/>
      <c r="BR588" s="644"/>
      <c r="BS588" s="644"/>
      <c r="BT588" s="644"/>
      <c r="BU588" s="644"/>
      <c r="BV588" s="644"/>
      <c r="BW588" s="644"/>
      <c r="BX588" s="644"/>
      <c r="BY588" s="644"/>
      <c r="BZ588" s="644"/>
      <c r="CA588" s="644"/>
      <c r="CB588" s="646">
        <f t="shared" si="184"/>
        <v>0</v>
      </c>
      <c r="CC588" s="646">
        <f t="shared" si="185"/>
        <v>0</v>
      </c>
      <c r="CD588" s="614"/>
      <c r="CG588" s="561" t="s">
        <v>589</v>
      </c>
    </row>
    <row r="589" spans="1:85" s="561" customFormat="1" ht="61.5" customHeight="1">
      <c r="A589" s="625" t="str">
        <f t="shared" si="167"/>
        <v>proyecto-Alerta: Seleccione la celda en la comumna B con el nombre del proyecto-Al-Al--</v>
      </c>
      <c r="B589" s="626" t="str">
        <f t="shared" si="168"/>
        <v>proyecto-Alerta: Seleccione la celda en la comumna B con el nombre del proyecto-Al-Al-</v>
      </c>
      <c r="C589" s="626" t="str">
        <f t="shared" si="169"/>
        <v>proyecto-Alerta: Seleccione la celda en la comumna B con el nombre del proyecto-</v>
      </c>
      <c r="D589" s="626" t="str">
        <f t="shared" si="170"/>
        <v>proyecto--Al-Al-</v>
      </c>
      <c r="E589" s="626" t="str">
        <f t="shared" si="171"/>
        <v>--</v>
      </c>
      <c r="F589" s="627"/>
      <c r="G589" s="628">
        <f t="shared" si="172"/>
        <v>0</v>
      </c>
      <c r="H589" s="629" t="b">
        <f t="shared" si="173"/>
        <v>1</v>
      </c>
      <c r="I589" s="630"/>
      <c r="J589" s="627"/>
      <c r="K589" s="631" t="str">
        <f>+IFERROR(VLOOKUP(J589,Listas!$A$108:$B$114,2,FALSE),"Alerta: Seleccione la celda en la comumna B con el nombre del proyecto")</f>
        <v>Alerta: Seleccione la celda en la comumna B con el nombre del proyecto</v>
      </c>
      <c r="L589" s="632"/>
      <c r="M589" s="633"/>
      <c r="N589" s="634" t="str">
        <f t="shared" si="174"/>
        <v xml:space="preserve">(Cód. ) </v>
      </c>
      <c r="O589" s="635"/>
      <c r="P589" s="636">
        <f>IFERROR(VLOOKUP(W589,'Estimación CRP'!$D$21:$E$30,2,FALSE),0)</f>
        <v>0</v>
      </c>
      <c r="Q589" s="637">
        <f>IF(O589="No aplica","No aplica",WORKDAY.INTL(O589,P589,1,'Estimación CRP'!A775:A791))</f>
        <v>0</v>
      </c>
      <c r="R589" s="636">
        <f t="shared" si="175"/>
        <v>1</v>
      </c>
      <c r="S589" s="636">
        <f t="shared" si="176"/>
        <v>1</v>
      </c>
      <c r="T589" s="636">
        <f t="shared" si="177"/>
        <v>1</v>
      </c>
      <c r="U589" s="638"/>
      <c r="V589" s="638"/>
      <c r="W589" s="639"/>
      <c r="X589" s="640" t="str">
        <f>IFERROR(VLOOKUP(W589,Listas!$A$60:$B$73,2,FALSE),"Alerta: Seleccione primero Modalidad de selección")</f>
        <v>Alerta: Seleccione primero Modalidad de selección</v>
      </c>
      <c r="Y589" s="641">
        <v>0</v>
      </c>
      <c r="Z589" s="641"/>
      <c r="AA589" s="641"/>
      <c r="AB589" s="642">
        <f t="shared" si="178"/>
        <v>0</v>
      </c>
      <c r="AC589" s="642">
        <f t="shared" si="179"/>
        <v>0</v>
      </c>
      <c r="AD589" s="641">
        <v>0</v>
      </c>
      <c r="AE589" s="643">
        <v>0</v>
      </c>
      <c r="AF589" s="639" t="s">
        <v>276</v>
      </c>
      <c r="AG589" s="639" t="s">
        <v>277</v>
      </c>
      <c r="AH589" s="639"/>
      <c r="AI589" s="626" t="str">
        <f>IFERROR(VLOOKUP(AH589,Listas!$A$77:$C$83,2,FALSE),"Alerta: Seleccione primero el responsable")</f>
        <v>Alerta: Seleccione primero el responsable</v>
      </c>
      <c r="AJ589" s="640" t="str">
        <f>IFERROR(VLOOKUP(AH589,Listas!$A$77:$C$83,3,FALSE),"Alerta: Seleccione primero el responsable")</f>
        <v>Alerta: Seleccione primero el responsable</v>
      </c>
      <c r="AK589" s="640" t="str">
        <f>IF(J589="Funcionamiento Gastos Generales","No aplica",IF(J589="Funcionamiento Servicios Personales indirectos","No aplica",IFERROR(VLOOKUP(J589,Listas!$A$127:$E$139,3,FALSE),"Alerta: Seleccione la celda en la comumna B con el nombre del proyecto")))</f>
        <v>Alerta: Seleccione la celda en la comumna B con el nombre del proyecto</v>
      </c>
      <c r="AL589" s="640" t="str">
        <f>IF(J589="Funcionamiento Gastos Generales","No aplica",IF(J589="Funcionamiento Servicios Personales","No aplica",IFERROR(VLOOKUP(J589,Listas!$A$220:$D$224,2,FALSE),"Alerta: Seleccione la celda en la comumna B con el nombre del proyecto")))</f>
        <v>Alerta: Seleccione la celda en la comumna B con el nombre del proyecto</v>
      </c>
      <c r="AM589" s="640" t="str">
        <f>IF(J589="Funcionamiento Gastos Generales","No aplica",IF(J589="Funcionamiento Servicios Personales","No aplica",IFERROR(VLOOKUP(J589,Listas!$A$220:$D$224,3,FALSE),"Alerta: Seleccione la celda en la comumna B con el nombre del proyecto")))</f>
        <v>Alerta: Seleccione la celda en la comumna B con el nombre del proyecto</v>
      </c>
      <c r="AN589" s="633"/>
      <c r="AO589" s="633"/>
      <c r="AP589" s="634" t="str">
        <f>IFERROR(VLOOKUP(J589,Listas!$A$182:$E$215,5,FALSE),"Alerta: Seleccione la celda en la comumna B con el nombre del proyecto")</f>
        <v>Alerta: Seleccione la celda en la comumna B con el nombre del proyecto</v>
      </c>
      <c r="AQ589" s="634" t="str">
        <f>IF(J589="Funcionamiento Gastos Generales","No aplica",IF(J589="Funcionamiento Servicios Personales","No aplica",IFERROR(VLOOKUP(J589,Listas!$A$220:$D$224,4,FALSE),"Alerta: Seleccione la celda en la comumna B con el nombre del proyecto")))</f>
        <v>Alerta: Seleccione la celda en la comumna B con el nombre del proyecto</v>
      </c>
      <c r="AR589" s="633"/>
      <c r="AS589" s="634" t="str">
        <f>IFERROR(VLOOKUP(AU589,Listas!$E$85:$L$105,7,FALSE),"Alerta: Seleccione la celda en la comumna AI con el concepto de gasto")</f>
        <v>Alerta: Seleccione la celda en la comumna AI con el concepto de gasto</v>
      </c>
      <c r="AT589" s="634" t="str">
        <f>IFERROR(VLOOKUP(AU589,Listas!$E$85:$L$105,8,FALSE),"Alerta: Seleccione la celda en la comumna AI con el concepto de gasto")</f>
        <v>Alerta: Seleccione la celda en la comumna AI con el concepto de gasto</v>
      </c>
      <c r="AU589" s="633"/>
      <c r="AV589" s="634" t="str">
        <f>IFERROR(VLOOKUP(AU589,Listas!$E$85:$F$105,2,FALSE),"Alerta: Seleccione el Concepto de Gasto primero")</f>
        <v>Alerta: Seleccione el Concepto de Gasto primero</v>
      </c>
      <c r="AW589" s="644"/>
      <c r="AX589" s="645"/>
      <c r="AY589" s="645"/>
      <c r="AZ589" s="645"/>
      <c r="BA589" s="646">
        <f t="shared" si="180"/>
        <v>0</v>
      </c>
      <c r="BB589" s="647"/>
      <c r="BC589" s="648"/>
      <c r="BD589" s="649"/>
      <c r="BE589" s="647"/>
      <c r="BF589" s="644"/>
      <c r="BG589" s="646">
        <f t="shared" si="181"/>
        <v>0</v>
      </c>
      <c r="BH589" s="650"/>
      <c r="BI589" s="647"/>
      <c r="BJ589" s="644"/>
      <c r="BK589" s="646">
        <f t="shared" si="182"/>
        <v>0</v>
      </c>
      <c r="BL589" s="651"/>
      <c r="BM589" s="652">
        <f t="shared" si="183"/>
        <v>1</v>
      </c>
      <c r="BN589" s="628"/>
      <c r="BO589" s="670"/>
      <c r="BP589" s="644"/>
      <c r="BQ589" s="644"/>
      <c r="BR589" s="644"/>
      <c r="BS589" s="644"/>
      <c r="BT589" s="644"/>
      <c r="BU589" s="644"/>
      <c r="BV589" s="644"/>
      <c r="BW589" s="644"/>
      <c r="BX589" s="644"/>
      <c r="BY589" s="644"/>
      <c r="BZ589" s="644"/>
      <c r="CA589" s="644"/>
      <c r="CB589" s="646">
        <f t="shared" si="184"/>
        <v>0</v>
      </c>
      <c r="CC589" s="646">
        <f t="shared" si="185"/>
        <v>0</v>
      </c>
      <c r="CD589" s="614"/>
      <c r="CG589" s="561" t="s">
        <v>589</v>
      </c>
    </row>
    <row r="590" spans="1:85" s="561" customFormat="1" ht="61.5" customHeight="1">
      <c r="A590" s="625" t="str">
        <f t="shared" si="167"/>
        <v>proyecto-Alerta: Seleccione la celda en la comumna B con el nombre del proyecto-Al-Al--</v>
      </c>
      <c r="B590" s="626" t="str">
        <f t="shared" si="168"/>
        <v>proyecto-Alerta: Seleccione la celda en la comumna B con el nombre del proyecto-Al-Al-</v>
      </c>
      <c r="C590" s="626" t="str">
        <f t="shared" si="169"/>
        <v>proyecto-Alerta: Seleccione la celda en la comumna B con el nombre del proyecto-</v>
      </c>
      <c r="D590" s="626" t="str">
        <f t="shared" si="170"/>
        <v>proyecto--Al-Al-</v>
      </c>
      <c r="E590" s="626" t="str">
        <f t="shared" si="171"/>
        <v>--</v>
      </c>
      <c r="F590" s="627"/>
      <c r="G590" s="628">
        <f t="shared" si="172"/>
        <v>0</v>
      </c>
      <c r="H590" s="629" t="b">
        <f t="shared" si="173"/>
        <v>1</v>
      </c>
      <c r="I590" s="630"/>
      <c r="J590" s="627"/>
      <c r="K590" s="631" t="str">
        <f>+IFERROR(VLOOKUP(J590,Listas!$A$108:$B$114,2,FALSE),"Alerta: Seleccione la celda en la comumna B con el nombre del proyecto")</f>
        <v>Alerta: Seleccione la celda en la comumna B con el nombre del proyecto</v>
      </c>
      <c r="L590" s="632"/>
      <c r="M590" s="633"/>
      <c r="N590" s="634" t="str">
        <f t="shared" si="174"/>
        <v xml:space="preserve">(Cód. ) </v>
      </c>
      <c r="O590" s="635"/>
      <c r="P590" s="636">
        <f>IFERROR(VLOOKUP(W590,'Estimación CRP'!$D$21:$E$30,2,FALSE),0)</f>
        <v>0</v>
      </c>
      <c r="Q590" s="637">
        <f>IF(O590="No aplica","No aplica",WORKDAY.INTL(O590,P590,1,'Estimación CRP'!A776:A792))</f>
        <v>0</v>
      </c>
      <c r="R590" s="636">
        <f t="shared" si="175"/>
        <v>1</v>
      </c>
      <c r="S590" s="636">
        <f t="shared" si="176"/>
        <v>1</v>
      </c>
      <c r="T590" s="636">
        <f t="shared" si="177"/>
        <v>1</v>
      </c>
      <c r="U590" s="638"/>
      <c r="V590" s="638"/>
      <c r="W590" s="639"/>
      <c r="X590" s="640" t="str">
        <f>IFERROR(VLOOKUP(W590,Listas!$A$60:$B$73,2,FALSE),"Alerta: Seleccione primero Modalidad de selección")</f>
        <v>Alerta: Seleccione primero Modalidad de selección</v>
      </c>
      <c r="Y590" s="641">
        <v>0</v>
      </c>
      <c r="Z590" s="641"/>
      <c r="AA590" s="641"/>
      <c r="AB590" s="642">
        <f t="shared" si="178"/>
        <v>0</v>
      </c>
      <c r="AC590" s="642">
        <f t="shared" si="179"/>
        <v>0</v>
      </c>
      <c r="AD590" s="641">
        <v>0</v>
      </c>
      <c r="AE590" s="643">
        <v>0</v>
      </c>
      <c r="AF590" s="639" t="s">
        <v>276</v>
      </c>
      <c r="AG590" s="639" t="s">
        <v>277</v>
      </c>
      <c r="AH590" s="639"/>
      <c r="AI590" s="626" t="str">
        <f>IFERROR(VLOOKUP(AH590,Listas!$A$77:$C$83,2,FALSE),"Alerta: Seleccione primero el responsable")</f>
        <v>Alerta: Seleccione primero el responsable</v>
      </c>
      <c r="AJ590" s="640" t="str">
        <f>IFERROR(VLOOKUP(AH590,Listas!$A$77:$C$83,3,FALSE),"Alerta: Seleccione primero el responsable")</f>
        <v>Alerta: Seleccione primero el responsable</v>
      </c>
      <c r="AK590" s="640" t="str">
        <f>IF(J590="Funcionamiento Gastos Generales","No aplica",IF(J590="Funcionamiento Servicios Personales indirectos","No aplica",IFERROR(VLOOKUP(J590,Listas!$A$127:$E$139,3,FALSE),"Alerta: Seleccione la celda en la comumna B con el nombre del proyecto")))</f>
        <v>Alerta: Seleccione la celda en la comumna B con el nombre del proyecto</v>
      </c>
      <c r="AL590" s="640" t="str">
        <f>IF(J590="Funcionamiento Gastos Generales","No aplica",IF(J590="Funcionamiento Servicios Personales","No aplica",IFERROR(VLOOKUP(J590,Listas!$A$220:$D$224,2,FALSE),"Alerta: Seleccione la celda en la comumna B con el nombre del proyecto")))</f>
        <v>Alerta: Seleccione la celda en la comumna B con el nombre del proyecto</v>
      </c>
      <c r="AM590" s="640" t="str">
        <f>IF(J590="Funcionamiento Gastos Generales","No aplica",IF(J590="Funcionamiento Servicios Personales","No aplica",IFERROR(VLOOKUP(J590,Listas!$A$220:$D$224,3,FALSE),"Alerta: Seleccione la celda en la comumna B con el nombre del proyecto")))</f>
        <v>Alerta: Seleccione la celda en la comumna B con el nombre del proyecto</v>
      </c>
      <c r="AN590" s="633"/>
      <c r="AO590" s="633"/>
      <c r="AP590" s="634" t="str">
        <f>IFERROR(VLOOKUP(J590,Listas!$A$182:$E$215,5,FALSE),"Alerta: Seleccione la celda en la comumna B con el nombre del proyecto")</f>
        <v>Alerta: Seleccione la celda en la comumna B con el nombre del proyecto</v>
      </c>
      <c r="AQ590" s="634" t="str">
        <f>IF(J590="Funcionamiento Gastos Generales","No aplica",IF(J590="Funcionamiento Servicios Personales","No aplica",IFERROR(VLOOKUP(J590,Listas!$A$220:$D$224,4,FALSE),"Alerta: Seleccione la celda en la comumna B con el nombre del proyecto")))</f>
        <v>Alerta: Seleccione la celda en la comumna B con el nombre del proyecto</v>
      </c>
      <c r="AR590" s="633"/>
      <c r="AS590" s="634" t="str">
        <f>IFERROR(VLOOKUP(AU590,Listas!$E$85:$L$105,7,FALSE),"Alerta: Seleccione la celda en la comumna AI con el concepto de gasto")</f>
        <v>Alerta: Seleccione la celda en la comumna AI con el concepto de gasto</v>
      </c>
      <c r="AT590" s="634" t="str">
        <f>IFERROR(VLOOKUP(AU590,Listas!$E$85:$L$105,8,FALSE),"Alerta: Seleccione la celda en la comumna AI con el concepto de gasto")</f>
        <v>Alerta: Seleccione la celda en la comumna AI con el concepto de gasto</v>
      </c>
      <c r="AU590" s="633"/>
      <c r="AV590" s="634" t="str">
        <f>IFERROR(VLOOKUP(AU590,Listas!$E$85:$F$105,2,FALSE),"Alerta: Seleccione el Concepto de Gasto primero")</f>
        <v>Alerta: Seleccione el Concepto de Gasto primero</v>
      </c>
      <c r="AW590" s="644"/>
      <c r="AX590" s="645"/>
      <c r="AY590" s="645"/>
      <c r="AZ590" s="645"/>
      <c r="BA590" s="646">
        <f t="shared" si="180"/>
        <v>0</v>
      </c>
      <c r="BB590" s="647"/>
      <c r="BC590" s="648"/>
      <c r="BD590" s="649"/>
      <c r="BE590" s="647"/>
      <c r="BF590" s="644"/>
      <c r="BG590" s="646">
        <f t="shared" si="181"/>
        <v>0</v>
      </c>
      <c r="BH590" s="650"/>
      <c r="BI590" s="647"/>
      <c r="BJ590" s="644"/>
      <c r="BK590" s="646">
        <f t="shared" si="182"/>
        <v>0</v>
      </c>
      <c r="BL590" s="651"/>
      <c r="BM590" s="652">
        <f t="shared" si="183"/>
        <v>1</v>
      </c>
      <c r="BN590" s="628"/>
      <c r="BO590" s="670"/>
      <c r="BP590" s="644"/>
      <c r="BQ590" s="644"/>
      <c r="BR590" s="644"/>
      <c r="BS590" s="644"/>
      <c r="BT590" s="644"/>
      <c r="BU590" s="644"/>
      <c r="BV590" s="644"/>
      <c r="BW590" s="644"/>
      <c r="BX590" s="644"/>
      <c r="BY590" s="644"/>
      <c r="BZ590" s="644"/>
      <c r="CA590" s="644"/>
      <c r="CB590" s="646">
        <f t="shared" si="184"/>
        <v>0</v>
      </c>
      <c r="CC590" s="646">
        <f t="shared" si="185"/>
        <v>0</v>
      </c>
      <c r="CD590" s="614"/>
    </row>
    <row r="591" spans="1:85" s="561" customFormat="1" ht="61.5" customHeight="1">
      <c r="A591" s="625" t="str">
        <f t="shared" si="167"/>
        <v>proyecto-Alerta: Seleccione la celda en la comumna B con el nombre del proyecto-Al-Al--</v>
      </c>
      <c r="B591" s="626" t="str">
        <f t="shared" si="168"/>
        <v>proyecto-Alerta: Seleccione la celda en la comumna B con el nombre del proyecto-Al-Al-</v>
      </c>
      <c r="C591" s="626" t="str">
        <f t="shared" si="169"/>
        <v>proyecto-Alerta: Seleccione la celda en la comumna B con el nombre del proyecto-</v>
      </c>
      <c r="D591" s="626" t="str">
        <f t="shared" si="170"/>
        <v>proyecto--Al-Al-</v>
      </c>
      <c r="E591" s="626" t="str">
        <f t="shared" si="171"/>
        <v>--</v>
      </c>
      <c r="F591" s="627"/>
      <c r="G591" s="628">
        <f t="shared" si="172"/>
        <v>0</v>
      </c>
      <c r="H591" s="629" t="b">
        <f t="shared" si="173"/>
        <v>1</v>
      </c>
      <c r="I591" s="630"/>
      <c r="J591" s="627"/>
      <c r="K591" s="631" t="str">
        <f>+IFERROR(VLOOKUP(J591,Listas!$A$108:$B$114,2,FALSE),"Alerta: Seleccione la celda en la comumna B con el nombre del proyecto")</f>
        <v>Alerta: Seleccione la celda en la comumna B con el nombre del proyecto</v>
      </c>
      <c r="L591" s="632"/>
      <c r="M591" s="633"/>
      <c r="N591" s="634" t="str">
        <f t="shared" si="174"/>
        <v xml:space="preserve">(Cód. ) </v>
      </c>
      <c r="O591" s="635"/>
      <c r="P591" s="636">
        <f>IFERROR(VLOOKUP(W591,'Estimación CRP'!$D$21:$E$30,2,FALSE),0)</f>
        <v>0</v>
      </c>
      <c r="Q591" s="637">
        <f>IF(O591="No aplica","No aplica",WORKDAY.INTL(O591,P591,1,'Estimación CRP'!A777:A793))</f>
        <v>0</v>
      </c>
      <c r="R591" s="636">
        <f t="shared" si="175"/>
        <v>1</v>
      </c>
      <c r="S591" s="636">
        <f t="shared" si="176"/>
        <v>1</v>
      </c>
      <c r="T591" s="636">
        <f t="shared" si="177"/>
        <v>1</v>
      </c>
      <c r="U591" s="638"/>
      <c r="V591" s="638"/>
      <c r="W591" s="639"/>
      <c r="X591" s="640" t="str">
        <f>IFERROR(VLOOKUP(W591,Listas!$A$60:$B$73,2,FALSE),"Alerta: Seleccione primero Modalidad de selección")</f>
        <v>Alerta: Seleccione primero Modalidad de selección</v>
      </c>
      <c r="Y591" s="641">
        <v>0</v>
      </c>
      <c r="Z591" s="641"/>
      <c r="AA591" s="641"/>
      <c r="AB591" s="642">
        <f t="shared" si="178"/>
        <v>0</v>
      </c>
      <c r="AC591" s="642">
        <f t="shared" si="179"/>
        <v>0</v>
      </c>
      <c r="AD591" s="641">
        <v>0</v>
      </c>
      <c r="AE591" s="643">
        <v>0</v>
      </c>
      <c r="AF591" s="639" t="s">
        <v>276</v>
      </c>
      <c r="AG591" s="639" t="s">
        <v>277</v>
      </c>
      <c r="AH591" s="639"/>
      <c r="AI591" s="626" t="str">
        <f>IFERROR(VLOOKUP(AH591,Listas!$A$77:$C$83,2,FALSE),"Alerta: Seleccione primero el responsable")</f>
        <v>Alerta: Seleccione primero el responsable</v>
      </c>
      <c r="AJ591" s="640" t="str">
        <f>IFERROR(VLOOKUP(AH591,Listas!$A$77:$C$83,3,FALSE),"Alerta: Seleccione primero el responsable")</f>
        <v>Alerta: Seleccione primero el responsable</v>
      </c>
      <c r="AK591" s="640" t="str">
        <f>IF(J591="Funcionamiento Gastos Generales","No aplica",IF(J591="Funcionamiento Servicios Personales indirectos","No aplica",IFERROR(VLOOKUP(J591,Listas!$A$127:$E$139,3,FALSE),"Alerta: Seleccione la celda en la comumna B con el nombre del proyecto")))</f>
        <v>Alerta: Seleccione la celda en la comumna B con el nombre del proyecto</v>
      </c>
      <c r="AL591" s="640" t="str">
        <f>IF(J591="Funcionamiento Gastos Generales","No aplica",IF(J591="Funcionamiento Servicios Personales","No aplica",IFERROR(VLOOKUP(J591,Listas!$A$220:$D$224,2,FALSE),"Alerta: Seleccione la celda en la comumna B con el nombre del proyecto")))</f>
        <v>Alerta: Seleccione la celda en la comumna B con el nombre del proyecto</v>
      </c>
      <c r="AM591" s="640" t="str">
        <f>IF(J591="Funcionamiento Gastos Generales","No aplica",IF(J591="Funcionamiento Servicios Personales","No aplica",IFERROR(VLOOKUP(J591,Listas!$A$220:$D$224,3,FALSE),"Alerta: Seleccione la celda en la comumna B con el nombre del proyecto")))</f>
        <v>Alerta: Seleccione la celda en la comumna B con el nombre del proyecto</v>
      </c>
      <c r="AN591" s="633"/>
      <c r="AO591" s="633"/>
      <c r="AP591" s="634" t="str">
        <f>IFERROR(VLOOKUP(J591,Listas!$A$182:$E$215,5,FALSE),"Alerta: Seleccione la celda en la comumna B con el nombre del proyecto")</f>
        <v>Alerta: Seleccione la celda en la comumna B con el nombre del proyecto</v>
      </c>
      <c r="AQ591" s="634" t="str">
        <f>IF(J591="Funcionamiento Gastos Generales","No aplica",IF(J591="Funcionamiento Servicios Personales","No aplica",IFERROR(VLOOKUP(J591,Listas!$A$220:$D$224,4,FALSE),"Alerta: Seleccione la celda en la comumna B con el nombre del proyecto")))</f>
        <v>Alerta: Seleccione la celda en la comumna B con el nombre del proyecto</v>
      </c>
      <c r="AR591" s="633"/>
      <c r="AS591" s="634" t="str">
        <f>IFERROR(VLOOKUP(AU591,Listas!$E$85:$L$105,7,FALSE),"Alerta: Seleccione la celda en la comumna AI con el concepto de gasto")</f>
        <v>Alerta: Seleccione la celda en la comumna AI con el concepto de gasto</v>
      </c>
      <c r="AT591" s="634" t="str">
        <f>IFERROR(VLOOKUP(AU591,Listas!$E$85:$L$105,8,FALSE),"Alerta: Seleccione la celda en la comumna AI con el concepto de gasto")</f>
        <v>Alerta: Seleccione la celda en la comumna AI con el concepto de gasto</v>
      </c>
      <c r="AU591" s="633"/>
      <c r="AV591" s="634" t="str">
        <f>IFERROR(VLOOKUP(AU591,Listas!$E$85:$F$105,2,FALSE),"Alerta: Seleccione el Concepto de Gasto primero")</f>
        <v>Alerta: Seleccione el Concepto de Gasto primero</v>
      </c>
      <c r="AW591" s="644"/>
      <c r="AX591" s="645"/>
      <c r="AY591" s="645"/>
      <c r="AZ591" s="645"/>
      <c r="BA591" s="646">
        <f t="shared" si="180"/>
        <v>0</v>
      </c>
      <c r="BB591" s="647"/>
      <c r="BC591" s="648"/>
      <c r="BD591" s="649"/>
      <c r="BE591" s="647"/>
      <c r="BF591" s="644"/>
      <c r="BG591" s="646">
        <f t="shared" si="181"/>
        <v>0</v>
      </c>
      <c r="BH591" s="650"/>
      <c r="BI591" s="647"/>
      <c r="BJ591" s="644"/>
      <c r="BK591" s="646">
        <f t="shared" si="182"/>
        <v>0</v>
      </c>
      <c r="BL591" s="651"/>
      <c r="BM591" s="652">
        <f t="shared" si="183"/>
        <v>1</v>
      </c>
      <c r="BN591" s="628"/>
      <c r="BO591" s="670"/>
      <c r="BP591" s="644"/>
      <c r="BQ591" s="644"/>
      <c r="BR591" s="644"/>
      <c r="BS591" s="644"/>
      <c r="BT591" s="644"/>
      <c r="BU591" s="644"/>
      <c r="BV591" s="644"/>
      <c r="BW591" s="644"/>
      <c r="BX591" s="644"/>
      <c r="BY591" s="644"/>
      <c r="BZ591" s="644"/>
      <c r="CA591" s="644"/>
      <c r="CB591" s="646">
        <f t="shared" si="184"/>
        <v>0</v>
      </c>
      <c r="CC591" s="646">
        <f t="shared" si="185"/>
        <v>0</v>
      </c>
      <c r="CD591" s="614"/>
    </row>
    <row r="592" spans="1:85" s="561" customFormat="1" ht="61.5" customHeight="1">
      <c r="A592" s="625" t="str">
        <f t="shared" si="167"/>
        <v>proyecto-Alerta: Seleccione la celda en la comumna B con el nombre del proyecto-Al-Al--</v>
      </c>
      <c r="B592" s="626" t="str">
        <f t="shared" si="168"/>
        <v>proyecto-Alerta: Seleccione la celda en la comumna B con el nombre del proyecto-Al-Al-</v>
      </c>
      <c r="C592" s="626" t="str">
        <f t="shared" si="169"/>
        <v>proyecto-Alerta: Seleccione la celda en la comumna B con el nombre del proyecto-</v>
      </c>
      <c r="D592" s="626" t="str">
        <f t="shared" si="170"/>
        <v>proyecto--Al-Al-</v>
      </c>
      <c r="E592" s="626" t="str">
        <f t="shared" si="171"/>
        <v>--</v>
      </c>
      <c r="F592" s="627"/>
      <c r="G592" s="628">
        <f t="shared" si="172"/>
        <v>0</v>
      </c>
      <c r="H592" s="629" t="b">
        <f t="shared" si="173"/>
        <v>1</v>
      </c>
      <c r="I592" s="630"/>
      <c r="J592" s="627"/>
      <c r="K592" s="631" t="str">
        <f>+IFERROR(VLOOKUP(J592,Listas!$A$108:$B$114,2,FALSE),"Alerta: Seleccione la celda en la comumna B con el nombre del proyecto")</f>
        <v>Alerta: Seleccione la celda en la comumna B con el nombre del proyecto</v>
      </c>
      <c r="L592" s="632"/>
      <c r="M592" s="633"/>
      <c r="N592" s="634" t="str">
        <f t="shared" si="174"/>
        <v xml:space="preserve">(Cód. ) </v>
      </c>
      <c r="O592" s="635"/>
      <c r="P592" s="636">
        <f>IFERROR(VLOOKUP(W592,'Estimación CRP'!$D$21:$E$30,2,FALSE),0)</f>
        <v>0</v>
      </c>
      <c r="Q592" s="637">
        <f>IF(O592="No aplica","No aplica",WORKDAY.INTL(O592,P592,1,'Estimación CRP'!A778:A794))</f>
        <v>0</v>
      </c>
      <c r="R592" s="636">
        <f t="shared" si="175"/>
        <v>1</v>
      </c>
      <c r="S592" s="636">
        <f t="shared" si="176"/>
        <v>1</v>
      </c>
      <c r="T592" s="636">
        <f t="shared" si="177"/>
        <v>1</v>
      </c>
      <c r="U592" s="638"/>
      <c r="V592" s="638"/>
      <c r="W592" s="639"/>
      <c r="X592" s="640" t="str">
        <f>IFERROR(VLOOKUP(W592,Listas!$A$60:$B$73,2,FALSE),"Alerta: Seleccione primero Modalidad de selección")</f>
        <v>Alerta: Seleccione primero Modalidad de selección</v>
      </c>
      <c r="Y592" s="641">
        <v>0</v>
      </c>
      <c r="Z592" s="641"/>
      <c r="AA592" s="641"/>
      <c r="AB592" s="642">
        <f t="shared" si="178"/>
        <v>0</v>
      </c>
      <c r="AC592" s="642">
        <f t="shared" si="179"/>
        <v>0</v>
      </c>
      <c r="AD592" s="641">
        <v>0</v>
      </c>
      <c r="AE592" s="643">
        <v>0</v>
      </c>
      <c r="AF592" s="639" t="s">
        <v>276</v>
      </c>
      <c r="AG592" s="639" t="s">
        <v>277</v>
      </c>
      <c r="AH592" s="639"/>
      <c r="AI592" s="626" t="str">
        <f>IFERROR(VLOOKUP(AH592,Listas!$A$77:$C$83,2,FALSE),"Alerta: Seleccione primero el responsable")</f>
        <v>Alerta: Seleccione primero el responsable</v>
      </c>
      <c r="AJ592" s="640" t="str">
        <f>IFERROR(VLOOKUP(AH592,Listas!$A$77:$C$83,3,FALSE),"Alerta: Seleccione primero el responsable")</f>
        <v>Alerta: Seleccione primero el responsable</v>
      </c>
      <c r="AK592" s="640" t="str">
        <f>IF(J592="Funcionamiento Gastos Generales","No aplica",IF(J592="Funcionamiento Servicios Personales indirectos","No aplica",IFERROR(VLOOKUP(J592,Listas!$A$127:$E$139,3,FALSE),"Alerta: Seleccione la celda en la comumna B con el nombre del proyecto")))</f>
        <v>Alerta: Seleccione la celda en la comumna B con el nombre del proyecto</v>
      </c>
      <c r="AL592" s="640" t="str">
        <f>IF(J592="Funcionamiento Gastos Generales","No aplica",IF(J592="Funcionamiento Servicios Personales","No aplica",IFERROR(VLOOKUP(J592,Listas!$A$220:$D$224,2,FALSE),"Alerta: Seleccione la celda en la comumna B con el nombre del proyecto")))</f>
        <v>Alerta: Seleccione la celda en la comumna B con el nombre del proyecto</v>
      </c>
      <c r="AM592" s="640" t="str">
        <f>IF(J592="Funcionamiento Gastos Generales","No aplica",IF(J592="Funcionamiento Servicios Personales","No aplica",IFERROR(VLOOKUP(J592,Listas!$A$220:$D$224,3,FALSE),"Alerta: Seleccione la celda en la comumna B con el nombre del proyecto")))</f>
        <v>Alerta: Seleccione la celda en la comumna B con el nombre del proyecto</v>
      </c>
      <c r="AN592" s="633"/>
      <c r="AO592" s="633"/>
      <c r="AP592" s="634" t="str">
        <f>IFERROR(VLOOKUP(J592,Listas!$A$182:$E$215,5,FALSE),"Alerta: Seleccione la celda en la comumna B con el nombre del proyecto")</f>
        <v>Alerta: Seleccione la celda en la comumna B con el nombre del proyecto</v>
      </c>
      <c r="AQ592" s="634" t="str">
        <f>IF(J592="Funcionamiento Gastos Generales","No aplica",IF(J592="Funcionamiento Servicios Personales","No aplica",IFERROR(VLOOKUP(J592,Listas!$A$220:$D$224,4,FALSE),"Alerta: Seleccione la celda en la comumna B con el nombre del proyecto")))</f>
        <v>Alerta: Seleccione la celda en la comumna B con el nombre del proyecto</v>
      </c>
      <c r="AR592" s="633"/>
      <c r="AS592" s="634" t="str">
        <f>IFERROR(VLOOKUP(AU592,Listas!$E$85:$L$105,7,FALSE),"Alerta: Seleccione la celda en la comumna AI con el concepto de gasto")</f>
        <v>Alerta: Seleccione la celda en la comumna AI con el concepto de gasto</v>
      </c>
      <c r="AT592" s="634" t="str">
        <f>IFERROR(VLOOKUP(AU592,Listas!$E$85:$L$105,8,FALSE),"Alerta: Seleccione la celda en la comumna AI con el concepto de gasto")</f>
        <v>Alerta: Seleccione la celda en la comumna AI con el concepto de gasto</v>
      </c>
      <c r="AU592" s="633"/>
      <c r="AV592" s="634" t="str">
        <f>IFERROR(VLOOKUP(AU592,Listas!$E$85:$F$105,2,FALSE),"Alerta: Seleccione el Concepto de Gasto primero")</f>
        <v>Alerta: Seleccione el Concepto de Gasto primero</v>
      </c>
      <c r="AW592" s="644"/>
      <c r="AX592" s="645"/>
      <c r="AY592" s="645"/>
      <c r="AZ592" s="645"/>
      <c r="BA592" s="646">
        <f t="shared" si="180"/>
        <v>0</v>
      </c>
      <c r="BB592" s="647"/>
      <c r="BC592" s="648"/>
      <c r="BD592" s="649"/>
      <c r="BE592" s="647"/>
      <c r="BF592" s="644"/>
      <c r="BG592" s="646">
        <f t="shared" si="181"/>
        <v>0</v>
      </c>
      <c r="BH592" s="650"/>
      <c r="BI592" s="647"/>
      <c r="BJ592" s="644"/>
      <c r="BK592" s="646">
        <f t="shared" si="182"/>
        <v>0</v>
      </c>
      <c r="BL592" s="651"/>
      <c r="BM592" s="652">
        <f t="shared" si="183"/>
        <v>1</v>
      </c>
      <c r="BN592" s="628"/>
      <c r="BO592" s="670"/>
      <c r="BP592" s="644"/>
      <c r="BQ592" s="644"/>
      <c r="BR592" s="644"/>
      <c r="BS592" s="644"/>
      <c r="BT592" s="644"/>
      <c r="BU592" s="644"/>
      <c r="BV592" s="644"/>
      <c r="BW592" s="644"/>
      <c r="BX592" s="644"/>
      <c r="BY592" s="644"/>
      <c r="BZ592" s="644"/>
      <c r="CA592" s="644"/>
      <c r="CB592" s="646">
        <f t="shared" si="184"/>
        <v>0</v>
      </c>
      <c r="CC592" s="646">
        <f t="shared" si="185"/>
        <v>0</v>
      </c>
      <c r="CD592" s="614"/>
    </row>
    <row r="593" spans="1:85" s="561" customFormat="1" ht="61.5" customHeight="1">
      <c r="A593" s="625" t="str">
        <f t="shared" si="167"/>
        <v>proyecto-Alerta: Seleccione la celda en la comumna B con el nombre del proyecto-Al-Al--</v>
      </c>
      <c r="B593" s="626" t="str">
        <f t="shared" si="168"/>
        <v>proyecto-Alerta: Seleccione la celda en la comumna B con el nombre del proyecto-Al-Al-</v>
      </c>
      <c r="C593" s="626" t="str">
        <f t="shared" si="169"/>
        <v>proyecto-Alerta: Seleccione la celda en la comumna B con el nombre del proyecto-</v>
      </c>
      <c r="D593" s="626" t="str">
        <f t="shared" si="170"/>
        <v>proyecto--Al-Al-</v>
      </c>
      <c r="E593" s="626" t="str">
        <f t="shared" si="171"/>
        <v>--</v>
      </c>
      <c r="F593" s="627"/>
      <c r="G593" s="628">
        <f t="shared" si="172"/>
        <v>0</v>
      </c>
      <c r="H593" s="629" t="b">
        <f t="shared" si="173"/>
        <v>1</v>
      </c>
      <c r="I593" s="630"/>
      <c r="J593" s="627"/>
      <c r="K593" s="631" t="str">
        <f>+IFERROR(VLOOKUP(J593,Listas!$A$108:$B$114,2,FALSE),"Alerta: Seleccione la celda en la comumna B con el nombre del proyecto")</f>
        <v>Alerta: Seleccione la celda en la comumna B con el nombre del proyecto</v>
      </c>
      <c r="L593" s="632"/>
      <c r="M593" s="633"/>
      <c r="N593" s="634" t="str">
        <f t="shared" si="174"/>
        <v xml:space="preserve">(Cód. ) </v>
      </c>
      <c r="O593" s="635"/>
      <c r="P593" s="636">
        <f>IFERROR(VLOOKUP(W593,'Estimación CRP'!$D$21:$E$30,2,FALSE),0)</f>
        <v>0</v>
      </c>
      <c r="Q593" s="637">
        <f>IF(O593="No aplica","No aplica",WORKDAY.INTL(O593,P593,1,'Estimación CRP'!A779:A795))</f>
        <v>0</v>
      </c>
      <c r="R593" s="636">
        <f t="shared" si="175"/>
        <v>1</v>
      </c>
      <c r="S593" s="636">
        <f t="shared" si="176"/>
        <v>1</v>
      </c>
      <c r="T593" s="636">
        <f t="shared" si="177"/>
        <v>1</v>
      </c>
      <c r="U593" s="638"/>
      <c r="V593" s="638"/>
      <c r="W593" s="639"/>
      <c r="X593" s="640" t="str">
        <f>IFERROR(VLOOKUP(W593,Listas!$A$60:$B$73,2,FALSE),"Alerta: Seleccione primero Modalidad de selección")</f>
        <v>Alerta: Seleccione primero Modalidad de selección</v>
      </c>
      <c r="Y593" s="641">
        <v>0</v>
      </c>
      <c r="Z593" s="641"/>
      <c r="AA593" s="641"/>
      <c r="AB593" s="642">
        <f t="shared" si="178"/>
        <v>0</v>
      </c>
      <c r="AC593" s="642">
        <f t="shared" si="179"/>
        <v>0</v>
      </c>
      <c r="AD593" s="641">
        <v>0</v>
      </c>
      <c r="AE593" s="643">
        <v>0</v>
      </c>
      <c r="AF593" s="639" t="s">
        <v>276</v>
      </c>
      <c r="AG593" s="639" t="s">
        <v>277</v>
      </c>
      <c r="AH593" s="639"/>
      <c r="AI593" s="626" t="str">
        <f>IFERROR(VLOOKUP(AH593,Listas!$A$77:$C$83,2,FALSE),"Alerta: Seleccione primero el responsable")</f>
        <v>Alerta: Seleccione primero el responsable</v>
      </c>
      <c r="AJ593" s="640" t="str">
        <f>IFERROR(VLOOKUP(AH593,Listas!$A$77:$C$83,3,FALSE),"Alerta: Seleccione primero el responsable")</f>
        <v>Alerta: Seleccione primero el responsable</v>
      </c>
      <c r="AK593" s="640" t="str">
        <f>IF(J593="Funcionamiento Gastos Generales","No aplica",IF(J593="Funcionamiento Servicios Personales indirectos","No aplica",IFERROR(VLOOKUP(J593,Listas!$A$127:$E$139,3,FALSE),"Alerta: Seleccione la celda en la comumna B con el nombre del proyecto")))</f>
        <v>Alerta: Seleccione la celda en la comumna B con el nombre del proyecto</v>
      </c>
      <c r="AL593" s="640" t="str">
        <f>IF(J593="Funcionamiento Gastos Generales","No aplica",IF(J593="Funcionamiento Servicios Personales","No aplica",IFERROR(VLOOKUP(J593,Listas!$A$220:$D$224,2,FALSE),"Alerta: Seleccione la celda en la comumna B con el nombre del proyecto")))</f>
        <v>Alerta: Seleccione la celda en la comumna B con el nombre del proyecto</v>
      </c>
      <c r="AM593" s="640" t="str">
        <f>IF(J593="Funcionamiento Gastos Generales","No aplica",IF(J593="Funcionamiento Servicios Personales","No aplica",IFERROR(VLOOKUP(J593,Listas!$A$220:$D$224,3,FALSE),"Alerta: Seleccione la celda en la comumna B con el nombre del proyecto")))</f>
        <v>Alerta: Seleccione la celda en la comumna B con el nombre del proyecto</v>
      </c>
      <c r="AN593" s="633"/>
      <c r="AO593" s="633"/>
      <c r="AP593" s="634" t="str">
        <f>IFERROR(VLOOKUP(J593,Listas!$A$182:$E$215,5,FALSE),"Alerta: Seleccione la celda en la comumna B con el nombre del proyecto")</f>
        <v>Alerta: Seleccione la celda en la comumna B con el nombre del proyecto</v>
      </c>
      <c r="AQ593" s="634" t="str">
        <f>IF(J593="Funcionamiento Gastos Generales","No aplica",IF(J593="Funcionamiento Servicios Personales","No aplica",IFERROR(VLOOKUP(J593,Listas!$A$220:$D$224,4,FALSE),"Alerta: Seleccione la celda en la comumna B con el nombre del proyecto")))</f>
        <v>Alerta: Seleccione la celda en la comumna B con el nombre del proyecto</v>
      </c>
      <c r="AR593" s="633"/>
      <c r="AS593" s="634" t="str">
        <f>IFERROR(VLOOKUP(AU593,Listas!$E$85:$L$105,7,FALSE),"Alerta: Seleccione la celda en la comumna AI con el concepto de gasto")</f>
        <v>Alerta: Seleccione la celda en la comumna AI con el concepto de gasto</v>
      </c>
      <c r="AT593" s="634" t="str">
        <f>IFERROR(VLOOKUP(AU593,Listas!$E$85:$L$105,8,FALSE),"Alerta: Seleccione la celda en la comumna AI con el concepto de gasto")</f>
        <v>Alerta: Seleccione la celda en la comumna AI con el concepto de gasto</v>
      </c>
      <c r="AU593" s="633"/>
      <c r="AV593" s="634" t="str">
        <f>IFERROR(VLOOKUP(AU593,Listas!$E$85:$F$105,2,FALSE),"Alerta: Seleccione el Concepto de Gasto primero")</f>
        <v>Alerta: Seleccione el Concepto de Gasto primero</v>
      </c>
      <c r="AW593" s="644"/>
      <c r="AX593" s="645"/>
      <c r="AY593" s="645"/>
      <c r="AZ593" s="645"/>
      <c r="BA593" s="646">
        <f t="shared" si="180"/>
        <v>0</v>
      </c>
      <c r="BB593" s="647"/>
      <c r="BC593" s="648"/>
      <c r="BD593" s="649"/>
      <c r="BE593" s="647"/>
      <c r="BF593" s="644"/>
      <c r="BG593" s="646">
        <f t="shared" si="181"/>
        <v>0</v>
      </c>
      <c r="BH593" s="650"/>
      <c r="BI593" s="647"/>
      <c r="BJ593" s="644"/>
      <c r="BK593" s="646">
        <f t="shared" si="182"/>
        <v>0</v>
      </c>
      <c r="BL593" s="651"/>
      <c r="BM593" s="652">
        <f t="shared" si="183"/>
        <v>1</v>
      </c>
      <c r="BN593" s="628"/>
      <c r="BO593" s="670"/>
      <c r="BP593" s="644"/>
      <c r="BQ593" s="644"/>
      <c r="BR593" s="644"/>
      <c r="BS593" s="644"/>
      <c r="BT593" s="644"/>
      <c r="BU593" s="644"/>
      <c r="BV593" s="644"/>
      <c r="BW593" s="644"/>
      <c r="BX593" s="644"/>
      <c r="BY593" s="644"/>
      <c r="BZ593" s="644"/>
      <c r="CA593" s="644"/>
      <c r="CB593" s="646">
        <f t="shared" si="184"/>
        <v>0</v>
      </c>
      <c r="CC593" s="646">
        <f t="shared" si="185"/>
        <v>0</v>
      </c>
      <c r="CD593" s="614"/>
    </row>
    <row r="594" spans="1:85" s="561" customFormat="1" ht="61.5" customHeight="1">
      <c r="A594" s="625" t="str">
        <f t="shared" si="167"/>
        <v>proyecto-Alerta: Seleccione la celda en la comumna B con el nombre del proyecto-Al-Al--</v>
      </c>
      <c r="B594" s="626" t="str">
        <f t="shared" si="168"/>
        <v>proyecto-Alerta: Seleccione la celda en la comumna B con el nombre del proyecto-Al-Al-</v>
      </c>
      <c r="C594" s="626" t="str">
        <f t="shared" si="169"/>
        <v>proyecto-Alerta: Seleccione la celda en la comumna B con el nombre del proyecto-</v>
      </c>
      <c r="D594" s="626" t="str">
        <f t="shared" si="170"/>
        <v>proyecto--Al-Al-</v>
      </c>
      <c r="E594" s="626" t="str">
        <f t="shared" si="171"/>
        <v>--</v>
      </c>
      <c r="F594" s="627"/>
      <c r="G594" s="628">
        <f t="shared" si="172"/>
        <v>0</v>
      </c>
      <c r="H594" s="629" t="b">
        <f t="shared" si="173"/>
        <v>1</v>
      </c>
      <c r="I594" s="630"/>
      <c r="J594" s="627"/>
      <c r="K594" s="631" t="str">
        <f>+IFERROR(VLOOKUP(J594,Listas!$A$108:$B$114,2,FALSE),"Alerta: Seleccione la celda en la comumna B con el nombre del proyecto")</f>
        <v>Alerta: Seleccione la celda en la comumna B con el nombre del proyecto</v>
      </c>
      <c r="L594" s="632"/>
      <c r="M594" s="633"/>
      <c r="N594" s="634" t="str">
        <f t="shared" si="174"/>
        <v xml:space="preserve">(Cód. ) </v>
      </c>
      <c r="O594" s="635"/>
      <c r="P594" s="636">
        <f>IFERROR(VLOOKUP(W594,'Estimación CRP'!$D$21:$E$30,2,FALSE),0)</f>
        <v>0</v>
      </c>
      <c r="Q594" s="637">
        <f>IF(O594="No aplica","No aplica",WORKDAY.INTL(O594,P594,1,'Estimación CRP'!A780:A796))</f>
        <v>0</v>
      </c>
      <c r="R594" s="636">
        <f t="shared" si="175"/>
        <v>1</v>
      </c>
      <c r="S594" s="636">
        <f t="shared" si="176"/>
        <v>1</v>
      </c>
      <c r="T594" s="636">
        <f t="shared" si="177"/>
        <v>1</v>
      </c>
      <c r="U594" s="638"/>
      <c r="V594" s="638"/>
      <c r="W594" s="639"/>
      <c r="X594" s="640" t="str">
        <f>IFERROR(VLOOKUP(W594,Listas!$A$60:$B$73,2,FALSE),"Alerta: Seleccione primero Modalidad de selección")</f>
        <v>Alerta: Seleccione primero Modalidad de selección</v>
      </c>
      <c r="Y594" s="641">
        <v>0</v>
      </c>
      <c r="Z594" s="641"/>
      <c r="AA594" s="641"/>
      <c r="AB594" s="642">
        <f t="shared" si="178"/>
        <v>0</v>
      </c>
      <c r="AC594" s="642">
        <f t="shared" si="179"/>
        <v>0</v>
      </c>
      <c r="AD594" s="641">
        <v>0</v>
      </c>
      <c r="AE594" s="643">
        <v>0</v>
      </c>
      <c r="AF594" s="639" t="s">
        <v>276</v>
      </c>
      <c r="AG594" s="639" t="s">
        <v>277</v>
      </c>
      <c r="AH594" s="639"/>
      <c r="AI594" s="626" t="str">
        <f>IFERROR(VLOOKUP(AH594,Listas!$A$77:$C$83,2,FALSE),"Alerta: Seleccione primero el responsable")</f>
        <v>Alerta: Seleccione primero el responsable</v>
      </c>
      <c r="AJ594" s="640" t="str">
        <f>IFERROR(VLOOKUP(AH594,Listas!$A$77:$C$83,3,FALSE),"Alerta: Seleccione primero el responsable")</f>
        <v>Alerta: Seleccione primero el responsable</v>
      </c>
      <c r="AK594" s="640" t="str">
        <f>IF(J594="Funcionamiento Gastos Generales","No aplica",IF(J594="Funcionamiento Servicios Personales indirectos","No aplica",IFERROR(VLOOKUP(J594,Listas!$A$127:$E$139,3,FALSE),"Alerta: Seleccione la celda en la comumna B con el nombre del proyecto")))</f>
        <v>Alerta: Seleccione la celda en la comumna B con el nombre del proyecto</v>
      </c>
      <c r="AL594" s="640" t="str">
        <f>IF(J594="Funcionamiento Gastos Generales","No aplica",IF(J594="Funcionamiento Servicios Personales","No aplica",IFERROR(VLOOKUP(J594,Listas!$A$220:$D$224,2,FALSE),"Alerta: Seleccione la celda en la comumna B con el nombre del proyecto")))</f>
        <v>Alerta: Seleccione la celda en la comumna B con el nombre del proyecto</v>
      </c>
      <c r="AM594" s="640" t="str">
        <f>IF(J594="Funcionamiento Gastos Generales","No aplica",IF(J594="Funcionamiento Servicios Personales","No aplica",IFERROR(VLOOKUP(J594,Listas!$A$220:$D$224,3,FALSE),"Alerta: Seleccione la celda en la comumna B con el nombre del proyecto")))</f>
        <v>Alerta: Seleccione la celda en la comumna B con el nombre del proyecto</v>
      </c>
      <c r="AN594" s="633"/>
      <c r="AO594" s="633"/>
      <c r="AP594" s="634" t="str">
        <f>IFERROR(VLOOKUP(J594,Listas!$A$182:$E$215,5,FALSE),"Alerta: Seleccione la celda en la comumna B con el nombre del proyecto")</f>
        <v>Alerta: Seleccione la celda en la comumna B con el nombre del proyecto</v>
      </c>
      <c r="AQ594" s="634" t="str">
        <f>IF(J594="Funcionamiento Gastos Generales","No aplica",IF(J594="Funcionamiento Servicios Personales","No aplica",IFERROR(VLOOKUP(J594,Listas!$A$220:$D$224,4,FALSE),"Alerta: Seleccione la celda en la comumna B con el nombre del proyecto")))</f>
        <v>Alerta: Seleccione la celda en la comumna B con el nombre del proyecto</v>
      </c>
      <c r="AR594" s="633"/>
      <c r="AS594" s="634" t="str">
        <f>IFERROR(VLOOKUP(AU594,Listas!$E$85:$L$105,7,FALSE),"Alerta: Seleccione la celda en la comumna AI con el concepto de gasto")</f>
        <v>Alerta: Seleccione la celda en la comumna AI con el concepto de gasto</v>
      </c>
      <c r="AT594" s="634" t="str">
        <f>IFERROR(VLOOKUP(AU594,Listas!$E$85:$L$105,8,FALSE),"Alerta: Seleccione la celda en la comumna AI con el concepto de gasto")</f>
        <v>Alerta: Seleccione la celda en la comumna AI con el concepto de gasto</v>
      </c>
      <c r="AU594" s="633"/>
      <c r="AV594" s="634" t="str">
        <f>IFERROR(VLOOKUP(AU594,Listas!$E$85:$F$105,2,FALSE),"Alerta: Seleccione el Concepto de Gasto primero")</f>
        <v>Alerta: Seleccione el Concepto de Gasto primero</v>
      </c>
      <c r="AW594" s="644"/>
      <c r="AX594" s="645"/>
      <c r="AY594" s="645"/>
      <c r="AZ594" s="645"/>
      <c r="BA594" s="646">
        <f t="shared" si="180"/>
        <v>0</v>
      </c>
      <c r="BB594" s="647"/>
      <c r="BC594" s="648"/>
      <c r="BD594" s="649"/>
      <c r="BE594" s="647"/>
      <c r="BF594" s="644"/>
      <c r="BG594" s="646">
        <f t="shared" si="181"/>
        <v>0</v>
      </c>
      <c r="BH594" s="650"/>
      <c r="BI594" s="647"/>
      <c r="BJ594" s="644"/>
      <c r="BK594" s="646">
        <f t="shared" si="182"/>
        <v>0</v>
      </c>
      <c r="BL594" s="651"/>
      <c r="BM594" s="652">
        <f t="shared" si="183"/>
        <v>1</v>
      </c>
      <c r="BN594" s="628"/>
      <c r="BO594" s="670"/>
      <c r="BP594" s="644"/>
      <c r="BQ594" s="644"/>
      <c r="BR594" s="644"/>
      <c r="BS594" s="644"/>
      <c r="BT594" s="644"/>
      <c r="BU594" s="644"/>
      <c r="BV594" s="644"/>
      <c r="BW594" s="644"/>
      <c r="BX594" s="644"/>
      <c r="BY594" s="644"/>
      <c r="BZ594" s="644"/>
      <c r="CA594" s="644"/>
      <c r="CB594" s="646">
        <f t="shared" si="184"/>
        <v>0</v>
      </c>
      <c r="CC594" s="646">
        <f t="shared" si="185"/>
        <v>0</v>
      </c>
      <c r="CD594" s="614"/>
    </row>
    <row r="595" spans="1:85" s="561" customFormat="1" ht="61.5" customHeight="1">
      <c r="A595" s="625" t="str">
        <f t="shared" si="167"/>
        <v>proyecto-Alerta: Seleccione la celda en la comumna B con el nombre del proyecto-Al-Al--</v>
      </c>
      <c r="B595" s="626" t="str">
        <f t="shared" si="168"/>
        <v>proyecto-Alerta: Seleccione la celda en la comumna B con el nombre del proyecto-Al-Al-</v>
      </c>
      <c r="C595" s="626" t="str">
        <f t="shared" si="169"/>
        <v>proyecto-Alerta: Seleccione la celda en la comumna B con el nombre del proyecto-</v>
      </c>
      <c r="D595" s="626" t="str">
        <f t="shared" si="170"/>
        <v>proyecto--Al-Al-</v>
      </c>
      <c r="E595" s="626" t="str">
        <f t="shared" si="171"/>
        <v>--</v>
      </c>
      <c r="F595" s="627"/>
      <c r="G595" s="628">
        <f t="shared" si="172"/>
        <v>0</v>
      </c>
      <c r="H595" s="629" t="b">
        <f t="shared" si="173"/>
        <v>1</v>
      </c>
      <c r="I595" s="630"/>
      <c r="J595" s="627"/>
      <c r="K595" s="631" t="str">
        <f>+IFERROR(VLOOKUP(J595,Listas!$A$108:$B$114,2,FALSE),"Alerta: Seleccione la celda en la comumna B con el nombre del proyecto")</f>
        <v>Alerta: Seleccione la celda en la comumna B con el nombre del proyecto</v>
      </c>
      <c r="L595" s="632"/>
      <c r="M595" s="633"/>
      <c r="N595" s="634" t="str">
        <f t="shared" si="174"/>
        <v xml:space="preserve">(Cód. ) </v>
      </c>
      <c r="O595" s="635"/>
      <c r="P595" s="636">
        <f>IFERROR(VLOOKUP(W595,'Estimación CRP'!$D$21:$E$30,2,FALSE),0)</f>
        <v>0</v>
      </c>
      <c r="Q595" s="637">
        <f>IF(O595="No aplica","No aplica",WORKDAY.INTL(O595,P595,1,'Estimación CRP'!A781:A797))</f>
        <v>0</v>
      </c>
      <c r="R595" s="636">
        <f t="shared" si="175"/>
        <v>1</v>
      </c>
      <c r="S595" s="636">
        <f t="shared" si="176"/>
        <v>1</v>
      </c>
      <c r="T595" s="636">
        <f t="shared" si="177"/>
        <v>1</v>
      </c>
      <c r="U595" s="638"/>
      <c r="V595" s="638"/>
      <c r="W595" s="639"/>
      <c r="X595" s="640" t="str">
        <f>IFERROR(VLOOKUP(W595,Listas!$A$60:$B$73,2,FALSE),"Alerta: Seleccione primero Modalidad de selección")</f>
        <v>Alerta: Seleccione primero Modalidad de selección</v>
      </c>
      <c r="Y595" s="641">
        <v>0</v>
      </c>
      <c r="Z595" s="641"/>
      <c r="AA595" s="641"/>
      <c r="AB595" s="642">
        <f t="shared" si="178"/>
        <v>0</v>
      </c>
      <c r="AC595" s="642">
        <f t="shared" si="179"/>
        <v>0</v>
      </c>
      <c r="AD595" s="641">
        <v>0</v>
      </c>
      <c r="AE595" s="643">
        <v>0</v>
      </c>
      <c r="AF595" s="639" t="s">
        <v>276</v>
      </c>
      <c r="AG595" s="639" t="s">
        <v>277</v>
      </c>
      <c r="AH595" s="639"/>
      <c r="AI595" s="626" t="str">
        <f>IFERROR(VLOOKUP(AH595,Listas!$A$77:$C$83,2,FALSE),"Alerta: Seleccione primero el responsable")</f>
        <v>Alerta: Seleccione primero el responsable</v>
      </c>
      <c r="AJ595" s="640" t="str">
        <f>IFERROR(VLOOKUP(AH595,Listas!$A$77:$C$83,3,FALSE),"Alerta: Seleccione primero el responsable")</f>
        <v>Alerta: Seleccione primero el responsable</v>
      </c>
      <c r="AK595" s="640" t="str">
        <f>IF(J595="Funcionamiento Gastos Generales","No aplica",IF(J595="Funcionamiento Servicios Personales indirectos","No aplica",IFERROR(VLOOKUP(J595,Listas!$A$127:$E$139,3,FALSE),"Alerta: Seleccione la celda en la comumna B con el nombre del proyecto")))</f>
        <v>Alerta: Seleccione la celda en la comumna B con el nombre del proyecto</v>
      </c>
      <c r="AL595" s="640" t="str">
        <f>IF(J595="Funcionamiento Gastos Generales","No aplica",IF(J595="Funcionamiento Servicios Personales","No aplica",IFERROR(VLOOKUP(J595,Listas!$A$220:$D$224,2,FALSE),"Alerta: Seleccione la celda en la comumna B con el nombre del proyecto")))</f>
        <v>Alerta: Seleccione la celda en la comumna B con el nombre del proyecto</v>
      </c>
      <c r="AM595" s="640" t="str">
        <f>IF(J595="Funcionamiento Gastos Generales","No aplica",IF(J595="Funcionamiento Servicios Personales","No aplica",IFERROR(VLOOKUP(J595,Listas!$A$220:$D$224,3,FALSE),"Alerta: Seleccione la celda en la comumna B con el nombre del proyecto")))</f>
        <v>Alerta: Seleccione la celda en la comumna B con el nombre del proyecto</v>
      </c>
      <c r="AN595" s="633"/>
      <c r="AO595" s="633"/>
      <c r="AP595" s="634" t="str">
        <f>IFERROR(VLOOKUP(J595,Listas!$A$182:$E$215,5,FALSE),"Alerta: Seleccione la celda en la comumna B con el nombre del proyecto")</f>
        <v>Alerta: Seleccione la celda en la comumna B con el nombre del proyecto</v>
      </c>
      <c r="AQ595" s="634" t="str">
        <f>IF(J595="Funcionamiento Gastos Generales","No aplica",IF(J595="Funcionamiento Servicios Personales","No aplica",IFERROR(VLOOKUP(J595,Listas!$A$220:$D$224,4,FALSE),"Alerta: Seleccione la celda en la comumna B con el nombre del proyecto")))</f>
        <v>Alerta: Seleccione la celda en la comumna B con el nombre del proyecto</v>
      </c>
      <c r="AR595" s="633"/>
      <c r="AS595" s="634" t="str">
        <f>IFERROR(VLOOKUP(AU595,Listas!$E$85:$L$105,7,FALSE),"Alerta: Seleccione la celda en la comumna AI con el concepto de gasto")</f>
        <v>Alerta: Seleccione la celda en la comumna AI con el concepto de gasto</v>
      </c>
      <c r="AT595" s="634" t="str">
        <f>IFERROR(VLOOKUP(AU595,Listas!$E$85:$L$105,8,FALSE),"Alerta: Seleccione la celda en la comumna AI con el concepto de gasto")</f>
        <v>Alerta: Seleccione la celda en la comumna AI con el concepto de gasto</v>
      </c>
      <c r="AU595" s="633"/>
      <c r="AV595" s="634" t="str">
        <f>IFERROR(VLOOKUP(AU595,Listas!$E$85:$F$105,2,FALSE),"Alerta: Seleccione el Concepto de Gasto primero")</f>
        <v>Alerta: Seleccione el Concepto de Gasto primero</v>
      </c>
      <c r="AW595" s="644"/>
      <c r="AX595" s="645"/>
      <c r="AY595" s="645"/>
      <c r="AZ595" s="645"/>
      <c r="BA595" s="646">
        <f t="shared" si="180"/>
        <v>0</v>
      </c>
      <c r="BB595" s="647"/>
      <c r="BC595" s="648"/>
      <c r="BD595" s="649"/>
      <c r="BE595" s="647"/>
      <c r="BF595" s="644"/>
      <c r="BG595" s="646">
        <f t="shared" si="181"/>
        <v>0</v>
      </c>
      <c r="BH595" s="650"/>
      <c r="BI595" s="647"/>
      <c r="BJ595" s="644"/>
      <c r="BK595" s="646">
        <f t="shared" si="182"/>
        <v>0</v>
      </c>
      <c r="BL595" s="651"/>
      <c r="BM595" s="652">
        <f t="shared" si="183"/>
        <v>1</v>
      </c>
      <c r="BN595" s="628"/>
      <c r="BO595" s="670"/>
      <c r="BP595" s="644"/>
      <c r="BQ595" s="644"/>
      <c r="BR595" s="644"/>
      <c r="BS595" s="644"/>
      <c r="BT595" s="644"/>
      <c r="BU595" s="644"/>
      <c r="BV595" s="644"/>
      <c r="BW595" s="644"/>
      <c r="BX595" s="644"/>
      <c r="BY595" s="644"/>
      <c r="BZ595" s="644"/>
      <c r="CA595" s="644"/>
      <c r="CB595" s="646">
        <f t="shared" si="184"/>
        <v>0</v>
      </c>
      <c r="CC595" s="646">
        <f t="shared" si="185"/>
        <v>0</v>
      </c>
      <c r="CD595" s="614"/>
    </row>
    <row r="596" spans="1:85" s="561" customFormat="1" ht="61.5" customHeight="1">
      <c r="A596" s="625" t="str">
        <f t="shared" si="167"/>
        <v>proyecto-Alerta: Seleccione la celda en la comumna B con el nombre del proyecto-Al-Al--</v>
      </c>
      <c r="B596" s="626" t="str">
        <f t="shared" si="168"/>
        <v>proyecto-Alerta: Seleccione la celda en la comumna B con el nombre del proyecto-Al-Al-</v>
      </c>
      <c r="C596" s="626" t="str">
        <f t="shared" si="169"/>
        <v>proyecto-Alerta: Seleccione la celda en la comumna B con el nombre del proyecto-</v>
      </c>
      <c r="D596" s="626" t="str">
        <f t="shared" si="170"/>
        <v>proyecto--Al-Al-</v>
      </c>
      <c r="E596" s="626" t="str">
        <f t="shared" si="171"/>
        <v>--</v>
      </c>
      <c r="F596" s="627"/>
      <c r="G596" s="628">
        <f t="shared" si="172"/>
        <v>0</v>
      </c>
      <c r="H596" s="629" t="b">
        <f t="shared" si="173"/>
        <v>1</v>
      </c>
      <c r="I596" s="630"/>
      <c r="J596" s="627"/>
      <c r="K596" s="631" t="str">
        <f>+IFERROR(VLOOKUP(J596,Listas!$A$108:$B$114,2,FALSE),"Alerta: Seleccione la celda en la comumna B con el nombre del proyecto")</f>
        <v>Alerta: Seleccione la celda en la comumna B con el nombre del proyecto</v>
      </c>
      <c r="L596" s="632"/>
      <c r="M596" s="633"/>
      <c r="N596" s="634" t="str">
        <f t="shared" si="174"/>
        <v xml:space="preserve">(Cód. ) </v>
      </c>
      <c r="O596" s="635"/>
      <c r="P596" s="636">
        <f>IFERROR(VLOOKUP(W596,'Estimación CRP'!$D$21:$E$30,2,FALSE),0)</f>
        <v>0</v>
      </c>
      <c r="Q596" s="637">
        <f>IF(O596="No aplica","No aplica",WORKDAY.INTL(O596,P596,1,'Estimación CRP'!A782:A798))</f>
        <v>0</v>
      </c>
      <c r="R596" s="636">
        <f t="shared" si="175"/>
        <v>1</v>
      </c>
      <c r="S596" s="636">
        <f t="shared" si="176"/>
        <v>1</v>
      </c>
      <c r="T596" s="636">
        <f t="shared" si="177"/>
        <v>1</v>
      </c>
      <c r="U596" s="638"/>
      <c r="V596" s="638"/>
      <c r="W596" s="639"/>
      <c r="X596" s="640" t="str">
        <f>IFERROR(VLOOKUP(W596,Listas!$A$60:$B$73,2,FALSE),"Alerta: Seleccione primero Modalidad de selección")</f>
        <v>Alerta: Seleccione primero Modalidad de selección</v>
      </c>
      <c r="Y596" s="641">
        <v>0</v>
      </c>
      <c r="Z596" s="641"/>
      <c r="AA596" s="641"/>
      <c r="AB596" s="642">
        <f t="shared" si="178"/>
        <v>0</v>
      </c>
      <c r="AC596" s="642">
        <f t="shared" si="179"/>
        <v>0</v>
      </c>
      <c r="AD596" s="641">
        <v>0</v>
      </c>
      <c r="AE596" s="643">
        <v>0</v>
      </c>
      <c r="AF596" s="639" t="s">
        <v>276</v>
      </c>
      <c r="AG596" s="639" t="s">
        <v>277</v>
      </c>
      <c r="AH596" s="639"/>
      <c r="AI596" s="626" t="str">
        <f>IFERROR(VLOOKUP(AH596,Listas!$A$77:$C$83,2,FALSE),"Alerta: Seleccione primero el responsable")</f>
        <v>Alerta: Seleccione primero el responsable</v>
      </c>
      <c r="AJ596" s="640" t="str">
        <f>IFERROR(VLOOKUP(AH596,Listas!$A$77:$C$83,3,FALSE),"Alerta: Seleccione primero el responsable")</f>
        <v>Alerta: Seleccione primero el responsable</v>
      </c>
      <c r="AK596" s="640" t="str">
        <f>IF(J596="Funcionamiento Gastos Generales","No aplica",IF(J596="Funcionamiento Servicios Personales indirectos","No aplica",IFERROR(VLOOKUP(J596,Listas!$A$127:$E$139,3,FALSE),"Alerta: Seleccione la celda en la comumna B con el nombre del proyecto")))</f>
        <v>Alerta: Seleccione la celda en la comumna B con el nombre del proyecto</v>
      </c>
      <c r="AL596" s="640" t="str">
        <f>IF(J596="Funcionamiento Gastos Generales","No aplica",IF(J596="Funcionamiento Servicios Personales","No aplica",IFERROR(VLOOKUP(J596,Listas!$A$220:$D$224,2,FALSE),"Alerta: Seleccione la celda en la comumna B con el nombre del proyecto")))</f>
        <v>Alerta: Seleccione la celda en la comumna B con el nombre del proyecto</v>
      </c>
      <c r="AM596" s="640" t="str">
        <f>IF(J596="Funcionamiento Gastos Generales","No aplica",IF(J596="Funcionamiento Servicios Personales","No aplica",IFERROR(VLOOKUP(J596,Listas!$A$220:$D$224,3,FALSE),"Alerta: Seleccione la celda en la comumna B con el nombre del proyecto")))</f>
        <v>Alerta: Seleccione la celda en la comumna B con el nombre del proyecto</v>
      </c>
      <c r="AN596" s="633"/>
      <c r="AO596" s="633"/>
      <c r="AP596" s="634" t="str">
        <f>IFERROR(VLOOKUP(J596,Listas!$A$182:$E$215,5,FALSE),"Alerta: Seleccione la celda en la comumna B con el nombre del proyecto")</f>
        <v>Alerta: Seleccione la celda en la comumna B con el nombre del proyecto</v>
      </c>
      <c r="AQ596" s="634" t="str">
        <f>IF(J596="Funcionamiento Gastos Generales","No aplica",IF(J596="Funcionamiento Servicios Personales","No aplica",IFERROR(VLOOKUP(J596,Listas!$A$220:$D$224,4,FALSE),"Alerta: Seleccione la celda en la comumna B con el nombre del proyecto")))</f>
        <v>Alerta: Seleccione la celda en la comumna B con el nombre del proyecto</v>
      </c>
      <c r="AR596" s="633"/>
      <c r="AS596" s="634" t="str">
        <f>IFERROR(VLOOKUP(AU596,Listas!$E$85:$L$105,7,FALSE),"Alerta: Seleccione la celda en la comumna AI con el concepto de gasto")</f>
        <v>Alerta: Seleccione la celda en la comumna AI con el concepto de gasto</v>
      </c>
      <c r="AT596" s="634" t="str">
        <f>IFERROR(VLOOKUP(AU596,Listas!$E$85:$L$105,8,FALSE),"Alerta: Seleccione la celda en la comumna AI con el concepto de gasto")</f>
        <v>Alerta: Seleccione la celda en la comumna AI con el concepto de gasto</v>
      </c>
      <c r="AU596" s="633"/>
      <c r="AV596" s="634" t="str">
        <f>IFERROR(VLOOKUP(AU596,Listas!$E$85:$F$105,2,FALSE),"Alerta: Seleccione el Concepto de Gasto primero")</f>
        <v>Alerta: Seleccione el Concepto de Gasto primero</v>
      </c>
      <c r="AW596" s="644"/>
      <c r="AX596" s="645"/>
      <c r="AY596" s="645"/>
      <c r="AZ596" s="645"/>
      <c r="BA596" s="646">
        <f t="shared" si="180"/>
        <v>0</v>
      </c>
      <c r="BB596" s="647"/>
      <c r="BC596" s="648"/>
      <c r="BD596" s="649"/>
      <c r="BE596" s="647"/>
      <c r="BF596" s="644"/>
      <c r="BG596" s="646">
        <f t="shared" si="181"/>
        <v>0</v>
      </c>
      <c r="BH596" s="650"/>
      <c r="BI596" s="647"/>
      <c r="BJ596" s="644"/>
      <c r="BK596" s="646">
        <f t="shared" si="182"/>
        <v>0</v>
      </c>
      <c r="BL596" s="651"/>
      <c r="BM596" s="652">
        <f t="shared" si="183"/>
        <v>1</v>
      </c>
      <c r="BN596" s="628"/>
      <c r="BO596" s="670"/>
      <c r="BP596" s="644"/>
      <c r="BQ596" s="644"/>
      <c r="BR596" s="644"/>
      <c r="BS596" s="644"/>
      <c r="BT596" s="644"/>
      <c r="BU596" s="644"/>
      <c r="BV596" s="644"/>
      <c r="BW596" s="644"/>
      <c r="BX596" s="644"/>
      <c r="BY596" s="644"/>
      <c r="BZ596" s="644"/>
      <c r="CA596" s="644"/>
      <c r="CB596" s="646">
        <f t="shared" si="184"/>
        <v>0</v>
      </c>
      <c r="CC596" s="646">
        <f t="shared" si="185"/>
        <v>0</v>
      </c>
      <c r="CD596" s="614"/>
    </row>
    <row r="597" spans="1:85" s="561" customFormat="1" ht="61.5" customHeight="1">
      <c r="A597" s="625" t="str">
        <f t="shared" si="167"/>
        <v>proyecto-Alerta: Seleccione la celda en la comumna B con el nombre del proyecto-Al-Al--</v>
      </c>
      <c r="B597" s="626" t="str">
        <f t="shared" si="168"/>
        <v>proyecto-Alerta: Seleccione la celda en la comumna B con el nombre del proyecto-Al-Al-</v>
      </c>
      <c r="C597" s="626" t="str">
        <f t="shared" si="169"/>
        <v>proyecto-Alerta: Seleccione la celda en la comumna B con el nombre del proyecto-</v>
      </c>
      <c r="D597" s="626" t="str">
        <f t="shared" si="170"/>
        <v>proyecto--Al-Al-</v>
      </c>
      <c r="E597" s="626" t="str">
        <f t="shared" si="171"/>
        <v>--</v>
      </c>
      <c r="F597" s="627"/>
      <c r="G597" s="628">
        <f t="shared" si="172"/>
        <v>0</v>
      </c>
      <c r="H597" s="629" t="b">
        <f t="shared" si="173"/>
        <v>1</v>
      </c>
      <c r="I597" s="630"/>
      <c r="J597" s="627"/>
      <c r="K597" s="631" t="str">
        <f>+IFERROR(VLOOKUP(J597,Listas!$A$108:$B$114,2,FALSE),"Alerta: Seleccione la celda en la comumna B con el nombre del proyecto")</f>
        <v>Alerta: Seleccione la celda en la comumna B con el nombre del proyecto</v>
      </c>
      <c r="L597" s="632"/>
      <c r="M597" s="633"/>
      <c r="N597" s="634" t="str">
        <f t="shared" si="174"/>
        <v xml:space="preserve">(Cód. ) </v>
      </c>
      <c r="O597" s="635"/>
      <c r="P597" s="636">
        <f>IFERROR(VLOOKUP(W597,'Estimación CRP'!$D$21:$E$30,2,FALSE),0)</f>
        <v>0</v>
      </c>
      <c r="Q597" s="637">
        <f>IF(O597="No aplica","No aplica",WORKDAY.INTL(O597,P597,1,'Estimación CRP'!A783:A799))</f>
        <v>0</v>
      </c>
      <c r="R597" s="636">
        <f t="shared" si="175"/>
        <v>1</v>
      </c>
      <c r="S597" s="636">
        <f t="shared" si="176"/>
        <v>1</v>
      </c>
      <c r="T597" s="636">
        <f t="shared" si="177"/>
        <v>1</v>
      </c>
      <c r="U597" s="638"/>
      <c r="V597" s="638"/>
      <c r="W597" s="639"/>
      <c r="X597" s="640" t="str">
        <f>IFERROR(VLOOKUP(W597,Listas!$A$60:$B$73,2,FALSE),"Alerta: Seleccione primero Modalidad de selección")</f>
        <v>Alerta: Seleccione primero Modalidad de selección</v>
      </c>
      <c r="Y597" s="641">
        <v>0</v>
      </c>
      <c r="Z597" s="641"/>
      <c r="AA597" s="641"/>
      <c r="AB597" s="642">
        <f t="shared" si="178"/>
        <v>0</v>
      </c>
      <c r="AC597" s="642">
        <f t="shared" si="179"/>
        <v>0</v>
      </c>
      <c r="AD597" s="641">
        <v>0</v>
      </c>
      <c r="AE597" s="643">
        <v>0</v>
      </c>
      <c r="AF597" s="639" t="s">
        <v>276</v>
      </c>
      <c r="AG597" s="639" t="s">
        <v>277</v>
      </c>
      <c r="AH597" s="639"/>
      <c r="AI597" s="626" t="str">
        <f>IFERROR(VLOOKUP(AH597,Listas!$A$77:$C$83,2,FALSE),"Alerta: Seleccione primero el responsable")</f>
        <v>Alerta: Seleccione primero el responsable</v>
      </c>
      <c r="AJ597" s="640" t="str">
        <f>IFERROR(VLOOKUP(AH597,Listas!$A$77:$C$83,3,FALSE),"Alerta: Seleccione primero el responsable")</f>
        <v>Alerta: Seleccione primero el responsable</v>
      </c>
      <c r="AK597" s="640" t="str">
        <f>IF(J597="Funcionamiento Gastos Generales","No aplica",IF(J597="Funcionamiento Servicios Personales indirectos","No aplica",IFERROR(VLOOKUP(J597,Listas!$A$127:$E$139,3,FALSE),"Alerta: Seleccione la celda en la comumna B con el nombre del proyecto")))</f>
        <v>Alerta: Seleccione la celda en la comumna B con el nombre del proyecto</v>
      </c>
      <c r="AL597" s="640" t="str">
        <f>IF(J597="Funcionamiento Gastos Generales","No aplica",IF(J597="Funcionamiento Servicios Personales","No aplica",IFERROR(VLOOKUP(J597,Listas!$A$220:$D$224,2,FALSE),"Alerta: Seleccione la celda en la comumna B con el nombre del proyecto")))</f>
        <v>Alerta: Seleccione la celda en la comumna B con el nombre del proyecto</v>
      </c>
      <c r="AM597" s="640" t="str">
        <f>IF(J597="Funcionamiento Gastos Generales","No aplica",IF(J597="Funcionamiento Servicios Personales","No aplica",IFERROR(VLOOKUP(J597,Listas!$A$220:$D$224,3,FALSE),"Alerta: Seleccione la celda en la comumna B con el nombre del proyecto")))</f>
        <v>Alerta: Seleccione la celda en la comumna B con el nombre del proyecto</v>
      </c>
      <c r="AN597" s="633"/>
      <c r="AO597" s="633"/>
      <c r="AP597" s="634" t="str">
        <f>IFERROR(VLOOKUP(J597,Listas!$A$182:$E$215,5,FALSE),"Alerta: Seleccione la celda en la comumna B con el nombre del proyecto")</f>
        <v>Alerta: Seleccione la celda en la comumna B con el nombre del proyecto</v>
      </c>
      <c r="AQ597" s="634" t="str">
        <f>IF(J597="Funcionamiento Gastos Generales","No aplica",IF(J597="Funcionamiento Servicios Personales","No aplica",IFERROR(VLOOKUP(J597,Listas!$A$220:$D$224,4,FALSE),"Alerta: Seleccione la celda en la comumna B con el nombre del proyecto")))</f>
        <v>Alerta: Seleccione la celda en la comumna B con el nombre del proyecto</v>
      </c>
      <c r="AR597" s="633"/>
      <c r="AS597" s="634" t="str">
        <f>IFERROR(VLOOKUP(AU597,Listas!$E$85:$L$105,7,FALSE),"Alerta: Seleccione la celda en la comumna AI con el concepto de gasto")</f>
        <v>Alerta: Seleccione la celda en la comumna AI con el concepto de gasto</v>
      </c>
      <c r="AT597" s="634" t="str">
        <f>IFERROR(VLOOKUP(AU597,Listas!$E$85:$L$105,8,FALSE),"Alerta: Seleccione la celda en la comumna AI con el concepto de gasto")</f>
        <v>Alerta: Seleccione la celda en la comumna AI con el concepto de gasto</v>
      </c>
      <c r="AU597" s="633"/>
      <c r="AV597" s="634" t="str">
        <f>IFERROR(VLOOKUP(AU597,Listas!$E$85:$F$105,2,FALSE),"Alerta: Seleccione el Concepto de Gasto primero")</f>
        <v>Alerta: Seleccione el Concepto de Gasto primero</v>
      </c>
      <c r="AW597" s="644"/>
      <c r="AX597" s="645"/>
      <c r="AY597" s="645"/>
      <c r="AZ597" s="645"/>
      <c r="BA597" s="646">
        <f t="shared" si="180"/>
        <v>0</v>
      </c>
      <c r="BB597" s="647"/>
      <c r="BC597" s="648"/>
      <c r="BD597" s="649"/>
      <c r="BE597" s="647"/>
      <c r="BF597" s="644"/>
      <c r="BG597" s="646">
        <f t="shared" si="181"/>
        <v>0</v>
      </c>
      <c r="BH597" s="650"/>
      <c r="BI597" s="647"/>
      <c r="BJ597" s="644"/>
      <c r="BK597" s="646">
        <f t="shared" si="182"/>
        <v>0</v>
      </c>
      <c r="BL597" s="651"/>
      <c r="BM597" s="652">
        <f t="shared" si="183"/>
        <v>1</v>
      </c>
      <c r="BN597" s="628"/>
      <c r="BO597" s="670"/>
      <c r="BP597" s="644"/>
      <c r="BQ597" s="644"/>
      <c r="BR597" s="644"/>
      <c r="BS597" s="644"/>
      <c r="BT597" s="644"/>
      <c r="BU597" s="644"/>
      <c r="BV597" s="644"/>
      <c r="BW597" s="644"/>
      <c r="BX597" s="644"/>
      <c r="BY597" s="644"/>
      <c r="BZ597" s="644"/>
      <c r="CA597" s="644"/>
      <c r="CB597" s="646">
        <f t="shared" si="184"/>
        <v>0</v>
      </c>
      <c r="CC597" s="646">
        <f t="shared" si="185"/>
        <v>0</v>
      </c>
      <c r="CD597" s="614"/>
    </row>
    <row r="598" spans="1:85" s="561" customFormat="1" ht="61.5" customHeight="1">
      <c r="A598" s="625" t="str">
        <f t="shared" si="167"/>
        <v>proyecto-Alerta: Seleccione la celda en la comumna B con el nombre del proyecto-Al-Al--</v>
      </c>
      <c r="B598" s="626" t="str">
        <f t="shared" si="168"/>
        <v>proyecto-Alerta: Seleccione la celda en la comumna B con el nombre del proyecto-Al-Al-</v>
      </c>
      <c r="C598" s="626" t="str">
        <f t="shared" si="169"/>
        <v>proyecto-Alerta: Seleccione la celda en la comumna B con el nombre del proyecto-</v>
      </c>
      <c r="D598" s="626" t="str">
        <f t="shared" si="170"/>
        <v>proyecto--Al-Al-</v>
      </c>
      <c r="E598" s="626" t="str">
        <f t="shared" si="171"/>
        <v>--</v>
      </c>
      <c r="F598" s="627"/>
      <c r="G598" s="628">
        <f t="shared" si="172"/>
        <v>0</v>
      </c>
      <c r="H598" s="629" t="b">
        <f t="shared" si="173"/>
        <v>1</v>
      </c>
      <c r="I598" s="630"/>
      <c r="J598" s="627"/>
      <c r="K598" s="631" t="str">
        <f>+IFERROR(VLOOKUP(J598,Listas!$A$108:$B$114,2,FALSE),"Alerta: Seleccione la celda en la comumna B con el nombre del proyecto")</f>
        <v>Alerta: Seleccione la celda en la comumna B con el nombre del proyecto</v>
      </c>
      <c r="L598" s="632"/>
      <c r="M598" s="633"/>
      <c r="N598" s="634" t="str">
        <f t="shared" si="174"/>
        <v xml:space="preserve">(Cód. ) </v>
      </c>
      <c r="O598" s="635"/>
      <c r="P598" s="636">
        <f>IFERROR(VLOOKUP(W598,'Estimación CRP'!$D$21:$E$30,2,FALSE),0)</f>
        <v>0</v>
      </c>
      <c r="Q598" s="637">
        <f>IF(O598="No aplica","No aplica",WORKDAY.INTL(O598,P598,1,'Estimación CRP'!A784:A800))</f>
        <v>0</v>
      </c>
      <c r="R598" s="636">
        <f t="shared" si="175"/>
        <v>1</v>
      </c>
      <c r="S598" s="636">
        <f t="shared" si="176"/>
        <v>1</v>
      </c>
      <c r="T598" s="636">
        <f t="shared" si="177"/>
        <v>1</v>
      </c>
      <c r="U598" s="638"/>
      <c r="V598" s="638"/>
      <c r="W598" s="639"/>
      <c r="X598" s="640" t="str">
        <f>IFERROR(VLOOKUP(W598,Listas!$A$60:$B$73,2,FALSE),"Alerta: Seleccione primero Modalidad de selección")</f>
        <v>Alerta: Seleccione primero Modalidad de selección</v>
      </c>
      <c r="Y598" s="641">
        <v>0</v>
      </c>
      <c r="Z598" s="641"/>
      <c r="AA598" s="641"/>
      <c r="AB598" s="642">
        <f t="shared" si="178"/>
        <v>0</v>
      </c>
      <c r="AC598" s="642">
        <f t="shared" si="179"/>
        <v>0</v>
      </c>
      <c r="AD598" s="641">
        <v>0</v>
      </c>
      <c r="AE598" s="643">
        <v>0</v>
      </c>
      <c r="AF598" s="639" t="s">
        <v>276</v>
      </c>
      <c r="AG598" s="639" t="s">
        <v>277</v>
      </c>
      <c r="AH598" s="639"/>
      <c r="AI598" s="626" t="str">
        <f>IFERROR(VLOOKUP(AH598,Listas!$A$77:$C$83,2,FALSE),"Alerta: Seleccione primero el responsable")</f>
        <v>Alerta: Seleccione primero el responsable</v>
      </c>
      <c r="AJ598" s="640" t="str">
        <f>IFERROR(VLOOKUP(AH598,Listas!$A$77:$C$83,3,FALSE),"Alerta: Seleccione primero el responsable")</f>
        <v>Alerta: Seleccione primero el responsable</v>
      </c>
      <c r="AK598" s="640" t="str">
        <f>IF(J598="Funcionamiento Gastos Generales","No aplica",IF(J598="Funcionamiento Servicios Personales indirectos","No aplica",IFERROR(VLOOKUP(J598,Listas!$A$127:$E$139,3,FALSE),"Alerta: Seleccione la celda en la comumna B con el nombre del proyecto")))</f>
        <v>Alerta: Seleccione la celda en la comumna B con el nombre del proyecto</v>
      </c>
      <c r="AL598" s="640" t="str">
        <f>IF(J598="Funcionamiento Gastos Generales","No aplica",IF(J598="Funcionamiento Servicios Personales","No aplica",IFERROR(VLOOKUP(J598,Listas!$A$220:$D$224,2,FALSE),"Alerta: Seleccione la celda en la comumna B con el nombre del proyecto")))</f>
        <v>Alerta: Seleccione la celda en la comumna B con el nombre del proyecto</v>
      </c>
      <c r="AM598" s="640" t="str">
        <f>IF(J598="Funcionamiento Gastos Generales","No aplica",IF(J598="Funcionamiento Servicios Personales","No aplica",IFERROR(VLOOKUP(J598,Listas!$A$220:$D$224,3,FALSE),"Alerta: Seleccione la celda en la comumna B con el nombre del proyecto")))</f>
        <v>Alerta: Seleccione la celda en la comumna B con el nombre del proyecto</v>
      </c>
      <c r="AN598" s="633"/>
      <c r="AO598" s="633"/>
      <c r="AP598" s="634" t="str">
        <f>IFERROR(VLOOKUP(J598,Listas!$A$182:$E$215,5,FALSE),"Alerta: Seleccione la celda en la comumna B con el nombre del proyecto")</f>
        <v>Alerta: Seleccione la celda en la comumna B con el nombre del proyecto</v>
      </c>
      <c r="AQ598" s="634" t="str">
        <f>IF(J598="Funcionamiento Gastos Generales","No aplica",IF(J598="Funcionamiento Servicios Personales","No aplica",IFERROR(VLOOKUP(J598,Listas!$A$220:$D$224,4,FALSE),"Alerta: Seleccione la celda en la comumna B con el nombre del proyecto")))</f>
        <v>Alerta: Seleccione la celda en la comumna B con el nombre del proyecto</v>
      </c>
      <c r="AR598" s="633"/>
      <c r="AS598" s="634" t="str">
        <f>IFERROR(VLOOKUP(AU598,Listas!$E$85:$L$105,7,FALSE),"Alerta: Seleccione la celda en la comumna AI con el concepto de gasto")</f>
        <v>Alerta: Seleccione la celda en la comumna AI con el concepto de gasto</v>
      </c>
      <c r="AT598" s="634" t="str">
        <f>IFERROR(VLOOKUP(AU598,Listas!$E$85:$L$105,8,FALSE),"Alerta: Seleccione la celda en la comumna AI con el concepto de gasto")</f>
        <v>Alerta: Seleccione la celda en la comumna AI con el concepto de gasto</v>
      </c>
      <c r="AU598" s="633"/>
      <c r="AV598" s="634" t="str">
        <f>IFERROR(VLOOKUP(AU598,Listas!$E$85:$F$105,2,FALSE),"Alerta: Seleccione el Concepto de Gasto primero")</f>
        <v>Alerta: Seleccione el Concepto de Gasto primero</v>
      </c>
      <c r="AW598" s="644"/>
      <c r="AX598" s="645"/>
      <c r="AY598" s="645"/>
      <c r="AZ598" s="645"/>
      <c r="BA598" s="646">
        <f t="shared" si="180"/>
        <v>0</v>
      </c>
      <c r="BB598" s="647"/>
      <c r="BC598" s="648"/>
      <c r="BD598" s="649"/>
      <c r="BE598" s="647"/>
      <c r="BF598" s="644"/>
      <c r="BG598" s="646">
        <f t="shared" si="181"/>
        <v>0</v>
      </c>
      <c r="BH598" s="650"/>
      <c r="BI598" s="647"/>
      <c r="BJ598" s="644"/>
      <c r="BK598" s="646">
        <f t="shared" si="182"/>
        <v>0</v>
      </c>
      <c r="BL598" s="651"/>
      <c r="BM598" s="652">
        <f t="shared" si="183"/>
        <v>1</v>
      </c>
      <c r="BN598" s="628"/>
      <c r="BO598" s="670"/>
      <c r="BP598" s="644"/>
      <c r="BQ598" s="644"/>
      <c r="BR598" s="644"/>
      <c r="BS598" s="644"/>
      <c r="BT598" s="644"/>
      <c r="BU598" s="644"/>
      <c r="BV598" s="644"/>
      <c r="BW598" s="644"/>
      <c r="BX598" s="644"/>
      <c r="BY598" s="644"/>
      <c r="BZ598" s="644"/>
      <c r="CA598" s="644"/>
      <c r="CB598" s="646">
        <f t="shared" si="184"/>
        <v>0</v>
      </c>
      <c r="CC598" s="646">
        <f t="shared" si="185"/>
        <v>0</v>
      </c>
      <c r="CD598" s="614"/>
    </row>
    <row r="599" spans="1:85" s="561" customFormat="1" ht="61.5" customHeight="1">
      <c r="A599" s="625" t="str">
        <f t="shared" si="167"/>
        <v>proyecto-Alerta: Seleccione la celda en la comumna B con el nombre del proyecto-Al-Al--</v>
      </c>
      <c r="B599" s="626" t="str">
        <f t="shared" si="168"/>
        <v>proyecto-Alerta: Seleccione la celda en la comumna B con el nombre del proyecto-Al-Al-</v>
      </c>
      <c r="C599" s="626" t="str">
        <f t="shared" si="169"/>
        <v>proyecto-Alerta: Seleccione la celda en la comumna B con el nombre del proyecto-</v>
      </c>
      <c r="D599" s="626" t="str">
        <f t="shared" si="170"/>
        <v>proyecto--Al-Al-</v>
      </c>
      <c r="E599" s="626" t="str">
        <f t="shared" si="171"/>
        <v>--</v>
      </c>
      <c r="F599" s="627"/>
      <c r="G599" s="628">
        <f t="shared" si="172"/>
        <v>0</v>
      </c>
      <c r="H599" s="629" t="b">
        <f t="shared" si="173"/>
        <v>1</v>
      </c>
      <c r="I599" s="630"/>
      <c r="J599" s="627"/>
      <c r="K599" s="631" t="str">
        <f>+IFERROR(VLOOKUP(J599,Listas!$A$108:$B$114,2,FALSE),"Alerta: Seleccione la celda en la comumna B con el nombre del proyecto")</f>
        <v>Alerta: Seleccione la celda en la comumna B con el nombre del proyecto</v>
      </c>
      <c r="L599" s="632"/>
      <c r="M599" s="633"/>
      <c r="N599" s="634" t="str">
        <f t="shared" si="174"/>
        <v xml:space="preserve">(Cód. ) </v>
      </c>
      <c r="O599" s="635"/>
      <c r="P599" s="636">
        <f>IFERROR(VLOOKUP(W599,'Estimación CRP'!$D$21:$E$30,2,FALSE),0)</f>
        <v>0</v>
      </c>
      <c r="Q599" s="637">
        <f>IF(O599="No aplica","No aplica",WORKDAY.INTL(O599,P599,1,'Estimación CRP'!A785:A801))</f>
        <v>0</v>
      </c>
      <c r="R599" s="636">
        <f t="shared" si="175"/>
        <v>1</v>
      </c>
      <c r="S599" s="636">
        <f t="shared" si="176"/>
        <v>1</v>
      </c>
      <c r="T599" s="636">
        <f t="shared" si="177"/>
        <v>1</v>
      </c>
      <c r="U599" s="638"/>
      <c r="V599" s="638"/>
      <c r="W599" s="639"/>
      <c r="X599" s="640" t="str">
        <f>IFERROR(VLOOKUP(W599,Listas!$A$60:$B$73,2,FALSE),"Alerta: Seleccione primero Modalidad de selección")</f>
        <v>Alerta: Seleccione primero Modalidad de selección</v>
      </c>
      <c r="Y599" s="641">
        <v>0</v>
      </c>
      <c r="Z599" s="641"/>
      <c r="AA599" s="641"/>
      <c r="AB599" s="642">
        <f t="shared" si="178"/>
        <v>0</v>
      </c>
      <c r="AC599" s="642">
        <f t="shared" si="179"/>
        <v>0</v>
      </c>
      <c r="AD599" s="641">
        <v>0</v>
      </c>
      <c r="AE599" s="643">
        <v>0</v>
      </c>
      <c r="AF599" s="639" t="s">
        <v>276</v>
      </c>
      <c r="AG599" s="639" t="s">
        <v>277</v>
      </c>
      <c r="AH599" s="639"/>
      <c r="AI599" s="626" t="str">
        <f>IFERROR(VLOOKUP(AH599,Listas!$A$77:$C$83,2,FALSE),"Alerta: Seleccione primero el responsable")</f>
        <v>Alerta: Seleccione primero el responsable</v>
      </c>
      <c r="AJ599" s="640" t="str">
        <f>IFERROR(VLOOKUP(AH599,Listas!$A$77:$C$83,3,FALSE),"Alerta: Seleccione primero el responsable")</f>
        <v>Alerta: Seleccione primero el responsable</v>
      </c>
      <c r="AK599" s="640" t="str">
        <f>IF(J599="Funcionamiento Gastos Generales","No aplica",IF(J599="Funcionamiento Servicios Personales indirectos","No aplica",IFERROR(VLOOKUP(J599,Listas!$A$127:$E$139,3,FALSE),"Alerta: Seleccione la celda en la comumna B con el nombre del proyecto")))</f>
        <v>Alerta: Seleccione la celda en la comumna B con el nombre del proyecto</v>
      </c>
      <c r="AL599" s="640" t="str">
        <f>IF(J599="Funcionamiento Gastos Generales","No aplica",IF(J599="Funcionamiento Servicios Personales","No aplica",IFERROR(VLOOKUP(J599,Listas!$A$220:$D$224,2,FALSE),"Alerta: Seleccione la celda en la comumna B con el nombre del proyecto")))</f>
        <v>Alerta: Seleccione la celda en la comumna B con el nombre del proyecto</v>
      </c>
      <c r="AM599" s="640" t="str">
        <f>IF(J599="Funcionamiento Gastos Generales","No aplica",IF(J599="Funcionamiento Servicios Personales","No aplica",IFERROR(VLOOKUP(J599,Listas!$A$220:$D$224,3,FALSE),"Alerta: Seleccione la celda en la comumna B con el nombre del proyecto")))</f>
        <v>Alerta: Seleccione la celda en la comumna B con el nombre del proyecto</v>
      </c>
      <c r="AN599" s="633"/>
      <c r="AO599" s="633"/>
      <c r="AP599" s="634" t="str">
        <f>IFERROR(VLOOKUP(J599,Listas!$A$182:$E$215,5,FALSE),"Alerta: Seleccione la celda en la comumna B con el nombre del proyecto")</f>
        <v>Alerta: Seleccione la celda en la comumna B con el nombre del proyecto</v>
      </c>
      <c r="AQ599" s="634" t="str">
        <f>IF(J599="Funcionamiento Gastos Generales","No aplica",IF(J599="Funcionamiento Servicios Personales","No aplica",IFERROR(VLOOKUP(J599,Listas!$A$220:$D$224,4,FALSE),"Alerta: Seleccione la celda en la comumna B con el nombre del proyecto")))</f>
        <v>Alerta: Seleccione la celda en la comumna B con el nombre del proyecto</v>
      </c>
      <c r="AR599" s="633"/>
      <c r="AS599" s="634" t="str">
        <f>IFERROR(VLOOKUP(AU599,Listas!$E$85:$L$105,7,FALSE),"Alerta: Seleccione la celda en la comumna AI con el concepto de gasto")</f>
        <v>Alerta: Seleccione la celda en la comumna AI con el concepto de gasto</v>
      </c>
      <c r="AT599" s="634" t="str">
        <f>IFERROR(VLOOKUP(AU599,Listas!$E$85:$L$105,8,FALSE),"Alerta: Seleccione la celda en la comumna AI con el concepto de gasto")</f>
        <v>Alerta: Seleccione la celda en la comumna AI con el concepto de gasto</v>
      </c>
      <c r="AU599" s="633"/>
      <c r="AV599" s="634" t="str">
        <f>IFERROR(VLOOKUP(AU599,Listas!$E$85:$F$105,2,FALSE),"Alerta: Seleccione el Concepto de Gasto primero")</f>
        <v>Alerta: Seleccione el Concepto de Gasto primero</v>
      </c>
      <c r="AW599" s="644"/>
      <c r="AX599" s="645"/>
      <c r="AY599" s="645"/>
      <c r="AZ599" s="645"/>
      <c r="BA599" s="646">
        <f t="shared" si="180"/>
        <v>0</v>
      </c>
      <c r="BB599" s="647"/>
      <c r="BC599" s="648"/>
      <c r="BD599" s="649"/>
      <c r="BE599" s="647"/>
      <c r="BF599" s="644"/>
      <c r="BG599" s="646">
        <f t="shared" si="181"/>
        <v>0</v>
      </c>
      <c r="BH599" s="650"/>
      <c r="BI599" s="647"/>
      <c r="BJ599" s="644"/>
      <c r="BK599" s="646">
        <f t="shared" si="182"/>
        <v>0</v>
      </c>
      <c r="BL599" s="651"/>
      <c r="BM599" s="652">
        <f t="shared" si="183"/>
        <v>1</v>
      </c>
      <c r="BN599" s="628"/>
      <c r="BO599" s="670"/>
      <c r="BP599" s="644"/>
      <c r="BQ599" s="644"/>
      <c r="BR599" s="644"/>
      <c r="BS599" s="644"/>
      <c r="BT599" s="644"/>
      <c r="BU599" s="644"/>
      <c r="BV599" s="644"/>
      <c r="BW599" s="644"/>
      <c r="BX599" s="644"/>
      <c r="BY599" s="644"/>
      <c r="BZ599" s="644"/>
      <c r="CA599" s="644"/>
      <c r="CB599" s="646">
        <f t="shared" si="184"/>
        <v>0</v>
      </c>
      <c r="CC599" s="646">
        <f t="shared" si="185"/>
        <v>0</v>
      </c>
      <c r="CD599" s="614"/>
    </row>
    <row r="600" spans="1:85" s="561" customFormat="1" ht="61.5" customHeight="1">
      <c r="A600" s="625" t="str">
        <f t="shared" si="167"/>
        <v>proyecto-Alerta: Seleccione la celda en la comumna B con el nombre del proyecto-Al-Al--</v>
      </c>
      <c r="B600" s="626" t="str">
        <f t="shared" si="168"/>
        <v>proyecto-Alerta: Seleccione la celda en la comumna B con el nombre del proyecto-Al-Al-</v>
      </c>
      <c r="C600" s="626" t="str">
        <f t="shared" si="169"/>
        <v>proyecto-Alerta: Seleccione la celda en la comumna B con el nombre del proyecto-</v>
      </c>
      <c r="D600" s="626" t="str">
        <f t="shared" si="170"/>
        <v>proyecto--Al-Al-</v>
      </c>
      <c r="E600" s="626" t="str">
        <f t="shared" si="171"/>
        <v>--</v>
      </c>
      <c r="F600" s="627"/>
      <c r="G600" s="628">
        <f t="shared" si="172"/>
        <v>0</v>
      </c>
      <c r="H600" s="629" t="b">
        <f t="shared" si="173"/>
        <v>1</v>
      </c>
      <c r="I600" s="630"/>
      <c r="J600" s="627"/>
      <c r="K600" s="631" t="str">
        <f>+IFERROR(VLOOKUP(J600,Listas!$A$108:$B$114,2,FALSE),"Alerta: Seleccione la celda en la comumna B con el nombre del proyecto")</f>
        <v>Alerta: Seleccione la celda en la comumna B con el nombre del proyecto</v>
      </c>
      <c r="L600" s="632"/>
      <c r="M600" s="633"/>
      <c r="N600" s="634" t="str">
        <f t="shared" si="174"/>
        <v xml:space="preserve">(Cód. ) </v>
      </c>
      <c r="O600" s="635"/>
      <c r="P600" s="636">
        <f>IFERROR(VLOOKUP(W600,'Estimación CRP'!$D$21:$E$30,2,FALSE),0)</f>
        <v>0</v>
      </c>
      <c r="Q600" s="637">
        <f>IF(O600="No aplica","No aplica",WORKDAY.INTL(O600,P600,1,'Estimación CRP'!A786:A802))</f>
        <v>0</v>
      </c>
      <c r="R600" s="636">
        <f t="shared" si="175"/>
        <v>1</v>
      </c>
      <c r="S600" s="636">
        <f t="shared" si="176"/>
        <v>1</v>
      </c>
      <c r="T600" s="636">
        <f t="shared" si="177"/>
        <v>1</v>
      </c>
      <c r="U600" s="638"/>
      <c r="V600" s="638"/>
      <c r="W600" s="639"/>
      <c r="X600" s="640" t="str">
        <f>IFERROR(VLOOKUP(W600,Listas!$A$60:$B$73,2,FALSE),"Alerta: Seleccione primero Modalidad de selección")</f>
        <v>Alerta: Seleccione primero Modalidad de selección</v>
      </c>
      <c r="Y600" s="641">
        <v>0</v>
      </c>
      <c r="Z600" s="641"/>
      <c r="AA600" s="641"/>
      <c r="AB600" s="642">
        <f t="shared" si="178"/>
        <v>0</v>
      </c>
      <c r="AC600" s="642">
        <f t="shared" si="179"/>
        <v>0</v>
      </c>
      <c r="AD600" s="641">
        <v>0</v>
      </c>
      <c r="AE600" s="643">
        <v>0</v>
      </c>
      <c r="AF600" s="639" t="s">
        <v>276</v>
      </c>
      <c r="AG600" s="639" t="s">
        <v>277</v>
      </c>
      <c r="AH600" s="639"/>
      <c r="AI600" s="626" t="str">
        <f>IFERROR(VLOOKUP(AH600,Listas!$A$77:$C$83,2,FALSE),"Alerta: Seleccione primero el responsable")</f>
        <v>Alerta: Seleccione primero el responsable</v>
      </c>
      <c r="AJ600" s="640" t="str">
        <f>IFERROR(VLOOKUP(AH600,Listas!$A$77:$C$83,3,FALSE),"Alerta: Seleccione primero el responsable")</f>
        <v>Alerta: Seleccione primero el responsable</v>
      </c>
      <c r="AK600" s="640" t="str">
        <f>IF(J600="Funcionamiento Gastos Generales","No aplica",IF(J600="Funcionamiento Servicios Personales indirectos","No aplica",IFERROR(VLOOKUP(J600,Listas!$A$127:$E$139,3,FALSE),"Alerta: Seleccione la celda en la comumna B con el nombre del proyecto")))</f>
        <v>Alerta: Seleccione la celda en la comumna B con el nombre del proyecto</v>
      </c>
      <c r="AL600" s="640" t="str">
        <f>IF(J600="Funcionamiento Gastos Generales","No aplica",IF(J600="Funcionamiento Servicios Personales","No aplica",IFERROR(VLOOKUP(J600,Listas!$A$220:$D$224,2,FALSE),"Alerta: Seleccione la celda en la comumna B con el nombre del proyecto")))</f>
        <v>Alerta: Seleccione la celda en la comumna B con el nombre del proyecto</v>
      </c>
      <c r="AM600" s="640" t="str">
        <f>IF(J600="Funcionamiento Gastos Generales","No aplica",IF(J600="Funcionamiento Servicios Personales","No aplica",IFERROR(VLOOKUP(J600,Listas!$A$220:$D$224,3,FALSE),"Alerta: Seleccione la celda en la comumna B con el nombre del proyecto")))</f>
        <v>Alerta: Seleccione la celda en la comumna B con el nombre del proyecto</v>
      </c>
      <c r="AN600" s="633"/>
      <c r="AO600" s="633"/>
      <c r="AP600" s="634" t="str">
        <f>IFERROR(VLOOKUP(J600,Listas!$A$182:$E$215,5,FALSE),"Alerta: Seleccione la celda en la comumna B con el nombre del proyecto")</f>
        <v>Alerta: Seleccione la celda en la comumna B con el nombre del proyecto</v>
      </c>
      <c r="AQ600" s="634" t="str">
        <f>IF(J600="Funcionamiento Gastos Generales","No aplica",IF(J600="Funcionamiento Servicios Personales","No aplica",IFERROR(VLOOKUP(J600,Listas!$A$220:$D$224,4,FALSE),"Alerta: Seleccione la celda en la comumna B con el nombre del proyecto")))</f>
        <v>Alerta: Seleccione la celda en la comumna B con el nombre del proyecto</v>
      </c>
      <c r="AR600" s="633"/>
      <c r="AS600" s="634" t="str">
        <f>IFERROR(VLOOKUP(AU600,Listas!$E$85:$L$105,7,FALSE),"Alerta: Seleccione la celda en la comumna AI con el concepto de gasto")</f>
        <v>Alerta: Seleccione la celda en la comumna AI con el concepto de gasto</v>
      </c>
      <c r="AT600" s="634" t="str">
        <f>IFERROR(VLOOKUP(AU600,Listas!$E$85:$L$105,8,FALSE),"Alerta: Seleccione la celda en la comumna AI con el concepto de gasto")</f>
        <v>Alerta: Seleccione la celda en la comumna AI con el concepto de gasto</v>
      </c>
      <c r="AU600" s="633"/>
      <c r="AV600" s="634" t="str">
        <f>IFERROR(VLOOKUP(AU600,Listas!$E$85:$F$105,2,FALSE),"Alerta: Seleccione el Concepto de Gasto primero")</f>
        <v>Alerta: Seleccione el Concepto de Gasto primero</v>
      </c>
      <c r="AW600" s="644"/>
      <c r="AX600" s="645"/>
      <c r="AY600" s="645"/>
      <c r="AZ600" s="645"/>
      <c r="BA600" s="646">
        <f t="shared" si="180"/>
        <v>0</v>
      </c>
      <c r="BB600" s="647"/>
      <c r="BC600" s="648"/>
      <c r="BD600" s="649"/>
      <c r="BE600" s="647"/>
      <c r="BF600" s="644"/>
      <c r="BG600" s="646">
        <f t="shared" si="181"/>
        <v>0</v>
      </c>
      <c r="BH600" s="650"/>
      <c r="BI600" s="647"/>
      <c r="BJ600" s="644"/>
      <c r="BK600" s="646">
        <f t="shared" si="182"/>
        <v>0</v>
      </c>
      <c r="BL600" s="651"/>
      <c r="BM600" s="652">
        <f t="shared" si="183"/>
        <v>1</v>
      </c>
      <c r="BN600" s="628"/>
      <c r="BO600" s="670"/>
      <c r="BP600" s="644"/>
      <c r="BQ600" s="644"/>
      <c r="BR600" s="644"/>
      <c r="BS600" s="644"/>
      <c r="BT600" s="644"/>
      <c r="BU600" s="644"/>
      <c r="BV600" s="644"/>
      <c r="BW600" s="644"/>
      <c r="BX600" s="644"/>
      <c r="BY600" s="644"/>
      <c r="BZ600" s="644"/>
      <c r="CA600" s="644"/>
      <c r="CB600" s="646">
        <f t="shared" si="184"/>
        <v>0</v>
      </c>
      <c r="CC600" s="646">
        <f t="shared" si="185"/>
        <v>0</v>
      </c>
      <c r="CD600" s="614"/>
      <c r="CG600" s="561" t="s">
        <v>589</v>
      </c>
    </row>
    <row r="601" spans="1:85" s="561" customFormat="1" ht="61.5" customHeight="1">
      <c r="A601" s="625" t="str">
        <f t="shared" si="167"/>
        <v>proyecto-Alerta: Seleccione la celda en la comumna B con el nombre del proyecto-Al-Al--</v>
      </c>
      <c r="B601" s="626" t="str">
        <f t="shared" si="168"/>
        <v>proyecto-Alerta: Seleccione la celda en la comumna B con el nombre del proyecto-Al-Al-</v>
      </c>
      <c r="C601" s="626" t="str">
        <f t="shared" si="169"/>
        <v>proyecto-Alerta: Seleccione la celda en la comumna B con el nombre del proyecto-</v>
      </c>
      <c r="D601" s="626" t="str">
        <f t="shared" si="170"/>
        <v>proyecto--Al-Al-</v>
      </c>
      <c r="E601" s="626" t="str">
        <f t="shared" si="171"/>
        <v>--</v>
      </c>
      <c r="F601" s="627"/>
      <c r="G601" s="628">
        <f t="shared" si="172"/>
        <v>0</v>
      </c>
      <c r="H601" s="629" t="b">
        <f t="shared" si="173"/>
        <v>1</v>
      </c>
      <c r="I601" s="630"/>
      <c r="J601" s="627"/>
      <c r="K601" s="631" t="str">
        <f>+IFERROR(VLOOKUP(J601,Listas!$A$108:$B$114,2,FALSE),"Alerta: Seleccione la celda en la comumna B con el nombre del proyecto")</f>
        <v>Alerta: Seleccione la celda en la comumna B con el nombre del proyecto</v>
      </c>
      <c r="L601" s="632"/>
      <c r="M601" s="633"/>
      <c r="N601" s="634" t="str">
        <f t="shared" si="174"/>
        <v xml:space="preserve">(Cód. ) </v>
      </c>
      <c r="O601" s="635"/>
      <c r="P601" s="636">
        <f>IFERROR(VLOOKUP(W601,'Estimación CRP'!$D$21:$E$30,2,FALSE),0)</f>
        <v>0</v>
      </c>
      <c r="Q601" s="637">
        <f>IF(O601="No aplica","No aplica",WORKDAY.INTL(O601,P601,1,'Estimación CRP'!A787:A803))</f>
        <v>0</v>
      </c>
      <c r="R601" s="636">
        <f t="shared" si="175"/>
        <v>1</v>
      </c>
      <c r="S601" s="636">
        <f t="shared" si="176"/>
        <v>1</v>
      </c>
      <c r="T601" s="636">
        <f t="shared" si="177"/>
        <v>1</v>
      </c>
      <c r="U601" s="638"/>
      <c r="V601" s="638"/>
      <c r="W601" s="639"/>
      <c r="X601" s="640" t="str">
        <f>IFERROR(VLOOKUP(W601,Listas!$A$60:$B$73,2,FALSE),"Alerta: Seleccione primero Modalidad de selección")</f>
        <v>Alerta: Seleccione primero Modalidad de selección</v>
      </c>
      <c r="Y601" s="641">
        <v>0</v>
      </c>
      <c r="Z601" s="641"/>
      <c r="AA601" s="641"/>
      <c r="AB601" s="642">
        <f t="shared" si="178"/>
        <v>0</v>
      </c>
      <c r="AC601" s="642">
        <f t="shared" si="179"/>
        <v>0</v>
      </c>
      <c r="AD601" s="641">
        <v>0</v>
      </c>
      <c r="AE601" s="643">
        <v>0</v>
      </c>
      <c r="AF601" s="639" t="s">
        <v>276</v>
      </c>
      <c r="AG601" s="639" t="s">
        <v>277</v>
      </c>
      <c r="AH601" s="639"/>
      <c r="AI601" s="626" t="str">
        <f>IFERROR(VLOOKUP(AH601,Listas!$A$77:$C$83,2,FALSE),"Alerta: Seleccione primero el responsable")</f>
        <v>Alerta: Seleccione primero el responsable</v>
      </c>
      <c r="AJ601" s="640" t="str">
        <f>IFERROR(VLOOKUP(AH601,Listas!$A$77:$C$83,3,FALSE),"Alerta: Seleccione primero el responsable")</f>
        <v>Alerta: Seleccione primero el responsable</v>
      </c>
      <c r="AK601" s="640" t="str">
        <f>IF(J601="Funcionamiento Gastos Generales","No aplica",IF(J601="Funcionamiento Servicios Personales indirectos","No aplica",IFERROR(VLOOKUP(J601,Listas!$A$127:$E$139,3,FALSE),"Alerta: Seleccione la celda en la comumna B con el nombre del proyecto")))</f>
        <v>Alerta: Seleccione la celda en la comumna B con el nombre del proyecto</v>
      </c>
      <c r="AL601" s="640" t="str">
        <f>IF(J601="Funcionamiento Gastos Generales","No aplica",IF(J601="Funcionamiento Servicios Personales","No aplica",IFERROR(VLOOKUP(J601,Listas!$A$220:$D$224,2,FALSE),"Alerta: Seleccione la celda en la comumna B con el nombre del proyecto")))</f>
        <v>Alerta: Seleccione la celda en la comumna B con el nombre del proyecto</v>
      </c>
      <c r="AM601" s="640" t="str">
        <f>IF(J601="Funcionamiento Gastos Generales","No aplica",IF(J601="Funcionamiento Servicios Personales","No aplica",IFERROR(VLOOKUP(J601,Listas!$A$220:$D$224,3,FALSE),"Alerta: Seleccione la celda en la comumna B con el nombre del proyecto")))</f>
        <v>Alerta: Seleccione la celda en la comumna B con el nombre del proyecto</v>
      </c>
      <c r="AN601" s="633"/>
      <c r="AO601" s="633"/>
      <c r="AP601" s="634" t="str">
        <f>IFERROR(VLOOKUP(J601,Listas!$A$182:$E$215,5,FALSE),"Alerta: Seleccione la celda en la comumna B con el nombre del proyecto")</f>
        <v>Alerta: Seleccione la celda en la comumna B con el nombre del proyecto</v>
      </c>
      <c r="AQ601" s="634" t="str">
        <f>IF(J601="Funcionamiento Gastos Generales","No aplica",IF(J601="Funcionamiento Servicios Personales","No aplica",IFERROR(VLOOKUP(J601,Listas!$A$220:$D$224,4,FALSE),"Alerta: Seleccione la celda en la comumna B con el nombre del proyecto")))</f>
        <v>Alerta: Seleccione la celda en la comumna B con el nombre del proyecto</v>
      </c>
      <c r="AR601" s="633"/>
      <c r="AS601" s="634" t="str">
        <f>IFERROR(VLOOKUP(AU601,Listas!$E$85:$L$105,7,FALSE),"Alerta: Seleccione la celda en la comumna AI con el concepto de gasto")</f>
        <v>Alerta: Seleccione la celda en la comumna AI con el concepto de gasto</v>
      </c>
      <c r="AT601" s="634" t="str">
        <f>IFERROR(VLOOKUP(AU601,Listas!$E$85:$L$105,8,FALSE),"Alerta: Seleccione la celda en la comumna AI con el concepto de gasto")</f>
        <v>Alerta: Seleccione la celda en la comumna AI con el concepto de gasto</v>
      </c>
      <c r="AU601" s="633"/>
      <c r="AV601" s="634" t="str">
        <f>IFERROR(VLOOKUP(AU601,Listas!$E$85:$F$105,2,FALSE),"Alerta: Seleccione el Concepto de Gasto primero")</f>
        <v>Alerta: Seleccione el Concepto de Gasto primero</v>
      </c>
      <c r="AW601" s="644"/>
      <c r="AX601" s="645"/>
      <c r="AY601" s="645"/>
      <c r="AZ601" s="645"/>
      <c r="BA601" s="646">
        <f t="shared" si="180"/>
        <v>0</v>
      </c>
      <c r="BB601" s="647"/>
      <c r="BC601" s="648"/>
      <c r="BD601" s="649"/>
      <c r="BE601" s="647"/>
      <c r="BF601" s="644"/>
      <c r="BG601" s="646">
        <f t="shared" si="181"/>
        <v>0</v>
      </c>
      <c r="BH601" s="650"/>
      <c r="BI601" s="647"/>
      <c r="BJ601" s="644"/>
      <c r="BK601" s="646">
        <f t="shared" si="182"/>
        <v>0</v>
      </c>
      <c r="BL601" s="651"/>
      <c r="BM601" s="652">
        <f t="shared" si="183"/>
        <v>1</v>
      </c>
      <c r="BN601" s="628"/>
      <c r="BO601" s="670"/>
      <c r="BP601" s="644"/>
      <c r="BQ601" s="644"/>
      <c r="BR601" s="644"/>
      <c r="BS601" s="644"/>
      <c r="BT601" s="644"/>
      <c r="BU601" s="644"/>
      <c r="BV601" s="644"/>
      <c r="BW601" s="644"/>
      <c r="BX601" s="644"/>
      <c r="BY601" s="644"/>
      <c r="BZ601" s="644"/>
      <c r="CA601" s="644"/>
      <c r="CB601" s="646">
        <f t="shared" si="184"/>
        <v>0</v>
      </c>
      <c r="CC601" s="646">
        <f t="shared" si="185"/>
        <v>0</v>
      </c>
      <c r="CD601" s="614"/>
    </row>
    <row r="602" spans="1:85" s="561" customFormat="1" ht="61.5" customHeight="1">
      <c r="A602" s="625" t="str">
        <f t="shared" si="167"/>
        <v>proyecto-Alerta: Seleccione la celda en la comumna B con el nombre del proyecto-Al-Al--</v>
      </c>
      <c r="B602" s="626" t="str">
        <f t="shared" si="168"/>
        <v>proyecto-Alerta: Seleccione la celda en la comumna B con el nombre del proyecto-Al-Al-</v>
      </c>
      <c r="C602" s="626" t="str">
        <f t="shared" si="169"/>
        <v>proyecto-Alerta: Seleccione la celda en la comumna B con el nombre del proyecto-</v>
      </c>
      <c r="D602" s="626" t="str">
        <f t="shared" si="170"/>
        <v>proyecto--Al-Al-</v>
      </c>
      <c r="E602" s="626" t="str">
        <f t="shared" si="171"/>
        <v>--</v>
      </c>
      <c r="F602" s="627"/>
      <c r="G602" s="628">
        <f t="shared" si="172"/>
        <v>0</v>
      </c>
      <c r="H602" s="629" t="b">
        <f t="shared" si="173"/>
        <v>1</v>
      </c>
      <c r="I602" s="630"/>
      <c r="J602" s="627"/>
      <c r="K602" s="631" t="str">
        <f>+IFERROR(VLOOKUP(J602,Listas!$A$108:$B$114,2,FALSE),"Alerta: Seleccione la celda en la comumna B con el nombre del proyecto")</f>
        <v>Alerta: Seleccione la celda en la comumna B con el nombre del proyecto</v>
      </c>
      <c r="L602" s="632"/>
      <c r="M602" s="633"/>
      <c r="N602" s="634" t="str">
        <f t="shared" si="174"/>
        <v xml:space="preserve">(Cód. ) </v>
      </c>
      <c r="O602" s="635"/>
      <c r="P602" s="636">
        <f>IFERROR(VLOOKUP(W602,'Estimación CRP'!$D$21:$E$30,2,FALSE),0)</f>
        <v>0</v>
      </c>
      <c r="Q602" s="637">
        <f>IF(O602="No aplica","No aplica",WORKDAY.INTL(O602,P602,1,'Estimación CRP'!A788:A804))</f>
        <v>0</v>
      </c>
      <c r="R602" s="636">
        <f t="shared" si="175"/>
        <v>1</v>
      </c>
      <c r="S602" s="636">
        <f t="shared" si="176"/>
        <v>1</v>
      </c>
      <c r="T602" s="636">
        <f t="shared" si="177"/>
        <v>1</v>
      </c>
      <c r="U602" s="638"/>
      <c r="V602" s="638"/>
      <c r="W602" s="639"/>
      <c r="X602" s="640" t="str">
        <f>IFERROR(VLOOKUP(W602,Listas!$A$60:$B$73,2,FALSE),"Alerta: Seleccione primero Modalidad de selección")</f>
        <v>Alerta: Seleccione primero Modalidad de selección</v>
      </c>
      <c r="Y602" s="641">
        <v>0</v>
      </c>
      <c r="Z602" s="641"/>
      <c r="AA602" s="641"/>
      <c r="AB602" s="642">
        <f t="shared" si="178"/>
        <v>0</v>
      </c>
      <c r="AC602" s="642">
        <f t="shared" si="179"/>
        <v>0</v>
      </c>
      <c r="AD602" s="641">
        <v>0</v>
      </c>
      <c r="AE602" s="643">
        <v>0</v>
      </c>
      <c r="AF602" s="639" t="s">
        <v>276</v>
      </c>
      <c r="AG602" s="639" t="s">
        <v>277</v>
      </c>
      <c r="AH602" s="639"/>
      <c r="AI602" s="626" t="str">
        <f>IFERROR(VLOOKUP(AH602,Listas!$A$77:$C$83,2,FALSE),"Alerta: Seleccione primero el responsable")</f>
        <v>Alerta: Seleccione primero el responsable</v>
      </c>
      <c r="AJ602" s="640" t="str">
        <f>IFERROR(VLOOKUP(AH602,Listas!$A$77:$C$83,3,FALSE),"Alerta: Seleccione primero el responsable")</f>
        <v>Alerta: Seleccione primero el responsable</v>
      </c>
      <c r="AK602" s="640" t="str">
        <f>IF(J602="Funcionamiento Gastos Generales","No aplica",IF(J602="Funcionamiento Servicios Personales indirectos","No aplica",IFERROR(VLOOKUP(J602,Listas!$A$127:$E$139,3,FALSE),"Alerta: Seleccione la celda en la comumna B con el nombre del proyecto")))</f>
        <v>Alerta: Seleccione la celda en la comumna B con el nombre del proyecto</v>
      </c>
      <c r="AL602" s="640" t="str">
        <f>IF(J602="Funcionamiento Gastos Generales","No aplica",IF(J602="Funcionamiento Servicios Personales","No aplica",IFERROR(VLOOKUP(J602,Listas!$A$220:$D$224,2,FALSE),"Alerta: Seleccione la celda en la comumna B con el nombre del proyecto")))</f>
        <v>Alerta: Seleccione la celda en la comumna B con el nombre del proyecto</v>
      </c>
      <c r="AM602" s="640" t="str">
        <f>IF(J602="Funcionamiento Gastos Generales","No aplica",IF(J602="Funcionamiento Servicios Personales","No aplica",IFERROR(VLOOKUP(J602,Listas!$A$220:$D$224,3,FALSE),"Alerta: Seleccione la celda en la comumna B con el nombre del proyecto")))</f>
        <v>Alerta: Seleccione la celda en la comumna B con el nombre del proyecto</v>
      </c>
      <c r="AN602" s="633"/>
      <c r="AO602" s="633"/>
      <c r="AP602" s="634" t="str">
        <f>IFERROR(VLOOKUP(J602,Listas!$A$182:$E$215,5,FALSE),"Alerta: Seleccione la celda en la comumna B con el nombre del proyecto")</f>
        <v>Alerta: Seleccione la celda en la comumna B con el nombre del proyecto</v>
      </c>
      <c r="AQ602" s="634" t="str">
        <f>IF(J602="Funcionamiento Gastos Generales","No aplica",IF(J602="Funcionamiento Servicios Personales","No aplica",IFERROR(VLOOKUP(J602,Listas!$A$220:$D$224,4,FALSE),"Alerta: Seleccione la celda en la comumna B con el nombre del proyecto")))</f>
        <v>Alerta: Seleccione la celda en la comumna B con el nombre del proyecto</v>
      </c>
      <c r="AR602" s="633"/>
      <c r="AS602" s="634" t="str">
        <f>IFERROR(VLOOKUP(AU602,Listas!$E$85:$L$105,7,FALSE),"Alerta: Seleccione la celda en la comumna AI con el concepto de gasto")</f>
        <v>Alerta: Seleccione la celda en la comumna AI con el concepto de gasto</v>
      </c>
      <c r="AT602" s="634" t="str">
        <f>IFERROR(VLOOKUP(AU602,Listas!$E$85:$L$105,8,FALSE),"Alerta: Seleccione la celda en la comumna AI con el concepto de gasto")</f>
        <v>Alerta: Seleccione la celda en la comumna AI con el concepto de gasto</v>
      </c>
      <c r="AU602" s="633"/>
      <c r="AV602" s="634" t="str">
        <f>IFERROR(VLOOKUP(AU602,Listas!$E$85:$F$105,2,FALSE),"Alerta: Seleccione el Concepto de Gasto primero")</f>
        <v>Alerta: Seleccione el Concepto de Gasto primero</v>
      </c>
      <c r="AW602" s="644"/>
      <c r="AX602" s="645"/>
      <c r="AY602" s="645"/>
      <c r="AZ602" s="645"/>
      <c r="BA602" s="646">
        <f t="shared" si="180"/>
        <v>0</v>
      </c>
      <c r="BB602" s="647"/>
      <c r="BC602" s="648"/>
      <c r="BD602" s="649"/>
      <c r="BE602" s="647"/>
      <c r="BF602" s="644"/>
      <c r="BG602" s="646">
        <f t="shared" si="181"/>
        <v>0</v>
      </c>
      <c r="BH602" s="650"/>
      <c r="BI602" s="647"/>
      <c r="BJ602" s="644"/>
      <c r="BK602" s="646">
        <f t="shared" si="182"/>
        <v>0</v>
      </c>
      <c r="BL602" s="651"/>
      <c r="BM602" s="652">
        <f t="shared" si="183"/>
        <v>1</v>
      </c>
      <c r="BN602" s="628"/>
      <c r="BO602" s="670"/>
      <c r="BP602" s="644"/>
      <c r="BQ602" s="644"/>
      <c r="BR602" s="644"/>
      <c r="BS602" s="644"/>
      <c r="BT602" s="644"/>
      <c r="BU602" s="644"/>
      <c r="BV602" s="644"/>
      <c r="BW602" s="644"/>
      <c r="BX602" s="644"/>
      <c r="BY602" s="644"/>
      <c r="BZ602" s="644"/>
      <c r="CA602" s="644"/>
      <c r="CB602" s="646">
        <f t="shared" si="184"/>
        <v>0</v>
      </c>
      <c r="CC602" s="646">
        <f t="shared" si="185"/>
        <v>0</v>
      </c>
      <c r="CD602" s="614"/>
    </row>
    <row r="603" spans="1:85" s="561" customFormat="1" ht="61.5" customHeight="1">
      <c r="A603" s="625" t="str">
        <f t="shared" si="167"/>
        <v>proyecto-Alerta: Seleccione la celda en la comumna B con el nombre del proyecto-Al-Al--</v>
      </c>
      <c r="B603" s="626" t="str">
        <f t="shared" si="168"/>
        <v>proyecto-Alerta: Seleccione la celda en la comumna B con el nombre del proyecto-Al-Al-</v>
      </c>
      <c r="C603" s="626" t="str">
        <f t="shared" si="169"/>
        <v>proyecto-Alerta: Seleccione la celda en la comumna B con el nombre del proyecto-</v>
      </c>
      <c r="D603" s="626" t="str">
        <f t="shared" si="170"/>
        <v>proyecto--Al-Al-</v>
      </c>
      <c r="E603" s="626" t="str">
        <f t="shared" si="171"/>
        <v>--</v>
      </c>
      <c r="F603" s="627"/>
      <c r="G603" s="628">
        <f t="shared" si="172"/>
        <v>0</v>
      </c>
      <c r="H603" s="629" t="b">
        <f t="shared" si="173"/>
        <v>1</v>
      </c>
      <c r="I603" s="630"/>
      <c r="J603" s="627"/>
      <c r="K603" s="631" t="str">
        <f>+IFERROR(VLOOKUP(J603,Listas!$A$108:$B$114,2,FALSE),"Alerta: Seleccione la celda en la comumna B con el nombre del proyecto")</f>
        <v>Alerta: Seleccione la celda en la comumna B con el nombre del proyecto</v>
      </c>
      <c r="L603" s="632"/>
      <c r="M603" s="633"/>
      <c r="N603" s="634" t="str">
        <f t="shared" si="174"/>
        <v xml:space="preserve">(Cód. ) </v>
      </c>
      <c r="O603" s="635"/>
      <c r="P603" s="636">
        <f>IFERROR(VLOOKUP(W603,'Estimación CRP'!$D$21:$E$30,2,FALSE),0)</f>
        <v>0</v>
      </c>
      <c r="Q603" s="637">
        <f>IF(O603="No aplica","No aplica",WORKDAY.INTL(O603,P603,1,'Estimación CRP'!A789:A805))</f>
        <v>0</v>
      </c>
      <c r="R603" s="636">
        <f t="shared" si="175"/>
        <v>1</v>
      </c>
      <c r="S603" s="636">
        <f t="shared" si="176"/>
        <v>1</v>
      </c>
      <c r="T603" s="636">
        <f t="shared" si="177"/>
        <v>1</v>
      </c>
      <c r="U603" s="638"/>
      <c r="V603" s="638"/>
      <c r="W603" s="639"/>
      <c r="X603" s="640" t="str">
        <f>IFERROR(VLOOKUP(W603,Listas!$A$60:$B$73,2,FALSE),"Alerta: Seleccione primero Modalidad de selección")</f>
        <v>Alerta: Seleccione primero Modalidad de selección</v>
      </c>
      <c r="Y603" s="641">
        <v>0</v>
      </c>
      <c r="Z603" s="641"/>
      <c r="AA603" s="641"/>
      <c r="AB603" s="642">
        <f t="shared" si="178"/>
        <v>0</v>
      </c>
      <c r="AC603" s="642">
        <f t="shared" si="179"/>
        <v>0</v>
      </c>
      <c r="AD603" s="641">
        <v>0</v>
      </c>
      <c r="AE603" s="643">
        <v>0</v>
      </c>
      <c r="AF603" s="639" t="s">
        <v>276</v>
      </c>
      <c r="AG603" s="639" t="s">
        <v>277</v>
      </c>
      <c r="AH603" s="639"/>
      <c r="AI603" s="626" t="str">
        <f>IFERROR(VLOOKUP(AH603,Listas!$A$77:$C$83,2,FALSE),"Alerta: Seleccione primero el responsable")</f>
        <v>Alerta: Seleccione primero el responsable</v>
      </c>
      <c r="AJ603" s="640" t="str">
        <f>IFERROR(VLOOKUP(AH603,Listas!$A$77:$C$83,3,FALSE),"Alerta: Seleccione primero el responsable")</f>
        <v>Alerta: Seleccione primero el responsable</v>
      </c>
      <c r="AK603" s="640" t="str">
        <f>IF(J603="Funcionamiento Gastos Generales","No aplica",IF(J603="Funcionamiento Servicios Personales indirectos","No aplica",IFERROR(VLOOKUP(J603,Listas!$A$127:$E$139,3,FALSE),"Alerta: Seleccione la celda en la comumna B con el nombre del proyecto")))</f>
        <v>Alerta: Seleccione la celda en la comumna B con el nombre del proyecto</v>
      </c>
      <c r="AL603" s="640" t="str">
        <f>IF(J603="Funcionamiento Gastos Generales","No aplica",IF(J603="Funcionamiento Servicios Personales","No aplica",IFERROR(VLOOKUP(J603,Listas!$A$220:$D$224,2,FALSE),"Alerta: Seleccione la celda en la comumna B con el nombre del proyecto")))</f>
        <v>Alerta: Seleccione la celda en la comumna B con el nombre del proyecto</v>
      </c>
      <c r="AM603" s="640" t="str">
        <f>IF(J603="Funcionamiento Gastos Generales","No aplica",IF(J603="Funcionamiento Servicios Personales","No aplica",IFERROR(VLOOKUP(J603,Listas!$A$220:$D$224,3,FALSE),"Alerta: Seleccione la celda en la comumna B con el nombre del proyecto")))</f>
        <v>Alerta: Seleccione la celda en la comumna B con el nombre del proyecto</v>
      </c>
      <c r="AN603" s="633"/>
      <c r="AO603" s="633"/>
      <c r="AP603" s="634" t="str">
        <f>IFERROR(VLOOKUP(J603,Listas!$A$182:$E$215,5,FALSE),"Alerta: Seleccione la celda en la comumna B con el nombre del proyecto")</f>
        <v>Alerta: Seleccione la celda en la comumna B con el nombre del proyecto</v>
      </c>
      <c r="AQ603" s="634" t="str">
        <f>IF(J603="Funcionamiento Gastos Generales","No aplica",IF(J603="Funcionamiento Servicios Personales","No aplica",IFERROR(VLOOKUP(J603,Listas!$A$220:$D$224,4,FALSE),"Alerta: Seleccione la celda en la comumna B con el nombre del proyecto")))</f>
        <v>Alerta: Seleccione la celda en la comumna B con el nombre del proyecto</v>
      </c>
      <c r="AR603" s="633"/>
      <c r="AS603" s="634" t="str">
        <f>IFERROR(VLOOKUP(AU603,Listas!$E$85:$L$105,7,FALSE),"Alerta: Seleccione la celda en la comumna AI con el concepto de gasto")</f>
        <v>Alerta: Seleccione la celda en la comumna AI con el concepto de gasto</v>
      </c>
      <c r="AT603" s="634" t="str">
        <f>IFERROR(VLOOKUP(AU603,Listas!$E$85:$L$105,8,FALSE),"Alerta: Seleccione la celda en la comumna AI con el concepto de gasto")</f>
        <v>Alerta: Seleccione la celda en la comumna AI con el concepto de gasto</v>
      </c>
      <c r="AU603" s="633"/>
      <c r="AV603" s="634" t="str">
        <f>IFERROR(VLOOKUP(AU603,Listas!$E$85:$F$105,2,FALSE),"Alerta: Seleccione el Concepto de Gasto primero")</f>
        <v>Alerta: Seleccione el Concepto de Gasto primero</v>
      </c>
      <c r="AW603" s="644"/>
      <c r="AX603" s="645"/>
      <c r="AY603" s="645"/>
      <c r="AZ603" s="645"/>
      <c r="BA603" s="646">
        <f t="shared" si="180"/>
        <v>0</v>
      </c>
      <c r="BB603" s="647"/>
      <c r="BC603" s="648"/>
      <c r="BD603" s="649"/>
      <c r="BE603" s="647"/>
      <c r="BF603" s="644"/>
      <c r="BG603" s="646">
        <f t="shared" si="181"/>
        <v>0</v>
      </c>
      <c r="BH603" s="650"/>
      <c r="BI603" s="647"/>
      <c r="BJ603" s="644"/>
      <c r="BK603" s="646">
        <f t="shared" si="182"/>
        <v>0</v>
      </c>
      <c r="BL603" s="651"/>
      <c r="BM603" s="652">
        <f t="shared" si="183"/>
        <v>1</v>
      </c>
      <c r="BN603" s="628"/>
      <c r="BO603" s="670"/>
      <c r="BP603" s="644"/>
      <c r="BQ603" s="644"/>
      <c r="BR603" s="644"/>
      <c r="BS603" s="644"/>
      <c r="BT603" s="644"/>
      <c r="BU603" s="644"/>
      <c r="BV603" s="644"/>
      <c r="BW603" s="644"/>
      <c r="BX603" s="644"/>
      <c r="BY603" s="644"/>
      <c r="BZ603" s="644"/>
      <c r="CA603" s="644"/>
      <c r="CB603" s="646">
        <f t="shared" si="184"/>
        <v>0</v>
      </c>
      <c r="CC603" s="646">
        <f t="shared" si="185"/>
        <v>0</v>
      </c>
      <c r="CD603" s="614"/>
    </row>
    <row r="604" spans="1:85" s="561" customFormat="1" ht="61.5" customHeight="1">
      <c r="A604" s="625" t="str">
        <f t="shared" si="167"/>
        <v>proyecto-Alerta: Seleccione la celda en la comumna B con el nombre del proyecto-Al-Al--</v>
      </c>
      <c r="B604" s="626" t="str">
        <f t="shared" si="168"/>
        <v>proyecto-Alerta: Seleccione la celda en la comumna B con el nombre del proyecto-Al-Al-</v>
      </c>
      <c r="C604" s="626" t="str">
        <f t="shared" si="169"/>
        <v>proyecto-Alerta: Seleccione la celda en la comumna B con el nombre del proyecto-</v>
      </c>
      <c r="D604" s="626" t="str">
        <f t="shared" si="170"/>
        <v>proyecto--Al-Al-</v>
      </c>
      <c r="E604" s="626" t="str">
        <f t="shared" si="171"/>
        <v>--</v>
      </c>
      <c r="F604" s="627"/>
      <c r="G604" s="628">
        <f t="shared" si="172"/>
        <v>0</v>
      </c>
      <c r="H604" s="629" t="b">
        <f t="shared" si="173"/>
        <v>1</v>
      </c>
      <c r="I604" s="630"/>
      <c r="J604" s="627"/>
      <c r="K604" s="631" t="str">
        <f>+IFERROR(VLOOKUP(J604,Listas!$A$108:$B$114,2,FALSE),"Alerta: Seleccione la celda en la comumna B con el nombre del proyecto")</f>
        <v>Alerta: Seleccione la celda en la comumna B con el nombre del proyecto</v>
      </c>
      <c r="L604" s="632"/>
      <c r="M604" s="633"/>
      <c r="N604" s="634" t="str">
        <f t="shared" si="174"/>
        <v xml:space="preserve">(Cód. ) </v>
      </c>
      <c r="O604" s="635"/>
      <c r="P604" s="636">
        <f>IFERROR(VLOOKUP(W604,'Estimación CRP'!$D$21:$E$30,2,FALSE),0)</f>
        <v>0</v>
      </c>
      <c r="Q604" s="637">
        <f>IF(O604="No aplica","No aplica",WORKDAY.INTL(O604,P604,1,'Estimación CRP'!A790:A806))</f>
        <v>0</v>
      </c>
      <c r="R604" s="636">
        <f t="shared" si="175"/>
        <v>1</v>
      </c>
      <c r="S604" s="636">
        <f t="shared" si="176"/>
        <v>1</v>
      </c>
      <c r="T604" s="636">
        <f t="shared" si="177"/>
        <v>1</v>
      </c>
      <c r="U604" s="638"/>
      <c r="V604" s="638"/>
      <c r="W604" s="639"/>
      <c r="X604" s="640" t="str">
        <f>IFERROR(VLOOKUP(W604,Listas!$A$60:$B$73,2,FALSE),"Alerta: Seleccione primero Modalidad de selección")</f>
        <v>Alerta: Seleccione primero Modalidad de selección</v>
      </c>
      <c r="Y604" s="641">
        <v>0</v>
      </c>
      <c r="Z604" s="641"/>
      <c r="AA604" s="641"/>
      <c r="AB604" s="642">
        <f t="shared" si="178"/>
        <v>0</v>
      </c>
      <c r="AC604" s="642">
        <f t="shared" si="179"/>
        <v>0</v>
      </c>
      <c r="AD604" s="641">
        <v>0</v>
      </c>
      <c r="AE604" s="643">
        <v>0</v>
      </c>
      <c r="AF604" s="639" t="s">
        <v>276</v>
      </c>
      <c r="AG604" s="639" t="s">
        <v>277</v>
      </c>
      <c r="AH604" s="639"/>
      <c r="AI604" s="626" t="str">
        <f>IFERROR(VLOOKUP(AH604,Listas!$A$77:$C$83,2,FALSE),"Alerta: Seleccione primero el responsable")</f>
        <v>Alerta: Seleccione primero el responsable</v>
      </c>
      <c r="AJ604" s="640" t="str">
        <f>IFERROR(VLOOKUP(AH604,Listas!$A$77:$C$83,3,FALSE),"Alerta: Seleccione primero el responsable")</f>
        <v>Alerta: Seleccione primero el responsable</v>
      </c>
      <c r="AK604" s="640" t="str">
        <f>IF(J604="Funcionamiento Gastos Generales","No aplica",IF(J604="Funcionamiento Servicios Personales indirectos","No aplica",IFERROR(VLOOKUP(J604,Listas!$A$127:$E$139,3,FALSE),"Alerta: Seleccione la celda en la comumna B con el nombre del proyecto")))</f>
        <v>Alerta: Seleccione la celda en la comumna B con el nombre del proyecto</v>
      </c>
      <c r="AL604" s="640" t="str">
        <f>IF(J604="Funcionamiento Gastos Generales","No aplica",IF(J604="Funcionamiento Servicios Personales","No aplica",IFERROR(VLOOKUP(J604,Listas!$A$220:$D$224,2,FALSE),"Alerta: Seleccione la celda en la comumna B con el nombre del proyecto")))</f>
        <v>Alerta: Seleccione la celda en la comumna B con el nombre del proyecto</v>
      </c>
      <c r="AM604" s="640" t="str">
        <f>IF(J604="Funcionamiento Gastos Generales","No aplica",IF(J604="Funcionamiento Servicios Personales","No aplica",IFERROR(VLOOKUP(J604,Listas!$A$220:$D$224,3,FALSE),"Alerta: Seleccione la celda en la comumna B con el nombre del proyecto")))</f>
        <v>Alerta: Seleccione la celda en la comumna B con el nombre del proyecto</v>
      </c>
      <c r="AN604" s="633"/>
      <c r="AO604" s="633"/>
      <c r="AP604" s="634" t="str">
        <f>IFERROR(VLOOKUP(J604,Listas!$A$182:$E$215,5,FALSE),"Alerta: Seleccione la celda en la comumna B con el nombre del proyecto")</f>
        <v>Alerta: Seleccione la celda en la comumna B con el nombre del proyecto</v>
      </c>
      <c r="AQ604" s="634" t="str">
        <f>IF(J604="Funcionamiento Gastos Generales","No aplica",IF(J604="Funcionamiento Servicios Personales","No aplica",IFERROR(VLOOKUP(J604,Listas!$A$220:$D$224,4,FALSE),"Alerta: Seleccione la celda en la comumna B con el nombre del proyecto")))</f>
        <v>Alerta: Seleccione la celda en la comumna B con el nombre del proyecto</v>
      </c>
      <c r="AR604" s="633"/>
      <c r="AS604" s="634" t="str">
        <f>IFERROR(VLOOKUP(AU604,Listas!$E$85:$L$105,7,FALSE),"Alerta: Seleccione la celda en la comumna AI con el concepto de gasto")</f>
        <v>Alerta: Seleccione la celda en la comumna AI con el concepto de gasto</v>
      </c>
      <c r="AT604" s="634" t="str">
        <f>IFERROR(VLOOKUP(AU604,Listas!$E$85:$L$105,8,FALSE),"Alerta: Seleccione la celda en la comumna AI con el concepto de gasto")</f>
        <v>Alerta: Seleccione la celda en la comumna AI con el concepto de gasto</v>
      </c>
      <c r="AU604" s="633"/>
      <c r="AV604" s="634" t="str">
        <f>IFERROR(VLOOKUP(AU604,Listas!$E$85:$F$105,2,FALSE),"Alerta: Seleccione el Concepto de Gasto primero")</f>
        <v>Alerta: Seleccione el Concepto de Gasto primero</v>
      </c>
      <c r="AW604" s="644"/>
      <c r="AX604" s="645"/>
      <c r="AY604" s="645"/>
      <c r="AZ604" s="645"/>
      <c r="BA604" s="646">
        <f t="shared" si="180"/>
        <v>0</v>
      </c>
      <c r="BB604" s="647"/>
      <c r="BC604" s="648"/>
      <c r="BD604" s="649"/>
      <c r="BE604" s="647"/>
      <c r="BF604" s="644"/>
      <c r="BG604" s="646">
        <f t="shared" si="181"/>
        <v>0</v>
      </c>
      <c r="BH604" s="650"/>
      <c r="BI604" s="647"/>
      <c r="BJ604" s="644"/>
      <c r="BK604" s="646">
        <f t="shared" si="182"/>
        <v>0</v>
      </c>
      <c r="BL604" s="651"/>
      <c r="BM604" s="652">
        <f t="shared" si="183"/>
        <v>1</v>
      </c>
      <c r="BN604" s="628"/>
      <c r="BO604" s="670"/>
      <c r="BP604" s="644"/>
      <c r="BQ604" s="644"/>
      <c r="BR604" s="644"/>
      <c r="BS604" s="644"/>
      <c r="BT604" s="644"/>
      <c r="BU604" s="644"/>
      <c r="BV604" s="644"/>
      <c r="BW604" s="644"/>
      <c r="BX604" s="644"/>
      <c r="BY604" s="644"/>
      <c r="BZ604" s="644"/>
      <c r="CA604" s="644"/>
      <c r="CB604" s="646">
        <f t="shared" si="184"/>
        <v>0</v>
      </c>
      <c r="CC604" s="646">
        <f t="shared" si="185"/>
        <v>0</v>
      </c>
      <c r="CD604" s="614"/>
    </row>
    <row r="605" spans="1:85" s="561" customFormat="1" ht="61.5" customHeight="1">
      <c r="A605" s="625" t="str">
        <f t="shared" si="167"/>
        <v>proyecto-Alerta: Seleccione la celda en la comumna B con el nombre del proyecto-Al-Al--</v>
      </c>
      <c r="B605" s="626" t="str">
        <f t="shared" si="168"/>
        <v>proyecto-Alerta: Seleccione la celda en la comumna B con el nombre del proyecto-Al-Al-</v>
      </c>
      <c r="C605" s="626" t="str">
        <f t="shared" si="169"/>
        <v>proyecto-Alerta: Seleccione la celda en la comumna B con el nombre del proyecto-</v>
      </c>
      <c r="D605" s="626" t="str">
        <f t="shared" si="170"/>
        <v>proyecto--Al-Al-</v>
      </c>
      <c r="E605" s="626" t="str">
        <f t="shared" si="171"/>
        <v>--</v>
      </c>
      <c r="F605" s="627"/>
      <c r="G605" s="628">
        <f t="shared" si="172"/>
        <v>0</v>
      </c>
      <c r="H605" s="629" t="b">
        <f t="shared" si="173"/>
        <v>1</v>
      </c>
      <c r="I605" s="630"/>
      <c r="J605" s="627"/>
      <c r="K605" s="631" t="str">
        <f>+IFERROR(VLOOKUP(J605,Listas!$A$108:$B$114,2,FALSE),"Alerta: Seleccione la celda en la comumna B con el nombre del proyecto")</f>
        <v>Alerta: Seleccione la celda en la comumna B con el nombre del proyecto</v>
      </c>
      <c r="L605" s="632"/>
      <c r="M605" s="633"/>
      <c r="N605" s="634" t="str">
        <f t="shared" si="174"/>
        <v xml:space="preserve">(Cód. ) </v>
      </c>
      <c r="O605" s="635"/>
      <c r="P605" s="636">
        <f>IFERROR(VLOOKUP(W605,'Estimación CRP'!$D$21:$E$30,2,FALSE),0)</f>
        <v>0</v>
      </c>
      <c r="Q605" s="637">
        <f>IF(O605="No aplica","No aplica",WORKDAY.INTL(O605,P605,1,'Estimación CRP'!A791:A807))</f>
        <v>0</v>
      </c>
      <c r="R605" s="636">
        <f t="shared" si="175"/>
        <v>1</v>
      </c>
      <c r="S605" s="636">
        <f t="shared" si="176"/>
        <v>1</v>
      </c>
      <c r="T605" s="636">
        <f t="shared" si="177"/>
        <v>1</v>
      </c>
      <c r="U605" s="638"/>
      <c r="V605" s="638"/>
      <c r="W605" s="639"/>
      <c r="X605" s="640" t="str">
        <f>IFERROR(VLOOKUP(W605,Listas!$A$60:$B$73,2,FALSE),"Alerta: Seleccione primero Modalidad de selección")</f>
        <v>Alerta: Seleccione primero Modalidad de selección</v>
      </c>
      <c r="Y605" s="641">
        <v>0</v>
      </c>
      <c r="Z605" s="641"/>
      <c r="AA605" s="641"/>
      <c r="AB605" s="642">
        <f t="shared" si="178"/>
        <v>0</v>
      </c>
      <c r="AC605" s="642">
        <f t="shared" si="179"/>
        <v>0</v>
      </c>
      <c r="AD605" s="641">
        <v>0</v>
      </c>
      <c r="AE605" s="643">
        <v>0</v>
      </c>
      <c r="AF605" s="639" t="s">
        <v>276</v>
      </c>
      <c r="AG605" s="639" t="s">
        <v>277</v>
      </c>
      <c r="AH605" s="639"/>
      <c r="AI605" s="626" t="str">
        <f>IFERROR(VLOOKUP(AH605,Listas!$A$77:$C$83,2,FALSE),"Alerta: Seleccione primero el responsable")</f>
        <v>Alerta: Seleccione primero el responsable</v>
      </c>
      <c r="AJ605" s="640" t="str">
        <f>IFERROR(VLOOKUP(AH605,Listas!$A$77:$C$83,3,FALSE),"Alerta: Seleccione primero el responsable")</f>
        <v>Alerta: Seleccione primero el responsable</v>
      </c>
      <c r="AK605" s="640" t="str">
        <f>IF(J605="Funcionamiento Gastos Generales","No aplica",IF(J605="Funcionamiento Servicios Personales indirectos","No aplica",IFERROR(VLOOKUP(J605,Listas!$A$127:$E$139,3,FALSE),"Alerta: Seleccione la celda en la comumna B con el nombre del proyecto")))</f>
        <v>Alerta: Seleccione la celda en la comumna B con el nombre del proyecto</v>
      </c>
      <c r="AL605" s="640" t="str">
        <f>IF(J605="Funcionamiento Gastos Generales","No aplica",IF(J605="Funcionamiento Servicios Personales","No aplica",IFERROR(VLOOKUP(J605,Listas!$A$220:$D$224,2,FALSE),"Alerta: Seleccione la celda en la comumna B con el nombre del proyecto")))</f>
        <v>Alerta: Seleccione la celda en la comumna B con el nombre del proyecto</v>
      </c>
      <c r="AM605" s="640" t="str">
        <f>IF(J605="Funcionamiento Gastos Generales","No aplica",IF(J605="Funcionamiento Servicios Personales","No aplica",IFERROR(VLOOKUP(J605,Listas!$A$220:$D$224,3,FALSE),"Alerta: Seleccione la celda en la comumna B con el nombre del proyecto")))</f>
        <v>Alerta: Seleccione la celda en la comumna B con el nombre del proyecto</v>
      </c>
      <c r="AN605" s="633"/>
      <c r="AO605" s="633"/>
      <c r="AP605" s="634" t="str">
        <f>IFERROR(VLOOKUP(J605,Listas!$A$182:$E$215,5,FALSE),"Alerta: Seleccione la celda en la comumna B con el nombre del proyecto")</f>
        <v>Alerta: Seleccione la celda en la comumna B con el nombre del proyecto</v>
      </c>
      <c r="AQ605" s="634" t="str">
        <f>IF(J605="Funcionamiento Gastos Generales","No aplica",IF(J605="Funcionamiento Servicios Personales","No aplica",IFERROR(VLOOKUP(J605,Listas!$A$220:$D$224,4,FALSE),"Alerta: Seleccione la celda en la comumna B con el nombre del proyecto")))</f>
        <v>Alerta: Seleccione la celda en la comumna B con el nombre del proyecto</v>
      </c>
      <c r="AR605" s="633"/>
      <c r="AS605" s="634" t="str">
        <f>IFERROR(VLOOKUP(AU605,Listas!$E$85:$L$105,7,FALSE),"Alerta: Seleccione la celda en la comumna AI con el concepto de gasto")</f>
        <v>Alerta: Seleccione la celda en la comumna AI con el concepto de gasto</v>
      </c>
      <c r="AT605" s="634" t="str">
        <f>IFERROR(VLOOKUP(AU605,Listas!$E$85:$L$105,8,FALSE),"Alerta: Seleccione la celda en la comumna AI con el concepto de gasto")</f>
        <v>Alerta: Seleccione la celda en la comumna AI con el concepto de gasto</v>
      </c>
      <c r="AU605" s="633"/>
      <c r="AV605" s="634" t="str">
        <f>IFERROR(VLOOKUP(AU605,Listas!$E$85:$F$105,2,FALSE),"Alerta: Seleccione el Concepto de Gasto primero")</f>
        <v>Alerta: Seleccione el Concepto de Gasto primero</v>
      </c>
      <c r="AW605" s="644"/>
      <c r="AX605" s="645"/>
      <c r="AY605" s="645"/>
      <c r="AZ605" s="645"/>
      <c r="BA605" s="646">
        <f t="shared" si="180"/>
        <v>0</v>
      </c>
      <c r="BB605" s="647"/>
      <c r="BC605" s="648"/>
      <c r="BD605" s="649"/>
      <c r="BE605" s="647"/>
      <c r="BF605" s="644"/>
      <c r="BG605" s="646">
        <f t="shared" si="181"/>
        <v>0</v>
      </c>
      <c r="BH605" s="650"/>
      <c r="BI605" s="647"/>
      <c r="BJ605" s="644"/>
      <c r="BK605" s="646">
        <f t="shared" si="182"/>
        <v>0</v>
      </c>
      <c r="BL605" s="651"/>
      <c r="BM605" s="652">
        <f t="shared" si="183"/>
        <v>1</v>
      </c>
      <c r="BN605" s="628"/>
      <c r="BO605" s="670"/>
      <c r="BP605" s="644"/>
      <c r="BQ605" s="644"/>
      <c r="BR605" s="644"/>
      <c r="BS605" s="644"/>
      <c r="BT605" s="644"/>
      <c r="BU605" s="644"/>
      <c r="BV605" s="644"/>
      <c r="BW605" s="644"/>
      <c r="BX605" s="644"/>
      <c r="BY605" s="644"/>
      <c r="BZ605" s="644"/>
      <c r="CA605" s="644"/>
      <c r="CB605" s="646">
        <f t="shared" si="184"/>
        <v>0</v>
      </c>
      <c r="CC605" s="646">
        <f t="shared" si="185"/>
        <v>0</v>
      </c>
      <c r="CD605" s="614"/>
    </row>
    <row r="606" spans="1:85" s="561" customFormat="1" ht="61.5" customHeight="1">
      <c r="A606" s="625" t="str">
        <f t="shared" si="167"/>
        <v>proyecto-Alerta: Seleccione la celda en la comumna B con el nombre del proyecto-Al-Al--</v>
      </c>
      <c r="B606" s="626" t="str">
        <f t="shared" si="168"/>
        <v>proyecto-Alerta: Seleccione la celda en la comumna B con el nombre del proyecto-Al-Al-</v>
      </c>
      <c r="C606" s="626" t="str">
        <f t="shared" si="169"/>
        <v>proyecto-Alerta: Seleccione la celda en la comumna B con el nombre del proyecto-</v>
      </c>
      <c r="D606" s="626" t="str">
        <f t="shared" si="170"/>
        <v>proyecto--Al-Al-</v>
      </c>
      <c r="E606" s="626" t="str">
        <f t="shared" si="171"/>
        <v>--</v>
      </c>
      <c r="F606" s="627"/>
      <c r="G606" s="628">
        <f t="shared" si="172"/>
        <v>0</v>
      </c>
      <c r="H606" s="629" t="b">
        <f t="shared" si="173"/>
        <v>1</v>
      </c>
      <c r="I606" s="630"/>
      <c r="J606" s="627"/>
      <c r="K606" s="631" t="str">
        <f>+IFERROR(VLOOKUP(J606,Listas!$A$108:$B$114,2,FALSE),"Alerta: Seleccione la celda en la comumna B con el nombre del proyecto")</f>
        <v>Alerta: Seleccione la celda en la comumna B con el nombre del proyecto</v>
      </c>
      <c r="L606" s="632"/>
      <c r="M606" s="633"/>
      <c r="N606" s="634" t="str">
        <f t="shared" si="174"/>
        <v xml:space="preserve">(Cód. ) </v>
      </c>
      <c r="O606" s="635"/>
      <c r="P606" s="636">
        <f>IFERROR(VLOOKUP(W606,'Estimación CRP'!$D$21:$E$30,2,FALSE),0)</f>
        <v>0</v>
      </c>
      <c r="Q606" s="637">
        <f>IF(O606="No aplica","No aplica",WORKDAY.INTL(O606,P606,1,'Estimación CRP'!A792:A808))</f>
        <v>0</v>
      </c>
      <c r="R606" s="636">
        <f t="shared" si="175"/>
        <v>1</v>
      </c>
      <c r="S606" s="636">
        <f t="shared" si="176"/>
        <v>1</v>
      </c>
      <c r="T606" s="636">
        <f t="shared" si="177"/>
        <v>1</v>
      </c>
      <c r="U606" s="638"/>
      <c r="V606" s="638"/>
      <c r="W606" s="639"/>
      <c r="X606" s="640" t="str">
        <f>IFERROR(VLOOKUP(W606,Listas!$A$60:$B$73,2,FALSE),"Alerta: Seleccione primero Modalidad de selección")</f>
        <v>Alerta: Seleccione primero Modalidad de selección</v>
      </c>
      <c r="Y606" s="641">
        <v>0</v>
      </c>
      <c r="Z606" s="641"/>
      <c r="AA606" s="641"/>
      <c r="AB606" s="642">
        <f t="shared" si="178"/>
        <v>0</v>
      </c>
      <c r="AC606" s="642">
        <f t="shared" si="179"/>
        <v>0</v>
      </c>
      <c r="AD606" s="641">
        <v>0</v>
      </c>
      <c r="AE606" s="643">
        <v>0</v>
      </c>
      <c r="AF606" s="639" t="s">
        <v>276</v>
      </c>
      <c r="AG606" s="639" t="s">
        <v>277</v>
      </c>
      <c r="AH606" s="639"/>
      <c r="AI606" s="626" t="str">
        <f>IFERROR(VLOOKUP(AH606,Listas!$A$77:$C$83,2,FALSE),"Alerta: Seleccione primero el responsable")</f>
        <v>Alerta: Seleccione primero el responsable</v>
      </c>
      <c r="AJ606" s="640" t="str">
        <f>IFERROR(VLOOKUP(AH606,Listas!$A$77:$C$83,3,FALSE),"Alerta: Seleccione primero el responsable")</f>
        <v>Alerta: Seleccione primero el responsable</v>
      </c>
      <c r="AK606" s="640" t="str">
        <f>IF(J606="Funcionamiento Gastos Generales","No aplica",IF(J606="Funcionamiento Servicios Personales indirectos","No aplica",IFERROR(VLOOKUP(J606,Listas!$A$127:$E$139,3,FALSE),"Alerta: Seleccione la celda en la comumna B con el nombre del proyecto")))</f>
        <v>Alerta: Seleccione la celda en la comumna B con el nombre del proyecto</v>
      </c>
      <c r="AL606" s="640" t="str">
        <f>IF(J606="Funcionamiento Gastos Generales","No aplica",IF(J606="Funcionamiento Servicios Personales","No aplica",IFERROR(VLOOKUP(J606,Listas!$A$220:$D$224,2,FALSE),"Alerta: Seleccione la celda en la comumna B con el nombre del proyecto")))</f>
        <v>Alerta: Seleccione la celda en la comumna B con el nombre del proyecto</v>
      </c>
      <c r="AM606" s="640" t="str">
        <f>IF(J606="Funcionamiento Gastos Generales","No aplica",IF(J606="Funcionamiento Servicios Personales","No aplica",IFERROR(VLOOKUP(J606,Listas!$A$220:$D$224,3,FALSE),"Alerta: Seleccione la celda en la comumna B con el nombre del proyecto")))</f>
        <v>Alerta: Seleccione la celda en la comumna B con el nombre del proyecto</v>
      </c>
      <c r="AN606" s="633"/>
      <c r="AO606" s="633"/>
      <c r="AP606" s="634" t="str">
        <f>IFERROR(VLOOKUP(J606,Listas!$A$182:$E$215,5,FALSE),"Alerta: Seleccione la celda en la comumna B con el nombre del proyecto")</f>
        <v>Alerta: Seleccione la celda en la comumna B con el nombre del proyecto</v>
      </c>
      <c r="AQ606" s="634" t="str">
        <f>IF(J606="Funcionamiento Gastos Generales","No aplica",IF(J606="Funcionamiento Servicios Personales","No aplica",IFERROR(VLOOKUP(J606,Listas!$A$220:$D$224,4,FALSE),"Alerta: Seleccione la celda en la comumna B con el nombre del proyecto")))</f>
        <v>Alerta: Seleccione la celda en la comumna B con el nombre del proyecto</v>
      </c>
      <c r="AR606" s="633"/>
      <c r="AS606" s="634" t="str">
        <f>IFERROR(VLOOKUP(AU606,Listas!$E$85:$L$105,7,FALSE),"Alerta: Seleccione la celda en la comumna AI con el concepto de gasto")</f>
        <v>Alerta: Seleccione la celda en la comumna AI con el concepto de gasto</v>
      </c>
      <c r="AT606" s="634" t="str">
        <f>IFERROR(VLOOKUP(AU606,Listas!$E$85:$L$105,8,FALSE),"Alerta: Seleccione la celda en la comumna AI con el concepto de gasto")</f>
        <v>Alerta: Seleccione la celda en la comumna AI con el concepto de gasto</v>
      </c>
      <c r="AU606" s="633"/>
      <c r="AV606" s="634" t="str">
        <f>IFERROR(VLOOKUP(AU606,Listas!$E$85:$F$105,2,FALSE),"Alerta: Seleccione el Concepto de Gasto primero")</f>
        <v>Alerta: Seleccione el Concepto de Gasto primero</v>
      </c>
      <c r="AW606" s="644"/>
      <c r="AX606" s="645"/>
      <c r="AY606" s="645"/>
      <c r="AZ606" s="645"/>
      <c r="BA606" s="646">
        <f t="shared" si="180"/>
        <v>0</v>
      </c>
      <c r="BB606" s="647"/>
      <c r="BC606" s="648"/>
      <c r="BD606" s="649"/>
      <c r="BE606" s="647"/>
      <c r="BF606" s="644"/>
      <c r="BG606" s="646">
        <f t="shared" si="181"/>
        <v>0</v>
      </c>
      <c r="BH606" s="650"/>
      <c r="BI606" s="647"/>
      <c r="BJ606" s="644"/>
      <c r="BK606" s="646">
        <f t="shared" si="182"/>
        <v>0</v>
      </c>
      <c r="BL606" s="651"/>
      <c r="BM606" s="652">
        <f t="shared" si="183"/>
        <v>1</v>
      </c>
      <c r="BN606" s="628"/>
      <c r="BO606" s="670"/>
      <c r="BP606" s="644"/>
      <c r="BQ606" s="644"/>
      <c r="BR606" s="644"/>
      <c r="BS606" s="644"/>
      <c r="BT606" s="644"/>
      <c r="BU606" s="644"/>
      <c r="BV606" s="644"/>
      <c r="BW606" s="644"/>
      <c r="BX606" s="644"/>
      <c r="BY606" s="644"/>
      <c r="BZ606" s="644"/>
      <c r="CA606" s="644"/>
      <c r="CB606" s="646">
        <f t="shared" si="184"/>
        <v>0</v>
      </c>
      <c r="CC606" s="646">
        <f t="shared" si="185"/>
        <v>0</v>
      </c>
      <c r="CD606" s="614"/>
    </row>
    <row r="607" spans="1:85" s="561" customFormat="1" ht="61.5" customHeight="1">
      <c r="A607" s="625" t="str">
        <f t="shared" si="167"/>
        <v>proyecto-Alerta: Seleccione la celda en la comumna B con el nombre del proyecto-Al-Al--</v>
      </c>
      <c r="B607" s="626" t="str">
        <f t="shared" si="168"/>
        <v>proyecto-Alerta: Seleccione la celda en la comumna B con el nombre del proyecto-Al-Al-</v>
      </c>
      <c r="C607" s="626" t="str">
        <f t="shared" si="169"/>
        <v>proyecto-Alerta: Seleccione la celda en la comumna B con el nombre del proyecto-</v>
      </c>
      <c r="D607" s="626" t="str">
        <f t="shared" si="170"/>
        <v>proyecto--Al-Al-</v>
      </c>
      <c r="E607" s="626" t="str">
        <f t="shared" si="171"/>
        <v>--</v>
      </c>
      <c r="F607" s="627"/>
      <c r="G607" s="628">
        <f t="shared" si="172"/>
        <v>0</v>
      </c>
      <c r="H607" s="629" t="b">
        <f t="shared" si="173"/>
        <v>1</v>
      </c>
      <c r="I607" s="630"/>
      <c r="J607" s="627"/>
      <c r="K607" s="631" t="str">
        <f>+IFERROR(VLOOKUP(J607,Listas!$A$108:$B$114,2,FALSE),"Alerta: Seleccione la celda en la comumna B con el nombre del proyecto")</f>
        <v>Alerta: Seleccione la celda en la comumna B con el nombre del proyecto</v>
      </c>
      <c r="L607" s="632"/>
      <c r="M607" s="633"/>
      <c r="N607" s="634" t="str">
        <f t="shared" si="174"/>
        <v xml:space="preserve">(Cód. ) </v>
      </c>
      <c r="O607" s="635"/>
      <c r="P607" s="636">
        <f>IFERROR(VLOOKUP(W607,'Estimación CRP'!$D$21:$E$30,2,FALSE),0)</f>
        <v>0</v>
      </c>
      <c r="Q607" s="637">
        <f>IF(O607="No aplica","No aplica",WORKDAY.INTL(O607,P607,1,'Estimación CRP'!A793:A809))</f>
        <v>0</v>
      </c>
      <c r="R607" s="636">
        <f t="shared" si="175"/>
        <v>1</v>
      </c>
      <c r="S607" s="636">
        <f t="shared" si="176"/>
        <v>1</v>
      </c>
      <c r="T607" s="636">
        <f t="shared" si="177"/>
        <v>1</v>
      </c>
      <c r="U607" s="638"/>
      <c r="V607" s="638"/>
      <c r="W607" s="639"/>
      <c r="X607" s="640" t="str">
        <f>IFERROR(VLOOKUP(W607,Listas!$A$60:$B$73,2,FALSE),"Alerta: Seleccione primero Modalidad de selección")</f>
        <v>Alerta: Seleccione primero Modalidad de selección</v>
      </c>
      <c r="Y607" s="641">
        <v>0</v>
      </c>
      <c r="Z607" s="641"/>
      <c r="AA607" s="641"/>
      <c r="AB607" s="642">
        <f t="shared" si="178"/>
        <v>0</v>
      </c>
      <c r="AC607" s="642">
        <f t="shared" si="179"/>
        <v>0</v>
      </c>
      <c r="AD607" s="641">
        <v>0</v>
      </c>
      <c r="AE607" s="643">
        <v>0</v>
      </c>
      <c r="AF607" s="639" t="s">
        <v>276</v>
      </c>
      <c r="AG607" s="639" t="s">
        <v>277</v>
      </c>
      <c r="AH607" s="639"/>
      <c r="AI607" s="626" t="str">
        <f>IFERROR(VLOOKUP(AH607,Listas!$A$77:$C$83,2,FALSE),"Alerta: Seleccione primero el responsable")</f>
        <v>Alerta: Seleccione primero el responsable</v>
      </c>
      <c r="AJ607" s="640" t="str">
        <f>IFERROR(VLOOKUP(AH607,Listas!$A$77:$C$83,3,FALSE),"Alerta: Seleccione primero el responsable")</f>
        <v>Alerta: Seleccione primero el responsable</v>
      </c>
      <c r="AK607" s="640" t="str">
        <f>IF(J607="Funcionamiento Gastos Generales","No aplica",IF(J607="Funcionamiento Servicios Personales indirectos","No aplica",IFERROR(VLOOKUP(J607,Listas!$A$127:$E$139,3,FALSE),"Alerta: Seleccione la celda en la comumna B con el nombre del proyecto")))</f>
        <v>Alerta: Seleccione la celda en la comumna B con el nombre del proyecto</v>
      </c>
      <c r="AL607" s="640" t="str">
        <f>IF(J607="Funcionamiento Gastos Generales","No aplica",IF(J607="Funcionamiento Servicios Personales","No aplica",IFERROR(VLOOKUP(J607,Listas!$A$220:$D$224,2,FALSE),"Alerta: Seleccione la celda en la comumna B con el nombre del proyecto")))</f>
        <v>Alerta: Seleccione la celda en la comumna B con el nombre del proyecto</v>
      </c>
      <c r="AM607" s="640" t="str">
        <f>IF(J607="Funcionamiento Gastos Generales","No aplica",IF(J607="Funcionamiento Servicios Personales","No aplica",IFERROR(VLOOKUP(J607,Listas!$A$220:$D$224,3,FALSE),"Alerta: Seleccione la celda en la comumna B con el nombre del proyecto")))</f>
        <v>Alerta: Seleccione la celda en la comumna B con el nombre del proyecto</v>
      </c>
      <c r="AN607" s="633"/>
      <c r="AO607" s="633"/>
      <c r="AP607" s="634" t="str">
        <f>IFERROR(VLOOKUP(J607,Listas!$A$182:$E$215,5,FALSE),"Alerta: Seleccione la celda en la comumna B con el nombre del proyecto")</f>
        <v>Alerta: Seleccione la celda en la comumna B con el nombre del proyecto</v>
      </c>
      <c r="AQ607" s="634" t="str">
        <f>IF(J607="Funcionamiento Gastos Generales","No aplica",IF(J607="Funcionamiento Servicios Personales","No aplica",IFERROR(VLOOKUP(J607,Listas!$A$220:$D$224,4,FALSE),"Alerta: Seleccione la celda en la comumna B con el nombre del proyecto")))</f>
        <v>Alerta: Seleccione la celda en la comumna B con el nombre del proyecto</v>
      </c>
      <c r="AR607" s="633"/>
      <c r="AS607" s="634" t="str">
        <f>IFERROR(VLOOKUP(AU607,Listas!$E$85:$L$105,7,FALSE),"Alerta: Seleccione la celda en la comumna AI con el concepto de gasto")</f>
        <v>Alerta: Seleccione la celda en la comumna AI con el concepto de gasto</v>
      </c>
      <c r="AT607" s="634" t="str">
        <f>IFERROR(VLOOKUP(AU607,Listas!$E$85:$L$105,8,FALSE),"Alerta: Seleccione la celda en la comumna AI con el concepto de gasto")</f>
        <v>Alerta: Seleccione la celda en la comumna AI con el concepto de gasto</v>
      </c>
      <c r="AU607" s="633"/>
      <c r="AV607" s="634" t="str">
        <f>IFERROR(VLOOKUP(AU607,Listas!$E$85:$F$105,2,FALSE),"Alerta: Seleccione el Concepto de Gasto primero")</f>
        <v>Alerta: Seleccione el Concepto de Gasto primero</v>
      </c>
      <c r="AW607" s="644"/>
      <c r="AX607" s="645"/>
      <c r="AY607" s="645"/>
      <c r="AZ607" s="645"/>
      <c r="BA607" s="646">
        <f t="shared" si="180"/>
        <v>0</v>
      </c>
      <c r="BB607" s="647"/>
      <c r="BC607" s="648"/>
      <c r="BD607" s="649"/>
      <c r="BE607" s="647"/>
      <c r="BF607" s="644"/>
      <c r="BG607" s="646">
        <f t="shared" si="181"/>
        <v>0</v>
      </c>
      <c r="BH607" s="650"/>
      <c r="BI607" s="647"/>
      <c r="BJ607" s="644"/>
      <c r="BK607" s="646">
        <f t="shared" si="182"/>
        <v>0</v>
      </c>
      <c r="BL607" s="651"/>
      <c r="BM607" s="652">
        <f t="shared" si="183"/>
        <v>1</v>
      </c>
      <c r="BN607" s="628"/>
      <c r="BO607" s="670"/>
      <c r="BP607" s="644"/>
      <c r="BQ607" s="644"/>
      <c r="BR607" s="644"/>
      <c r="BS607" s="644"/>
      <c r="BT607" s="644"/>
      <c r="BU607" s="644"/>
      <c r="BV607" s="644"/>
      <c r="BW607" s="644"/>
      <c r="BX607" s="644"/>
      <c r="BY607" s="644"/>
      <c r="BZ607" s="644"/>
      <c r="CA607" s="644"/>
      <c r="CB607" s="646">
        <f t="shared" si="184"/>
        <v>0</v>
      </c>
      <c r="CC607" s="646">
        <f t="shared" si="185"/>
        <v>0</v>
      </c>
      <c r="CD607" s="614"/>
    </row>
    <row r="608" spans="1:85" s="561" customFormat="1" ht="61.5" customHeight="1">
      <c r="A608" s="625" t="str">
        <f t="shared" ref="A608:A671" si="186">+CONCATENATE(B608,"-",AO608)</f>
        <v>proyecto-Alerta: Seleccione la celda en la comumna B con el nombre del proyecto-Al-Al--</v>
      </c>
      <c r="B608" s="626" t="str">
        <f t="shared" ref="B608:B671" si="187">CONCATENATE(RIGHT(K608,8),"-",AQ608,"-",LEFT(AS608,2),"-",LEFT(AT608,2),"-",LEFT(AU608,4))</f>
        <v>proyecto-Alerta: Seleccione la celda en la comumna B con el nombre del proyecto-Al-Al-</v>
      </c>
      <c r="C608" s="626" t="str">
        <f t="shared" ref="C608:C671" si="188">+CONCATENATE(RIGHT(K608,8),"-",AQ608,"-",AO608)</f>
        <v>proyecto-Alerta: Seleccione la celda en la comumna B con el nombre del proyecto-</v>
      </c>
      <c r="D608" s="626" t="str">
        <f t="shared" ref="D608:D671" si="189">+CONCATENATE(RIGHT(K608,8),"-",AR608,"-",LEFT(AS608,2),"-",LEFT(AT608,2),"-",LEFT(AU608,4))</f>
        <v>proyecto--Al-Al-</v>
      </c>
      <c r="E608" s="626" t="str">
        <f t="shared" si="171"/>
        <v>--</v>
      </c>
      <c r="F608" s="627"/>
      <c r="G608" s="628">
        <f t="shared" si="172"/>
        <v>0</v>
      </c>
      <c r="H608" s="629" t="b">
        <f t="shared" si="173"/>
        <v>1</v>
      </c>
      <c r="I608" s="630"/>
      <c r="J608" s="627"/>
      <c r="K608" s="631" t="str">
        <f>+IFERROR(VLOOKUP(J608,Listas!$A$108:$B$114,2,FALSE),"Alerta: Seleccione la celda en la comumna B con el nombre del proyecto")</f>
        <v>Alerta: Seleccione la celda en la comumna B con el nombre del proyecto</v>
      </c>
      <c r="L608" s="632"/>
      <c r="M608" s="633"/>
      <c r="N608" s="634" t="str">
        <f t="shared" si="174"/>
        <v xml:space="preserve">(Cód. ) </v>
      </c>
      <c r="O608" s="635"/>
      <c r="P608" s="636">
        <f>IFERROR(VLOOKUP(W608,'Estimación CRP'!$D$21:$E$30,2,FALSE),0)</f>
        <v>0</v>
      </c>
      <c r="Q608" s="637">
        <f>IF(O608="No aplica","No aplica",WORKDAY.INTL(O608,P608,1,'Estimación CRP'!A794:A810))</f>
        <v>0</v>
      </c>
      <c r="R608" s="636">
        <f t="shared" si="175"/>
        <v>1</v>
      </c>
      <c r="S608" s="636">
        <f t="shared" si="176"/>
        <v>1</v>
      </c>
      <c r="T608" s="636">
        <f t="shared" si="177"/>
        <v>1</v>
      </c>
      <c r="U608" s="638"/>
      <c r="V608" s="638"/>
      <c r="W608" s="639"/>
      <c r="X608" s="640" t="str">
        <f>IFERROR(VLOOKUP(W608,Listas!$A$60:$B$73,2,FALSE),"Alerta: Seleccione primero Modalidad de selección")</f>
        <v>Alerta: Seleccione primero Modalidad de selección</v>
      </c>
      <c r="Y608" s="641">
        <v>0</v>
      </c>
      <c r="Z608" s="641"/>
      <c r="AA608" s="641"/>
      <c r="AB608" s="642">
        <f t="shared" si="178"/>
        <v>0</v>
      </c>
      <c r="AC608" s="642">
        <f t="shared" si="179"/>
        <v>0</v>
      </c>
      <c r="AD608" s="641">
        <v>0</v>
      </c>
      <c r="AE608" s="643">
        <v>0</v>
      </c>
      <c r="AF608" s="639" t="s">
        <v>276</v>
      </c>
      <c r="AG608" s="639" t="s">
        <v>277</v>
      </c>
      <c r="AH608" s="639"/>
      <c r="AI608" s="626" t="str">
        <f>IFERROR(VLOOKUP(AH608,Listas!$A$77:$C$83,2,FALSE),"Alerta: Seleccione primero el responsable")</f>
        <v>Alerta: Seleccione primero el responsable</v>
      </c>
      <c r="AJ608" s="640" t="str">
        <f>IFERROR(VLOOKUP(AH608,Listas!$A$77:$C$83,3,FALSE),"Alerta: Seleccione primero el responsable")</f>
        <v>Alerta: Seleccione primero el responsable</v>
      </c>
      <c r="AK608" s="640" t="str">
        <f>IF(J608="Funcionamiento Gastos Generales","No aplica",IF(J608="Funcionamiento Servicios Personales indirectos","No aplica",IFERROR(VLOOKUP(J608,Listas!$A$127:$E$139,3,FALSE),"Alerta: Seleccione la celda en la comumna B con el nombre del proyecto")))</f>
        <v>Alerta: Seleccione la celda en la comumna B con el nombre del proyecto</v>
      </c>
      <c r="AL608" s="640" t="str">
        <f>IF(J608="Funcionamiento Gastos Generales","No aplica",IF(J608="Funcionamiento Servicios Personales","No aplica",IFERROR(VLOOKUP(J608,Listas!$A$220:$D$224,2,FALSE),"Alerta: Seleccione la celda en la comumna B con el nombre del proyecto")))</f>
        <v>Alerta: Seleccione la celda en la comumna B con el nombre del proyecto</v>
      </c>
      <c r="AM608" s="640" t="str">
        <f>IF(J608="Funcionamiento Gastos Generales","No aplica",IF(J608="Funcionamiento Servicios Personales","No aplica",IFERROR(VLOOKUP(J608,Listas!$A$220:$D$224,3,FALSE),"Alerta: Seleccione la celda en la comumna B con el nombre del proyecto")))</f>
        <v>Alerta: Seleccione la celda en la comumna B con el nombre del proyecto</v>
      </c>
      <c r="AN608" s="633"/>
      <c r="AO608" s="633"/>
      <c r="AP608" s="634" t="str">
        <f>IFERROR(VLOOKUP(J608,Listas!$A$182:$E$215,5,FALSE),"Alerta: Seleccione la celda en la comumna B con el nombre del proyecto")</f>
        <v>Alerta: Seleccione la celda en la comumna B con el nombre del proyecto</v>
      </c>
      <c r="AQ608" s="634" t="str">
        <f>IF(J608="Funcionamiento Gastos Generales","No aplica",IF(J608="Funcionamiento Servicios Personales","No aplica",IFERROR(VLOOKUP(J608,Listas!$A$220:$D$224,4,FALSE),"Alerta: Seleccione la celda en la comumna B con el nombre del proyecto")))</f>
        <v>Alerta: Seleccione la celda en la comumna B con el nombre del proyecto</v>
      </c>
      <c r="AR608" s="633"/>
      <c r="AS608" s="634" t="str">
        <f>IFERROR(VLOOKUP(AU608,Listas!$E$85:$L$105,7,FALSE),"Alerta: Seleccione la celda en la comumna AI con el concepto de gasto")</f>
        <v>Alerta: Seleccione la celda en la comumna AI con el concepto de gasto</v>
      </c>
      <c r="AT608" s="634" t="str">
        <f>IFERROR(VLOOKUP(AU608,Listas!$E$85:$L$105,8,FALSE),"Alerta: Seleccione la celda en la comumna AI con el concepto de gasto")</f>
        <v>Alerta: Seleccione la celda en la comumna AI con el concepto de gasto</v>
      </c>
      <c r="AU608" s="633"/>
      <c r="AV608" s="634" t="str">
        <f>IFERROR(VLOOKUP(AU608,Listas!$E$85:$F$105,2,FALSE),"Alerta: Seleccione el Concepto de Gasto primero")</f>
        <v>Alerta: Seleccione el Concepto de Gasto primero</v>
      </c>
      <c r="AW608" s="644"/>
      <c r="AX608" s="645"/>
      <c r="AY608" s="645"/>
      <c r="AZ608" s="645"/>
      <c r="BA608" s="646">
        <f t="shared" si="180"/>
        <v>0</v>
      </c>
      <c r="BB608" s="647"/>
      <c r="BC608" s="648"/>
      <c r="BD608" s="649"/>
      <c r="BE608" s="647"/>
      <c r="BF608" s="644"/>
      <c r="BG608" s="646">
        <f t="shared" si="181"/>
        <v>0</v>
      </c>
      <c r="BH608" s="650"/>
      <c r="BI608" s="647"/>
      <c r="BJ608" s="644"/>
      <c r="BK608" s="646">
        <f t="shared" si="182"/>
        <v>0</v>
      </c>
      <c r="BL608" s="651"/>
      <c r="BM608" s="652">
        <f t="shared" si="183"/>
        <v>1</v>
      </c>
      <c r="BN608" s="628"/>
      <c r="BO608" s="670"/>
      <c r="BP608" s="644"/>
      <c r="BQ608" s="644"/>
      <c r="BR608" s="644"/>
      <c r="BS608" s="644"/>
      <c r="BT608" s="644"/>
      <c r="BU608" s="644"/>
      <c r="BV608" s="644"/>
      <c r="BW608" s="644"/>
      <c r="BX608" s="644"/>
      <c r="BY608" s="644"/>
      <c r="BZ608" s="644"/>
      <c r="CA608" s="644"/>
      <c r="CB608" s="646">
        <f t="shared" si="184"/>
        <v>0</v>
      </c>
      <c r="CC608" s="646">
        <f t="shared" si="185"/>
        <v>0</v>
      </c>
      <c r="CD608" s="614"/>
    </row>
    <row r="609" spans="1:85" s="561" customFormat="1" ht="61.5" customHeight="1">
      <c r="A609" s="625" t="str">
        <f t="shared" si="186"/>
        <v>proyecto-Alerta: Seleccione la celda en la comumna B con el nombre del proyecto-Al-Al--</v>
      </c>
      <c r="B609" s="626" t="str">
        <f t="shared" si="187"/>
        <v>proyecto-Alerta: Seleccione la celda en la comumna B con el nombre del proyecto-Al-Al-</v>
      </c>
      <c r="C609" s="626" t="str">
        <f t="shared" si="188"/>
        <v>proyecto-Alerta: Seleccione la celda en la comumna B con el nombre del proyecto-</v>
      </c>
      <c r="D609" s="626" t="str">
        <f t="shared" si="189"/>
        <v>proyecto--Al-Al-</v>
      </c>
      <c r="E609" s="626" t="str">
        <f t="shared" ref="E609:E672" si="190">+CONCATENATE(AO609,"-",AR609,"-",AU609)</f>
        <v>--</v>
      </c>
      <c r="F609" s="627"/>
      <c r="G609" s="628">
        <f t="shared" ref="G609:G672" si="191">+F609</f>
        <v>0</v>
      </c>
      <c r="H609" s="629" t="b">
        <f t="shared" ref="H609:H672" si="192">+G609=G608</f>
        <v>1</v>
      </c>
      <c r="I609" s="630"/>
      <c r="J609" s="627"/>
      <c r="K609" s="631" t="str">
        <f>+IFERROR(VLOOKUP(J609,Listas!$A$108:$B$114,2,FALSE),"Alerta: Seleccione la celda en la comumna B con el nombre del proyecto")</f>
        <v>Alerta: Seleccione la celda en la comumna B con el nombre del proyecto</v>
      </c>
      <c r="L609" s="632"/>
      <c r="M609" s="633"/>
      <c r="N609" s="634" t="str">
        <f t="shared" ref="N609:N672" si="193">+CONCATENATE("(Cód. ",F609,") ",M609)</f>
        <v xml:space="preserve">(Cód. ) </v>
      </c>
      <c r="O609" s="635"/>
      <c r="P609" s="636">
        <f>IFERROR(VLOOKUP(W609,'Estimación CRP'!$D$21:$E$30,2,FALSE),0)</f>
        <v>0</v>
      </c>
      <c r="Q609" s="637">
        <f>IF(O609="No aplica","No aplica",WORKDAY.INTL(O609,P609,1,'Estimación CRP'!A795:A811))</f>
        <v>0</v>
      </c>
      <c r="R609" s="636">
        <f t="shared" ref="R609:R672" si="194">IF(O609="No aplica","No aplica",MONTH(Q609))</f>
        <v>1</v>
      </c>
      <c r="S609" s="636">
        <f t="shared" ref="S609:S672" si="195">IF(O609="No aplica","No aplica",MONTH(O609))</f>
        <v>1</v>
      </c>
      <c r="T609" s="636">
        <f t="shared" ref="T609:T672" si="196">IF(O609="No aplica","No aplica",S609)</f>
        <v>1</v>
      </c>
      <c r="U609" s="638"/>
      <c r="V609" s="638"/>
      <c r="W609" s="639"/>
      <c r="X609" s="640" t="str">
        <f>IFERROR(VLOOKUP(W609,Listas!$A$60:$B$73,2,FALSE),"Alerta: Seleccione primero Modalidad de selección")</f>
        <v>Alerta: Seleccione primero Modalidad de selección</v>
      </c>
      <c r="Y609" s="641">
        <v>0</v>
      </c>
      <c r="Z609" s="641"/>
      <c r="AA609" s="641"/>
      <c r="AB609" s="642">
        <f t="shared" ref="AB609:AB672" si="197">+BA609</f>
        <v>0</v>
      </c>
      <c r="AC609" s="642">
        <f t="shared" ref="AC609:AC672" si="198">+AB609</f>
        <v>0</v>
      </c>
      <c r="AD609" s="641">
        <v>0</v>
      </c>
      <c r="AE609" s="643">
        <v>0</v>
      </c>
      <c r="AF609" s="639" t="s">
        <v>276</v>
      </c>
      <c r="AG609" s="639" t="s">
        <v>277</v>
      </c>
      <c r="AH609" s="639"/>
      <c r="AI609" s="626" t="str">
        <f>IFERROR(VLOOKUP(AH609,Listas!$A$77:$C$83,2,FALSE),"Alerta: Seleccione primero el responsable")</f>
        <v>Alerta: Seleccione primero el responsable</v>
      </c>
      <c r="AJ609" s="640" t="str">
        <f>IFERROR(VLOOKUP(AH609,Listas!$A$77:$C$83,3,FALSE),"Alerta: Seleccione primero el responsable")</f>
        <v>Alerta: Seleccione primero el responsable</v>
      </c>
      <c r="AK609" s="640" t="str">
        <f>IF(J609="Funcionamiento Gastos Generales","No aplica",IF(J609="Funcionamiento Servicios Personales indirectos","No aplica",IFERROR(VLOOKUP(J609,Listas!$A$127:$E$139,3,FALSE),"Alerta: Seleccione la celda en la comumna B con el nombre del proyecto")))</f>
        <v>Alerta: Seleccione la celda en la comumna B con el nombre del proyecto</v>
      </c>
      <c r="AL609" s="640" t="str">
        <f>IF(J609="Funcionamiento Gastos Generales","No aplica",IF(J609="Funcionamiento Servicios Personales","No aplica",IFERROR(VLOOKUP(J609,Listas!$A$220:$D$224,2,FALSE),"Alerta: Seleccione la celda en la comumna B con el nombre del proyecto")))</f>
        <v>Alerta: Seleccione la celda en la comumna B con el nombre del proyecto</v>
      </c>
      <c r="AM609" s="640" t="str">
        <f>IF(J609="Funcionamiento Gastos Generales","No aplica",IF(J609="Funcionamiento Servicios Personales","No aplica",IFERROR(VLOOKUP(J609,Listas!$A$220:$D$224,3,FALSE),"Alerta: Seleccione la celda en la comumna B con el nombre del proyecto")))</f>
        <v>Alerta: Seleccione la celda en la comumna B con el nombre del proyecto</v>
      </c>
      <c r="AN609" s="633"/>
      <c r="AO609" s="633"/>
      <c r="AP609" s="634" t="str">
        <f>IFERROR(VLOOKUP(J609,Listas!$A$182:$E$215,5,FALSE),"Alerta: Seleccione la celda en la comumna B con el nombre del proyecto")</f>
        <v>Alerta: Seleccione la celda en la comumna B con el nombre del proyecto</v>
      </c>
      <c r="AQ609" s="634" t="str">
        <f>IF(J609="Funcionamiento Gastos Generales","No aplica",IF(J609="Funcionamiento Servicios Personales","No aplica",IFERROR(VLOOKUP(J609,Listas!$A$220:$D$224,4,FALSE),"Alerta: Seleccione la celda en la comumna B con el nombre del proyecto")))</f>
        <v>Alerta: Seleccione la celda en la comumna B con el nombre del proyecto</v>
      </c>
      <c r="AR609" s="633"/>
      <c r="AS609" s="634" t="str">
        <f>IFERROR(VLOOKUP(AU609,Listas!$E$85:$L$105,7,FALSE),"Alerta: Seleccione la celda en la comumna AI con el concepto de gasto")</f>
        <v>Alerta: Seleccione la celda en la comumna AI con el concepto de gasto</v>
      </c>
      <c r="AT609" s="634" t="str">
        <f>IFERROR(VLOOKUP(AU609,Listas!$E$85:$L$105,8,FALSE),"Alerta: Seleccione la celda en la comumna AI con el concepto de gasto")</f>
        <v>Alerta: Seleccione la celda en la comumna AI con el concepto de gasto</v>
      </c>
      <c r="AU609" s="633"/>
      <c r="AV609" s="634" t="str">
        <f>IFERROR(VLOOKUP(AU609,Listas!$E$85:$F$105,2,FALSE),"Alerta: Seleccione el Concepto de Gasto primero")</f>
        <v>Alerta: Seleccione el Concepto de Gasto primero</v>
      </c>
      <c r="AW609" s="644"/>
      <c r="AX609" s="645"/>
      <c r="AY609" s="645"/>
      <c r="AZ609" s="645"/>
      <c r="BA609" s="646">
        <f t="shared" ref="BA609:BA672" si="199">+AW609+AX609+AY609-AZ609</f>
        <v>0</v>
      </c>
      <c r="BB609" s="647"/>
      <c r="BC609" s="648"/>
      <c r="BD609" s="649"/>
      <c r="BE609" s="647"/>
      <c r="BF609" s="644"/>
      <c r="BG609" s="646">
        <f t="shared" ref="BG609:BG672" si="200">+BA609-BF609</f>
        <v>0</v>
      </c>
      <c r="BH609" s="650"/>
      <c r="BI609" s="647"/>
      <c r="BJ609" s="644"/>
      <c r="BK609" s="646">
        <f t="shared" ref="BK609:BK672" si="201">BF609-BJ609</f>
        <v>0</v>
      </c>
      <c r="BL609" s="651"/>
      <c r="BM609" s="652">
        <f t="shared" ref="BM609:BM672" si="202">MONTH(BL609)</f>
        <v>1</v>
      </c>
      <c r="BN609" s="628"/>
      <c r="BO609" s="670"/>
      <c r="BP609" s="644"/>
      <c r="BQ609" s="644"/>
      <c r="BR609" s="644"/>
      <c r="BS609" s="644"/>
      <c r="BT609" s="644"/>
      <c r="BU609" s="644"/>
      <c r="BV609" s="644"/>
      <c r="BW609" s="644"/>
      <c r="BX609" s="644"/>
      <c r="BY609" s="644"/>
      <c r="BZ609" s="644"/>
      <c r="CA609" s="644"/>
      <c r="CB609" s="646">
        <f t="shared" ref="CB609:CB672" si="203">+SUM(BP609:CA609)</f>
        <v>0</v>
      </c>
      <c r="CC609" s="646">
        <f t="shared" ref="CC609:CC672" si="204">BJ609-CB609</f>
        <v>0</v>
      </c>
      <c r="CD609" s="614"/>
    </row>
    <row r="610" spans="1:85" s="561" customFormat="1" ht="61.5" customHeight="1">
      <c r="A610" s="625" t="str">
        <f t="shared" si="186"/>
        <v>proyecto-Alerta: Seleccione la celda en la comumna B con el nombre del proyecto-Al-Al--</v>
      </c>
      <c r="B610" s="626" t="str">
        <f t="shared" si="187"/>
        <v>proyecto-Alerta: Seleccione la celda en la comumna B con el nombre del proyecto-Al-Al-</v>
      </c>
      <c r="C610" s="626" t="str">
        <f t="shared" si="188"/>
        <v>proyecto-Alerta: Seleccione la celda en la comumna B con el nombre del proyecto-</v>
      </c>
      <c r="D610" s="626" t="str">
        <f t="shared" si="189"/>
        <v>proyecto--Al-Al-</v>
      </c>
      <c r="E610" s="626" t="str">
        <f t="shared" si="190"/>
        <v>--</v>
      </c>
      <c r="F610" s="627"/>
      <c r="G610" s="628">
        <f t="shared" si="191"/>
        <v>0</v>
      </c>
      <c r="H610" s="629" t="b">
        <f t="shared" si="192"/>
        <v>1</v>
      </c>
      <c r="I610" s="630"/>
      <c r="J610" s="627"/>
      <c r="K610" s="631" t="str">
        <f>+IFERROR(VLOOKUP(J610,Listas!$A$108:$B$114,2,FALSE),"Alerta: Seleccione la celda en la comumna B con el nombre del proyecto")</f>
        <v>Alerta: Seleccione la celda en la comumna B con el nombre del proyecto</v>
      </c>
      <c r="L610" s="632"/>
      <c r="M610" s="633"/>
      <c r="N610" s="634" t="str">
        <f t="shared" si="193"/>
        <v xml:space="preserve">(Cód. ) </v>
      </c>
      <c r="O610" s="635"/>
      <c r="P610" s="636">
        <f>IFERROR(VLOOKUP(W610,'Estimación CRP'!$D$21:$E$30,2,FALSE),0)</f>
        <v>0</v>
      </c>
      <c r="Q610" s="637">
        <f>IF(O610="No aplica","No aplica",WORKDAY.INTL(O610,P610,1,'Estimación CRP'!A796:A812))</f>
        <v>0</v>
      </c>
      <c r="R610" s="636">
        <f t="shared" si="194"/>
        <v>1</v>
      </c>
      <c r="S610" s="636">
        <f t="shared" si="195"/>
        <v>1</v>
      </c>
      <c r="T610" s="636">
        <f t="shared" si="196"/>
        <v>1</v>
      </c>
      <c r="U610" s="638"/>
      <c r="V610" s="638"/>
      <c r="W610" s="639"/>
      <c r="X610" s="640" t="str">
        <f>IFERROR(VLOOKUP(W610,Listas!$A$60:$B$73,2,FALSE),"Alerta: Seleccione primero Modalidad de selección")</f>
        <v>Alerta: Seleccione primero Modalidad de selección</v>
      </c>
      <c r="Y610" s="641">
        <v>0</v>
      </c>
      <c r="Z610" s="641"/>
      <c r="AA610" s="641"/>
      <c r="AB610" s="642">
        <f t="shared" si="197"/>
        <v>0</v>
      </c>
      <c r="AC610" s="642">
        <f t="shared" si="198"/>
        <v>0</v>
      </c>
      <c r="AD610" s="641">
        <v>0</v>
      </c>
      <c r="AE610" s="643">
        <v>0</v>
      </c>
      <c r="AF610" s="639" t="s">
        <v>276</v>
      </c>
      <c r="AG610" s="639" t="s">
        <v>277</v>
      </c>
      <c r="AH610" s="639"/>
      <c r="AI610" s="626" t="str">
        <f>IFERROR(VLOOKUP(AH610,Listas!$A$77:$C$83,2,FALSE),"Alerta: Seleccione primero el responsable")</f>
        <v>Alerta: Seleccione primero el responsable</v>
      </c>
      <c r="AJ610" s="640" t="str">
        <f>IFERROR(VLOOKUP(AH610,Listas!$A$77:$C$83,3,FALSE),"Alerta: Seleccione primero el responsable")</f>
        <v>Alerta: Seleccione primero el responsable</v>
      </c>
      <c r="AK610" s="640" t="str">
        <f>IF(J610="Funcionamiento Gastos Generales","No aplica",IF(J610="Funcionamiento Servicios Personales indirectos","No aplica",IFERROR(VLOOKUP(J610,Listas!$A$127:$E$139,3,FALSE),"Alerta: Seleccione la celda en la comumna B con el nombre del proyecto")))</f>
        <v>Alerta: Seleccione la celda en la comumna B con el nombre del proyecto</v>
      </c>
      <c r="AL610" s="640" t="str">
        <f>IF(J610="Funcionamiento Gastos Generales","No aplica",IF(J610="Funcionamiento Servicios Personales","No aplica",IFERROR(VLOOKUP(J610,Listas!$A$220:$D$224,2,FALSE),"Alerta: Seleccione la celda en la comumna B con el nombre del proyecto")))</f>
        <v>Alerta: Seleccione la celda en la comumna B con el nombre del proyecto</v>
      </c>
      <c r="AM610" s="640" t="str">
        <f>IF(J610="Funcionamiento Gastos Generales","No aplica",IF(J610="Funcionamiento Servicios Personales","No aplica",IFERROR(VLOOKUP(J610,Listas!$A$220:$D$224,3,FALSE),"Alerta: Seleccione la celda en la comumna B con el nombre del proyecto")))</f>
        <v>Alerta: Seleccione la celda en la comumna B con el nombre del proyecto</v>
      </c>
      <c r="AN610" s="633"/>
      <c r="AO610" s="633"/>
      <c r="AP610" s="634" t="str">
        <f>IFERROR(VLOOKUP(J610,Listas!$A$182:$E$215,5,FALSE),"Alerta: Seleccione la celda en la comumna B con el nombre del proyecto")</f>
        <v>Alerta: Seleccione la celda en la comumna B con el nombre del proyecto</v>
      </c>
      <c r="AQ610" s="634" t="str">
        <f>IF(J610="Funcionamiento Gastos Generales","No aplica",IF(J610="Funcionamiento Servicios Personales","No aplica",IFERROR(VLOOKUP(J610,Listas!$A$220:$D$224,4,FALSE),"Alerta: Seleccione la celda en la comumna B con el nombre del proyecto")))</f>
        <v>Alerta: Seleccione la celda en la comumna B con el nombre del proyecto</v>
      </c>
      <c r="AR610" s="633"/>
      <c r="AS610" s="634" t="str">
        <f>IFERROR(VLOOKUP(AU610,Listas!$E$85:$L$105,7,FALSE),"Alerta: Seleccione la celda en la comumna AI con el concepto de gasto")</f>
        <v>Alerta: Seleccione la celda en la comumna AI con el concepto de gasto</v>
      </c>
      <c r="AT610" s="634" t="str">
        <f>IFERROR(VLOOKUP(AU610,Listas!$E$85:$L$105,8,FALSE),"Alerta: Seleccione la celda en la comumna AI con el concepto de gasto")</f>
        <v>Alerta: Seleccione la celda en la comumna AI con el concepto de gasto</v>
      </c>
      <c r="AU610" s="633"/>
      <c r="AV610" s="634" t="str">
        <f>IFERROR(VLOOKUP(AU610,Listas!$E$85:$F$105,2,FALSE),"Alerta: Seleccione el Concepto de Gasto primero")</f>
        <v>Alerta: Seleccione el Concepto de Gasto primero</v>
      </c>
      <c r="AW610" s="644"/>
      <c r="AX610" s="645"/>
      <c r="AY610" s="645"/>
      <c r="AZ610" s="645"/>
      <c r="BA610" s="646">
        <f t="shared" si="199"/>
        <v>0</v>
      </c>
      <c r="BB610" s="647"/>
      <c r="BC610" s="648"/>
      <c r="BD610" s="649"/>
      <c r="BE610" s="647"/>
      <c r="BF610" s="644"/>
      <c r="BG610" s="646">
        <f t="shared" si="200"/>
        <v>0</v>
      </c>
      <c r="BH610" s="650"/>
      <c r="BI610" s="647"/>
      <c r="BJ610" s="644"/>
      <c r="BK610" s="646">
        <f t="shared" si="201"/>
        <v>0</v>
      </c>
      <c r="BL610" s="651"/>
      <c r="BM610" s="652">
        <f t="shared" si="202"/>
        <v>1</v>
      </c>
      <c r="BN610" s="628"/>
      <c r="BO610" s="670"/>
      <c r="BP610" s="644"/>
      <c r="BQ610" s="644"/>
      <c r="BR610" s="644"/>
      <c r="BS610" s="644"/>
      <c r="BT610" s="644"/>
      <c r="BU610" s="644"/>
      <c r="BV610" s="644"/>
      <c r="BW610" s="644"/>
      <c r="BX610" s="644"/>
      <c r="BY610" s="644"/>
      <c r="BZ610" s="644"/>
      <c r="CA610" s="644"/>
      <c r="CB610" s="646">
        <f t="shared" si="203"/>
        <v>0</v>
      </c>
      <c r="CC610" s="646">
        <f t="shared" si="204"/>
        <v>0</v>
      </c>
      <c r="CD610" s="614"/>
      <c r="CG610" s="561" t="s">
        <v>589</v>
      </c>
    </row>
    <row r="611" spans="1:85" s="561" customFormat="1" ht="61.5" customHeight="1">
      <c r="A611" s="625" t="str">
        <f t="shared" si="186"/>
        <v>proyecto-Alerta: Seleccione la celda en la comumna B con el nombre del proyecto-Al-Al--</v>
      </c>
      <c r="B611" s="626" t="str">
        <f t="shared" si="187"/>
        <v>proyecto-Alerta: Seleccione la celda en la comumna B con el nombre del proyecto-Al-Al-</v>
      </c>
      <c r="C611" s="626" t="str">
        <f t="shared" si="188"/>
        <v>proyecto-Alerta: Seleccione la celda en la comumna B con el nombre del proyecto-</v>
      </c>
      <c r="D611" s="626" t="str">
        <f t="shared" si="189"/>
        <v>proyecto--Al-Al-</v>
      </c>
      <c r="E611" s="626" t="str">
        <f t="shared" si="190"/>
        <v>--</v>
      </c>
      <c r="F611" s="627"/>
      <c r="G611" s="628">
        <f t="shared" si="191"/>
        <v>0</v>
      </c>
      <c r="H611" s="629" t="b">
        <f t="shared" si="192"/>
        <v>1</v>
      </c>
      <c r="I611" s="630"/>
      <c r="J611" s="627"/>
      <c r="K611" s="631" t="str">
        <f>+IFERROR(VLOOKUP(J611,Listas!$A$108:$B$114,2,FALSE),"Alerta: Seleccione la celda en la comumna B con el nombre del proyecto")</f>
        <v>Alerta: Seleccione la celda en la comumna B con el nombre del proyecto</v>
      </c>
      <c r="L611" s="632"/>
      <c r="M611" s="633"/>
      <c r="N611" s="634" t="str">
        <f t="shared" si="193"/>
        <v xml:space="preserve">(Cód. ) </v>
      </c>
      <c r="O611" s="635"/>
      <c r="P611" s="636">
        <f>IFERROR(VLOOKUP(W611,'Estimación CRP'!$D$21:$E$30,2,FALSE),0)</f>
        <v>0</v>
      </c>
      <c r="Q611" s="637">
        <f>IF(O611="No aplica","No aplica",WORKDAY.INTL(O611,P611,1,'Estimación CRP'!A797:A813))</f>
        <v>0</v>
      </c>
      <c r="R611" s="636">
        <f t="shared" si="194"/>
        <v>1</v>
      </c>
      <c r="S611" s="636">
        <f t="shared" si="195"/>
        <v>1</v>
      </c>
      <c r="T611" s="636">
        <f t="shared" si="196"/>
        <v>1</v>
      </c>
      <c r="U611" s="638"/>
      <c r="V611" s="638"/>
      <c r="W611" s="639"/>
      <c r="X611" s="640" t="str">
        <f>IFERROR(VLOOKUP(W611,Listas!$A$60:$B$73,2,FALSE),"Alerta: Seleccione primero Modalidad de selección")</f>
        <v>Alerta: Seleccione primero Modalidad de selección</v>
      </c>
      <c r="Y611" s="641">
        <v>0</v>
      </c>
      <c r="Z611" s="641"/>
      <c r="AA611" s="641"/>
      <c r="AB611" s="642">
        <f t="shared" si="197"/>
        <v>0</v>
      </c>
      <c r="AC611" s="642">
        <f t="shared" si="198"/>
        <v>0</v>
      </c>
      <c r="AD611" s="641">
        <v>0</v>
      </c>
      <c r="AE611" s="643">
        <v>0</v>
      </c>
      <c r="AF611" s="639" t="s">
        <v>276</v>
      </c>
      <c r="AG611" s="639" t="s">
        <v>277</v>
      </c>
      <c r="AH611" s="639"/>
      <c r="AI611" s="626" t="str">
        <f>IFERROR(VLOOKUP(AH611,Listas!$A$77:$C$83,2,FALSE),"Alerta: Seleccione primero el responsable")</f>
        <v>Alerta: Seleccione primero el responsable</v>
      </c>
      <c r="AJ611" s="640" t="str">
        <f>IFERROR(VLOOKUP(AH611,Listas!$A$77:$C$83,3,FALSE),"Alerta: Seleccione primero el responsable")</f>
        <v>Alerta: Seleccione primero el responsable</v>
      </c>
      <c r="AK611" s="640" t="str">
        <f>IF(J611="Funcionamiento Gastos Generales","No aplica",IF(J611="Funcionamiento Servicios Personales indirectos","No aplica",IFERROR(VLOOKUP(J611,Listas!$A$127:$E$139,3,FALSE),"Alerta: Seleccione la celda en la comumna B con el nombre del proyecto")))</f>
        <v>Alerta: Seleccione la celda en la comumna B con el nombre del proyecto</v>
      </c>
      <c r="AL611" s="640" t="str">
        <f>IF(J611="Funcionamiento Gastos Generales","No aplica",IF(J611="Funcionamiento Servicios Personales","No aplica",IFERROR(VLOOKUP(J611,Listas!$A$220:$D$224,2,FALSE),"Alerta: Seleccione la celda en la comumna B con el nombre del proyecto")))</f>
        <v>Alerta: Seleccione la celda en la comumna B con el nombre del proyecto</v>
      </c>
      <c r="AM611" s="640" t="str">
        <f>IF(J611="Funcionamiento Gastos Generales","No aplica",IF(J611="Funcionamiento Servicios Personales","No aplica",IFERROR(VLOOKUP(J611,Listas!$A$220:$D$224,3,FALSE),"Alerta: Seleccione la celda en la comumna B con el nombre del proyecto")))</f>
        <v>Alerta: Seleccione la celda en la comumna B con el nombre del proyecto</v>
      </c>
      <c r="AN611" s="633"/>
      <c r="AO611" s="633"/>
      <c r="AP611" s="634" t="str">
        <f>IFERROR(VLOOKUP(J611,Listas!$A$182:$E$215,5,FALSE),"Alerta: Seleccione la celda en la comumna B con el nombre del proyecto")</f>
        <v>Alerta: Seleccione la celda en la comumna B con el nombre del proyecto</v>
      </c>
      <c r="AQ611" s="634" t="str">
        <f>IF(J611="Funcionamiento Gastos Generales","No aplica",IF(J611="Funcionamiento Servicios Personales","No aplica",IFERROR(VLOOKUP(J611,Listas!$A$220:$D$224,4,FALSE),"Alerta: Seleccione la celda en la comumna B con el nombre del proyecto")))</f>
        <v>Alerta: Seleccione la celda en la comumna B con el nombre del proyecto</v>
      </c>
      <c r="AR611" s="633"/>
      <c r="AS611" s="634" t="str">
        <f>IFERROR(VLOOKUP(AU611,Listas!$E$85:$L$105,7,FALSE),"Alerta: Seleccione la celda en la comumna AI con el concepto de gasto")</f>
        <v>Alerta: Seleccione la celda en la comumna AI con el concepto de gasto</v>
      </c>
      <c r="AT611" s="634" t="str">
        <f>IFERROR(VLOOKUP(AU611,Listas!$E$85:$L$105,8,FALSE),"Alerta: Seleccione la celda en la comumna AI con el concepto de gasto")</f>
        <v>Alerta: Seleccione la celda en la comumna AI con el concepto de gasto</v>
      </c>
      <c r="AU611" s="633"/>
      <c r="AV611" s="634" t="str">
        <f>IFERROR(VLOOKUP(AU611,Listas!$E$85:$F$105,2,FALSE),"Alerta: Seleccione el Concepto de Gasto primero")</f>
        <v>Alerta: Seleccione el Concepto de Gasto primero</v>
      </c>
      <c r="AW611" s="644"/>
      <c r="AX611" s="645"/>
      <c r="AY611" s="645"/>
      <c r="AZ611" s="645"/>
      <c r="BA611" s="646">
        <f t="shared" si="199"/>
        <v>0</v>
      </c>
      <c r="BB611" s="647"/>
      <c r="BC611" s="648"/>
      <c r="BD611" s="649"/>
      <c r="BE611" s="647"/>
      <c r="BF611" s="644"/>
      <c r="BG611" s="646">
        <f t="shared" si="200"/>
        <v>0</v>
      </c>
      <c r="BH611" s="650"/>
      <c r="BI611" s="647"/>
      <c r="BJ611" s="644"/>
      <c r="BK611" s="646">
        <f t="shared" si="201"/>
        <v>0</v>
      </c>
      <c r="BL611" s="651"/>
      <c r="BM611" s="652">
        <f t="shared" si="202"/>
        <v>1</v>
      </c>
      <c r="BN611" s="628"/>
      <c r="BO611" s="670"/>
      <c r="BP611" s="644"/>
      <c r="BQ611" s="644"/>
      <c r="BR611" s="644"/>
      <c r="BS611" s="644"/>
      <c r="BT611" s="644"/>
      <c r="BU611" s="644"/>
      <c r="BV611" s="644"/>
      <c r="BW611" s="644"/>
      <c r="BX611" s="644"/>
      <c r="BY611" s="644"/>
      <c r="BZ611" s="644"/>
      <c r="CA611" s="644"/>
      <c r="CB611" s="646">
        <f t="shared" si="203"/>
        <v>0</v>
      </c>
      <c r="CC611" s="646">
        <f t="shared" si="204"/>
        <v>0</v>
      </c>
      <c r="CD611" s="614"/>
    </row>
    <row r="612" spans="1:85" s="561" customFormat="1" ht="61.5" customHeight="1">
      <c r="A612" s="625" t="str">
        <f t="shared" si="186"/>
        <v>proyecto-Alerta: Seleccione la celda en la comumna B con el nombre del proyecto-Al-Al--</v>
      </c>
      <c r="B612" s="626" t="str">
        <f t="shared" si="187"/>
        <v>proyecto-Alerta: Seleccione la celda en la comumna B con el nombre del proyecto-Al-Al-</v>
      </c>
      <c r="C612" s="626" t="str">
        <f t="shared" si="188"/>
        <v>proyecto-Alerta: Seleccione la celda en la comumna B con el nombre del proyecto-</v>
      </c>
      <c r="D612" s="626" t="str">
        <f t="shared" si="189"/>
        <v>proyecto--Al-Al-</v>
      </c>
      <c r="E612" s="626" t="str">
        <f t="shared" si="190"/>
        <v>--</v>
      </c>
      <c r="F612" s="627"/>
      <c r="G612" s="628">
        <f t="shared" si="191"/>
        <v>0</v>
      </c>
      <c r="H612" s="629" t="b">
        <f t="shared" si="192"/>
        <v>1</v>
      </c>
      <c r="I612" s="630"/>
      <c r="J612" s="627"/>
      <c r="K612" s="631" t="str">
        <f>+IFERROR(VLOOKUP(J612,Listas!$A$108:$B$114,2,FALSE),"Alerta: Seleccione la celda en la comumna B con el nombre del proyecto")</f>
        <v>Alerta: Seleccione la celda en la comumna B con el nombre del proyecto</v>
      </c>
      <c r="L612" s="632"/>
      <c r="M612" s="633"/>
      <c r="N612" s="634" t="str">
        <f t="shared" si="193"/>
        <v xml:space="preserve">(Cód. ) </v>
      </c>
      <c r="O612" s="635"/>
      <c r="P612" s="636">
        <f>IFERROR(VLOOKUP(W612,'Estimación CRP'!$D$21:$E$30,2,FALSE),0)</f>
        <v>0</v>
      </c>
      <c r="Q612" s="637">
        <f>IF(O612="No aplica","No aplica",WORKDAY.INTL(O612,P612,1,'Estimación CRP'!A798:A814))</f>
        <v>0</v>
      </c>
      <c r="R612" s="636">
        <f t="shared" si="194"/>
        <v>1</v>
      </c>
      <c r="S612" s="636">
        <f t="shared" si="195"/>
        <v>1</v>
      </c>
      <c r="T612" s="636">
        <f t="shared" si="196"/>
        <v>1</v>
      </c>
      <c r="U612" s="638"/>
      <c r="V612" s="638"/>
      <c r="W612" s="639"/>
      <c r="X612" s="640" t="str">
        <f>IFERROR(VLOOKUP(W612,Listas!$A$60:$B$73,2,FALSE),"Alerta: Seleccione primero Modalidad de selección")</f>
        <v>Alerta: Seleccione primero Modalidad de selección</v>
      </c>
      <c r="Y612" s="641">
        <v>0</v>
      </c>
      <c r="Z612" s="641"/>
      <c r="AA612" s="641"/>
      <c r="AB612" s="642">
        <f t="shared" si="197"/>
        <v>0</v>
      </c>
      <c r="AC612" s="642">
        <f t="shared" si="198"/>
        <v>0</v>
      </c>
      <c r="AD612" s="641">
        <v>0</v>
      </c>
      <c r="AE612" s="643">
        <v>0</v>
      </c>
      <c r="AF612" s="639" t="s">
        <v>276</v>
      </c>
      <c r="AG612" s="639" t="s">
        <v>277</v>
      </c>
      <c r="AH612" s="639"/>
      <c r="AI612" s="626" t="str">
        <f>IFERROR(VLOOKUP(AH612,Listas!$A$77:$C$83,2,FALSE),"Alerta: Seleccione primero el responsable")</f>
        <v>Alerta: Seleccione primero el responsable</v>
      </c>
      <c r="AJ612" s="640" t="str">
        <f>IFERROR(VLOOKUP(AH612,Listas!$A$77:$C$83,3,FALSE),"Alerta: Seleccione primero el responsable")</f>
        <v>Alerta: Seleccione primero el responsable</v>
      </c>
      <c r="AK612" s="640" t="str">
        <f>IF(J612="Funcionamiento Gastos Generales","No aplica",IF(J612="Funcionamiento Servicios Personales indirectos","No aplica",IFERROR(VLOOKUP(J612,Listas!$A$127:$E$139,3,FALSE),"Alerta: Seleccione la celda en la comumna B con el nombre del proyecto")))</f>
        <v>Alerta: Seleccione la celda en la comumna B con el nombre del proyecto</v>
      </c>
      <c r="AL612" s="640" t="str">
        <f>IF(J612="Funcionamiento Gastos Generales","No aplica",IF(J612="Funcionamiento Servicios Personales","No aplica",IFERROR(VLOOKUP(J612,Listas!$A$220:$D$224,2,FALSE),"Alerta: Seleccione la celda en la comumna B con el nombre del proyecto")))</f>
        <v>Alerta: Seleccione la celda en la comumna B con el nombre del proyecto</v>
      </c>
      <c r="AM612" s="640" t="str">
        <f>IF(J612="Funcionamiento Gastos Generales","No aplica",IF(J612="Funcionamiento Servicios Personales","No aplica",IFERROR(VLOOKUP(J612,Listas!$A$220:$D$224,3,FALSE),"Alerta: Seleccione la celda en la comumna B con el nombre del proyecto")))</f>
        <v>Alerta: Seleccione la celda en la comumna B con el nombre del proyecto</v>
      </c>
      <c r="AN612" s="633"/>
      <c r="AO612" s="633"/>
      <c r="AP612" s="634" t="str">
        <f>IFERROR(VLOOKUP(J612,Listas!$A$182:$E$215,5,FALSE),"Alerta: Seleccione la celda en la comumna B con el nombre del proyecto")</f>
        <v>Alerta: Seleccione la celda en la comumna B con el nombre del proyecto</v>
      </c>
      <c r="AQ612" s="634" t="str">
        <f>IF(J612="Funcionamiento Gastos Generales","No aplica",IF(J612="Funcionamiento Servicios Personales","No aplica",IFERROR(VLOOKUP(J612,Listas!$A$220:$D$224,4,FALSE),"Alerta: Seleccione la celda en la comumna B con el nombre del proyecto")))</f>
        <v>Alerta: Seleccione la celda en la comumna B con el nombre del proyecto</v>
      </c>
      <c r="AR612" s="633"/>
      <c r="AS612" s="634" t="str">
        <f>IFERROR(VLOOKUP(AU612,Listas!$E$85:$L$105,7,FALSE),"Alerta: Seleccione la celda en la comumna AI con el concepto de gasto")</f>
        <v>Alerta: Seleccione la celda en la comumna AI con el concepto de gasto</v>
      </c>
      <c r="AT612" s="634" t="str">
        <f>IFERROR(VLOOKUP(AU612,Listas!$E$85:$L$105,8,FALSE),"Alerta: Seleccione la celda en la comumna AI con el concepto de gasto")</f>
        <v>Alerta: Seleccione la celda en la comumna AI con el concepto de gasto</v>
      </c>
      <c r="AU612" s="633"/>
      <c r="AV612" s="634" t="str">
        <f>IFERROR(VLOOKUP(AU612,Listas!$E$85:$F$105,2,FALSE),"Alerta: Seleccione el Concepto de Gasto primero")</f>
        <v>Alerta: Seleccione el Concepto de Gasto primero</v>
      </c>
      <c r="AW612" s="644"/>
      <c r="AX612" s="645"/>
      <c r="AY612" s="645"/>
      <c r="AZ612" s="645"/>
      <c r="BA612" s="646">
        <f t="shared" si="199"/>
        <v>0</v>
      </c>
      <c r="BB612" s="647"/>
      <c r="BC612" s="648"/>
      <c r="BD612" s="649"/>
      <c r="BE612" s="647"/>
      <c r="BF612" s="644"/>
      <c r="BG612" s="646">
        <f t="shared" si="200"/>
        <v>0</v>
      </c>
      <c r="BH612" s="650"/>
      <c r="BI612" s="647"/>
      <c r="BJ612" s="644"/>
      <c r="BK612" s="646">
        <f t="shared" si="201"/>
        <v>0</v>
      </c>
      <c r="BL612" s="651"/>
      <c r="BM612" s="652">
        <f t="shared" si="202"/>
        <v>1</v>
      </c>
      <c r="BN612" s="628"/>
      <c r="BO612" s="670"/>
      <c r="BP612" s="644"/>
      <c r="BQ612" s="644"/>
      <c r="BR612" s="644"/>
      <c r="BS612" s="644"/>
      <c r="BT612" s="644"/>
      <c r="BU612" s="644"/>
      <c r="BV612" s="644"/>
      <c r="BW612" s="644"/>
      <c r="BX612" s="644"/>
      <c r="BY612" s="644"/>
      <c r="BZ612" s="644"/>
      <c r="CA612" s="644"/>
      <c r="CB612" s="646">
        <f t="shared" si="203"/>
        <v>0</v>
      </c>
      <c r="CC612" s="646">
        <f t="shared" si="204"/>
        <v>0</v>
      </c>
      <c r="CD612" s="614"/>
    </row>
    <row r="613" spans="1:85" s="561" customFormat="1" ht="61.5" customHeight="1">
      <c r="A613" s="625" t="str">
        <f t="shared" si="186"/>
        <v>proyecto-Alerta: Seleccione la celda en la comumna B con el nombre del proyecto-Al-Al--</v>
      </c>
      <c r="B613" s="626" t="str">
        <f t="shared" si="187"/>
        <v>proyecto-Alerta: Seleccione la celda en la comumna B con el nombre del proyecto-Al-Al-</v>
      </c>
      <c r="C613" s="626" t="str">
        <f t="shared" si="188"/>
        <v>proyecto-Alerta: Seleccione la celda en la comumna B con el nombre del proyecto-</v>
      </c>
      <c r="D613" s="626" t="str">
        <f t="shared" si="189"/>
        <v>proyecto--Al-Al-</v>
      </c>
      <c r="E613" s="626" t="str">
        <f t="shared" si="190"/>
        <v>--</v>
      </c>
      <c r="F613" s="627"/>
      <c r="G613" s="628">
        <f t="shared" si="191"/>
        <v>0</v>
      </c>
      <c r="H613" s="629" t="b">
        <f t="shared" si="192"/>
        <v>1</v>
      </c>
      <c r="I613" s="630"/>
      <c r="J613" s="627"/>
      <c r="K613" s="631" t="str">
        <f>+IFERROR(VLOOKUP(J613,Listas!$A$108:$B$114,2,FALSE),"Alerta: Seleccione la celda en la comumna B con el nombre del proyecto")</f>
        <v>Alerta: Seleccione la celda en la comumna B con el nombre del proyecto</v>
      </c>
      <c r="L613" s="632"/>
      <c r="M613" s="633"/>
      <c r="N613" s="634" t="str">
        <f t="shared" si="193"/>
        <v xml:space="preserve">(Cód. ) </v>
      </c>
      <c r="O613" s="635"/>
      <c r="P613" s="636">
        <f>IFERROR(VLOOKUP(W613,'Estimación CRP'!$D$21:$E$30,2,FALSE),0)</f>
        <v>0</v>
      </c>
      <c r="Q613" s="637">
        <f>IF(O613="No aplica","No aplica",WORKDAY.INTL(O613,P613,1,'Estimación CRP'!A799:A815))</f>
        <v>0</v>
      </c>
      <c r="R613" s="636">
        <f t="shared" si="194"/>
        <v>1</v>
      </c>
      <c r="S613" s="636">
        <f t="shared" si="195"/>
        <v>1</v>
      </c>
      <c r="T613" s="636">
        <f t="shared" si="196"/>
        <v>1</v>
      </c>
      <c r="U613" s="638"/>
      <c r="V613" s="638"/>
      <c r="W613" s="639"/>
      <c r="X613" s="640" t="str">
        <f>IFERROR(VLOOKUP(W613,Listas!$A$60:$B$73,2,FALSE),"Alerta: Seleccione primero Modalidad de selección")</f>
        <v>Alerta: Seleccione primero Modalidad de selección</v>
      </c>
      <c r="Y613" s="641">
        <v>0</v>
      </c>
      <c r="Z613" s="641"/>
      <c r="AA613" s="641"/>
      <c r="AB613" s="642">
        <f t="shared" si="197"/>
        <v>0</v>
      </c>
      <c r="AC613" s="642">
        <f t="shared" si="198"/>
        <v>0</v>
      </c>
      <c r="AD613" s="641">
        <v>0</v>
      </c>
      <c r="AE613" s="643">
        <v>0</v>
      </c>
      <c r="AF613" s="639" t="s">
        <v>276</v>
      </c>
      <c r="AG613" s="639" t="s">
        <v>277</v>
      </c>
      <c r="AH613" s="639"/>
      <c r="AI613" s="626" t="str">
        <f>IFERROR(VLOOKUP(AH613,Listas!$A$77:$C$83,2,FALSE),"Alerta: Seleccione primero el responsable")</f>
        <v>Alerta: Seleccione primero el responsable</v>
      </c>
      <c r="AJ613" s="640" t="str">
        <f>IFERROR(VLOOKUP(AH613,Listas!$A$77:$C$83,3,FALSE),"Alerta: Seleccione primero el responsable")</f>
        <v>Alerta: Seleccione primero el responsable</v>
      </c>
      <c r="AK613" s="640" t="str">
        <f>IF(J613="Funcionamiento Gastos Generales","No aplica",IF(J613="Funcionamiento Servicios Personales indirectos","No aplica",IFERROR(VLOOKUP(J613,Listas!$A$127:$E$139,3,FALSE),"Alerta: Seleccione la celda en la comumna B con el nombre del proyecto")))</f>
        <v>Alerta: Seleccione la celda en la comumna B con el nombre del proyecto</v>
      </c>
      <c r="AL613" s="640" t="str">
        <f>IF(J613="Funcionamiento Gastos Generales","No aplica",IF(J613="Funcionamiento Servicios Personales","No aplica",IFERROR(VLOOKUP(J613,Listas!$A$220:$D$224,2,FALSE),"Alerta: Seleccione la celda en la comumna B con el nombre del proyecto")))</f>
        <v>Alerta: Seleccione la celda en la comumna B con el nombre del proyecto</v>
      </c>
      <c r="AM613" s="640" t="str">
        <f>IF(J613="Funcionamiento Gastos Generales","No aplica",IF(J613="Funcionamiento Servicios Personales","No aplica",IFERROR(VLOOKUP(J613,Listas!$A$220:$D$224,3,FALSE),"Alerta: Seleccione la celda en la comumna B con el nombre del proyecto")))</f>
        <v>Alerta: Seleccione la celda en la comumna B con el nombre del proyecto</v>
      </c>
      <c r="AN613" s="633"/>
      <c r="AO613" s="633"/>
      <c r="AP613" s="634" t="str">
        <f>IFERROR(VLOOKUP(J613,Listas!$A$182:$E$215,5,FALSE),"Alerta: Seleccione la celda en la comumna B con el nombre del proyecto")</f>
        <v>Alerta: Seleccione la celda en la comumna B con el nombre del proyecto</v>
      </c>
      <c r="AQ613" s="634" t="str">
        <f>IF(J613="Funcionamiento Gastos Generales","No aplica",IF(J613="Funcionamiento Servicios Personales","No aplica",IFERROR(VLOOKUP(J613,Listas!$A$220:$D$224,4,FALSE),"Alerta: Seleccione la celda en la comumna B con el nombre del proyecto")))</f>
        <v>Alerta: Seleccione la celda en la comumna B con el nombre del proyecto</v>
      </c>
      <c r="AR613" s="633"/>
      <c r="AS613" s="634" t="str">
        <f>IFERROR(VLOOKUP(AU613,Listas!$E$85:$L$105,7,FALSE),"Alerta: Seleccione la celda en la comumna AI con el concepto de gasto")</f>
        <v>Alerta: Seleccione la celda en la comumna AI con el concepto de gasto</v>
      </c>
      <c r="AT613" s="634" t="str">
        <f>IFERROR(VLOOKUP(AU613,Listas!$E$85:$L$105,8,FALSE),"Alerta: Seleccione la celda en la comumna AI con el concepto de gasto")</f>
        <v>Alerta: Seleccione la celda en la comumna AI con el concepto de gasto</v>
      </c>
      <c r="AU613" s="633"/>
      <c r="AV613" s="634" t="str">
        <f>IFERROR(VLOOKUP(AU613,Listas!$E$85:$F$105,2,FALSE),"Alerta: Seleccione el Concepto de Gasto primero")</f>
        <v>Alerta: Seleccione el Concepto de Gasto primero</v>
      </c>
      <c r="AW613" s="644"/>
      <c r="AX613" s="645"/>
      <c r="AY613" s="645"/>
      <c r="AZ613" s="645"/>
      <c r="BA613" s="646">
        <f t="shared" si="199"/>
        <v>0</v>
      </c>
      <c r="BB613" s="647"/>
      <c r="BC613" s="648"/>
      <c r="BD613" s="649"/>
      <c r="BE613" s="647"/>
      <c r="BF613" s="644"/>
      <c r="BG613" s="646">
        <f t="shared" si="200"/>
        <v>0</v>
      </c>
      <c r="BH613" s="650"/>
      <c r="BI613" s="647"/>
      <c r="BJ613" s="644"/>
      <c r="BK613" s="646">
        <f t="shared" si="201"/>
        <v>0</v>
      </c>
      <c r="BL613" s="651"/>
      <c r="BM613" s="652">
        <f t="shared" si="202"/>
        <v>1</v>
      </c>
      <c r="BN613" s="628"/>
      <c r="BO613" s="670"/>
      <c r="BP613" s="644"/>
      <c r="BQ613" s="644"/>
      <c r="BR613" s="644"/>
      <c r="BS613" s="644"/>
      <c r="BT613" s="644"/>
      <c r="BU613" s="644"/>
      <c r="BV613" s="644"/>
      <c r="BW613" s="644"/>
      <c r="BX613" s="644"/>
      <c r="BY613" s="644"/>
      <c r="BZ613" s="644"/>
      <c r="CA613" s="644"/>
      <c r="CB613" s="646">
        <f t="shared" si="203"/>
        <v>0</v>
      </c>
      <c r="CC613" s="646">
        <f t="shared" si="204"/>
        <v>0</v>
      </c>
      <c r="CD613" s="614"/>
      <c r="CG613" s="561" t="s">
        <v>589</v>
      </c>
    </row>
    <row r="614" spans="1:85" s="561" customFormat="1" ht="61.5" customHeight="1">
      <c r="A614" s="625" t="str">
        <f t="shared" si="186"/>
        <v>proyecto-Alerta: Seleccione la celda en la comumna B con el nombre del proyecto-Al-Al--</v>
      </c>
      <c r="B614" s="626" t="str">
        <f t="shared" si="187"/>
        <v>proyecto-Alerta: Seleccione la celda en la comumna B con el nombre del proyecto-Al-Al-</v>
      </c>
      <c r="C614" s="626" t="str">
        <f t="shared" si="188"/>
        <v>proyecto-Alerta: Seleccione la celda en la comumna B con el nombre del proyecto-</v>
      </c>
      <c r="D614" s="626" t="str">
        <f t="shared" si="189"/>
        <v>proyecto--Al-Al-</v>
      </c>
      <c r="E614" s="626" t="str">
        <f t="shared" si="190"/>
        <v>--</v>
      </c>
      <c r="F614" s="627"/>
      <c r="G614" s="628">
        <f t="shared" si="191"/>
        <v>0</v>
      </c>
      <c r="H614" s="629" t="b">
        <f t="shared" si="192"/>
        <v>1</v>
      </c>
      <c r="I614" s="630"/>
      <c r="J614" s="627"/>
      <c r="K614" s="631" t="str">
        <f>+IFERROR(VLOOKUP(J614,Listas!$A$108:$B$114,2,FALSE),"Alerta: Seleccione la celda en la comumna B con el nombre del proyecto")</f>
        <v>Alerta: Seleccione la celda en la comumna B con el nombre del proyecto</v>
      </c>
      <c r="L614" s="632"/>
      <c r="M614" s="633"/>
      <c r="N614" s="634" t="str">
        <f t="shared" si="193"/>
        <v xml:space="preserve">(Cód. ) </v>
      </c>
      <c r="O614" s="635"/>
      <c r="P614" s="636">
        <f>IFERROR(VLOOKUP(W614,'Estimación CRP'!$D$21:$E$30,2,FALSE),0)</f>
        <v>0</v>
      </c>
      <c r="Q614" s="637">
        <f>IF(O614="No aplica","No aplica",WORKDAY.INTL(O614,P614,1,'Estimación CRP'!A800:A816))</f>
        <v>0</v>
      </c>
      <c r="R614" s="636">
        <f t="shared" si="194"/>
        <v>1</v>
      </c>
      <c r="S614" s="636">
        <f t="shared" si="195"/>
        <v>1</v>
      </c>
      <c r="T614" s="636">
        <f t="shared" si="196"/>
        <v>1</v>
      </c>
      <c r="U614" s="638"/>
      <c r="V614" s="638"/>
      <c r="W614" s="639"/>
      <c r="X614" s="640" t="str">
        <f>IFERROR(VLOOKUP(W614,Listas!$A$60:$B$73,2,FALSE),"Alerta: Seleccione primero Modalidad de selección")</f>
        <v>Alerta: Seleccione primero Modalidad de selección</v>
      </c>
      <c r="Y614" s="641">
        <v>0</v>
      </c>
      <c r="Z614" s="641"/>
      <c r="AA614" s="641"/>
      <c r="AB614" s="642">
        <f t="shared" si="197"/>
        <v>0</v>
      </c>
      <c r="AC614" s="642">
        <f t="shared" si="198"/>
        <v>0</v>
      </c>
      <c r="AD614" s="641">
        <v>0</v>
      </c>
      <c r="AE614" s="643">
        <v>0</v>
      </c>
      <c r="AF614" s="639" t="s">
        <v>276</v>
      </c>
      <c r="AG614" s="639" t="s">
        <v>277</v>
      </c>
      <c r="AH614" s="639"/>
      <c r="AI614" s="626" t="str">
        <f>IFERROR(VLOOKUP(AH614,Listas!$A$77:$C$83,2,FALSE),"Alerta: Seleccione primero el responsable")</f>
        <v>Alerta: Seleccione primero el responsable</v>
      </c>
      <c r="AJ614" s="640" t="str">
        <f>IFERROR(VLOOKUP(AH614,Listas!$A$77:$C$83,3,FALSE),"Alerta: Seleccione primero el responsable")</f>
        <v>Alerta: Seleccione primero el responsable</v>
      </c>
      <c r="AK614" s="640" t="str">
        <f>IF(J614="Funcionamiento Gastos Generales","No aplica",IF(J614="Funcionamiento Servicios Personales indirectos","No aplica",IFERROR(VLOOKUP(J614,Listas!$A$127:$E$139,3,FALSE),"Alerta: Seleccione la celda en la comumna B con el nombre del proyecto")))</f>
        <v>Alerta: Seleccione la celda en la comumna B con el nombre del proyecto</v>
      </c>
      <c r="AL614" s="640" t="str">
        <f>IF(J614="Funcionamiento Gastos Generales","No aplica",IF(J614="Funcionamiento Servicios Personales","No aplica",IFERROR(VLOOKUP(J614,Listas!$A$220:$D$224,2,FALSE),"Alerta: Seleccione la celda en la comumna B con el nombre del proyecto")))</f>
        <v>Alerta: Seleccione la celda en la comumna B con el nombre del proyecto</v>
      </c>
      <c r="AM614" s="640" t="str">
        <f>IF(J614="Funcionamiento Gastos Generales","No aplica",IF(J614="Funcionamiento Servicios Personales","No aplica",IFERROR(VLOOKUP(J614,Listas!$A$220:$D$224,3,FALSE),"Alerta: Seleccione la celda en la comumna B con el nombre del proyecto")))</f>
        <v>Alerta: Seleccione la celda en la comumna B con el nombre del proyecto</v>
      </c>
      <c r="AN614" s="633"/>
      <c r="AO614" s="633"/>
      <c r="AP614" s="634" t="str">
        <f>IFERROR(VLOOKUP(J614,Listas!$A$182:$E$215,5,FALSE),"Alerta: Seleccione la celda en la comumna B con el nombre del proyecto")</f>
        <v>Alerta: Seleccione la celda en la comumna B con el nombre del proyecto</v>
      </c>
      <c r="AQ614" s="634" t="str">
        <f>IF(J614="Funcionamiento Gastos Generales","No aplica",IF(J614="Funcionamiento Servicios Personales","No aplica",IFERROR(VLOOKUP(J614,Listas!$A$220:$D$224,4,FALSE),"Alerta: Seleccione la celda en la comumna B con el nombre del proyecto")))</f>
        <v>Alerta: Seleccione la celda en la comumna B con el nombre del proyecto</v>
      </c>
      <c r="AR614" s="633"/>
      <c r="AS614" s="634" t="str">
        <f>IFERROR(VLOOKUP(AU614,Listas!$E$85:$L$105,7,FALSE),"Alerta: Seleccione la celda en la comumna AI con el concepto de gasto")</f>
        <v>Alerta: Seleccione la celda en la comumna AI con el concepto de gasto</v>
      </c>
      <c r="AT614" s="634" t="str">
        <f>IFERROR(VLOOKUP(AU614,Listas!$E$85:$L$105,8,FALSE),"Alerta: Seleccione la celda en la comumna AI con el concepto de gasto")</f>
        <v>Alerta: Seleccione la celda en la comumna AI con el concepto de gasto</v>
      </c>
      <c r="AU614" s="633"/>
      <c r="AV614" s="634" t="str">
        <f>IFERROR(VLOOKUP(AU614,Listas!$E$85:$F$105,2,FALSE),"Alerta: Seleccione el Concepto de Gasto primero")</f>
        <v>Alerta: Seleccione el Concepto de Gasto primero</v>
      </c>
      <c r="AW614" s="644"/>
      <c r="AX614" s="645"/>
      <c r="AY614" s="645"/>
      <c r="AZ614" s="645"/>
      <c r="BA614" s="646">
        <f t="shared" si="199"/>
        <v>0</v>
      </c>
      <c r="BB614" s="647"/>
      <c r="BC614" s="648"/>
      <c r="BD614" s="649"/>
      <c r="BE614" s="647"/>
      <c r="BF614" s="644"/>
      <c r="BG614" s="646">
        <f t="shared" si="200"/>
        <v>0</v>
      </c>
      <c r="BH614" s="650"/>
      <c r="BI614" s="647"/>
      <c r="BJ614" s="644"/>
      <c r="BK614" s="646">
        <f t="shared" si="201"/>
        <v>0</v>
      </c>
      <c r="BL614" s="651"/>
      <c r="BM614" s="652">
        <f t="shared" si="202"/>
        <v>1</v>
      </c>
      <c r="BN614" s="628"/>
      <c r="BO614" s="670"/>
      <c r="BP614" s="644"/>
      <c r="BQ614" s="644"/>
      <c r="BR614" s="644"/>
      <c r="BS614" s="644"/>
      <c r="BT614" s="644"/>
      <c r="BU614" s="644"/>
      <c r="BV614" s="644"/>
      <c r="BW614" s="644"/>
      <c r="BX614" s="644"/>
      <c r="BY614" s="644"/>
      <c r="BZ614" s="644"/>
      <c r="CA614" s="644"/>
      <c r="CB614" s="646">
        <f t="shared" si="203"/>
        <v>0</v>
      </c>
      <c r="CC614" s="646">
        <f t="shared" si="204"/>
        <v>0</v>
      </c>
      <c r="CD614" s="614"/>
      <c r="CG614" s="561" t="s">
        <v>589</v>
      </c>
    </row>
    <row r="615" spans="1:85" s="561" customFormat="1" ht="61.5" customHeight="1">
      <c r="A615" s="625" t="str">
        <f t="shared" si="186"/>
        <v>proyecto-Alerta: Seleccione la celda en la comumna B con el nombre del proyecto-Al-Al--</v>
      </c>
      <c r="B615" s="626" t="str">
        <f t="shared" si="187"/>
        <v>proyecto-Alerta: Seleccione la celda en la comumna B con el nombre del proyecto-Al-Al-</v>
      </c>
      <c r="C615" s="626" t="str">
        <f t="shared" si="188"/>
        <v>proyecto-Alerta: Seleccione la celda en la comumna B con el nombre del proyecto-</v>
      </c>
      <c r="D615" s="626" t="str">
        <f t="shared" si="189"/>
        <v>proyecto--Al-Al-</v>
      </c>
      <c r="E615" s="626" t="str">
        <f t="shared" si="190"/>
        <v>--</v>
      </c>
      <c r="F615" s="627"/>
      <c r="G615" s="628">
        <f t="shared" si="191"/>
        <v>0</v>
      </c>
      <c r="H615" s="629" t="b">
        <f t="shared" si="192"/>
        <v>1</v>
      </c>
      <c r="I615" s="630"/>
      <c r="J615" s="627"/>
      <c r="K615" s="631" t="str">
        <f>+IFERROR(VLOOKUP(J615,Listas!$A$108:$B$114,2,FALSE),"Alerta: Seleccione la celda en la comumna B con el nombre del proyecto")</f>
        <v>Alerta: Seleccione la celda en la comumna B con el nombre del proyecto</v>
      </c>
      <c r="L615" s="632"/>
      <c r="M615" s="633"/>
      <c r="N615" s="634" t="str">
        <f t="shared" si="193"/>
        <v xml:space="preserve">(Cód. ) </v>
      </c>
      <c r="O615" s="635"/>
      <c r="P615" s="636">
        <f>IFERROR(VLOOKUP(W615,'Estimación CRP'!$D$21:$E$30,2,FALSE),0)</f>
        <v>0</v>
      </c>
      <c r="Q615" s="637">
        <f>IF(O615="No aplica","No aplica",WORKDAY.INTL(O615,P615,1,'Estimación CRP'!A801:A817))</f>
        <v>0</v>
      </c>
      <c r="R615" s="636">
        <f t="shared" si="194"/>
        <v>1</v>
      </c>
      <c r="S615" s="636">
        <f t="shared" si="195"/>
        <v>1</v>
      </c>
      <c r="T615" s="636">
        <f t="shared" si="196"/>
        <v>1</v>
      </c>
      <c r="U615" s="638"/>
      <c r="V615" s="638"/>
      <c r="W615" s="639"/>
      <c r="X615" s="640" t="str">
        <f>IFERROR(VLOOKUP(W615,Listas!$A$60:$B$73,2,FALSE),"Alerta: Seleccione primero Modalidad de selección")</f>
        <v>Alerta: Seleccione primero Modalidad de selección</v>
      </c>
      <c r="Y615" s="641">
        <v>0</v>
      </c>
      <c r="Z615" s="641"/>
      <c r="AA615" s="641"/>
      <c r="AB615" s="642">
        <f t="shared" si="197"/>
        <v>0</v>
      </c>
      <c r="AC615" s="642">
        <f t="shared" si="198"/>
        <v>0</v>
      </c>
      <c r="AD615" s="641">
        <v>0</v>
      </c>
      <c r="AE615" s="643">
        <v>0</v>
      </c>
      <c r="AF615" s="639" t="s">
        <v>276</v>
      </c>
      <c r="AG615" s="639" t="s">
        <v>277</v>
      </c>
      <c r="AH615" s="639"/>
      <c r="AI615" s="626" t="str">
        <f>IFERROR(VLOOKUP(AH615,Listas!$A$77:$C$83,2,FALSE),"Alerta: Seleccione primero el responsable")</f>
        <v>Alerta: Seleccione primero el responsable</v>
      </c>
      <c r="AJ615" s="640" t="str">
        <f>IFERROR(VLOOKUP(AH615,Listas!$A$77:$C$83,3,FALSE),"Alerta: Seleccione primero el responsable")</f>
        <v>Alerta: Seleccione primero el responsable</v>
      </c>
      <c r="AK615" s="640" t="str">
        <f>IF(J615="Funcionamiento Gastos Generales","No aplica",IF(J615="Funcionamiento Servicios Personales indirectos","No aplica",IFERROR(VLOOKUP(J615,Listas!$A$127:$E$139,3,FALSE),"Alerta: Seleccione la celda en la comumna B con el nombre del proyecto")))</f>
        <v>Alerta: Seleccione la celda en la comumna B con el nombre del proyecto</v>
      </c>
      <c r="AL615" s="640" t="str">
        <f>IF(J615="Funcionamiento Gastos Generales","No aplica",IF(J615="Funcionamiento Servicios Personales","No aplica",IFERROR(VLOOKUP(J615,Listas!$A$220:$D$224,2,FALSE),"Alerta: Seleccione la celda en la comumna B con el nombre del proyecto")))</f>
        <v>Alerta: Seleccione la celda en la comumna B con el nombre del proyecto</v>
      </c>
      <c r="AM615" s="640" t="str">
        <f>IF(J615="Funcionamiento Gastos Generales","No aplica",IF(J615="Funcionamiento Servicios Personales","No aplica",IFERROR(VLOOKUP(J615,Listas!$A$220:$D$224,3,FALSE),"Alerta: Seleccione la celda en la comumna B con el nombre del proyecto")))</f>
        <v>Alerta: Seleccione la celda en la comumna B con el nombre del proyecto</v>
      </c>
      <c r="AN615" s="633"/>
      <c r="AO615" s="633"/>
      <c r="AP615" s="634" t="str">
        <f>IFERROR(VLOOKUP(J615,Listas!$A$182:$E$215,5,FALSE),"Alerta: Seleccione la celda en la comumna B con el nombre del proyecto")</f>
        <v>Alerta: Seleccione la celda en la comumna B con el nombre del proyecto</v>
      </c>
      <c r="AQ615" s="634" t="str">
        <f>IF(J615="Funcionamiento Gastos Generales","No aplica",IF(J615="Funcionamiento Servicios Personales","No aplica",IFERROR(VLOOKUP(J615,Listas!$A$220:$D$224,4,FALSE),"Alerta: Seleccione la celda en la comumna B con el nombre del proyecto")))</f>
        <v>Alerta: Seleccione la celda en la comumna B con el nombre del proyecto</v>
      </c>
      <c r="AR615" s="633"/>
      <c r="AS615" s="634" t="str">
        <f>IFERROR(VLOOKUP(AU615,Listas!$E$85:$L$105,7,FALSE),"Alerta: Seleccione la celda en la comumna AI con el concepto de gasto")</f>
        <v>Alerta: Seleccione la celda en la comumna AI con el concepto de gasto</v>
      </c>
      <c r="AT615" s="634" t="str">
        <f>IFERROR(VLOOKUP(AU615,Listas!$E$85:$L$105,8,FALSE),"Alerta: Seleccione la celda en la comumna AI con el concepto de gasto")</f>
        <v>Alerta: Seleccione la celda en la comumna AI con el concepto de gasto</v>
      </c>
      <c r="AU615" s="633"/>
      <c r="AV615" s="634" t="str">
        <f>IFERROR(VLOOKUP(AU615,Listas!$E$85:$F$105,2,FALSE),"Alerta: Seleccione el Concepto de Gasto primero")</f>
        <v>Alerta: Seleccione el Concepto de Gasto primero</v>
      </c>
      <c r="AW615" s="644"/>
      <c r="AX615" s="645"/>
      <c r="AY615" s="645"/>
      <c r="AZ615" s="645"/>
      <c r="BA615" s="646">
        <f t="shared" si="199"/>
        <v>0</v>
      </c>
      <c r="BB615" s="647"/>
      <c r="BC615" s="648"/>
      <c r="BD615" s="649"/>
      <c r="BE615" s="647"/>
      <c r="BF615" s="644"/>
      <c r="BG615" s="646">
        <f t="shared" si="200"/>
        <v>0</v>
      </c>
      <c r="BH615" s="650"/>
      <c r="BI615" s="647"/>
      <c r="BJ615" s="644"/>
      <c r="BK615" s="646">
        <f t="shared" si="201"/>
        <v>0</v>
      </c>
      <c r="BL615" s="651"/>
      <c r="BM615" s="652">
        <f t="shared" si="202"/>
        <v>1</v>
      </c>
      <c r="BN615" s="628"/>
      <c r="BO615" s="670"/>
      <c r="BP615" s="644"/>
      <c r="BQ615" s="644"/>
      <c r="BR615" s="644"/>
      <c r="BS615" s="644"/>
      <c r="BT615" s="644"/>
      <c r="BU615" s="644"/>
      <c r="BV615" s="644"/>
      <c r="BW615" s="644"/>
      <c r="BX615" s="644"/>
      <c r="BY615" s="644"/>
      <c r="BZ615" s="644"/>
      <c r="CA615" s="644"/>
      <c r="CB615" s="646">
        <f t="shared" si="203"/>
        <v>0</v>
      </c>
      <c r="CC615" s="646">
        <f t="shared" si="204"/>
        <v>0</v>
      </c>
      <c r="CD615" s="614"/>
      <c r="CG615" s="561" t="s">
        <v>589</v>
      </c>
    </row>
    <row r="616" spans="1:85" s="561" customFormat="1" ht="61.5" customHeight="1">
      <c r="A616" s="625" t="str">
        <f t="shared" si="186"/>
        <v>proyecto-Alerta: Seleccione la celda en la comumna B con el nombre del proyecto-Al-Al--</v>
      </c>
      <c r="B616" s="626" t="str">
        <f t="shared" si="187"/>
        <v>proyecto-Alerta: Seleccione la celda en la comumna B con el nombre del proyecto-Al-Al-</v>
      </c>
      <c r="C616" s="626" t="str">
        <f t="shared" si="188"/>
        <v>proyecto-Alerta: Seleccione la celda en la comumna B con el nombre del proyecto-</v>
      </c>
      <c r="D616" s="626" t="str">
        <f t="shared" si="189"/>
        <v>proyecto--Al-Al-</v>
      </c>
      <c r="E616" s="626" t="str">
        <f t="shared" si="190"/>
        <v>--</v>
      </c>
      <c r="F616" s="627"/>
      <c r="G616" s="628">
        <f t="shared" si="191"/>
        <v>0</v>
      </c>
      <c r="H616" s="629" t="b">
        <f t="shared" si="192"/>
        <v>1</v>
      </c>
      <c r="I616" s="630"/>
      <c r="J616" s="627"/>
      <c r="K616" s="631" t="str">
        <f>+IFERROR(VLOOKUP(J616,Listas!$A$108:$B$114,2,FALSE),"Alerta: Seleccione la celda en la comumna B con el nombre del proyecto")</f>
        <v>Alerta: Seleccione la celda en la comumna B con el nombre del proyecto</v>
      </c>
      <c r="L616" s="632"/>
      <c r="M616" s="633"/>
      <c r="N616" s="634" t="str">
        <f t="shared" si="193"/>
        <v xml:space="preserve">(Cód. ) </v>
      </c>
      <c r="O616" s="635"/>
      <c r="P616" s="636">
        <f>IFERROR(VLOOKUP(W616,'Estimación CRP'!$D$21:$E$30,2,FALSE),0)</f>
        <v>0</v>
      </c>
      <c r="Q616" s="637">
        <f>IF(O616="No aplica","No aplica",WORKDAY.INTL(O616,P616,1,'Estimación CRP'!A802:A818))</f>
        <v>0</v>
      </c>
      <c r="R616" s="636">
        <f t="shared" si="194"/>
        <v>1</v>
      </c>
      <c r="S616" s="636">
        <f t="shared" si="195"/>
        <v>1</v>
      </c>
      <c r="T616" s="636">
        <f t="shared" si="196"/>
        <v>1</v>
      </c>
      <c r="U616" s="638"/>
      <c r="V616" s="638"/>
      <c r="W616" s="639"/>
      <c r="X616" s="640" t="str">
        <f>IFERROR(VLOOKUP(W616,Listas!$A$60:$B$73,2,FALSE),"Alerta: Seleccione primero Modalidad de selección")</f>
        <v>Alerta: Seleccione primero Modalidad de selección</v>
      </c>
      <c r="Y616" s="641">
        <v>0</v>
      </c>
      <c r="Z616" s="641"/>
      <c r="AA616" s="641"/>
      <c r="AB616" s="642">
        <f t="shared" si="197"/>
        <v>0</v>
      </c>
      <c r="AC616" s="642">
        <f t="shared" si="198"/>
        <v>0</v>
      </c>
      <c r="AD616" s="641">
        <v>0</v>
      </c>
      <c r="AE616" s="643">
        <v>0</v>
      </c>
      <c r="AF616" s="639" t="s">
        <v>276</v>
      </c>
      <c r="AG616" s="639" t="s">
        <v>277</v>
      </c>
      <c r="AH616" s="639"/>
      <c r="AI616" s="626" t="str">
        <f>IFERROR(VLOOKUP(AH616,Listas!$A$77:$C$83,2,FALSE),"Alerta: Seleccione primero el responsable")</f>
        <v>Alerta: Seleccione primero el responsable</v>
      </c>
      <c r="AJ616" s="640" t="str">
        <f>IFERROR(VLOOKUP(AH616,Listas!$A$77:$C$83,3,FALSE),"Alerta: Seleccione primero el responsable")</f>
        <v>Alerta: Seleccione primero el responsable</v>
      </c>
      <c r="AK616" s="640" t="str">
        <f>IF(J616="Funcionamiento Gastos Generales","No aplica",IF(J616="Funcionamiento Servicios Personales indirectos","No aplica",IFERROR(VLOOKUP(J616,Listas!$A$127:$E$139,3,FALSE),"Alerta: Seleccione la celda en la comumna B con el nombre del proyecto")))</f>
        <v>Alerta: Seleccione la celda en la comumna B con el nombre del proyecto</v>
      </c>
      <c r="AL616" s="640" t="str">
        <f>IF(J616="Funcionamiento Gastos Generales","No aplica",IF(J616="Funcionamiento Servicios Personales","No aplica",IFERROR(VLOOKUP(J616,Listas!$A$220:$D$224,2,FALSE),"Alerta: Seleccione la celda en la comumna B con el nombre del proyecto")))</f>
        <v>Alerta: Seleccione la celda en la comumna B con el nombre del proyecto</v>
      </c>
      <c r="AM616" s="640" t="str">
        <f>IF(J616="Funcionamiento Gastos Generales","No aplica",IF(J616="Funcionamiento Servicios Personales","No aplica",IFERROR(VLOOKUP(J616,Listas!$A$220:$D$224,3,FALSE),"Alerta: Seleccione la celda en la comumna B con el nombre del proyecto")))</f>
        <v>Alerta: Seleccione la celda en la comumna B con el nombre del proyecto</v>
      </c>
      <c r="AN616" s="633"/>
      <c r="AO616" s="633"/>
      <c r="AP616" s="634" t="str">
        <f>IFERROR(VLOOKUP(J616,Listas!$A$182:$E$215,5,FALSE),"Alerta: Seleccione la celda en la comumna B con el nombre del proyecto")</f>
        <v>Alerta: Seleccione la celda en la comumna B con el nombre del proyecto</v>
      </c>
      <c r="AQ616" s="634" t="str">
        <f>IF(J616="Funcionamiento Gastos Generales","No aplica",IF(J616="Funcionamiento Servicios Personales","No aplica",IFERROR(VLOOKUP(J616,Listas!$A$220:$D$224,4,FALSE),"Alerta: Seleccione la celda en la comumna B con el nombre del proyecto")))</f>
        <v>Alerta: Seleccione la celda en la comumna B con el nombre del proyecto</v>
      </c>
      <c r="AR616" s="633"/>
      <c r="AS616" s="634" t="str">
        <f>IFERROR(VLOOKUP(AU616,Listas!$E$85:$L$105,7,FALSE),"Alerta: Seleccione la celda en la comumna AI con el concepto de gasto")</f>
        <v>Alerta: Seleccione la celda en la comumna AI con el concepto de gasto</v>
      </c>
      <c r="AT616" s="634" t="str">
        <f>IFERROR(VLOOKUP(AU616,Listas!$E$85:$L$105,8,FALSE),"Alerta: Seleccione la celda en la comumna AI con el concepto de gasto")</f>
        <v>Alerta: Seleccione la celda en la comumna AI con el concepto de gasto</v>
      </c>
      <c r="AU616" s="633"/>
      <c r="AV616" s="634" t="str">
        <f>IFERROR(VLOOKUP(AU616,Listas!$E$85:$F$105,2,FALSE),"Alerta: Seleccione el Concepto de Gasto primero")</f>
        <v>Alerta: Seleccione el Concepto de Gasto primero</v>
      </c>
      <c r="AW616" s="644"/>
      <c r="AX616" s="645"/>
      <c r="AY616" s="645"/>
      <c r="AZ616" s="645"/>
      <c r="BA616" s="646">
        <f t="shared" si="199"/>
        <v>0</v>
      </c>
      <c r="BB616" s="647"/>
      <c r="BC616" s="648"/>
      <c r="BD616" s="649"/>
      <c r="BE616" s="647"/>
      <c r="BF616" s="644"/>
      <c r="BG616" s="646">
        <f t="shared" si="200"/>
        <v>0</v>
      </c>
      <c r="BH616" s="650"/>
      <c r="BI616" s="647"/>
      <c r="BJ616" s="644"/>
      <c r="BK616" s="646">
        <f t="shared" si="201"/>
        <v>0</v>
      </c>
      <c r="BL616" s="651"/>
      <c r="BM616" s="652">
        <f t="shared" si="202"/>
        <v>1</v>
      </c>
      <c r="BN616" s="628"/>
      <c r="BO616" s="670"/>
      <c r="BP616" s="644"/>
      <c r="BQ616" s="644"/>
      <c r="BR616" s="644"/>
      <c r="BS616" s="644"/>
      <c r="BT616" s="644"/>
      <c r="BU616" s="644"/>
      <c r="BV616" s="644"/>
      <c r="BW616" s="644"/>
      <c r="BX616" s="644"/>
      <c r="BY616" s="644"/>
      <c r="BZ616" s="644"/>
      <c r="CA616" s="644"/>
      <c r="CB616" s="646">
        <f t="shared" si="203"/>
        <v>0</v>
      </c>
      <c r="CC616" s="646">
        <f t="shared" si="204"/>
        <v>0</v>
      </c>
      <c r="CD616" s="614"/>
      <c r="CG616" s="561" t="s">
        <v>589</v>
      </c>
    </row>
    <row r="617" spans="1:85" s="561" customFormat="1" ht="61.5" customHeight="1">
      <c r="A617" s="625" t="str">
        <f t="shared" si="186"/>
        <v>proyecto-Alerta: Seleccione la celda en la comumna B con el nombre del proyecto-Al-Al--</v>
      </c>
      <c r="B617" s="626" t="str">
        <f t="shared" si="187"/>
        <v>proyecto-Alerta: Seleccione la celda en la comumna B con el nombre del proyecto-Al-Al-</v>
      </c>
      <c r="C617" s="626" t="str">
        <f t="shared" si="188"/>
        <v>proyecto-Alerta: Seleccione la celda en la comumna B con el nombre del proyecto-</v>
      </c>
      <c r="D617" s="626" t="str">
        <f t="shared" si="189"/>
        <v>proyecto--Al-Al-</v>
      </c>
      <c r="E617" s="626" t="str">
        <f t="shared" si="190"/>
        <v>--</v>
      </c>
      <c r="F617" s="627"/>
      <c r="G617" s="628">
        <f t="shared" si="191"/>
        <v>0</v>
      </c>
      <c r="H617" s="629" t="b">
        <f t="shared" si="192"/>
        <v>1</v>
      </c>
      <c r="I617" s="630"/>
      <c r="J617" s="627"/>
      <c r="K617" s="631" t="str">
        <f>+IFERROR(VLOOKUP(J617,Listas!$A$108:$B$114,2,FALSE),"Alerta: Seleccione la celda en la comumna B con el nombre del proyecto")</f>
        <v>Alerta: Seleccione la celda en la comumna B con el nombre del proyecto</v>
      </c>
      <c r="L617" s="632"/>
      <c r="M617" s="633"/>
      <c r="N617" s="634" t="str">
        <f t="shared" si="193"/>
        <v xml:space="preserve">(Cód. ) </v>
      </c>
      <c r="O617" s="635"/>
      <c r="P617" s="636">
        <f>IFERROR(VLOOKUP(W617,'Estimación CRP'!$D$21:$E$30,2,FALSE),0)</f>
        <v>0</v>
      </c>
      <c r="Q617" s="637">
        <f>IF(O617="No aplica","No aplica",WORKDAY.INTL(O617,P617,1,'Estimación CRP'!A803:A819))</f>
        <v>0</v>
      </c>
      <c r="R617" s="636">
        <f t="shared" si="194"/>
        <v>1</v>
      </c>
      <c r="S617" s="636">
        <f t="shared" si="195"/>
        <v>1</v>
      </c>
      <c r="T617" s="636">
        <f t="shared" si="196"/>
        <v>1</v>
      </c>
      <c r="U617" s="638"/>
      <c r="V617" s="638"/>
      <c r="W617" s="639"/>
      <c r="X617" s="640" t="str">
        <f>IFERROR(VLOOKUP(W617,Listas!$A$60:$B$73,2,FALSE),"Alerta: Seleccione primero Modalidad de selección")</f>
        <v>Alerta: Seleccione primero Modalidad de selección</v>
      </c>
      <c r="Y617" s="641">
        <v>0</v>
      </c>
      <c r="Z617" s="641"/>
      <c r="AA617" s="641"/>
      <c r="AB617" s="642">
        <f t="shared" si="197"/>
        <v>0</v>
      </c>
      <c r="AC617" s="642">
        <f t="shared" si="198"/>
        <v>0</v>
      </c>
      <c r="AD617" s="641">
        <v>0</v>
      </c>
      <c r="AE617" s="643">
        <v>0</v>
      </c>
      <c r="AF617" s="639" t="s">
        <v>276</v>
      </c>
      <c r="AG617" s="639" t="s">
        <v>277</v>
      </c>
      <c r="AH617" s="639"/>
      <c r="AI617" s="626" t="str">
        <f>IFERROR(VLOOKUP(AH617,Listas!$A$77:$C$83,2,FALSE),"Alerta: Seleccione primero el responsable")</f>
        <v>Alerta: Seleccione primero el responsable</v>
      </c>
      <c r="AJ617" s="640" t="str">
        <f>IFERROR(VLOOKUP(AH617,Listas!$A$77:$C$83,3,FALSE),"Alerta: Seleccione primero el responsable")</f>
        <v>Alerta: Seleccione primero el responsable</v>
      </c>
      <c r="AK617" s="640" t="str">
        <f>IF(J617="Funcionamiento Gastos Generales","No aplica",IF(J617="Funcionamiento Servicios Personales indirectos","No aplica",IFERROR(VLOOKUP(J617,Listas!$A$127:$E$139,3,FALSE),"Alerta: Seleccione la celda en la comumna B con el nombre del proyecto")))</f>
        <v>Alerta: Seleccione la celda en la comumna B con el nombre del proyecto</v>
      </c>
      <c r="AL617" s="640" t="str">
        <f>IF(J617="Funcionamiento Gastos Generales","No aplica",IF(J617="Funcionamiento Servicios Personales","No aplica",IFERROR(VLOOKUP(J617,Listas!$A$220:$D$224,2,FALSE),"Alerta: Seleccione la celda en la comumna B con el nombre del proyecto")))</f>
        <v>Alerta: Seleccione la celda en la comumna B con el nombre del proyecto</v>
      </c>
      <c r="AM617" s="640" t="str">
        <f>IF(J617="Funcionamiento Gastos Generales","No aplica",IF(J617="Funcionamiento Servicios Personales","No aplica",IFERROR(VLOOKUP(J617,Listas!$A$220:$D$224,3,FALSE),"Alerta: Seleccione la celda en la comumna B con el nombre del proyecto")))</f>
        <v>Alerta: Seleccione la celda en la comumna B con el nombre del proyecto</v>
      </c>
      <c r="AN617" s="633"/>
      <c r="AO617" s="633"/>
      <c r="AP617" s="634" t="str">
        <f>IFERROR(VLOOKUP(J617,Listas!$A$182:$E$215,5,FALSE),"Alerta: Seleccione la celda en la comumna B con el nombre del proyecto")</f>
        <v>Alerta: Seleccione la celda en la comumna B con el nombre del proyecto</v>
      </c>
      <c r="AQ617" s="634" t="str">
        <f>IF(J617="Funcionamiento Gastos Generales","No aplica",IF(J617="Funcionamiento Servicios Personales","No aplica",IFERROR(VLOOKUP(J617,Listas!$A$220:$D$224,4,FALSE),"Alerta: Seleccione la celda en la comumna B con el nombre del proyecto")))</f>
        <v>Alerta: Seleccione la celda en la comumna B con el nombre del proyecto</v>
      </c>
      <c r="AR617" s="633"/>
      <c r="AS617" s="634" t="str">
        <f>IFERROR(VLOOKUP(AU617,Listas!$E$85:$L$105,7,FALSE),"Alerta: Seleccione la celda en la comumna AI con el concepto de gasto")</f>
        <v>Alerta: Seleccione la celda en la comumna AI con el concepto de gasto</v>
      </c>
      <c r="AT617" s="634" t="str">
        <f>IFERROR(VLOOKUP(AU617,Listas!$E$85:$L$105,8,FALSE),"Alerta: Seleccione la celda en la comumna AI con el concepto de gasto")</f>
        <v>Alerta: Seleccione la celda en la comumna AI con el concepto de gasto</v>
      </c>
      <c r="AU617" s="633"/>
      <c r="AV617" s="634" t="str">
        <f>IFERROR(VLOOKUP(AU617,Listas!$E$85:$F$105,2,FALSE),"Alerta: Seleccione el Concepto de Gasto primero")</f>
        <v>Alerta: Seleccione el Concepto de Gasto primero</v>
      </c>
      <c r="AW617" s="644"/>
      <c r="AX617" s="645"/>
      <c r="AY617" s="645"/>
      <c r="AZ617" s="645"/>
      <c r="BA617" s="646">
        <f t="shared" si="199"/>
        <v>0</v>
      </c>
      <c r="BB617" s="647"/>
      <c r="BC617" s="648"/>
      <c r="BD617" s="649"/>
      <c r="BE617" s="647"/>
      <c r="BF617" s="644"/>
      <c r="BG617" s="646">
        <f t="shared" si="200"/>
        <v>0</v>
      </c>
      <c r="BH617" s="650"/>
      <c r="BI617" s="647"/>
      <c r="BJ617" s="644"/>
      <c r="BK617" s="646">
        <f t="shared" si="201"/>
        <v>0</v>
      </c>
      <c r="BL617" s="651"/>
      <c r="BM617" s="652">
        <f t="shared" si="202"/>
        <v>1</v>
      </c>
      <c r="BN617" s="628"/>
      <c r="BO617" s="670"/>
      <c r="BP617" s="644"/>
      <c r="BQ617" s="644"/>
      <c r="BR617" s="644"/>
      <c r="BS617" s="644"/>
      <c r="BT617" s="644"/>
      <c r="BU617" s="644"/>
      <c r="BV617" s="644"/>
      <c r="BW617" s="644"/>
      <c r="BX617" s="644"/>
      <c r="BY617" s="644"/>
      <c r="BZ617" s="644"/>
      <c r="CA617" s="644"/>
      <c r="CB617" s="646">
        <f t="shared" si="203"/>
        <v>0</v>
      </c>
      <c r="CC617" s="646">
        <f t="shared" si="204"/>
        <v>0</v>
      </c>
      <c r="CD617" s="614"/>
    </row>
    <row r="618" spans="1:85" s="561" customFormat="1" ht="61.5" customHeight="1">
      <c r="A618" s="625" t="str">
        <f t="shared" si="186"/>
        <v>proyecto-Alerta: Seleccione la celda en la comumna B con el nombre del proyecto-Al-Al--</v>
      </c>
      <c r="B618" s="626" t="str">
        <f t="shared" si="187"/>
        <v>proyecto-Alerta: Seleccione la celda en la comumna B con el nombre del proyecto-Al-Al-</v>
      </c>
      <c r="C618" s="626" t="str">
        <f t="shared" si="188"/>
        <v>proyecto-Alerta: Seleccione la celda en la comumna B con el nombre del proyecto-</v>
      </c>
      <c r="D618" s="626" t="str">
        <f t="shared" si="189"/>
        <v>proyecto--Al-Al-</v>
      </c>
      <c r="E618" s="626" t="str">
        <f t="shared" si="190"/>
        <v>--</v>
      </c>
      <c r="F618" s="627"/>
      <c r="G618" s="628">
        <f t="shared" si="191"/>
        <v>0</v>
      </c>
      <c r="H618" s="629" t="b">
        <f t="shared" si="192"/>
        <v>1</v>
      </c>
      <c r="I618" s="630"/>
      <c r="J618" s="627"/>
      <c r="K618" s="631" t="str">
        <f>+IFERROR(VLOOKUP(J618,Listas!$A$108:$B$114,2,FALSE),"Alerta: Seleccione la celda en la comumna B con el nombre del proyecto")</f>
        <v>Alerta: Seleccione la celda en la comumna B con el nombre del proyecto</v>
      </c>
      <c r="L618" s="632"/>
      <c r="M618" s="633"/>
      <c r="N618" s="634" t="str">
        <f t="shared" si="193"/>
        <v xml:space="preserve">(Cód. ) </v>
      </c>
      <c r="O618" s="635"/>
      <c r="P618" s="636">
        <f>IFERROR(VLOOKUP(W618,'Estimación CRP'!$D$21:$E$30,2,FALSE),0)</f>
        <v>0</v>
      </c>
      <c r="Q618" s="637">
        <f>IF(O618="No aplica","No aplica",WORKDAY.INTL(O618,P618,1,'Estimación CRP'!A804:A820))</f>
        <v>0</v>
      </c>
      <c r="R618" s="636">
        <f t="shared" si="194"/>
        <v>1</v>
      </c>
      <c r="S618" s="636">
        <f t="shared" si="195"/>
        <v>1</v>
      </c>
      <c r="T618" s="636">
        <f t="shared" si="196"/>
        <v>1</v>
      </c>
      <c r="U618" s="638"/>
      <c r="V618" s="638"/>
      <c r="W618" s="639"/>
      <c r="X618" s="640" t="str">
        <f>IFERROR(VLOOKUP(W618,Listas!$A$60:$B$73,2,FALSE),"Alerta: Seleccione primero Modalidad de selección")</f>
        <v>Alerta: Seleccione primero Modalidad de selección</v>
      </c>
      <c r="Y618" s="641">
        <v>0</v>
      </c>
      <c r="Z618" s="641"/>
      <c r="AA618" s="641"/>
      <c r="AB618" s="642">
        <f t="shared" si="197"/>
        <v>0</v>
      </c>
      <c r="AC618" s="642">
        <f t="shared" si="198"/>
        <v>0</v>
      </c>
      <c r="AD618" s="641">
        <v>0</v>
      </c>
      <c r="AE618" s="643">
        <v>0</v>
      </c>
      <c r="AF618" s="639" t="s">
        <v>276</v>
      </c>
      <c r="AG618" s="639" t="s">
        <v>277</v>
      </c>
      <c r="AH618" s="639"/>
      <c r="AI618" s="626" t="str">
        <f>IFERROR(VLOOKUP(AH618,Listas!$A$77:$C$83,2,FALSE),"Alerta: Seleccione primero el responsable")</f>
        <v>Alerta: Seleccione primero el responsable</v>
      </c>
      <c r="AJ618" s="640" t="str">
        <f>IFERROR(VLOOKUP(AH618,Listas!$A$77:$C$83,3,FALSE),"Alerta: Seleccione primero el responsable")</f>
        <v>Alerta: Seleccione primero el responsable</v>
      </c>
      <c r="AK618" s="640" t="str">
        <f>IF(J618="Funcionamiento Gastos Generales","No aplica",IF(J618="Funcionamiento Servicios Personales indirectos","No aplica",IFERROR(VLOOKUP(J618,Listas!$A$127:$E$139,3,FALSE),"Alerta: Seleccione la celda en la comumna B con el nombre del proyecto")))</f>
        <v>Alerta: Seleccione la celda en la comumna B con el nombre del proyecto</v>
      </c>
      <c r="AL618" s="640" t="str">
        <f>IF(J618="Funcionamiento Gastos Generales","No aplica",IF(J618="Funcionamiento Servicios Personales","No aplica",IFERROR(VLOOKUP(J618,Listas!$A$220:$D$224,2,FALSE),"Alerta: Seleccione la celda en la comumna B con el nombre del proyecto")))</f>
        <v>Alerta: Seleccione la celda en la comumna B con el nombre del proyecto</v>
      </c>
      <c r="AM618" s="640" t="str">
        <f>IF(J618="Funcionamiento Gastos Generales","No aplica",IF(J618="Funcionamiento Servicios Personales","No aplica",IFERROR(VLOOKUP(J618,Listas!$A$220:$D$224,3,FALSE),"Alerta: Seleccione la celda en la comumna B con el nombre del proyecto")))</f>
        <v>Alerta: Seleccione la celda en la comumna B con el nombre del proyecto</v>
      </c>
      <c r="AN618" s="633"/>
      <c r="AO618" s="633"/>
      <c r="AP618" s="634" t="str">
        <f>IFERROR(VLOOKUP(J618,Listas!$A$182:$E$215,5,FALSE),"Alerta: Seleccione la celda en la comumna B con el nombre del proyecto")</f>
        <v>Alerta: Seleccione la celda en la comumna B con el nombre del proyecto</v>
      </c>
      <c r="AQ618" s="634" t="str">
        <f>IF(J618="Funcionamiento Gastos Generales","No aplica",IF(J618="Funcionamiento Servicios Personales","No aplica",IFERROR(VLOOKUP(J618,Listas!$A$220:$D$224,4,FALSE),"Alerta: Seleccione la celda en la comumna B con el nombre del proyecto")))</f>
        <v>Alerta: Seleccione la celda en la comumna B con el nombre del proyecto</v>
      </c>
      <c r="AR618" s="633"/>
      <c r="AS618" s="634" t="str">
        <f>IFERROR(VLOOKUP(AU618,Listas!$E$85:$L$105,7,FALSE),"Alerta: Seleccione la celda en la comumna AI con el concepto de gasto")</f>
        <v>Alerta: Seleccione la celda en la comumna AI con el concepto de gasto</v>
      </c>
      <c r="AT618" s="634" t="str">
        <f>IFERROR(VLOOKUP(AU618,Listas!$E$85:$L$105,8,FALSE),"Alerta: Seleccione la celda en la comumna AI con el concepto de gasto")</f>
        <v>Alerta: Seleccione la celda en la comumna AI con el concepto de gasto</v>
      </c>
      <c r="AU618" s="633"/>
      <c r="AV618" s="634" t="str">
        <f>IFERROR(VLOOKUP(AU618,Listas!$E$85:$F$105,2,FALSE),"Alerta: Seleccione el Concepto de Gasto primero")</f>
        <v>Alerta: Seleccione el Concepto de Gasto primero</v>
      </c>
      <c r="AW618" s="644"/>
      <c r="AX618" s="645"/>
      <c r="AY618" s="645"/>
      <c r="AZ618" s="645"/>
      <c r="BA618" s="646">
        <f t="shared" si="199"/>
        <v>0</v>
      </c>
      <c r="BB618" s="647"/>
      <c r="BC618" s="648"/>
      <c r="BD618" s="649"/>
      <c r="BE618" s="647"/>
      <c r="BF618" s="644"/>
      <c r="BG618" s="646">
        <f t="shared" si="200"/>
        <v>0</v>
      </c>
      <c r="BH618" s="650"/>
      <c r="BI618" s="647"/>
      <c r="BJ618" s="644"/>
      <c r="BK618" s="646">
        <f t="shared" si="201"/>
        <v>0</v>
      </c>
      <c r="BL618" s="651"/>
      <c r="BM618" s="652">
        <f t="shared" si="202"/>
        <v>1</v>
      </c>
      <c r="BN618" s="628"/>
      <c r="BO618" s="670"/>
      <c r="BP618" s="644"/>
      <c r="BQ618" s="644"/>
      <c r="BR618" s="644"/>
      <c r="BS618" s="644"/>
      <c r="BT618" s="644"/>
      <c r="BU618" s="644"/>
      <c r="BV618" s="644"/>
      <c r="BW618" s="644"/>
      <c r="BX618" s="644"/>
      <c r="BY618" s="644"/>
      <c r="BZ618" s="644"/>
      <c r="CA618" s="644"/>
      <c r="CB618" s="646">
        <f t="shared" si="203"/>
        <v>0</v>
      </c>
      <c r="CC618" s="646">
        <f t="shared" si="204"/>
        <v>0</v>
      </c>
      <c r="CD618" s="614"/>
      <c r="CG618" s="561" t="s">
        <v>589</v>
      </c>
    </row>
    <row r="619" spans="1:85" s="561" customFormat="1" ht="61.5" customHeight="1">
      <c r="A619" s="625" t="str">
        <f t="shared" si="186"/>
        <v>proyecto-Alerta: Seleccione la celda en la comumna B con el nombre del proyecto-Al-Al--</v>
      </c>
      <c r="B619" s="626" t="str">
        <f t="shared" si="187"/>
        <v>proyecto-Alerta: Seleccione la celda en la comumna B con el nombre del proyecto-Al-Al-</v>
      </c>
      <c r="C619" s="626" t="str">
        <f t="shared" si="188"/>
        <v>proyecto-Alerta: Seleccione la celda en la comumna B con el nombre del proyecto-</v>
      </c>
      <c r="D619" s="626" t="str">
        <f t="shared" si="189"/>
        <v>proyecto--Al-Al-</v>
      </c>
      <c r="E619" s="626" t="str">
        <f t="shared" si="190"/>
        <v>--</v>
      </c>
      <c r="F619" s="627"/>
      <c r="G619" s="628">
        <f t="shared" si="191"/>
        <v>0</v>
      </c>
      <c r="H619" s="629" t="b">
        <f t="shared" si="192"/>
        <v>1</v>
      </c>
      <c r="I619" s="630"/>
      <c r="J619" s="627"/>
      <c r="K619" s="631" t="str">
        <f>+IFERROR(VLOOKUP(J619,Listas!$A$108:$B$114,2,FALSE),"Alerta: Seleccione la celda en la comumna B con el nombre del proyecto")</f>
        <v>Alerta: Seleccione la celda en la comumna B con el nombre del proyecto</v>
      </c>
      <c r="L619" s="632"/>
      <c r="M619" s="633"/>
      <c r="N619" s="634" t="str">
        <f t="shared" si="193"/>
        <v xml:space="preserve">(Cód. ) </v>
      </c>
      <c r="O619" s="635"/>
      <c r="P619" s="636">
        <f>IFERROR(VLOOKUP(W619,'Estimación CRP'!$D$21:$E$30,2,FALSE),0)</f>
        <v>0</v>
      </c>
      <c r="Q619" s="637">
        <f>IF(O619="No aplica","No aplica",WORKDAY.INTL(O619,P619,1,'Estimación CRP'!A805:A821))</f>
        <v>0</v>
      </c>
      <c r="R619" s="636">
        <f t="shared" si="194"/>
        <v>1</v>
      </c>
      <c r="S619" s="636">
        <f t="shared" si="195"/>
        <v>1</v>
      </c>
      <c r="T619" s="636">
        <f t="shared" si="196"/>
        <v>1</v>
      </c>
      <c r="U619" s="638"/>
      <c r="V619" s="638"/>
      <c r="W619" s="639"/>
      <c r="X619" s="640" t="str">
        <f>IFERROR(VLOOKUP(W619,Listas!$A$60:$B$73,2,FALSE),"Alerta: Seleccione primero Modalidad de selección")</f>
        <v>Alerta: Seleccione primero Modalidad de selección</v>
      </c>
      <c r="Y619" s="641">
        <v>0</v>
      </c>
      <c r="Z619" s="641"/>
      <c r="AA619" s="641"/>
      <c r="AB619" s="642">
        <f t="shared" si="197"/>
        <v>0</v>
      </c>
      <c r="AC619" s="642">
        <f t="shared" si="198"/>
        <v>0</v>
      </c>
      <c r="AD619" s="641">
        <v>0</v>
      </c>
      <c r="AE619" s="643">
        <v>0</v>
      </c>
      <c r="AF619" s="639" t="s">
        <v>276</v>
      </c>
      <c r="AG619" s="639" t="s">
        <v>277</v>
      </c>
      <c r="AH619" s="639"/>
      <c r="AI619" s="626" t="str">
        <f>IFERROR(VLOOKUP(AH619,Listas!$A$77:$C$83,2,FALSE),"Alerta: Seleccione primero el responsable")</f>
        <v>Alerta: Seleccione primero el responsable</v>
      </c>
      <c r="AJ619" s="640" t="str">
        <f>IFERROR(VLOOKUP(AH619,Listas!$A$77:$C$83,3,FALSE),"Alerta: Seleccione primero el responsable")</f>
        <v>Alerta: Seleccione primero el responsable</v>
      </c>
      <c r="AK619" s="640" t="str">
        <f>IF(J619="Funcionamiento Gastos Generales","No aplica",IF(J619="Funcionamiento Servicios Personales indirectos","No aplica",IFERROR(VLOOKUP(J619,Listas!$A$127:$E$139,3,FALSE),"Alerta: Seleccione la celda en la comumna B con el nombre del proyecto")))</f>
        <v>Alerta: Seleccione la celda en la comumna B con el nombre del proyecto</v>
      </c>
      <c r="AL619" s="640" t="str">
        <f>IF(J619="Funcionamiento Gastos Generales","No aplica",IF(J619="Funcionamiento Servicios Personales","No aplica",IFERROR(VLOOKUP(J619,Listas!$A$220:$D$224,2,FALSE),"Alerta: Seleccione la celda en la comumna B con el nombre del proyecto")))</f>
        <v>Alerta: Seleccione la celda en la comumna B con el nombre del proyecto</v>
      </c>
      <c r="AM619" s="640" t="str">
        <f>IF(J619="Funcionamiento Gastos Generales","No aplica",IF(J619="Funcionamiento Servicios Personales","No aplica",IFERROR(VLOOKUP(J619,Listas!$A$220:$D$224,3,FALSE),"Alerta: Seleccione la celda en la comumna B con el nombre del proyecto")))</f>
        <v>Alerta: Seleccione la celda en la comumna B con el nombre del proyecto</v>
      </c>
      <c r="AN619" s="633"/>
      <c r="AO619" s="633"/>
      <c r="AP619" s="634" t="str">
        <f>IFERROR(VLOOKUP(J619,Listas!$A$182:$E$215,5,FALSE),"Alerta: Seleccione la celda en la comumna B con el nombre del proyecto")</f>
        <v>Alerta: Seleccione la celda en la comumna B con el nombre del proyecto</v>
      </c>
      <c r="AQ619" s="634" t="str">
        <f>IF(J619="Funcionamiento Gastos Generales","No aplica",IF(J619="Funcionamiento Servicios Personales","No aplica",IFERROR(VLOOKUP(J619,Listas!$A$220:$D$224,4,FALSE),"Alerta: Seleccione la celda en la comumna B con el nombre del proyecto")))</f>
        <v>Alerta: Seleccione la celda en la comumna B con el nombre del proyecto</v>
      </c>
      <c r="AR619" s="633"/>
      <c r="AS619" s="634" t="str">
        <f>IFERROR(VLOOKUP(AU619,Listas!$E$85:$L$105,7,FALSE),"Alerta: Seleccione la celda en la comumna AI con el concepto de gasto")</f>
        <v>Alerta: Seleccione la celda en la comumna AI con el concepto de gasto</v>
      </c>
      <c r="AT619" s="634" t="str">
        <f>IFERROR(VLOOKUP(AU619,Listas!$E$85:$L$105,8,FALSE),"Alerta: Seleccione la celda en la comumna AI con el concepto de gasto")</f>
        <v>Alerta: Seleccione la celda en la comumna AI con el concepto de gasto</v>
      </c>
      <c r="AU619" s="633"/>
      <c r="AV619" s="634" t="str">
        <f>IFERROR(VLOOKUP(AU619,Listas!$E$85:$F$105,2,FALSE),"Alerta: Seleccione el Concepto de Gasto primero")</f>
        <v>Alerta: Seleccione el Concepto de Gasto primero</v>
      </c>
      <c r="AW619" s="644"/>
      <c r="AX619" s="645"/>
      <c r="AY619" s="645"/>
      <c r="AZ619" s="645"/>
      <c r="BA619" s="646">
        <f t="shared" si="199"/>
        <v>0</v>
      </c>
      <c r="BB619" s="647"/>
      <c r="BC619" s="648"/>
      <c r="BD619" s="649"/>
      <c r="BE619" s="647"/>
      <c r="BF619" s="644"/>
      <c r="BG619" s="646">
        <f t="shared" si="200"/>
        <v>0</v>
      </c>
      <c r="BH619" s="650"/>
      <c r="BI619" s="647"/>
      <c r="BJ619" s="644"/>
      <c r="BK619" s="646">
        <f t="shared" si="201"/>
        <v>0</v>
      </c>
      <c r="BL619" s="651"/>
      <c r="BM619" s="652">
        <f t="shared" si="202"/>
        <v>1</v>
      </c>
      <c r="BN619" s="628"/>
      <c r="BO619" s="670"/>
      <c r="BP619" s="644"/>
      <c r="BQ619" s="644"/>
      <c r="BR619" s="644"/>
      <c r="BS619" s="644"/>
      <c r="BT619" s="644"/>
      <c r="BU619" s="644"/>
      <c r="BV619" s="644"/>
      <c r="BW619" s="644"/>
      <c r="BX619" s="644"/>
      <c r="BY619" s="644"/>
      <c r="BZ619" s="644"/>
      <c r="CA619" s="644"/>
      <c r="CB619" s="646">
        <f t="shared" si="203"/>
        <v>0</v>
      </c>
      <c r="CC619" s="646">
        <f t="shared" si="204"/>
        <v>0</v>
      </c>
      <c r="CD619" s="614"/>
    </row>
    <row r="620" spans="1:85" s="561" customFormat="1" ht="61.5" customHeight="1">
      <c r="A620" s="625" t="str">
        <f t="shared" si="186"/>
        <v>proyecto-Alerta: Seleccione la celda en la comumna B con el nombre del proyecto-Al-Al--</v>
      </c>
      <c r="B620" s="626" t="str">
        <f t="shared" si="187"/>
        <v>proyecto-Alerta: Seleccione la celda en la comumna B con el nombre del proyecto-Al-Al-</v>
      </c>
      <c r="C620" s="626" t="str">
        <f t="shared" si="188"/>
        <v>proyecto-Alerta: Seleccione la celda en la comumna B con el nombre del proyecto-</v>
      </c>
      <c r="D620" s="626" t="str">
        <f t="shared" si="189"/>
        <v>proyecto--Al-Al-</v>
      </c>
      <c r="E620" s="626" t="str">
        <f t="shared" si="190"/>
        <v>--</v>
      </c>
      <c r="F620" s="627"/>
      <c r="G620" s="628">
        <f t="shared" si="191"/>
        <v>0</v>
      </c>
      <c r="H620" s="629" t="b">
        <f t="shared" si="192"/>
        <v>1</v>
      </c>
      <c r="I620" s="630"/>
      <c r="J620" s="627"/>
      <c r="K620" s="631" t="str">
        <f>+IFERROR(VLOOKUP(J620,Listas!$A$108:$B$114,2,FALSE),"Alerta: Seleccione la celda en la comumna B con el nombre del proyecto")</f>
        <v>Alerta: Seleccione la celda en la comumna B con el nombre del proyecto</v>
      </c>
      <c r="L620" s="632"/>
      <c r="M620" s="633"/>
      <c r="N620" s="634" t="str">
        <f t="shared" si="193"/>
        <v xml:space="preserve">(Cód. ) </v>
      </c>
      <c r="O620" s="635"/>
      <c r="P620" s="636">
        <f>IFERROR(VLOOKUP(W620,'Estimación CRP'!$D$21:$E$30,2,FALSE),0)</f>
        <v>0</v>
      </c>
      <c r="Q620" s="637">
        <f>IF(O620="No aplica","No aplica",WORKDAY.INTL(O620,P620,1,'Estimación CRP'!A806:A822))</f>
        <v>0</v>
      </c>
      <c r="R620" s="636">
        <f t="shared" si="194"/>
        <v>1</v>
      </c>
      <c r="S620" s="636">
        <f t="shared" si="195"/>
        <v>1</v>
      </c>
      <c r="T620" s="636">
        <f t="shared" si="196"/>
        <v>1</v>
      </c>
      <c r="U620" s="638"/>
      <c r="V620" s="638"/>
      <c r="W620" s="639"/>
      <c r="X620" s="640" t="str">
        <f>IFERROR(VLOOKUP(W620,Listas!$A$60:$B$73,2,FALSE),"Alerta: Seleccione primero Modalidad de selección")</f>
        <v>Alerta: Seleccione primero Modalidad de selección</v>
      </c>
      <c r="Y620" s="641">
        <v>0</v>
      </c>
      <c r="Z620" s="641"/>
      <c r="AA620" s="641"/>
      <c r="AB620" s="642">
        <f t="shared" si="197"/>
        <v>0</v>
      </c>
      <c r="AC620" s="642">
        <f t="shared" si="198"/>
        <v>0</v>
      </c>
      <c r="AD620" s="641">
        <v>0</v>
      </c>
      <c r="AE620" s="643">
        <v>0</v>
      </c>
      <c r="AF620" s="639" t="s">
        <v>276</v>
      </c>
      <c r="AG620" s="639" t="s">
        <v>277</v>
      </c>
      <c r="AH620" s="639"/>
      <c r="AI620" s="626" t="str">
        <f>IFERROR(VLOOKUP(AH620,Listas!$A$77:$C$83,2,FALSE),"Alerta: Seleccione primero el responsable")</f>
        <v>Alerta: Seleccione primero el responsable</v>
      </c>
      <c r="AJ620" s="640" t="str">
        <f>IFERROR(VLOOKUP(AH620,Listas!$A$77:$C$83,3,FALSE),"Alerta: Seleccione primero el responsable")</f>
        <v>Alerta: Seleccione primero el responsable</v>
      </c>
      <c r="AK620" s="640" t="str">
        <f>IF(J620="Funcionamiento Gastos Generales","No aplica",IF(J620="Funcionamiento Servicios Personales indirectos","No aplica",IFERROR(VLOOKUP(J620,Listas!$A$127:$E$139,3,FALSE),"Alerta: Seleccione la celda en la comumna B con el nombre del proyecto")))</f>
        <v>Alerta: Seleccione la celda en la comumna B con el nombre del proyecto</v>
      </c>
      <c r="AL620" s="640" t="str">
        <f>IF(J620="Funcionamiento Gastos Generales","No aplica",IF(J620="Funcionamiento Servicios Personales","No aplica",IFERROR(VLOOKUP(J620,Listas!$A$220:$D$224,2,FALSE),"Alerta: Seleccione la celda en la comumna B con el nombre del proyecto")))</f>
        <v>Alerta: Seleccione la celda en la comumna B con el nombre del proyecto</v>
      </c>
      <c r="AM620" s="640" t="str">
        <f>IF(J620="Funcionamiento Gastos Generales","No aplica",IF(J620="Funcionamiento Servicios Personales","No aplica",IFERROR(VLOOKUP(J620,Listas!$A$220:$D$224,3,FALSE),"Alerta: Seleccione la celda en la comumna B con el nombre del proyecto")))</f>
        <v>Alerta: Seleccione la celda en la comumna B con el nombre del proyecto</v>
      </c>
      <c r="AN620" s="633"/>
      <c r="AO620" s="633"/>
      <c r="AP620" s="634" t="str">
        <f>IFERROR(VLOOKUP(J620,Listas!$A$182:$E$215,5,FALSE),"Alerta: Seleccione la celda en la comumna B con el nombre del proyecto")</f>
        <v>Alerta: Seleccione la celda en la comumna B con el nombre del proyecto</v>
      </c>
      <c r="AQ620" s="634" t="str">
        <f>IF(J620="Funcionamiento Gastos Generales","No aplica",IF(J620="Funcionamiento Servicios Personales","No aplica",IFERROR(VLOOKUP(J620,Listas!$A$220:$D$224,4,FALSE),"Alerta: Seleccione la celda en la comumna B con el nombre del proyecto")))</f>
        <v>Alerta: Seleccione la celda en la comumna B con el nombre del proyecto</v>
      </c>
      <c r="AR620" s="633"/>
      <c r="AS620" s="634" t="str">
        <f>IFERROR(VLOOKUP(AU620,Listas!$E$85:$L$105,7,FALSE),"Alerta: Seleccione la celda en la comumna AI con el concepto de gasto")</f>
        <v>Alerta: Seleccione la celda en la comumna AI con el concepto de gasto</v>
      </c>
      <c r="AT620" s="634" t="str">
        <f>IFERROR(VLOOKUP(AU620,Listas!$E$85:$L$105,8,FALSE),"Alerta: Seleccione la celda en la comumna AI con el concepto de gasto")</f>
        <v>Alerta: Seleccione la celda en la comumna AI con el concepto de gasto</v>
      </c>
      <c r="AU620" s="633"/>
      <c r="AV620" s="634" t="str">
        <f>IFERROR(VLOOKUP(AU620,Listas!$E$85:$F$105,2,FALSE),"Alerta: Seleccione el Concepto de Gasto primero")</f>
        <v>Alerta: Seleccione el Concepto de Gasto primero</v>
      </c>
      <c r="AW620" s="644"/>
      <c r="AX620" s="645"/>
      <c r="AY620" s="645"/>
      <c r="AZ620" s="645"/>
      <c r="BA620" s="646">
        <f t="shared" si="199"/>
        <v>0</v>
      </c>
      <c r="BB620" s="647"/>
      <c r="BC620" s="648"/>
      <c r="BD620" s="649"/>
      <c r="BE620" s="647"/>
      <c r="BF620" s="644"/>
      <c r="BG620" s="646">
        <f t="shared" si="200"/>
        <v>0</v>
      </c>
      <c r="BH620" s="650"/>
      <c r="BI620" s="647"/>
      <c r="BJ620" s="644"/>
      <c r="BK620" s="646">
        <f t="shared" si="201"/>
        <v>0</v>
      </c>
      <c r="BL620" s="651"/>
      <c r="BM620" s="652">
        <f t="shared" si="202"/>
        <v>1</v>
      </c>
      <c r="BN620" s="628"/>
      <c r="BO620" s="670"/>
      <c r="BP620" s="644"/>
      <c r="BQ620" s="644"/>
      <c r="BR620" s="644"/>
      <c r="BS620" s="644"/>
      <c r="BT620" s="644"/>
      <c r="BU620" s="644"/>
      <c r="BV620" s="644"/>
      <c r="BW620" s="644"/>
      <c r="BX620" s="644"/>
      <c r="BY620" s="644"/>
      <c r="BZ620" s="644"/>
      <c r="CA620" s="644"/>
      <c r="CB620" s="646">
        <f t="shared" si="203"/>
        <v>0</v>
      </c>
      <c r="CC620" s="646">
        <f t="shared" si="204"/>
        <v>0</v>
      </c>
      <c r="CD620" s="614"/>
    </row>
    <row r="621" spans="1:85" s="561" customFormat="1" ht="61.5" customHeight="1">
      <c r="A621" s="625" t="str">
        <f t="shared" si="186"/>
        <v>proyecto-Alerta: Seleccione la celda en la comumna B con el nombre del proyecto-Al-Al--</v>
      </c>
      <c r="B621" s="626" t="str">
        <f t="shared" si="187"/>
        <v>proyecto-Alerta: Seleccione la celda en la comumna B con el nombre del proyecto-Al-Al-</v>
      </c>
      <c r="C621" s="626" t="str">
        <f t="shared" si="188"/>
        <v>proyecto-Alerta: Seleccione la celda en la comumna B con el nombre del proyecto-</v>
      </c>
      <c r="D621" s="626" t="str">
        <f t="shared" si="189"/>
        <v>proyecto--Al-Al-</v>
      </c>
      <c r="E621" s="626" t="str">
        <f t="shared" si="190"/>
        <v>--</v>
      </c>
      <c r="F621" s="627"/>
      <c r="G621" s="628">
        <f t="shared" si="191"/>
        <v>0</v>
      </c>
      <c r="H621" s="629" t="b">
        <f t="shared" si="192"/>
        <v>1</v>
      </c>
      <c r="I621" s="630"/>
      <c r="J621" s="627"/>
      <c r="K621" s="631" t="str">
        <f>+IFERROR(VLOOKUP(J621,Listas!$A$108:$B$114,2,FALSE),"Alerta: Seleccione la celda en la comumna B con el nombre del proyecto")</f>
        <v>Alerta: Seleccione la celda en la comumna B con el nombre del proyecto</v>
      </c>
      <c r="L621" s="632"/>
      <c r="M621" s="633"/>
      <c r="N621" s="634" t="str">
        <f t="shared" si="193"/>
        <v xml:space="preserve">(Cód. ) </v>
      </c>
      <c r="O621" s="635"/>
      <c r="P621" s="636">
        <f>IFERROR(VLOOKUP(W621,'Estimación CRP'!$D$21:$E$30,2,FALSE),0)</f>
        <v>0</v>
      </c>
      <c r="Q621" s="637">
        <f>IF(O621="No aplica","No aplica",WORKDAY.INTL(O621,P621,1,'Estimación CRP'!A807:A823))</f>
        <v>0</v>
      </c>
      <c r="R621" s="636">
        <f t="shared" si="194"/>
        <v>1</v>
      </c>
      <c r="S621" s="636">
        <f t="shared" si="195"/>
        <v>1</v>
      </c>
      <c r="T621" s="636">
        <f t="shared" si="196"/>
        <v>1</v>
      </c>
      <c r="U621" s="638"/>
      <c r="V621" s="638"/>
      <c r="W621" s="639"/>
      <c r="X621" s="640" t="str">
        <f>IFERROR(VLOOKUP(W621,Listas!$A$60:$B$73,2,FALSE),"Alerta: Seleccione primero Modalidad de selección")</f>
        <v>Alerta: Seleccione primero Modalidad de selección</v>
      </c>
      <c r="Y621" s="641">
        <v>0</v>
      </c>
      <c r="Z621" s="641"/>
      <c r="AA621" s="641"/>
      <c r="AB621" s="642">
        <f t="shared" si="197"/>
        <v>0</v>
      </c>
      <c r="AC621" s="642">
        <f t="shared" si="198"/>
        <v>0</v>
      </c>
      <c r="AD621" s="641">
        <v>0</v>
      </c>
      <c r="AE621" s="643">
        <v>0</v>
      </c>
      <c r="AF621" s="639" t="s">
        <v>276</v>
      </c>
      <c r="AG621" s="639" t="s">
        <v>277</v>
      </c>
      <c r="AH621" s="639"/>
      <c r="AI621" s="626" t="str">
        <f>IFERROR(VLOOKUP(AH621,Listas!$A$77:$C$83,2,FALSE),"Alerta: Seleccione primero el responsable")</f>
        <v>Alerta: Seleccione primero el responsable</v>
      </c>
      <c r="AJ621" s="640" t="str">
        <f>IFERROR(VLOOKUP(AH621,Listas!$A$77:$C$83,3,FALSE),"Alerta: Seleccione primero el responsable")</f>
        <v>Alerta: Seleccione primero el responsable</v>
      </c>
      <c r="AK621" s="640" t="str">
        <f>IF(J621="Funcionamiento Gastos Generales","No aplica",IF(J621="Funcionamiento Servicios Personales indirectos","No aplica",IFERROR(VLOOKUP(J621,Listas!$A$127:$E$139,3,FALSE),"Alerta: Seleccione la celda en la comumna B con el nombre del proyecto")))</f>
        <v>Alerta: Seleccione la celda en la comumna B con el nombre del proyecto</v>
      </c>
      <c r="AL621" s="640" t="str">
        <f>IF(J621="Funcionamiento Gastos Generales","No aplica",IF(J621="Funcionamiento Servicios Personales","No aplica",IFERROR(VLOOKUP(J621,Listas!$A$220:$D$224,2,FALSE),"Alerta: Seleccione la celda en la comumna B con el nombre del proyecto")))</f>
        <v>Alerta: Seleccione la celda en la comumna B con el nombre del proyecto</v>
      </c>
      <c r="AM621" s="640" t="str">
        <f>IF(J621="Funcionamiento Gastos Generales","No aplica",IF(J621="Funcionamiento Servicios Personales","No aplica",IFERROR(VLOOKUP(J621,Listas!$A$220:$D$224,3,FALSE),"Alerta: Seleccione la celda en la comumna B con el nombre del proyecto")))</f>
        <v>Alerta: Seleccione la celda en la comumna B con el nombre del proyecto</v>
      </c>
      <c r="AN621" s="633"/>
      <c r="AO621" s="633"/>
      <c r="AP621" s="634" t="str">
        <f>IFERROR(VLOOKUP(J621,Listas!$A$182:$E$215,5,FALSE),"Alerta: Seleccione la celda en la comumna B con el nombre del proyecto")</f>
        <v>Alerta: Seleccione la celda en la comumna B con el nombre del proyecto</v>
      </c>
      <c r="AQ621" s="634" t="str">
        <f>IF(J621="Funcionamiento Gastos Generales","No aplica",IF(J621="Funcionamiento Servicios Personales","No aplica",IFERROR(VLOOKUP(J621,Listas!$A$220:$D$224,4,FALSE),"Alerta: Seleccione la celda en la comumna B con el nombre del proyecto")))</f>
        <v>Alerta: Seleccione la celda en la comumna B con el nombre del proyecto</v>
      </c>
      <c r="AR621" s="633"/>
      <c r="AS621" s="634" t="str">
        <f>IFERROR(VLOOKUP(AU621,Listas!$E$85:$L$105,7,FALSE),"Alerta: Seleccione la celda en la comumna AI con el concepto de gasto")</f>
        <v>Alerta: Seleccione la celda en la comumna AI con el concepto de gasto</v>
      </c>
      <c r="AT621" s="634" t="str">
        <f>IFERROR(VLOOKUP(AU621,Listas!$E$85:$L$105,8,FALSE),"Alerta: Seleccione la celda en la comumna AI con el concepto de gasto")</f>
        <v>Alerta: Seleccione la celda en la comumna AI con el concepto de gasto</v>
      </c>
      <c r="AU621" s="633"/>
      <c r="AV621" s="634" t="str">
        <f>IFERROR(VLOOKUP(AU621,Listas!$E$85:$F$105,2,FALSE),"Alerta: Seleccione el Concepto de Gasto primero")</f>
        <v>Alerta: Seleccione el Concepto de Gasto primero</v>
      </c>
      <c r="AW621" s="644"/>
      <c r="AX621" s="645"/>
      <c r="AY621" s="645"/>
      <c r="AZ621" s="645"/>
      <c r="BA621" s="646">
        <f t="shared" si="199"/>
        <v>0</v>
      </c>
      <c r="BB621" s="647"/>
      <c r="BC621" s="648"/>
      <c r="BD621" s="649"/>
      <c r="BE621" s="647"/>
      <c r="BF621" s="644"/>
      <c r="BG621" s="646">
        <f t="shared" si="200"/>
        <v>0</v>
      </c>
      <c r="BH621" s="650"/>
      <c r="BI621" s="647"/>
      <c r="BJ621" s="644"/>
      <c r="BK621" s="646">
        <f t="shared" si="201"/>
        <v>0</v>
      </c>
      <c r="BL621" s="651"/>
      <c r="BM621" s="652">
        <f t="shared" si="202"/>
        <v>1</v>
      </c>
      <c r="BN621" s="628"/>
      <c r="BO621" s="670"/>
      <c r="BP621" s="644"/>
      <c r="BQ621" s="644"/>
      <c r="BR621" s="644"/>
      <c r="BS621" s="644"/>
      <c r="BT621" s="644"/>
      <c r="BU621" s="644"/>
      <c r="BV621" s="644"/>
      <c r="BW621" s="644"/>
      <c r="BX621" s="644"/>
      <c r="BY621" s="644"/>
      <c r="BZ621" s="644"/>
      <c r="CA621" s="644"/>
      <c r="CB621" s="646">
        <f t="shared" si="203"/>
        <v>0</v>
      </c>
      <c r="CC621" s="646">
        <f t="shared" si="204"/>
        <v>0</v>
      </c>
      <c r="CD621" s="614"/>
      <c r="CG621" s="561" t="s">
        <v>589</v>
      </c>
    </row>
    <row r="622" spans="1:85" s="561" customFormat="1" ht="61.5" customHeight="1">
      <c r="A622" s="625" t="str">
        <f t="shared" si="186"/>
        <v>proyecto-Alerta: Seleccione la celda en la comumna B con el nombre del proyecto-Al-Al--</v>
      </c>
      <c r="B622" s="626" t="str">
        <f t="shared" si="187"/>
        <v>proyecto-Alerta: Seleccione la celda en la comumna B con el nombre del proyecto-Al-Al-</v>
      </c>
      <c r="C622" s="626" t="str">
        <f t="shared" si="188"/>
        <v>proyecto-Alerta: Seleccione la celda en la comumna B con el nombre del proyecto-</v>
      </c>
      <c r="D622" s="626" t="str">
        <f t="shared" si="189"/>
        <v>proyecto--Al-Al-</v>
      </c>
      <c r="E622" s="626" t="str">
        <f t="shared" si="190"/>
        <v>--</v>
      </c>
      <c r="F622" s="627"/>
      <c r="G622" s="628">
        <f t="shared" si="191"/>
        <v>0</v>
      </c>
      <c r="H622" s="629" t="b">
        <f t="shared" si="192"/>
        <v>1</v>
      </c>
      <c r="I622" s="630"/>
      <c r="J622" s="627"/>
      <c r="K622" s="631" t="str">
        <f>+IFERROR(VLOOKUP(J622,Listas!$A$108:$B$114,2,FALSE),"Alerta: Seleccione la celda en la comumna B con el nombre del proyecto")</f>
        <v>Alerta: Seleccione la celda en la comumna B con el nombre del proyecto</v>
      </c>
      <c r="L622" s="632"/>
      <c r="M622" s="633"/>
      <c r="N622" s="634" t="str">
        <f t="shared" si="193"/>
        <v xml:space="preserve">(Cód. ) </v>
      </c>
      <c r="O622" s="635"/>
      <c r="P622" s="636">
        <f>IFERROR(VLOOKUP(W622,'Estimación CRP'!$D$21:$E$30,2,FALSE),0)</f>
        <v>0</v>
      </c>
      <c r="Q622" s="637">
        <f>IF(O622="No aplica","No aplica",WORKDAY.INTL(O622,P622,1,'Estimación CRP'!A808:A824))</f>
        <v>0</v>
      </c>
      <c r="R622" s="636">
        <f t="shared" si="194"/>
        <v>1</v>
      </c>
      <c r="S622" s="636">
        <f t="shared" si="195"/>
        <v>1</v>
      </c>
      <c r="T622" s="636">
        <f t="shared" si="196"/>
        <v>1</v>
      </c>
      <c r="U622" s="638"/>
      <c r="V622" s="638"/>
      <c r="W622" s="639"/>
      <c r="X622" s="640" t="str">
        <f>IFERROR(VLOOKUP(W622,Listas!$A$60:$B$73,2,FALSE),"Alerta: Seleccione primero Modalidad de selección")</f>
        <v>Alerta: Seleccione primero Modalidad de selección</v>
      </c>
      <c r="Y622" s="641">
        <v>0</v>
      </c>
      <c r="Z622" s="641"/>
      <c r="AA622" s="641"/>
      <c r="AB622" s="642">
        <f t="shared" si="197"/>
        <v>0</v>
      </c>
      <c r="AC622" s="642">
        <f t="shared" si="198"/>
        <v>0</v>
      </c>
      <c r="AD622" s="641">
        <v>0</v>
      </c>
      <c r="AE622" s="643">
        <v>0</v>
      </c>
      <c r="AF622" s="639" t="s">
        <v>276</v>
      </c>
      <c r="AG622" s="639" t="s">
        <v>277</v>
      </c>
      <c r="AH622" s="639"/>
      <c r="AI622" s="626" t="str">
        <f>IFERROR(VLOOKUP(AH622,Listas!$A$77:$C$83,2,FALSE),"Alerta: Seleccione primero el responsable")</f>
        <v>Alerta: Seleccione primero el responsable</v>
      </c>
      <c r="AJ622" s="640" t="str">
        <f>IFERROR(VLOOKUP(AH622,Listas!$A$77:$C$83,3,FALSE),"Alerta: Seleccione primero el responsable")</f>
        <v>Alerta: Seleccione primero el responsable</v>
      </c>
      <c r="AK622" s="640" t="str">
        <f>IF(J622="Funcionamiento Gastos Generales","No aplica",IF(J622="Funcionamiento Servicios Personales indirectos","No aplica",IFERROR(VLOOKUP(J622,Listas!$A$127:$E$139,3,FALSE),"Alerta: Seleccione la celda en la comumna B con el nombre del proyecto")))</f>
        <v>Alerta: Seleccione la celda en la comumna B con el nombre del proyecto</v>
      </c>
      <c r="AL622" s="640" t="str">
        <f>IF(J622="Funcionamiento Gastos Generales","No aplica",IF(J622="Funcionamiento Servicios Personales","No aplica",IFERROR(VLOOKUP(J622,Listas!$A$220:$D$224,2,FALSE),"Alerta: Seleccione la celda en la comumna B con el nombre del proyecto")))</f>
        <v>Alerta: Seleccione la celda en la comumna B con el nombre del proyecto</v>
      </c>
      <c r="AM622" s="640" t="str">
        <f>IF(J622="Funcionamiento Gastos Generales","No aplica",IF(J622="Funcionamiento Servicios Personales","No aplica",IFERROR(VLOOKUP(J622,Listas!$A$220:$D$224,3,FALSE),"Alerta: Seleccione la celda en la comumna B con el nombre del proyecto")))</f>
        <v>Alerta: Seleccione la celda en la comumna B con el nombre del proyecto</v>
      </c>
      <c r="AN622" s="633"/>
      <c r="AO622" s="633"/>
      <c r="AP622" s="634" t="str">
        <f>IFERROR(VLOOKUP(J622,Listas!$A$182:$E$215,5,FALSE),"Alerta: Seleccione la celda en la comumna B con el nombre del proyecto")</f>
        <v>Alerta: Seleccione la celda en la comumna B con el nombre del proyecto</v>
      </c>
      <c r="AQ622" s="634" t="str">
        <f>IF(J622="Funcionamiento Gastos Generales","No aplica",IF(J622="Funcionamiento Servicios Personales","No aplica",IFERROR(VLOOKUP(J622,Listas!$A$220:$D$224,4,FALSE),"Alerta: Seleccione la celda en la comumna B con el nombre del proyecto")))</f>
        <v>Alerta: Seleccione la celda en la comumna B con el nombre del proyecto</v>
      </c>
      <c r="AR622" s="633"/>
      <c r="AS622" s="634" t="str">
        <f>IFERROR(VLOOKUP(AU622,Listas!$E$85:$L$105,7,FALSE),"Alerta: Seleccione la celda en la comumna AI con el concepto de gasto")</f>
        <v>Alerta: Seleccione la celda en la comumna AI con el concepto de gasto</v>
      </c>
      <c r="AT622" s="634" t="str">
        <f>IFERROR(VLOOKUP(AU622,Listas!$E$85:$L$105,8,FALSE),"Alerta: Seleccione la celda en la comumna AI con el concepto de gasto")</f>
        <v>Alerta: Seleccione la celda en la comumna AI con el concepto de gasto</v>
      </c>
      <c r="AU622" s="633"/>
      <c r="AV622" s="634" t="str">
        <f>IFERROR(VLOOKUP(AU622,Listas!$E$85:$F$105,2,FALSE),"Alerta: Seleccione el Concepto de Gasto primero")</f>
        <v>Alerta: Seleccione el Concepto de Gasto primero</v>
      </c>
      <c r="AW622" s="644"/>
      <c r="AX622" s="645"/>
      <c r="AY622" s="645"/>
      <c r="AZ622" s="645"/>
      <c r="BA622" s="646">
        <f t="shared" si="199"/>
        <v>0</v>
      </c>
      <c r="BB622" s="647"/>
      <c r="BC622" s="648"/>
      <c r="BD622" s="649"/>
      <c r="BE622" s="647"/>
      <c r="BF622" s="644"/>
      <c r="BG622" s="646">
        <f t="shared" si="200"/>
        <v>0</v>
      </c>
      <c r="BH622" s="650"/>
      <c r="BI622" s="647"/>
      <c r="BJ622" s="644"/>
      <c r="BK622" s="646">
        <f t="shared" si="201"/>
        <v>0</v>
      </c>
      <c r="BL622" s="651"/>
      <c r="BM622" s="652">
        <f t="shared" si="202"/>
        <v>1</v>
      </c>
      <c r="BN622" s="628"/>
      <c r="BO622" s="670"/>
      <c r="BP622" s="644"/>
      <c r="BQ622" s="644"/>
      <c r="BR622" s="644"/>
      <c r="BS622" s="644"/>
      <c r="BT622" s="644"/>
      <c r="BU622" s="644"/>
      <c r="BV622" s="644"/>
      <c r="BW622" s="644"/>
      <c r="BX622" s="644"/>
      <c r="BY622" s="644"/>
      <c r="BZ622" s="644"/>
      <c r="CA622" s="644"/>
      <c r="CB622" s="646">
        <f t="shared" si="203"/>
        <v>0</v>
      </c>
      <c r="CC622" s="646">
        <f t="shared" si="204"/>
        <v>0</v>
      </c>
      <c r="CD622" s="614"/>
      <c r="CG622" s="561" t="s">
        <v>589</v>
      </c>
    </row>
    <row r="623" spans="1:85" s="561" customFormat="1" ht="61.5" customHeight="1">
      <c r="A623" s="625" t="str">
        <f t="shared" si="186"/>
        <v>proyecto-Alerta: Seleccione la celda en la comumna B con el nombre del proyecto-Al-Al--</v>
      </c>
      <c r="B623" s="626" t="str">
        <f t="shared" si="187"/>
        <v>proyecto-Alerta: Seleccione la celda en la comumna B con el nombre del proyecto-Al-Al-</v>
      </c>
      <c r="C623" s="626" t="str">
        <f t="shared" si="188"/>
        <v>proyecto-Alerta: Seleccione la celda en la comumna B con el nombre del proyecto-</v>
      </c>
      <c r="D623" s="626" t="str">
        <f t="shared" si="189"/>
        <v>proyecto--Al-Al-</v>
      </c>
      <c r="E623" s="626" t="str">
        <f t="shared" si="190"/>
        <v>--</v>
      </c>
      <c r="F623" s="627"/>
      <c r="G623" s="628">
        <f t="shared" si="191"/>
        <v>0</v>
      </c>
      <c r="H623" s="629" t="b">
        <f t="shared" si="192"/>
        <v>1</v>
      </c>
      <c r="I623" s="630"/>
      <c r="J623" s="627"/>
      <c r="K623" s="631" t="str">
        <f>+IFERROR(VLOOKUP(J623,Listas!$A$108:$B$114,2,FALSE),"Alerta: Seleccione la celda en la comumna B con el nombre del proyecto")</f>
        <v>Alerta: Seleccione la celda en la comumna B con el nombre del proyecto</v>
      </c>
      <c r="L623" s="632"/>
      <c r="M623" s="633"/>
      <c r="N623" s="634" t="str">
        <f t="shared" si="193"/>
        <v xml:space="preserve">(Cód. ) </v>
      </c>
      <c r="O623" s="635"/>
      <c r="P623" s="636">
        <f>IFERROR(VLOOKUP(W623,'Estimación CRP'!$D$21:$E$30,2,FALSE),0)</f>
        <v>0</v>
      </c>
      <c r="Q623" s="637">
        <f>IF(O623="No aplica","No aplica",WORKDAY.INTL(O623,P623,1,'Estimación CRP'!A809:A825))</f>
        <v>0</v>
      </c>
      <c r="R623" s="636">
        <f t="shared" si="194"/>
        <v>1</v>
      </c>
      <c r="S623" s="636">
        <f t="shared" si="195"/>
        <v>1</v>
      </c>
      <c r="T623" s="636">
        <f t="shared" si="196"/>
        <v>1</v>
      </c>
      <c r="U623" s="638"/>
      <c r="V623" s="638"/>
      <c r="W623" s="639"/>
      <c r="X623" s="640" t="str">
        <f>IFERROR(VLOOKUP(W623,Listas!$A$60:$B$73,2,FALSE),"Alerta: Seleccione primero Modalidad de selección")</f>
        <v>Alerta: Seleccione primero Modalidad de selección</v>
      </c>
      <c r="Y623" s="641">
        <v>0</v>
      </c>
      <c r="Z623" s="641"/>
      <c r="AA623" s="641"/>
      <c r="AB623" s="642">
        <f t="shared" si="197"/>
        <v>0</v>
      </c>
      <c r="AC623" s="642">
        <f t="shared" si="198"/>
        <v>0</v>
      </c>
      <c r="AD623" s="641">
        <v>0</v>
      </c>
      <c r="AE623" s="643">
        <v>0</v>
      </c>
      <c r="AF623" s="639" t="s">
        <v>276</v>
      </c>
      <c r="AG623" s="639" t="s">
        <v>277</v>
      </c>
      <c r="AH623" s="639"/>
      <c r="AI623" s="626" t="str">
        <f>IFERROR(VLOOKUP(AH623,Listas!$A$77:$C$83,2,FALSE),"Alerta: Seleccione primero el responsable")</f>
        <v>Alerta: Seleccione primero el responsable</v>
      </c>
      <c r="AJ623" s="640" t="str">
        <f>IFERROR(VLOOKUP(AH623,Listas!$A$77:$C$83,3,FALSE),"Alerta: Seleccione primero el responsable")</f>
        <v>Alerta: Seleccione primero el responsable</v>
      </c>
      <c r="AK623" s="640" t="str">
        <f>IF(J623="Funcionamiento Gastos Generales","No aplica",IF(J623="Funcionamiento Servicios Personales indirectos","No aplica",IFERROR(VLOOKUP(J623,Listas!$A$127:$E$139,3,FALSE),"Alerta: Seleccione la celda en la comumna B con el nombre del proyecto")))</f>
        <v>Alerta: Seleccione la celda en la comumna B con el nombre del proyecto</v>
      </c>
      <c r="AL623" s="640" t="str">
        <f>IF(J623="Funcionamiento Gastos Generales","No aplica",IF(J623="Funcionamiento Servicios Personales","No aplica",IFERROR(VLOOKUP(J623,Listas!$A$220:$D$224,2,FALSE),"Alerta: Seleccione la celda en la comumna B con el nombre del proyecto")))</f>
        <v>Alerta: Seleccione la celda en la comumna B con el nombre del proyecto</v>
      </c>
      <c r="AM623" s="640" t="str">
        <f>IF(J623="Funcionamiento Gastos Generales","No aplica",IF(J623="Funcionamiento Servicios Personales","No aplica",IFERROR(VLOOKUP(J623,Listas!$A$220:$D$224,3,FALSE),"Alerta: Seleccione la celda en la comumna B con el nombre del proyecto")))</f>
        <v>Alerta: Seleccione la celda en la comumna B con el nombre del proyecto</v>
      </c>
      <c r="AN623" s="633"/>
      <c r="AO623" s="633"/>
      <c r="AP623" s="634" t="str">
        <f>IFERROR(VLOOKUP(J623,Listas!$A$182:$E$215,5,FALSE),"Alerta: Seleccione la celda en la comumna B con el nombre del proyecto")</f>
        <v>Alerta: Seleccione la celda en la comumna B con el nombre del proyecto</v>
      </c>
      <c r="AQ623" s="634" t="str">
        <f>IF(J623="Funcionamiento Gastos Generales","No aplica",IF(J623="Funcionamiento Servicios Personales","No aplica",IFERROR(VLOOKUP(J623,Listas!$A$220:$D$224,4,FALSE),"Alerta: Seleccione la celda en la comumna B con el nombre del proyecto")))</f>
        <v>Alerta: Seleccione la celda en la comumna B con el nombre del proyecto</v>
      </c>
      <c r="AR623" s="633"/>
      <c r="AS623" s="634" t="str">
        <f>IFERROR(VLOOKUP(AU623,Listas!$E$85:$L$105,7,FALSE),"Alerta: Seleccione la celda en la comumna AI con el concepto de gasto")</f>
        <v>Alerta: Seleccione la celda en la comumna AI con el concepto de gasto</v>
      </c>
      <c r="AT623" s="634" t="str">
        <f>IFERROR(VLOOKUP(AU623,Listas!$E$85:$L$105,8,FALSE),"Alerta: Seleccione la celda en la comumna AI con el concepto de gasto")</f>
        <v>Alerta: Seleccione la celda en la comumna AI con el concepto de gasto</v>
      </c>
      <c r="AU623" s="633"/>
      <c r="AV623" s="634" t="str">
        <f>IFERROR(VLOOKUP(AU623,Listas!$E$85:$F$105,2,FALSE),"Alerta: Seleccione el Concepto de Gasto primero")</f>
        <v>Alerta: Seleccione el Concepto de Gasto primero</v>
      </c>
      <c r="AW623" s="644"/>
      <c r="AX623" s="645"/>
      <c r="AY623" s="645"/>
      <c r="AZ623" s="645"/>
      <c r="BA623" s="646">
        <f t="shared" si="199"/>
        <v>0</v>
      </c>
      <c r="BB623" s="647"/>
      <c r="BC623" s="648"/>
      <c r="BD623" s="649"/>
      <c r="BE623" s="647"/>
      <c r="BF623" s="644"/>
      <c r="BG623" s="646">
        <f t="shared" si="200"/>
        <v>0</v>
      </c>
      <c r="BH623" s="650"/>
      <c r="BI623" s="647"/>
      <c r="BJ623" s="644"/>
      <c r="BK623" s="646">
        <f t="shared" si="201"/>
        <v>0</v>
      </c>
      <c r="BL623" s="651"/>
      <c r="BM623" s="652">
        <f t="shared" si="202"/>
        <v>1</v>
      </c>
      <c r="BN623" s="628"/>
      <c r="BO623" s="670"/>
      <c r="BP623" s="644"/>
      <c r="BQ623" s="644"/>
      <c r="BR623" s="644"/>
      <c r="BS623" s="644"/>
      <c r="BT623" s="644"/>
      <c r="BU623" s="644"/>
      <c r="BV623" s="644"/>
      <c r="BW623" s="644"/>
      <c r="BX623" s="644"/>
      <c r="BY623" s="644"/>
      <c r="BZ623" s="644"/>
      <c r="CA623" s="644"/>
      <c r="CB623" s="646">
        <f t="shared" si="203"/>
        <v>0</v>
      </c>
      <c r="CC623" s="646">
        <f t="shared" si="204"/>
        <v>0</v>
      </c>
      <c r="CD623" s="614"/>
    </row>
    <row r="624" spans="1:85" s="561" customFormat="1" ht="61.5" customHeight="1">
      <c r="A624" s="625" t="str">
        <f t="shared" si="186"/>
        <v>proyecto-Alerta: Seleccione la celda en la comumna B con el nombre del proyecto-Al-Al--</v>
      </c>
      <c r="B624" s="626" t="str">
        <f t="shared" si="187"/>
        <v>proyecto-Alerta: Seleccione la celda en la comumna B con el nombre del proyecto-Al-Al-</v>
      </c>
      <c r="C624" s="626" t="str">
        <f t="shared" si="188"/>
        <v>proyecto-Alerta: Seleccione la celda en la comumna B con el nombre del proyecto-</v>
      </c>
      <c r="D624" s="626" t="str">
        <f t="shared" si="189"/>
        <v>proyecto--Al-Al-</v>
      </c>
      <c r="E624" s="626" t="str">
        <f t="shared" si="190"/>
        <v>--</v>
      </c>
      <c r="F624" s="627"/>
      <c r="G624" s="628">
        <f t="shared" si="191"/>
        <v>0</v>
      </c>
      <c r="H624" s="629" t="b">
        <f t="shared" si="192"/>
        <v>1</v>
      </c>
      <c r="I624" s="630"/>
      <c r="J624" s="627"/>
      <c r="K624" s="631" t="str">
        <f>+IFERROR(VLOOKUP(J624,Listas!$A$108:$B$114,2,FALSE),"Alerta: Seleccione la celda en la comumna B con el nombre del proyecto")</f>
        <v>Alerta: Seleccione la celda en la comumna B con el nombre del proyecto</v>
      </c>
      <c r="L624" s="632"/>
      <c r="M624" s="633"/>
      <c r="N624" s="634" t="str">
        <f t="shared" si="193"/>
        <v xml:space="preserve">(Cód. ) </v>
      </c>
      <c r="O624" s="635"/>
      <c r="P624" s="636">
        <f>IFERROR(VLOOKUP(W624,'Estimación CRP'!$D$21:$E$30,2,FALSE),0)</f>
        <v>0</v>
      </c>
      <c r="Q624" s="637">
        <f>IF(O624="No aplica","No aplica",WORKDAY.INTL(O624,P624,1,'Estimación CRP'!A810:A826))</f>
        <v>0</v>
      </c>
      <c r="R624" s="636">
        <f t="shared" si="194"/>
        <v>1</v>
      </c>
      <c r="S624" s="636">
        <f t="shared" si="195"/>
        <v>1</v>
      </c>
      <c r="T624" s="636">
        <f t="shared" si="196"/>
        <v>1</v>
      </c>
      <c r="U624" s="638"/>
      <c r="V624" s="638"/>
      <c r="W624" s="639"/>
      <c r="X624" s="640" t="str">
        <f>IFERROR(VLOOKUP(W624,Listas!$A$60:$B$73,2,FALSE),"Alerta: Seleccione primero Modalidad de selección")</f>
        <v>Alerta: Seleccione primero Modalidad de selección</v>
      </c>
      <c r="Y624" s="641">
        <v>0</v>
      </c>
      <c r="Z624" s="641"/>
      <c r="AA624" s="641"/>
      <c r="AB624" s="642">
        <f t="shared" si="197"/>
        <v>0</v>
      </c>
      <c r="AC624" s="642">
        <f t="shared" si="198"/>
        <v>0</v>
      </c>
      <c r="AD624" s="641">
        <v>0</v>
      </c>
      <c r="AE624" s="643">
        <v>0</v>
      </c>
      <c r="AF624" s="639" t="s">
        <v>276</v>
      </c>
      <c r="AG624" s="639" t="s">
        <v>277</v>
      </c>
      <c r="AH624" s="639"/>
      <c r="AI624" s="626" t="str">
        <f>IFERROR(VLOOKUP(AH624,Listas!$A$77:$C$83,2,FALSE),"Alerta: Seleccione primero el responsable")</f>
        <v>Alerta: Seleccione primero el responsable</v>
      </c>
      <c r="AJ624" s="640" t="str">
        <f>IFERROR(VLOOKUP(AH624,Listas!$A$77:$C$83,3,FALSE),"Alerta: Seleccione primero el responsable")</f>
        <v>Alerta: Seleccione primero el responsable</v>
      </c>
      <c r="AK624" s="640" t="str">
        <f>IF(J624="Funcionamiento Gastos Generales","No aplica",IF(J624="Funcionamiento Servicios Personales indirectos","No aplica",IFERROR(VLOOKUP(J624,Listas!$A$127:$E$139,3,FALSE),"Alerta: Seleccione la celda en la comumna B con el nombre del proyecto")))</f>
        <v>Alerta: Seleccione la celda en la comumna B con el nombre del proyecto</v>
      </c>
      <c r="AL624" s="640" t="str">
        <f>IF(J624="Funcionamiento Gastos Generales","No aplica",IF(J624="Funcionamiento Servicios Personales","No aplica",IFERROR(VLOOKUP(J624,Listas!$A$220:$D$224,2,FALSE),"Alerta: Seleccione la celda en la comumna B con el nombre del proyecto")))</f>
        <v>Alerta: Seleccione la celda en la comumna B con el nombre del proyecto</v>
      </c>
      <c r="AM624" s="640" t="str">
        <f>IF(J624="Funcionamiento Gastos Generales","No aplica",IF(J624="Funcionamiento Servicios Personales","No aplica",IFERROR(VLOOKUP(J624,Listas!$A$220:$D$224,3,FALSE),"Alerta: Seleccione la celda en la comumna B con el nombre del proyecto")))</f>
        <v>Alerta: Seleccione la celda en la comumna B con el nombre del proyecto</v>
      </c>
      <c r="AN624" s="633"/>
      <c r="AO624" s="633"/>
      <c r="AP624" s="634" t="str">
        <f>IFERROR(VLOOKUP(J624,Listas!$A$182:$E$215,5,FALSE),"Alerta: Seleccione la celda en la comumna B con el nombre del proyecto")</f>
        <v>Alerta: Seleccione la celda en la comumna B con el nombre del proyecto</v>
      </c>
      <c r="AQ624" s="634" t="str">
        <f>IF(J624="Funcionamiento Gastos Generales","No aplica",IF(J624="Funcionamiento Servicios Personales","No aplica",IFERROR(VLOOKUP(J624,Listas!$A$220:$D$224,4,FALSE),"Alerta: Seleccione la celda en la comumna B con el nombre del proyecto")))</f>
        <v>Alerta: Seleccione la celda en la comumna B con el nombre del proyecto</v>
      </c>
      <c r="AR624" s="633"/>
      <c r="AS624" s="634" t="str">
        <f>IFERROR(VLOOKUP(AU624,Listas!$E$85:$L$105,7,FALSE),"Alerta: Seleccione la celda en la comumna AI con el concepto de gasto")</f>
        <v>Alerta: Seleccione la celda en la comumna AI con el concepto de gasto</v>
      </c>
      <c r="AT624" s="634" t="str">
        <f>IFERROR(VLOOKUP(AU624,Listas!$E$85:$L$105,8,FALSE),"Alerta: Seleccione la celda en la comumna AI con el concepto de gasto")</f>
        <v>Alerta: Seleccione la celda en la comumna AI con el concepto de gasto</v>
      </c>
      <c r="AU624" s="633"/>
      <c r="AV624" s="634" t="str">
        <f>IFERROR(VLOOKUP(AU624,Listas!$E$85:$F$105,2,FALSE),"Alerta: Seleccione el Concepto de Gasto primero")</f>
        <v>Alerta: Seleccione el Concepto de Gasto primero</v>
      </c>
      <c r="AW624" s="644"/>
      <c r="AX624" s="645"/>
      <c r="AY624" s="645"/>
      <c r="AZ624" s="645"/>
      <c r="BA624" s="646">
        <f t="shared" si="199"/>
        <v>0</v>
      </c>
      <c r="BB624" s="647"/>
      <c r="BC624" s="648"/>
      <c r="BD624" s="649"/>
      <c r="BE624" s="647"/>
      <c r="BF624" s="644"/>
      <c r="BG624" s="646">
        <f t="shared" si="200"/>
        <v>0</v>
      </c>
      <c r="BH624" s="650"/>
      <c r="BI624" s="647"/>
      <c r="BJ624" s="644"/>
      <c r="BK624" s="646">
        <f t="shared" si="201"/>
        <v>0</v>
      </c>
      <c r="BL624" s="651"/>
      <c r="BM624" s="652">
        <f t="shared" si="202"/>
        <v>1</v>
      </c>
      <c r="BN624" s="628"/>
      <c r="BO624" s="670"/>
      <c r="BP624" s="644"/>
      <c r="BQ624" s="644"/>
      <c r="BR624" s="644"/>
      <c r="BS624" s="644"/>
      <c r="BT624" s="644"/>
      <c r="BU624" s="644"/>
      <c r="BV624" s="644"/>
      <c r="BW624" s="644"/>
      <c r="BX624" s="644"/>
      <c r="BY624" s="644"/>
      <c r="BZ624" s="644"/>
      <c r="CA624" s="644"/>
      <c r="CB624" s="646">
        <f t="shared" si="203"/>
        <v>0</v>
      </c>
      <c r="CC624" s="646">
        <f t="shared" si="204"/>
        <v>0</v>
      </c>
      <c r="CD624" s="614"/>
      <c r="CG624" s="561" t="s">
        <v>589</v>
      </c>
    </row>
    <row r="625" spans="1:82" s="561" customFormat="1" ht="61.5" customHeight="1">
      <c r="A625" s="625" t="str">
        <f t="shared" si="186"/>
        <v>proyecto-Alerta: Seleccione la celda en la comumna B con el nombre del proyecto-Al-Al--</v>
      </c>
      <c r="B625" s="626" t="str">
        <f t="shared" si="187"/>
        <v>proyecto-Alerta: Seleccione la celda en la comumna B con el nombre del proyecto-Al-Al-</v>
      </c>
      <c r="C625" s="626" t="str">
        <f t="shared" si="188"/>
        <v>proyecto-Alerta: Seleccione la celda en la comumna B con el nombre del proyecto-</v>
      </c>
      <c r="D625" s="626" t="str">
        <f t="shared" si="189"/>
        <v>proyecto--Al-Al-</v>
      </c>
      <c r="E625" s="626" t="str">
        <f t="shared" si="190"/>
        <v>--</v>
      </c>
      <c r="F625" s="627"/>
      <c r="G625" s="628">
        <f t="shared" si="191"/>
        <v>0</v>
      </c>
      <c r="H625" s="629" t="b">
        <f t="shared" si="192"/>
        <v>1</v>
      </c>
      <c r="I625" s="630"/>
      <c r="J625" s="627"/>
      <c r="K625" s="631" t="str">
        <f>+IFERROR(VLOOKUP(J625,Listas!$A$108:$B$114,2,FALSE),"Alerta: Seleccione la celda en la comumna B con el nombre del proyecto")</f>
        <v>Alerta: Seleccione la celda en la comumna B con el nombre del proyecto</v>
      </c>
      <c r="L625" s="632"/>
      <c r="M625" s="633"/>
      <c r="N625" s="634" t="str">
        <f t="shared" si="193"/>
        <v xml:space="preserve">(Cód. ) </v>
      </c>
      <c r="O625" s="635"/>
      <c r="P625" s="636">
        <f>IFERROR(VLOOKUP(W625,'Estimación CRP'!$D$21:$E$30,2,FALSE),0)</f>
        <v>0</v>
      </c>
      <c r="Q625" s="637">
        <f>IF(O625="No aplica","No aplica",WORKDAY.INTL(O625,P625,1,'Estimación CRP'!A811:A827))</f>
        <v>0</v>
      </c>
      <c r="R625" s="636">
        <f t="shared" si="194"/>
        <v>1</v>
      </c>
      <c r="S625" s="636">
        <f t="shared" si="195"/>
        <v>1</v>
      </c>
      <c r="T625" s="636">
        <f t="shared" si="196"/>
        <v>1</v>
      </c>
      <c r="U625" s="638"/>
      <c r="V625" s="638"/>
      <c r="W625" s="639"/>
      <c r="X625" s="640" t="str">
        <f>IFERROR(VLOOKUP(W625,Listas!$A$60:$B$73,2,FALSE),"Alerta: Seleccione primero Modalidad de selección")</f>
        <v>Alerta: Seleccione primero Modalidad de selección</v>
      </c>
      <c r="Y625" s="641">
        <v>0</v>
      </c>
      <c r="Z625" s="641"/>
      <c r="AA625" s="641"/>
      <c r="AB625" s="642">
        <f t="shared" si="197"/>
        <v>0</v>
      </c>
      <c r="AC625" s="642">
        <f t="shared" si="198"/>
        <v>0</v>
      </c>
      <c r="AD625" s="641">
        <v>0</v>
      </c>
      <c r="AE625" s="643">
        <v>0</v>
      </c>
      <c r="AF625" s="639" t="s">
        <v>276</v>
      </c>
      <c r="AG625" s="639" t="s">
        <v>277</v>
      </c>
      <c r="AH625" s="639"/>
      <c r="AI625" s="626" t="str">
        <f>IFERROR(VLOOKUP(AH625,Listas!$A$77:$C$83,2,FALSE),"Alerta: Seleccione primero el responsable")</f>
        <v>Alerta: Seleccione primero el responsable</v>
      </c>
      <c r="AJ625" s="640" t="str">
        <f>IFERROR(VLOOKUP(AH625,Listas!$A$77:$C$83,3,FALSE),"Alerta: Seleccione primero el responsable")</f>
        <v>Alerta: Seleccione primero el responsable</v>
      </c>
      <c r="AK625" s="640" t="str">
        <f>IF(J625="Funcionamiento Gastos Generales","No aplica",IF(J625="Funcionamiento Servicios Personales indirectos","No aplica",IFERROR(VLOOKUP(J625,Listas!$A$127:$E$139,3,FALSE),"Alerta: Seleccione la celda en la comumna B con el nombre del proyecto")))</f>
        <v>Alerta: Seleccione la celda en la comumna B con el nombre del proyecto</v>
      </c>
      <c r="AL625" s="640" t="str">
        <f>IF(J625="Funcionamiento Gastos Generales","No aplica",IF(J625="Funcionamiento Servicios Personales","No aplica",IFERROR(VLOOKUP(J625,Listas!$A$220:$D$224,2,FALSE),"Alerta: Seleccione la celda en la comumna B con el nombre del proyecto")))</f>
        <v>Alerta: Seleccione la celda en la comumna B con el nombre del proyecto</v>
      </c>
      <c r="AM625" s="640" t="str">
        <f>IF(J625="Funcionamiento Gastos Generales","No aplica",IF(J625="Funcionamiento Servicios Personales","No aplica",IFERROR(VLOOKUP(J625,Listas!$A$220:$D$224,3,FALSE),"Alerta: Seleccione la celda en la comumna B con el nombre del proyecto")))</f>
        <v>Alerta: Seleccione la celda en la comumna B con el nombre del proyecto</v>
      </c>
      <c r="AN625" s="633"/>
      <c r="AO625" s="633"/>
      <c r="AP625" s="634" t="str">
        <f>IFERROR(VLOOKUP(J625,Listas!$A$182:$E$215,5,FALSE),"Alerta: Seleccione la celda en la comumna B con el nombre del proyecto")</f>
        <v>Alerta: Seleccione la celda en la comumna B con el nombre del proyecto</v>
      </c>
      <c r="AQ625" s="634" t="str">
        <f>IF(J625="Funcionamiento Gastos Generales","No aplica",IF(J625="Funcionamiento Servicios Personales","No aplica",IFERROR(VLOOKUP(J625,Listas!$A$220:$D$224,4,FALSE),"Alerta: Seleccione la celda en la comumna B con el nombre del proyecto")))</f>
        <v>Alerta: Seleccione la celda en la comumna B con el nombre del proyecto</v>
      </c>
      <c r="AR625" s="633"/>
      <c r="AS625" s="634" t="str">
        <f>IFERROR(VLOOKUP(AU625,Listas!$E$85:$L$105,7,FALSE),"Alerta: Seleccione la celda en la comumna AI con el concepto de gasto")</f>
        <v>Alerta: Seleccione la celda en la comumna AI con el concepto de gasto</v>
      </c>
      <c r="AT625" s="634" t="str">
        <f>IFERROR(VLOOKUP(AU625,Listas!$E$85:$L$105,8,FALSE),"Alerta: Seleccione la celda en la comumna AI con el concepto de gasto")</f>
        <v>Alerta: Seleccione la celda en la comumna AI con el concepto de gasto</v>
      </c>
      <c r="AU625" s="633"/>
      <c r="AV625" s="634" t="str">
        <f>IFERROR(VLOOKUP(AU625,Listas!$E$85:$F$105,2,FALSE),"Alerta: Seleccione el Concepto de Gasto primero")</f>
        <v>Alerta: Seleccione el Concepto de Gasto primero</v>
      </c>
      <c r="AW625" s="644"/>
      <c r="AX625" s="645"/>
      <c r="AY625" s="645"/>
      <c r="AZ625" s="645"/>
      <c r="BA625" s="646">
        <f t="shared" si="199"/>
        <v>0</v>
      </c>
      <c r="BB625" s="647"/>
      <c r="BC625" s="648"/>
      <c r="BD625" s="649"/>
      <c r="BE625" s="647"/>
      <c r="BF625" s="644"/>
      <c r="BG625" s="646">
        <f t="shared" si="200"/>
        <v>0</v>
      </c>
      <c r="BH625" s="650"/>
      <c r="BI625" s="647"/>
      <c r="BJ625" s="644"/>
      <c r="BK625" s="646">
        <f t="shared" si="201"/>
        <v>0</v>
      </c>
      <c r="BL625" s="651"/>
      <c r="BM625" s="652">
        <f t="shared" si="202"/>
        <v>1</v>
      </c>
      <c r="BN625" s="628"/>
      <c r="BO625" s="670"/>
      <c r="BP625" s="644"/>
      <c r="BQ625" s="644"/>
      <c r="BR625" s="644"/>
      <c r="BS625" s="644"/>
      <c r="BT625" s="644"/>
      <c r="BU625" s="644"/>
      <c r="BV625" s="644"/>
      <c r="BW625" s="644"/>
      <c r="BX625" s="644"/>
      <c r="BY625" s="644"/>
      <c r="BZ625" s="644"/>
      <c r="CA625" s="644"/>
      <c r="CB625" s="646">
        <f t="shared" si="203"/>
        <v>0</v>
      </c>
      <c r="CC625" s="646">
        <f t="shared" si="204"/>
        <v>0</v>
      </c>
      <c r="CD625" s="614"/>
    </row>
    <row r="626" spans="1:82" s="561" customFormat="1" ht="61.5" customHeight="1">
      <c r="A626" s="625" t="str">
        <f t="shared" si="186"/>
        <v>proyecto-Alerta: Seleccione la celda en la comumna B con el nombre del proyecto-Al-Al--</v>
      </c>
      <c r="B626" s="626" t="str">
        <f t="shared" si="187"/>
        <v>proyecto-Alerta: Seleccione la celda en la comumna B con el nombre del proyecto-Al-Al-</v>
      </c>
      <c r="C626" s="626" t="str">
        <f t="shared" si="188"/>
        <v>proyecto-Alerta: Seleccione la celda en la comumna B con el nombre del proyecto-</v>
      </c>
      <c r="D626" s="626" t="str">
        <f t="shared" si="189"/>
        <v>proyecto--Al-Al-</v>
      </c>
      <c r="E626" s="626" t="str">
        <f t="shared" si="190"/>
        <v>--</v>
      </c>
      <c r="F626" s="627"/>
      <c r="G626" s="628">
        <f t="shared" si="191"/>
        <v>0</v>
      </c>
      <c r="H626" s="629" t="b">
        <f t="shared" si="192"/>
        <v>1</v>
      </c>
      <c r="I626" s="630"/>
      <c r="J626" s="627"/>
      <c r="K626" s="631" t="str">
        <f>+IFERROR(VLOOKUP(J626,Listas!$A$108:$B$114,2,FALSE),"Alerta: Seleccione la celda en la comumna B con el nombre del proyecto")</f>
        <v>Alerta: Seleccione la celda en la comumna B con el nombre del proyecto</v>
      </c>
      <c r="L626" s="632"/>
      <c r="M626" s="633"/>
      <c r="N626" s="634" t="str">
        <f t="shared" si="193"/>
        <v xml:space="preserve">(Cód. ) </v>
      </c>
      <c r="O626" s="635"/>
      <c r="P626" s="636">
        <f>IFERROR(VLOOKUP(W626,'Estimación CRP'!$D$21:$E$30,2,FALSE),0)</f>
        <v>0</v>
      </c>
      <c r="Q626" s="637">
        <f>IF(O626="No aplica","No aplica",WORKDAY.INTL(O626,P626,1,'Estimación CRP'!A812:A828))</f>
        <v>0</v>
      </c>
      <c r="R626" s="636">
        <f t="shared" si="194"/>
        <v>1</v>
      </c>
      <c r="S626" s="636">
        <f t="shared" si="195"/>
        <v>1</v>
      </c>
      <c r="T626" s="636">
        <f t="shared" si="196"/>
        <v>1</v>
      </c>
      <c r="U626" s="638"/>
      <c r="V626" s="638"/>
      <c r="W626" s="639"/>
      <c r="X626" s="640" t="str">
        <f>IFERROR(VLOOKUP(W626,Listas!$A$60:$B$73,2,FALSE),"Alerta: Seleccione primero Modalidad de selección")</f>
        <v>Alerta: Seleccione primero Modalidad de selección</v>
      </c>
      <c r="Y626" s="641">
        <v>0</v>
      </c>
      <c r="Z626" s="641"/>
      <c r="AA626" s="641"/>
      <c r="AB626" s="642">
        <f t="shared" si="197"/>
        <v>0</v>
      </c>
      <c r="AC626" s="642">
        <f t="shared" si="198"/>
        <v>0</v>
      </c>
      <c r="AD626" s="641">
        <v>0</v>
      </c>
      <c r="AE626" s="643">
        <v>0</v>
      </c>
      <c r="AF626" s="639" t="s">
        <v>276</v>
      </c>
      <c r="AG626" s="639" t="s">
        <v>277</v>
      </c>
      <c r="AH626" s="639"/>
      <c r="AI626" s="626" t="str">
        <f>IFERROR(VLOOKUP(AH626,Listas!$A$77:$C$83,2,FALSE),"Alerta: Seleccione primero el responsable")</f>
        <v>Alerta: Seleccione primero el responsable</v>
      </c>
      <c r="AJ626" s="640" t="str">
        <f>IFERROR(VLOOKUP(AH626,Listas!$A$77:$C$83,3,FALSE),"Alerta: Seleccione primero el responsable")</f>
        <v>Alerta: Seleccione primero el responsable</v>
      </c>
      <c r="AK626" s="640" t="str">
        <f>IF(J626="Funcionamiento Gastos Generales","No aplica",IF(J626="Funcionamiento Servicios Personales indirectos","No aplica",IFERROR(VLOOKUP(J626,Listas!$A$127:$E$139,3,FALSE),"Alerta: Seleccione la celda en la comumna B con el nombre del proyecto")))</f>
        <v>Alerta: Seleccione la celda en la comumna B con el nombre del proyecto</v>
      </c>
      <c r="AL626" s="640" t="str">
        <f>IF(J626="Funcionamiento Gastos Generales","No aplica",IF(J626="Funcionamiento Servicios Personales","No aplica",IFERROR(VLOOKUP(J626,Listas!$A$220:$D$224,2,FALSE),"Alerta: Seleccione la celda en la comumna B con el nombre del proyecto")))</f>
        <v>Alerta: Seleccione la celda en la comumna B con el nombre del proyecto</v>
      </c>
      <c r="AM626" s="640" t="str">
        <f>IF(J626="Funcionamiento Gastos Generales","No aplica",IF(J626="Funcionamiento Servicios Personales","No aplica",IFERROR(VLOOKUP(J626,Listas!$A$220:$D$224,3,FALSE),"Alerta: Seleccione la celda en la comumna B con el nombre del proyecto")))</f>
        <v>Alerta: Seleccione la celda en la comumna B con el nombre del proyecto</v>
      </c>
      <c r="AN626" s="633"/>
      <c r="AO626" s="633"/>
      <c r="AP626" s="634" t="str">
        <f>IFERROR(VLOOKUP(J626,Listas!$A$182:$E$215,5,FALSE),"Alerta: Seleccione la celda en la comumna B con el nombre del proyecto")</f>
        <v>Alerta: Seleccione la celda en la comumna B con el nombre del proyecto</v>
      </c>
      <c r="AQ626" s="634" t="str">
        <f>IF(J626="Funcionamiento Gastos Generales","No aplica",IF(J626="Funcionamiento Servicios Personales","No aplica",IFERROR(VLOOKUP(J626,Listas!$A$220:$D$224,4,FALSE),"Alerta: Seleccione la celda en la comumna B con el nombre del proyecto")))</f>
        <v>Alerta: Seleccione la celda en la comumna B con el nombre del proyecto</v>
      </c>
      <c r="AR626" s="633"/>
      <c r="AS626" s="634" t="str">
        <f>IFERROR(VLOOKUP(AU626,Listas!$E$85:$L$105,7,FALSE),"Alerta: Seleccione la celda en la comumna AI con el concepto de gasto")</f>
        <v>Alerta: Seleccione la celda en la comumna AI con el concepto de gasto</v>
      </c>
      <c r="AT626" s="634" t="str">
        <f>IFERROR(VLOOKUP(AU626,Listas!$E$85:$L$105,8,FALSE),"Alerta: Seleccione la celda en la comumna AI con el concepto de gasto")</f>
        <v>Alerta: Seleccione la celda en la comumna AI con el concepto de gasto</v>
      </c>
      <c r="AU626" s="633"/>
      <c r="AV626" s="634" t="str">
        <f>IFERROR(VLOOKUP(AU626,Listas!$E$85:$F$105,2,FALSE),"Alerta: Seleccione el Concepto de Gasto primero")</f>
        <v>Alerta: Seleccione el Concepto de Gasto primero</v>
      </c>
      <c r="AW626" s="644"/>
      <c r="AX626" s="645"/>
      <c r="AY626" s="645"/>
      <c r="AZ626" s="645"/>
      <c r="BA626" s="646">
        <f t="shared" si="199"/>
        <v>0</v>
      </c>
      <c r="BB626" s="647"/>
      <c r="BC626" s="648"/>
      <c r="BD626" s="649"/>
      <c r="BE626" s="647"/>
      <c r="BF626" s="644"/>
      <c r="BG626" s="646">
        <f t="shared" si="200"/>
        <v>0</v>
      </c>
      <c r="BH626" s="650"/>
      <c r="BI626" s="647"/>
      <c r="BJ626" s="644"/>
      <c r="BK626" s="646">
        <f t="shared" si="201"/>
        <v>0</v>
      </c>
      <c r="BL626" s="651"/>
      <c r="BM626" s="652">
        <f t="shared" si="202"/>
        <v>1</v>
      </c>
      <c r="BN626" s="628"/>
      <c r="BO626" s="670"/>
      <c r="BP626" s="644"/>
      <c r="BQ626" s="644"/>
      <c r="BR626" s="644"/>
      <c r="BS626" s="644"/>
      <c r="BT626" s="644"/>
      <c r="BU626" s="644"/>
      <c r="BV626" s="644"/>
      <c r="BW626" s="644"/>
      <c r="BX626" s="644"/>
      <c r="BY626" s="644"/>
      <c r="BZ626" s="644"/>
      <c r="CA626" s="644"/>
      <c r="CB626" s="646">
        <f t="shared" si="203"/>
        <v>0</v>
      </c>
      <c r="CC626" s="646">
        <f t="shared" si="204"/>
        <v>0</v>
      </c>
      <c r="CD626" s="614"/>
    </row>
    <row r="627" spans="1:82" s="561" customFormat="1" ht="61.5" customHeight="1">
      <c r="A627" s="625" t="str">
        <f t="shared" si="186"/>
        <v>proyecto-Alerta: Seleccione la celda en la comumna B con el nombre del proyecto-Al-Al--</v>
      </c>
      <c r="B627" s="626" t="str">
        <f t="shared" si="187"/>
        <v>proyecto-Alerta: Seleccione la celda en la comumna B con el nombre del proyecto-Al-Al-</v>
      </c>
      <c r="C627" s="626" t="str">
        <f t="shared" si="188"/>
        <v>proyecto-Alerta: Seleccione la celda en la comumna B con el nombre del proyecto-</v>
      </c>
      <c r="D627" s="626" t="str">
        <f t="shared" si="189"/>
        <v>proyecto--Al-Al-</v>
      </c>
      <c r="E627" s="626" t="str">
        <f t="shared" si="190"/>
        <v>--</v>
      </c>
      <c r="F627" s="627"/>
      <c r="G627" s="628">
        <f t="shared" si="191"/>
        <v>0</v>
      </c>
      <c r="H627" s="629" t="b">
        <f t="shared" si="192"/>
        <v>1</v>
      </c>
      <c r="I627" s="630"/>
      <c r="J627" s="627"/>
      <c r="K627" s="631" t="str">
        <f>+IFERROR(VLOOKUP(J627,Listas!$A$108:$B$114,2,FALSE),"Alerta: Seleccione la celda en la comumna B con el nombre del proyecto")</f>
        <v>Alerta: Seleccione la celda en la comumna B con el nombre del proyecto</v>
      </c>
      <c r="L627" s="632"/>
      <c r="M627" s="633"/>
      <c r="N627" s="634" t="str">
        <f t="shared" si="193"/>
        <v xml:space="preserve">(Cód. ) </v>
      </c>
      <c r="O627" s="635"/>
      <c r="P627" s="636">
        <f>IFERROR(VLOOKUP(W627,'Estimación CRP'!$D$21:$E$30,2,FALSE),0)</f>
        <v>0</v>
      </c>
      <c r="Q627" s="637">
        <f>IF(O627="No aplica","No aplica",WORKDAY.INTL(O627,P627,1,'Estimación CRP'!A813:A829))</f>
        <v>0</v>
      </c>
      <c r="R627" s="636">
        <f t="shared" si="194"/>
        <v>1</v>
      </c>
      <c r="S627" s="636">
        <f t="shared" si="195"/>
        <v>1</v>
      </c>
      <c r="T627" s="636">
        <f t="shared" si="196"/>
        <v>1</v>
      </c>
      <c r="U627" s="638"/>
      <c r="V627" s="638"/>
      <c r="W627" s="639"/>
      <c r="X627" s="640" t="str">
        <f>IFERROR(VLOOKUP(W627,Listas!$A$60:$B$73,2,FALSE),"Alerta: Seleccione primero Modalidad de selección")</f>
        <v>Alerta: Seleccione primero Modalidad de selección</v>
      </c>
      <c r="Y627" s="641">
        <v>0</v>
      </c>
      <c r="Z627" s="641"/>
      <c r="AA627" s="641"/>
      <c r="AB627" s="642">
        <f t="shared" si="197"/>
        <v>0</v>
      </c>
      <c r="AC627" s="642">
        <f t="shared" si="198"/>
        <v>0</v>
      </c>
      <c r="AD627" s="641">
        <v>0</v>
      </c>
      <c r="AE627" s="643">
        <v>0</v>
      </c>
      <c r="AF627" s="639" t="s">
        <v>276</v>
      </c>
      <c r="AG627" s="639" t="s">
        <v>277</v>
      </c>
      <c r="AH627" s="639"/>
      <c r="AI627" s="626" t="str">
        <f>IFERROR(VLOOKUP(AH627,Listas!$A$77:$C$83,2,FALSE),"Alerta: Seleccione primero el responsable")</f>
        <v>Alerta: Seleccione primero el responsable</v>
      </c>
      <c r="AJ627" s="640" t="str">
        <f>IFERROR(VLOOKUP(AH627,Listas!$A$77:$C$83,3,FALSE),"Alerta: Seleccione primero el responsable")</f>
        <v>Alerta: Seleccione primero el responsable</v>
      </c>
      <c r="AK627" s="640" t="str">
        <f>IF(J627="Funcionamiento Gastos Generales","No aplica",IF(J627="Funcionamiento Servicios Personales indirectos","No aplica",IFERROR(VLOOKUP(J627,Listas!$A$127:$E$139,3,FALSE),"Alerta: Seleccione la celda en la comumna B con el nombre del proyecto")))</f>
        <v>Alerta: Seleccione la celda en la comumna B con el nombre del proyecto</v>
      </c>
      <c r="AL627" s="640" t="str">
        <f>IF(J627="Funcionamiento Gastos Generales","No aplica",IF(J627="Funcionamiento Servicios Personales","No aplica",IFERROR(VLOOKUP(J627,Listas!$A$220:$D$224,2,FALSE),"Alerta: Seleccione la celda en la comumna B con el nombre del proyecto")))</f>
        <v>Alerta: Seleccione la celda en la comumna B con el nombre del proyecto</v>
      </c>
      <c r="AM627" s="640" t="str">
        <f>IF(J627="Funcionamiento Gastos Generales","No aplica",IF(J627="Funcionamiento Servicios Personales","No aplica",IFERROR(VLOOKUP(J627,Listas!$A$220:$D$224,3,FALSE),"Alerta: Seleccione la celda en la comumna B con el nombre del proyecto")))</f>
        <v>Alerta: Seleccione la celda en la comumna B con el nombre del proyecto</v>
      </c>
      <c r="AN627" s="633"/>
      <c r="AO627" s="633"/>
      <c r="AP627" s="634" t="str">
        <f>IFERROR(VLOOKUP(J627,Listas!$A$182:$E$215,5,FALSE),"Alerta: Seleccione la celda en la comumna B con el nombre del proyecto")</f>
        <v>Alerta: Seleccione la celda en la comumna B con el nombre del proyecto</v>
      </c>
      <c r="AQ627" s="634" t="str">
        <f>IF(J627="Funcionamiento Gastos Generales","No aplica",IF(J627="Funcionamiento Servicios Personales","No aplica",IFERROR(VLOOKUP(J627,Listas!$A$220:$D$224,4,FALSE),"Alerta: Seleccione la celda en la comumna B con el nombre del proyecto")))</f>
        <v>Alerta: Seleccione la celda en la comumna B con el nombre del proyecto</v>
      </c>
      <c r="AR627" s="633"/>
      <c r="AS627" s="634" t="str">
        <f>IFERROR(VLOOKUP(AU627,Listas!$E$85:$L$105,7,FALSE),"Alerta: Seleccione la celda en la comumna AI con el concepto de gasto")</f>
        <v>Alerta: Seleccione la celda en la comumna AI con el concepto de gasto</v>
      </c>
      <c r="AT627" s="634" t="str">
        <f>IFERROR(VLOOKUP(AU627,Listas!$E$85:$L$105,8,FALSE),"Alerta: Seleccione la celda en la comumna AI con el concepto de gasto")</f>
        <v>Alerta: Seleccione la celda en la comumna AI con el concepto de gasto</v>
      </c>
      <c r="AU627" s="633"/>
      <c r="AV627" s="634" t="str">
        <f>IFERROR(VLOOKUP(AU627,Listas!$E$85:$F$105,2,FALSE),"Alerta: Seleccione el Concepto de Gasto primero")</f>
        <v>Alerta: Seleccione el Concepto de Gasto primero</v>
      </c>
      <c r="AW627" s="644"/>
      <c r="AX627" s="645"/>
      <c r="AY627" s="645"/>
      <c r="AZ627" s="645"/>
      <c r="BA627" s="646">
        <f t="shared" si="199"/>
        <v>0</v>
      </c>
      <c r="BB627" s="647"/>
      <c r="BC627" s="648"/>
      <c r="BD627" s="649"/>
      <c r="BE627" s="647"/>
      <c r="BF627" s="644"/>
      <c r="BG627" s="646">
        <f t="shared" si="200"/>
        <v>0</v>
      </c>
      <c r="BH627" s="650"/>
      <c r="BI627" s="647"/>
      <c r="BJ627" s="644"/>
      <c r="BK627" s="646">
        <f t="shared" si="201"/>
        <v>0</v>
      </c>
      <c r="BL627" s="651"/>
      <c r="BM627" s="652">
        <f t="shared" si="202"/>
        <v>1</v>
      </c>
      <c r="BN627" s="628"/>
      <c r="BO627" s="670"/>
      <c r="BP627" s="644"/>
      <c r="BQ627" s="644"/>
      <c r="BR627" s="644"/>
      <c r="BS627" s="644"/>
      <c r="BT627" s="644"/>
      <c r="BU627" s="644"/>
      <c r="BV627" s="644"/>
      <c r="BW627" s="644"/>
      <c r="BX627" s="644"/>
      <c r="BY627" s="644"/>
      <c r="BZ627" s="644"/>
      <c r="CA627" s="644"/>
      <c r="CB627" s="646">
        <f t="shared" si="203"/>
        <v>0</v>
      </c>
      <c r="CC627" s="646">
        <f t="shared" si="204"/>
        <v>0</v>
      </c>
      <c r="CD627" s="614"/>
    </row>
    <row r="628" spans="1:82" s="561" customFormat="1" ht="61.5" customHeight="1">
      <c r="A628" s="625" t="str">
        <f t="shared" si="186"/>
        <v>proyecto-Alerta: Seleccione la celda en la comumna B con el nombre del proyecto-Al-Al--</v>
      </c>
      <c r="B628" s="626" t="str">
        <f t="shared" si="187"/>
        <v>proyecto-Alerta: Seleccione la celda en la comumna B con el nombre del proyecto-Al-Al-</v>
      </c>
      <c r="C628" s="626" t="str">
        <f t="shared" si="188"/>
        <v>proyecto-Alerta: Seleccione la celda en la comumna B con el nombre del proyecto-</v>
      </c>
      <c r="D628" s="626" t="str">
        <f t="shared" si="189"/>
        <v>proyecto--Al-Al-</v>
      </c>
      <c r="E628" s="626" t="str">
        <f t="shared" si="190"/>
        <v>--</v>
      </c>
      <c r="F628" s="627"/>
      <c r="G628" s="628">
        <f t="shared" si="191"/>
        <v>0</v>
      </c>
      <c r="H628" s="629" t="b">
        <f t="shared" si="192"/>
        <v>1</v>
      </c>
      <c r="I628" s="630"/>
      <c r="J628" s="627"/>
      <c r="K628" s="631" t="str">
        <f>+IFERROR(VLOOKUP(J628,Listas!$A$108:$B$114,2,FALSE),"Alerta: Seleccione la celda en la comumna B con el nombre del proyecto")</f>
        <v>Alerta: Seleccione la celda en la comumna B con el nombre del proyecto</v>
      </c>
      <c r="L628" s="632"/>
      <c r="M628" s="633"/>
      <c r="N628" s="634" t="str">
        <f t="shared" si="193"/>
        <v xml:space="preserve">(Cód. ) </v>
      </c>
      <c r="O628" s="635"/>
      <c r="P628" s="636">
        <f>IFERROR(VLOOKUP(W628,'Estimación CRP'!$D$21:$E$30,2,FALSE),0)</f>
        <v>0</v>
      </c>
      <c r="Q628" s="637">
        <f>IF(O628="No aplica","No aplica",WORKDAY.INTL(O628,P628,1,'Estimación CRP'!A814:A830))</f>
        <v>0</v>
      </c>
      <c r="R628" s="636">
        <f t="shared" si="194"/>
        <v>1</v>
      </c>
      <c r="S628" s="636">
        <f t="shared" si="195"/>
        <v>1</v>
      </c>
      <c r="T628" s="636">
        <f t="shared" si="196"/>
        <v>1</v>
      </c>
      <c r="U628" s="638"/>
      <c r="V628" s="638"/>
      <c r="W628" s="639"/>
      <c r="X628" s="640" t="str">
        <f>IFERROR(VLOOKUP(W628,Listas!$A$60:$B$73,2,FALSE),"Alerta: Seleccione primero Modalidad de selección")</f>
        <v>Alerta: Seleccione primero Modalidad de selección</v>
      </c>
      <c r="Y628" s="641">
        <v>0</v>
      </c>
      <c r="Z628" s="641"/>
      <c r="AA628" s="641"/>
      <c r="AB628" s="642">
        <f t="shared" si="197"/>
        <v>0</v>
      </c>
      <c r="AC628" s="642">
        <f t="shared" si="198"/>
        <v>0</v>
      </c>
      <c r="AD628" s="641">
        <v>0</v>
      </c>
      <c r="AE628" s="643">
        <v>0</v>
      </c>
      <c r="AF628" s="639" t="s">
        <v>276</v>
      </c>
      <c r="AG628" s="639" t="s">
        <v>277</v>
      </c>
      <c r="AH628" s="639"/>
      <c r="AI628" s="626" t="str">
        <f>IFERROR(VLOOKUP(AH628,Listas!$A$77:$C$83,2,FALSE),"Alerta: Seleccione primero el responsable")</f>
        <v>Alerta: Seleccione primero el responsable</v>
      </c>
      <c r="AJ628" s="640" t="str">
        <f>IFERROR(VLOOKUP(AH628,Listas!$A$77:$C$83,3,FALSE),"Alerta: Seleccione primero el responsable")</f>
        <v>Alerta: Seleccione primero el responsable</v>
      </c>
      <c r="AK628" s="640" t="str">
        <f>IF(J628="Funcionamiento Gastos Generales","No aplica",IF(J628="Funcionamiento Servicios Personales indirectos","No aplica",IFERROR(VLOOKUP(J628,Listas!$A$127:$E$139,3,FALSE),"Alerta: Seleccione la celda en la comumna B con el nombre del proyecto")))</f>
        <v>Alerta: Seleccione la celda en la comumna B con el nombre del proyecto</v>
      </c>
      <c r="AL628" s="640" t="str">
        <f>IF(J628="Funcionamiento Gastos Generales","No aplica",IF(J628="Funcionamiento Servicios Personales","No aplica",IFERROR(VLOOKUP(J628,Listas!$A$220:$D$224,2,FALSE),"Alerta: Seleccione la celda en la comumna B con el nombre del proyecto")))</f>
        <v>Alerta: Seleccione la celda en la comumna B con el nombre del proyecto</v>
      </c>
      <c r="AM628" s="640" t="str">
        <f>IF(J628="Funcionamiento Gastos Generales","No aplica",IF(J628="Funcionamiento Servicios Personales","No aplica",IFERROR(VLOOKUP(J628,Listas!$A$220:$D$224,3,FALSE),"Alerta: Seleccione la celda en la comumna B con el nombre del proyecto")))</f>
        <v>Alerta: Seleccione la celda en la comumna B con el nombre del proyecto</v>
      </c>
      <c r="AN628" s="633"/>
      <c r="AO628" s="633"/>
      <c r="AP628" s="634" t="str">
        <f>IFERROR(VLOOKUP(J628,Listas!$A$182:$E$215,5,FALSE),"Alerta: Seleccione la celda en la comumna B con el nombre del proyecto")</f>
        <v>Alerta: Seleccione la celda en la comumna B con el nombre del proyecto</v>
      </c>
      <c r="AQ628" s="634" t="str">
        <f>IF(J628="Funcionamiento Gastos Generales","No aplica",IF(J628="Funcionamiento Servicios Personales","No aplica",IFERROR(VLOOKUP(J628,Listas!$A$220:$D$224,4,FALSE),"Alerta: Seleccione la celda en la comumna B con el nombre del proyecto")))</f>
        <v>Alerta: Seleccione la celda en la comumna B con el nombre del proyecto</v>
      </c>
      <c r="AR628" s="633"/>
      <c r="AS628" s="634" t="str">
        <f>IFERROR(VLOOKUP(AU628,Listas!$E$85:$L$105,7,FALSE),"Alerta: Seleccione la celda en la comumna AI con el concepto de gasto")</f>
        <v>Alerta: Seleccione la celda en la comumna AI con el concepto de gasto</v>
      </c>
      <c r="AT628" s="634" t="str">
        <f>IFERROR(VLOOKUP(AU628,Listas!$E$85:$L$105,8,FALSE),"Alerta: Seleccione la celda en la comumna AI con el concepto de gasto")</f>
        <v>Alerta: Seleccione la celda en la comumna AI con el concepto de gasto</v>
      </c>
      <c r="AU628" s="633"/>
      <c r="AV628" s="634" t="str">
        <f>IFERROR(VLOOKUP(AU628,Listas!$E$85:$F$105,2,FALSE),"Alerta: Seleccione el Concepto de Gasto primero")</f>
        <v>Alerta: Seleccione el Concepto de Gasto primero</v>
      </c>
      <c r="AW628" s="644"/>
      <c r="AX628" s="645"/>
      <c r="AY628" s="645"/>
      <c r="AZ628" s="645"/>
      <c r="BA628" s="646">
        <f t="shared" si="199"/>
        <v>0</v>
      </c>
      <c r="BB628" s="647"/>
      <c r="BC628" s="648"/>
      <c r="BD628" s="649"/>
      <c r="BE628" s="647"/>
      <c r="BF628" s="644"/>
      <c r="BG628" s="646">
        <f t="shared" si="200"/>
        <v>0</v>
      </c>
      <c r="BH628" s="650"/>
      <c r="BI628" s="647"/>
      <c r="BJ628" s="644"/>
      <c r="BK628" s="646">
        <f t="shared" si="201"/>
        <v>0</v>
      </c>
      <c r="BL628" s="651"/>
      <c r="BM628" s="652">
        <f t="shared" si="202"/>
        <v>1</v>
      </c>
      <c r="BN628" s="628"/>
      <c r="BO628" s="670"/>
      <c r="BP628" s="644"/>
      <c r="BQ628" s="644"/>
      <c r="BR628" s="644"/>
      <c r="BS628" s="644"/>
      <c r="BT628" s="644"/>
      <c r="BU628" s="644"/>
      <c r="BV628" s="644"/>
      <c r="BW628" s="644"/>
      <c r="BX628" s="644"/>
      <c r="BY628" s="644"/>
      <c r="BZ628" s="644"/>
      <c r="CA628" s="644"/>
      <c r="CB628" s="646">
        <f t="shared" si="203"/>
        <v>0</v>
      </c>
      <c r="CC628" s="646">
        <f t="shared" si="204"/>
        <v>0</v>
      </c>
      <c r="CD628" s="614"/>
    </row>
    <row r="629" spans="1:82" s="561" customFormat="1" ht="61.5" customHeight="1">
      <c r="A629" s="625" t="str">
        <f t="shared" si="186"/>
        <v>proyecto-Alerta: Seleccione la celda en la comumna B con el nombre del proyecto-Al-Al--</v>
      </c>
      <c r="B629" s="626" t="str">
        <f t="shared" si="187"/>
        <v>proyecto-Alerta: Seleccione la celda en la comumna B con el nombre del proyecto-Al-Al-</v>
      </c>
      <c r="C629" s="626" t="str">
        <f t="shared" si="188"/>
        <v>proyecto-Alerta: Seleccione la celda en la comumna B con el nombre del proyecto-</v>
      </c>
      <c r="D629" s="626" t="str">
        <f t="shared" si="189"/>
        <v>proyecto--Al-Al-</v>
      </c>
      <c r="E629" s="626" t="str">
        <f t="shared" si="190"/>
        <v>--</v>
      </c>
      <c r="F629" s="627"/>
      <c r="G629" s="628">
        <f t="shared" si="191"/>
        <v>0</v>
      </c>
      <c r="H629" s="629" t="b">
        <f t="shared" si="192"/>
        <v>1</v>
      </c>
      <c r="I629" s="630"/>
      <c r="J629" s="627"/>
      <c r="K629" s="631" t="str">
        <f>+IFERROR(VLOOKUP(J629,Listas!$A$108:$B$114,2,FALSE),"Alerta: Seleccione la celda en la comumna B con el nombre del proyecto")</f>
        <v>Alerta: Seleccione la celda en la comumna B con el nombre del proyecto</v>
      </c>
      <c r="L629" s="632"/>
      <c r="M629" s="633"/>
      <c r="N629" s="634" t="str">
        <f t="shared" si="193"/>
        <v xml:space="preserve">(Cód. ) </v>
      </c>
      <c r="O629" s="635"/>
      <c r="P629" s="636">
        <f>IFERROR(VLOOKUP(W629,'Estimación CRP'!$D$21:$E$30,2,FALSE),0)</f>
        <v>0</v>
      </c>
      <c r="Q629" s="637">
        <f>IF(O629="No aplica","No aplica",WORKDAY.INTL(O629,P629,1,'Estimación CRP'!A815:A831))</f>
        <v>0</v>
      </c>
      <c r="R629" s="636">
        <f t="shared" si="194"/>
        <v>1</v>
      </c>
      <c r="S629" s="636">
        <f t="shared" si="195"/>
        <v>1</v>
      </c>
      <c r="T629" s="636">
        <f t="shared" si="196"/>
        <v>1</v>
      </c>
      <c r="U629" s="638"/>
      <c r="V629" s="638"/>
      <c r="W629" s="639"/>
      <c r="X629" s="640" t="str">
        <f>IFERROR(VLOOKUP(W629,Listas!$A$60:$B$73,2,FALSE),"Alerta: Seleccione primero Modalidad de selección")</f>
        <v>Alerta: Seleccione primero Modalidad de selección</v>
      </c>
      <c r="Y629" s="641">
        <v>0</v>
      </c>
      <c r="Z629" s="641"/>
      <c r="AA629" s="641"/>
      <c r="AB629" s="642">
        <f t="shared" si="197"/>
        <v>0</v>
      </c>
      <c r="AC629" s="642">
        <f t="shared" si="198"/>
        <v>0</v>
      </c>
      <c r="AD629" s="641">
        <v>0</v>
      </c>
      <c r="AE629" s="643">
        <v>0</v>
      </c>
      <c r="AF629" s="639" t="s">
        <v>276</v>
      </c>
      <c r="AG629" s="639" t="s">
        <v>277</v>
      </c>
      <c r="AH629" s="639"/>
      <c r="AI629" s="626" t="str">
        <f>IFERROR(VLOOKUP(AH629,Listas!$A$77:$C$83,2,FALSE),"Alerta: Seleccione primero el responsable")</f>
        <v>Alerta: Seleccione primero el responsable</v>
      </c>
      <c r="AJ629" s="640" t="str">
        <f>IFERROR(VLOOKUP(AH629,Listas!$A$77:$C$83,3,FALSE),"Alerta: Seleccione primero el responsable")</f>
        <v>Alerta: Seleccione primero el responsable</v>
      </c>
      <c r="AK629" s="640" t="str">
        <f>IF(J629="Funcionamiento Gastos Generales","No aplica",IF(J629="Funcionamiento Servicios Personales indirectos","No aplica",IFERROR(VLOOKUP(J629,Listas!$A$127:$E$139,3,FALSE),"Alerta: Seleccione la celda en la comumna B con el nombre del proyecto")))</f>
        <v>Alerta: Seleccione la celda en la comumna B con el nombre del proyecto</v>
      </c>
      <c r="AL629" s="640" t="str">
        <f>IF(J629="Funcionamiento Gastos Generales","No aplica",IF(J629="Funcionamiento Servicios Personales","No aplica",IFERROR(VLOOKUP(J629,Listas!$A$220:$D$224,2,FALSE),"Alerta: Seleccione la celda en la comumna B con el nombre del proyecto")))</f>
        <v>Alerta: Seleccione la celda en la comumna B con el nombre del proyecto</v>
      </c>
      <c r="AM629" s="640" t="str">
        <f>IF(J629="Funcionamiento Gastos Generales","No aplica",IF(J629="Funcionamiento Servicios Personales","No aplica",IFERROR(VLOOKUP(J629,Listas!$A$220:$D$224,3,FALSE),"Alerta: Seleccione la celda en la comumna B con el nombre del proyecto")))</f>
        <v>Alerta: Seleccione la celda en la comumna B con el nombre del proyecto</v>
      </c>
      <c r="AN629" s="633"/>
      <c r="AO629" s="633"/>
      <c r="AP629" s="634" t="str">
        <f>IFERROR(VLOOKUP(J629,Listas!$A$182:$E$215,5,FALSE),"Alerta: Seleccione la celda en la comumna B con el nombre del proyecto")</f>
        <v>Alerta: Seleccione la celda en la comumna B con el nombre del proyecto</v>
      </c>
      <c r="AQ629" s="634" t="str">
        <f>IF(J629="Funcionamiento Gastos Generales","No aplica",IF(J629="Funcionamiento Servicios Personales","No aplica",IFERROR(VLOOKUP(J629,Listas!$A$220:$D$224,4,FALSE),"Alerta: Seleccione la celda en la comumna B con el nombre del proyecto")))</f>
        <v>Alerta: Seleccione la celda en la comumna B con el nombre del proyecto</v>
      </c>
      <c r="AR629" s="633"/>
      <c r="AS629" s="634" t="str">
        <f>IFERROR(VLOOKUP(AU629,Listas!$E$85:$L$105,7,FALSE),"Alerta: Seleccione la celda en la comumna AI con el concepto de gasto")</f>
        <v>Alerta: Seleccione la celda en la comumna AI con el concepto de gasto</v>
      </c>
      <c r="AT629" s="634" t="str">
        <f>IFERROR(VLOOKUP(AU629,Listas!$E$85:$L$105,8,FALSE),"Alerta: Seleccione la celda en la comumna AI con el concepto de gasto")</f>
        <v>Alerta: Seleccione la celda en la comumna AI con el concepto de gasto</v>
      </c>
      <c r="AU629" s="633"/>
      <c r="AV629" s="634" t="str">
        <f>IFERROR(VLOOKUP(AU629,Listas!$E$85:$F$105,2,FALSE),"Alerta: Seleccione el Concepto de Gasto primero")</f>
        <v>Alerta: Seleccione el Concepto de Gasto primero</v>
      </c>
      <c r="AW629" s="644"/>
      <c r="AX629" s="645"/>
      <c r="AY629" s="645"/>
      <c r="AZ629" s="645"/>
      <c r="BA629" s="646">
        <f t="shared" si="199"/>
        <v>0</v>
      </c>
      <c r="BB629" s="647"/>
      <c r="BC629" s="648"/>
      <c r="BD629" s="649"/>
      <c r="BE629" s="647"/>
      <c r="BF629" s="644"/>
      <c r="BG629" s="646">
        <f t="shared" si="200"/>
        <v>0</v>
      </c>
      <c r="BH629" s="650"/>
      <c r="BI629" s="647"/>
      <c r="BJ629" s="644"/>
      <c r="BK629" s="646">
        <f t="shared" si="201"/>
        <v>0</v>
      </c>
      <c r="BL629" s="651"/>
      <c r="BM629" s="652">
        <f t="shared" si="202"/>
        <v>1</v>
      </c>
      <c r="BN629" s="628"/>
      <c r="BO629" s="670"/>
      <c r="BP629" s="644"/>
      <c r="BQ629" s="644"/>
      <c r="BR629" s="644"/>
      <c r="BS629" s="644"/>
      <c r="BT629" s="644"/>
      <c r="BU629" s="644"/>
      <c r="BV629" s="644"/>
      <c r="BW629" s="644"/>
      <c r="BX629" s="644"/>
      <c r="BY629" s="644"/>
      <c r="BZ629" s="644"/>
      <c r="CA629" s="644"/>
      <c r="CB629" s="646">
        <f t="shared" si="203"/>
        <v>0</v>
      </c>
      <c r="CC629" s="646">
        <f t="shared" si="204"/>
        <v>0</v>
      </c>
      <c r="CD629" s="614"/>
    </row>
    <row r="630" spans="1:82" s="561" customFormat="1" ht="61.5" customHeight="1">
      <c r="A630" s="625" t="str">
        <f t="shared" si="186"/>
        <v>proyecto-Alerta: Seleccione la celda en la comumna B con el nombre del proyecto-Al-Al--</v>
      </c>
      <c r="B630" s="626" t="str">
        <f t="shared" si="187"/>
        <v>proyecto-Alerta: Seleccione la celda en la comumna B con el nombre del proyecto-Al-Al-</v>
      </c>
      <c r="C630" s="626" t="str">
        <f t="shared" si="188"/>
        <v>proyecto-Alerta: Seleccione la celda en la comumna B con el nombre del proyecto-</v>
      </c>
      <c r="D630" s="626" t="str">
        <f t="shared" si="189"/>
        <v>proyecto--Al-Al-</v>
      </c>
      <c r="E630" s="626" t="str">
        <f t="shared" si="190"/>
        <v>--</v>
      </c>
      <c r="F630" s="627"/>
      <c r="G630" s="628">
        <f t="shared" si="191"/>
        <v>0</v>
      </c>
      <c r="H630" s="629" t="b">
        <f t="shared" si="192"/>
        <v>1</v>
      </c>
      <c r="I630" s="630"/>
      <c r="J630" s="627"/>
      <c r="K630" s="631" t="str">
        <f>+IFERROR(VLOOKUP(J630,Listas!$A$108:$B$114,2,FALSE),"Alerta: Seleccione la celda en la comumna B con el nombre del proyecto")</f>
        <v>Alerta: Seleccione la celda en la comumna B con el nombre del proyecto</v>
      </c>
      <c r="L630" s="632"/>
      <c r="M630" s="633"/>
      <c r="N630" s="634" t="str">
        <f t="shared" si="193"/>
        <v xml:space="preserve">(Cód. ) </v>
      </c>
      <c r="O630" s="635"/>
      <c r="P630" s="636">
        <f>IFERROR(VLOOKUP(W630,'Estimación CRP'!$D$21:$E$30,2,FALSE),0)</f>
        <v>0</v>
      </c>
      <c r="Q630" s="637">
        <f>IF(O630="No aplica","No aplica",WORKDAY.INTL(O630,P630,1,'Estimación CRP'!A816:A832))</f>
        <v>0</v>
      </c>
      <c r="R630" s="636">
        <f t="shared" si="194"/>
        <v>1</v>
      </c>
      <c r="S630" s="636">
        <f t="shared" si="195"/>
        <v>1</v>
      </c>
      <c r="T630" s="636">
        <f t="shared" si="196"/>
        <v>1</v>
      </c>
      <c r="U630" s="638"/>
      <c r="V630" s="638"/>
      <c r="W630" s="639"/>
      <c r="X630" s="640" t="str">
        <f>IFERROR(VLOOKUP(W630,Listas!$A$60:$B$73,2,FALSE),"Alerta: Seleccione primero Modalidad de selección")</f>
        <v>Alerta: Seleccione primero Modalidad de selección</v>
      </c>
      <c r="Y630" s="641">
        <v>0</v>
      </c>
      <c r="Z630" s="641"/>
      <c r="AA630" s="641"/>
      <c r="AB630" s="642">
        <f t="shared" si="197"/>
        <v>0</v>
      </c>
      <c r="AC630" s="642">
        <f t="shared" si="198"/>
        <v>0</v>
      </c>
      <c r="AD630" s="641">
        <v>0</v>
      </c>
      <c r="AE630" s="643">
        <v>0</v>
      </c>
      <c r="AF630" s="639" t="s">
        <v>276</v>
      </c>
      <c r="AG630" s="639" t="s">
        <v>277</v>
      </c>
      <c r="AH630" s="639"/>
      <c r="AI630" s="626" t="str">
        <f>IFERROR(VLOOKUP(AH630,Listas!$A$77:$C$83,2,FALSE),"Alerta: Seleccione primero el responsable")</f>
        <v>Alerta: Seleccione primero el responsable</v>
      </c>
      <c r="AJ630" s="640" t="str">
        <f>IFERROR(VLOOKUP(AH630,Listas!$A$77:$C$83,3,FALSE),"Alerta: Seleccione primero el responsable")</f>
        <v>Alerta: Seleccione primero el responsable</v>
      </c>
      <c r="AK630" s="640" t="str">
        <f>IF(J630="Funcionamiento Gastos Generales","No aplica",IF(J630="Funcionamiento Servicios Personales indirectos","No aplica",IFERROR(VLOOKUP(J630,Listas!$A$127:$E$139,3,FALSE),"Alerta: Seleccione la celda en la comumna B con el nombre del proyecto")))</f>
        <v>Alerta: Seleccione la celda en la comumna B con el nombre del proyecto</v>
      </c>
      <c r="AL630" s="640" t="str">
        <f>IF(J630="Funcionamiento Gastos Generales","No aplica",IF(J630="Funcionamiento Servicios Personales","No aplica",IFERROR(VLOOKUP(J630,Listas!$A$220:$D$224,2,FALSE),"Alerta: Seleccione la celda en la comumna B con el nombre del proyecto")))</f>
        <v>Alerta: Seleccione la celda en la comumna B con el nombre del proyecto</v>
      </c>
      <c r="AM630" s="640" t="str">
        <f>IF(J630="Funcionamiento Gastos Generales","No aplica",IF(J630="Funcionamiento Servicios Personales","No aplica",IFERROR(VLOOKUP(J630,Listas!$A$220:$D$224,3,FALSE),"Alerta: Seleccione la celda en la comumna B con el nombre del proyecto")))</f>
        <v>Alerta: Seleccione la celda en la comumna B con el nombre del proyecto</v>
      </c>
      <c r="AN630" s="633"/>
      <c r="AO630" s="633"/>
      <c r="AP630" s="634" t="str">
        <f>IFERROR(VLOOKUP(J630,Listas!$A$182:$E$215,5,FALSE),"Alerta: Seleccione la celda en la comumna B con el nombre del proyecto")</f>
        <v>Alerta: Seleccione la celda en la comumna B con el nombre del proyecto</v>
      </c>
      <c r="AQ630" s="634" t="str">
        <f>IF(J630="Funcionamiento Gastos Generales","No aplica",IF(J630="Funcionamiento Servicios Personales","No aplica",IFERROR(VLOOKUP(J630,Listas!$A$220:$D$224,4,FALSE),"Alerta: Seleccione la celda en la comumna B con el nombre del proyecto")))</f>
        <v>Alerta: Seleccione la celda en la comumna B con el nombre del proyecto</v>
      </c>
      <c r="AR630" s="633"/>
      <c r="AS630" s="634" t="str">
        <f>IFERROR(VLOOKUP(AU630,Listas!$E$85:$L$105,7,FALSE),"Alerta: Seleccione la celda en la comumna AI con el concepto de gasto")</f>
        <v>Alerta: Seleccione la celda en la comumna AI con el concepto de gasto</v>
      </c>
      <c r="AT630" s="634" t="str">
        <f>IFERROR(VLOOKUP(AU630,Listas!$E$85:$L$105,8,FALSE),"Alerta: Seleccione la celda en la comumna AI con el concepto de gasto")</f>
        <v>Alerta: Seleccione la celda en la comumna AI con el concepto de gasto</v>
      </c>
      <c r="AU630" s="633"/>
      <c r="AV630" s="634" t="str">
        <f>IFERROR(VLOOKUP(AU630,Listas!$E$85:$F$105,2,FALSE),"Alerta: Seleccione el Concepto de Gasto primero")</f>
        <v>Alerta: Seleccione el Concepto de Gasto primero</v>
      </c>
      <c r="AW630" s="644"/>
      <c r="AX630" s="645"/>
      <c r="AY630" s="645"/>
      <c r="AZ630" s="645"/>
      <c r="BA630" s="646">
        <f t="shared" si="199"/>
        <v>0</v>
      </c>
      <c r="BB630" s="647"/>
      <c r="BC630" s="648"/>
      <c r="BD630" s="649"/>
      <c r="BE630" s="647"/>
      <c r="BF630" s="644"/>
      <c r="BG630" s="646">
        <f t="shared" si="200"/>
        <v>0</v>
      </c>
      <c r="BH630" s="650"/>
      <c r="BI630" s="647"/>
      <c r="BJ630" s="644"/>
      <c r="BK630" s="646">
        <f t="shared" si="201"/>
        <v>0</v>
      </c>
      <c r="BL630" s="651"/>
      <c r="BM630" s="652">
        <f t="shared" si="202"/>
        <v>1</v>
      </c>
      <c r="BN630" s="628"/>
      <c r="BO630" s="670"/>
      <c r="BP630" s="644"/>
      <c r="BQ630" s="644"/>
      <c r="BR630" s="644"/>
      <c r="BS630" s="644"/>
      <c r="BT630" s="644"/>
      <c r="BU630" s="644"/>
      <c r="BV630" s="644"/>
      <c r="BW630" s="644"/>
      <c r="BX630" s="644"/>
      <c r="BY630" s="644"/>
      <c r="BZ630" s="644"/>
      <c r="CA630" s="644"/>
      <c r="CB630" s="646">
        <f t="shared" si="203"/>
        <v>0</v>
      </c>
      <c r="CC630" s="646">
        <f t="shared" si="204"/>
        <v>0</v>
      </c>
      <c r="CD630" s="614"/>
    </row>
    <row r="631" spans="1:82" s="561" customFormat="1" ht="61.5" customHeight="1">
      <c r="A631" s="625" t="str">
        <f t="shared" si="186"/>
        <v>proyecto-Alerta: Seleccione la celda en la comumna B con el nombre del proyecto-Al-Al--</v>
      </c>
      <c r="B631" s="626" t="str">
        <f t="shared" si="187"/>
        <v>proyecto-Alerta: Seleccione la celda en la comumna B con el nombre del proyecto-Al-Al-</v>
      </c>
      <c r="C631" s="626" t="str">
        <f t="shared" si="188"/>
        <v>proyecto-Alerta: Seleccione la celda en la comumna B con el nombre del proyecto-</v>
      </c>
      <c r="D631" s="626" t="str">
        <f t="shared" si="189"/>
        <v>proyecto--Al-Al-</v>
      </c>
      <c r="E631" s="626" t="str">
        <f t="shared" si="190"/>
        <v>--</v>
      </c>
      <c r="F631" s="627"/>
      <c r="G631" s="628">
        <f t="shared" si="191"/>
        <v>0</v>
      </c>
      <c r="H631" s="629" t="b">
        <f t="shared" si="192"/>
        <v>1</v>
      </c>
      <c r="I631" s="630"/>
      <c r="J631" s="627"/>
      <c r="K631" s="631" t="str">
        <f>+IFERROR(VLOOKUP(J631,Listas!$A$108:$B$114,2,FALSE),"Alerta: Seleccione la celda en la comumna B con el nombre del proyecto")</f>
        <v>Alerta: Seleccione la celda en la comumna B con el nombre del proyecto</v>
      </c>
      <c r="L631" s="632"/>
      <c r="M631" s="633"/>
      <c r="N631" s="634" t="str">
        <f t="shared" si="193"/>
        <v xml:space="preserve">(Cód. ) </v>
      </c>
      <c r="O631" s="635"/>
      <c r="P631" s="636">
        <f>IFERROR(VLOOKUP(W631,'Estimación CRP'!$D$21:$E$30,2,FALSE),0)</f>
        <v>0</v>
      </c>
      <c r="Q631" s="637">
        <f>IF(O631="No aplica","No aplica",WORKDAY.INTL(O631,P631,1,'Estimación CRP'!A817:A833))</f>
        <v>0</v>
      </c>
      <c r="R631" s="636">
        <f t="shared" si="194"/>
        <v>1</v>
      </c>
      <c r="S631" s="636">
        <f t="shared" si="195"/>
        <v>1</v>
      </c>
      <c r="T631" s="636">
        <f t="shared" si="196"/>
        <v>1</v>
      </c>
      <c r="U631" s="638"/>
      <c r="V631" s="638"/>
      <c r="W631" s="639"/>
      <c r="X631" s="640" t="str">
        <f>IFERROR(VLOOKUP(W631,Listas!$A$60:$B$73,2,FALSE),"Alerta: Seleccione primero Modalidad de selección")</f>
        <v>Alerta: Seleccione primero Modalidad de selección</v>
      </c>
      <c r="Y631" s="641">
        <v>0</v>
      </c>
      <c r="Z631" s="641"/>
      <c r="AA631" s="641"/>
      <c r="AB631" s="642">
        <f t="shared" si="197"/>
        <v>0</v>
      </c>
      <c r="AC631" s="642">
        <f t="shared" si="198"/>
        <v>0</v>
      </c>
      <c r="AD631" s="641">
        <v>0</v>
      </c>
      <c r="AE631" s="643">
        <v>0</v>
      </c>
      <c r="AF631" s="639" t="s">
        <v>276</v>
      </c>
      <c r="AG631" s="639" t="s">
        <v>277</v>
      </c>
      <c r="AH631" s="639"/>
      <c r="AI631" s="626" t="str">
        <f>IFERROR(VLOOKUP(AH631,Listas!$A$77:$C$83,2,FALSE),"Alerta: Seleccione primero el responsable")</f>
        <v>Alerta: Seleccione primero el responsable</v>
      </c>
      <c r="AJ631" s="640" t="str">
        <f>IFERROR(VLOOKUP(AH631,Listas!$A$77:$C$83,3,FALSE),"Alerta: Seleccione primero el responsable")</f>
        <v>Alerta: Seleccione primero el responsable</v>
      </c>
      <c r="AK631" s="640" t="str">
        <f>IF(J631="Funcionamiento Gastos Generales","No aplica",IF(J631="Funcionamiento Servicios Personales indirectos","No aplica",IFERROR(VLOOKUP(J631,Listas!$A$127:$E$139,3,FALSE),"Alerta: Seleccione la celda en la comumna B con el nombre del proyecto")))</f>
        <v>Alerta: Seleccione la celda en la comumna B con el nombre del proyecto</v>
      </c>
      <c r="AL631" s="640" t="str">
        <f>IF(J631="Funcionamiento Gastos Generales","No aplica",IF(J631="Funcionamiento Servicios Personales","No aplica",IFERROR(VLOOKUP(J631,Listas!$A$220:$D$224,2,FALSE),"Alerta: Seleccione la celda en la comumna B con el nombre del proyecto")))</f>
        <v>Alerta: Seleccione la celda en la comumna B con el nombre del proyecto</v>
      </c>
      <c r="AM631" s="640" t="str">
        <f>IF(J631="Funcionamiento Gastos Generales","No aplica",IF(J631="Funcionamiento Servicios Personales","No aplica",IFERROR(VLOOKUP(J631,Listas!$A$220:$D$224,3,FALSE),"Alerta: Seleccione la celda en la comumna B con el nombre del proyecto")))</f>
        <v>Alerta: Seleccione la celda en la comumna B con el nombre del proyecto</v>
      </c>
      <c r="AN631" s="633"/>
      <c r="AO631" s="633"/>
      <c r="AP631" s="634" t="str">
        <f>IFERROR(VLOOKUP(J631,Listas!$A$182:$E$215,5,FALSE),"Alerta: Seleccione la celda en la comumna B con el nombre del proyecto")</f>
        <v>Alerta: Seleccione la celda en la comumna B con el nombre del proyecto</v>
      </c>
      <c r="AQ631" s="634" t="str">
        <f>IF(J631="Funcionamiento Gastos Generales","No aplica",IF(J631="Funcionamiento Servicios Personales","No aplica",IFERROR(VLOOKUP(J631,Listas!$A$220:$D$224,4,FALSE),"Alerta: Seleccione la celda en la comumna B con el nombre del proyecto")))</f>
        <v>Alerta: Seleccione la celda en la comumna B con el nombre del proyecto</v>
      </c>
      <c r="AR631" s="633"/>
      <c r="AS631" s="634" t="str">
        <f>IFERROR(VLOOKUP(AU631,Listas!$E$85:$L$105,7,FALSE),"Alerta: Seleccione la celda en la comumna AI con el concepto de gasto")</f>
        <v>Alerta: Seleccione la celda en la comumna AI con el concepto de gasto</v>
      </c>
      <c r="AT631" s="634" t="str">
        <f>IFERROR(VLOOKUP(AU631,Listas!$E$85:$L$105,8,FALSE),"Alerta: Seleccione la celda en la comumna AI con el concepto de gasto")</f>
        <v>Alerta: Seleccione la celda en la comumna AI con el concepto de gasto</v>
      </c>
      <c r="AU631" s="633"/>
      <c r="AV631" s="634" t="str">
        <f>IFERROR(VLOOKUP(AU631,Listas!$E$85:$F$105,2,FALSE),"Alerta: Seleccione el Concepto de Gasto primero")</f>
        <v>Alerta: Seleccione el Concepto de Gasto primero</v>
      </c>
      <c r="AW631" s="644"/>
      <c r="AX631" s="645"/>
      <c r="AY631" s="645"/>
      <c r="AZ631" s="645"/>
      <c r="BA631" s="646">
        <f t="shared" si="199"/>
        <v>0</v>
      </c>
      <c r="BB631" s="647"/>
      <c r="BC631" s="648"/>
      <c r="BD631" s="649"/>
      <c r="BE631" s="647"/>
      <c r="BF631" s="644"/>
      <c r="BG631" s="646">
        <f t="shared" si="200"/>
        <v>0</v>
      </c>
      <c r="BH631" s="650"/>
      <c r="BI631" s="647"/>
      <c r="BJ631" s="644"/>
      <c r="BK631" s="646">
        <f t="shared" si="201"/>
        <v>0</v>
      </c>
      <c r="BL631" s="651"/>
      <c r="BM631" s="652">
        <f t="shared" si="202"/>
        <v>1</v>
      </c>
      <c r="BN631" s="628"/>
      <c r="BO631" s="670"/>
      <c r="BP631" s="644"/>
      <c r="BQ631" s="644"/>
      <c r="BR631" s="644"/>
      <c r="BS631" s="644"/>
      <c r="BT631" s="644"/>
      <c r="BU631" s="644"/>
      <c r="BV631" s="644"/>
      <c r="BW631" s="644"/>
      <c r="BX631" s="644"/>
      <c r="BY631" s="644"/>
      <c r="BZ631" s="644"/>
      <c r="CA631" s="644"/>
      <c r="CB631" s="646">
        <f t="shared" si="203"/>
        <v>0</v>
      </c>
      <c r="CC631" s="646">
        <f t="shared" si="204"/>
        <v>0</v>
      </c>
      <c r="CD631" s="614"/>
    </row>
    <row r="632" spans="1:82" s="561" customFormat="1" ht="61.5" customHeight="1">
      <c r="A632" s="625" t="str">
        <f t="shared" si="186"/>
        <v>proyecto-Alerta: Seleccione la celda en la comumna B con el nombre del proyecto-Al-Al--</v>
      </c>
      <c r="B632" s="626" t="str">
        <f t="shared" si="187"/>
        <v>proyecto-Alerta: Seleccione la celda en la comumna B con el nombre del proyecto-Al-Al-</v>
      </c>
      <c r="C632" s="626" t="str">
        <f t="shared" si="188"/>
        <v>proyecto-Alerta: Seleccione la celda en la comumna B con el nombre del proyecto-</v>
      </c>
      <c r="D632" s="626" t="str">
        <f t="shared" si="189"/>
        <v>proyecto--Al-Al-</v>
      </c>
      <c r="E632" s="626" t="str">
        <f t="shared" si="190"/>
        <v>--</v>
      </c>
      <c r="F632" s="627"/>
      <c r="G632" s="628">
        <f t="shared" si="191"/>
        <v>0</v>
      </c>
      <c r="H632" s="629" t="b">
        <f t="shared" si="192"/>
        <v>1</v>
      </c>
      <c r="I632" s="630"/>
      <c r="J632" s="627"/>
      <c r="K632" s="631" t="str">
        <f>+IFERROR(VLOOKUP(J632,Listas!$A$108:$B$114,2,FALSE),"Alerta: Seleccione la celda en la comumna B con el nombre del proyecto")</f>
        <v>Alerta: Seleccione la celda en la comumna B con el nombre del proyecto</v>
      </c>
      <c r="L632" s="632"/>
      <c r="M632" s="633"/>
      <c r="N632" s="634" t="str">
        <f t="shared" si="193"/>
        <v xml:space="preserve">(Cód. ) </v>
      </c>
      <c r="O632" s="635"/>
      <c r="P632" s="636">
        <f>IFERROR(VLOOKUP(W632,'Estimación CRP'!$D$21:$E$30,2,FALSE),0)</f>
        <v>0</v>
      </c>
      <c r="Q632" s="637">
        <f>IF(O632="No aplica","No aplica",WORKDAY.INTL(O632,P632,1,'Estimación CRP'!A818:A834))</f>
        <v>0</v>
      </c>
      <c r="R632" s="636">
        <f t="shared" si="194"/>
        <v>1</v>
      </c>
      <c r="S632" s="636">
        <f t="shared" si="195"/>
        <v>1</v>
      </c>
      <c r="T632" s="636">
        <f t="shared" si="196"/>
        <v>1</v>
      </c>
      <c r="U632" s="638"/>
      <c r="V632" s="638"/>
      <c r="W632" s="639"/>
      <c r="X632" s="640" t="str">
        <f>IFERROR(VLOOKUP(W632,Listas!$A$60:$B$73,2,FALSE),"Alerta: Seleccione primero Modalidad de selección")</f>
        <v>Alerta: Seleccione primero Modalidad de selección</v>
      </c>
      <c r="Y632" s="641">
        <v>0</v>
      </c>
      <c r="Z632" s="641"/>
      <c r="AA632" s="641"/>
      <c r="AB632" s="642">
        <f t="shared" si="197"/>
        <v>0</v>
      </c>
      <c r="AC632" s="642">
        <f t="shared" si="198"/>
        <v>0</v>
      </c>
      <c r="AD632" s="641">
        <v>0</v>
      </c>
      <c r="AE632" s="643">
        <v>0</v>
      </c>
      <c r="AF632" s="639" t="s">
        <v>276</v>
      </c>
      <c r="AG632" s="639" t="s">
        <v>277</v>
      </c>
      <c r="AH632" s="639"/>
      <c r="AI632" s="626" t="str">
        <f>IFERROR(VLOOKUP(AH632,Listas!$A$77:$C$83,2,FALSE),"Alerta: Seleccione primero el responsable")</f>
        <v>Alerta: Seleccione primero el responsable</v>
      </c>
      <c r="AJ632" s="640" t="str">
        <f>IFERROR(VLOOKUP(AH632,Listas!$A$77:$C$83,3,FALSE),"Alerta: Seleccione primero el responsable")</f>
        <v>Alerta: Seleccione primero el responsable</v>
      </c>
      <c r="AK632" s="640" t="str">
        <f>IF(J632="Funcionamiento Gastos Generales","No aplica",IF(J632="Funcionamiento Servicios Personales indirectos","No aplica",IFERROR(VLOOKUP(J632,Listas!$A$127:$E$139,3,FALSE),"Alerta: Seleccione la celda en la comumna B con el nombre del proyecto")))</f>
        <v>Alerta: Seleccione la celda en la comumna B con el nombre del proyecto</v>
      </c>
      <c r="AL632" s="640" t="str">
        <f>IF(J632="Funcionamiento Gastos Generales","No aplica",IF(J632="Funcionamiento Servicios Personales","No aplica",IFERROR(VLOOKUP(J632,Listas!$A$220:$D$224,2,FALSE),"Alerta: Seleccione la celda en la comumna B con el nombre del proyecto")))</f>
        <v>Alerta: Seleccione la celda en la comumna B con el nombre del proyecto</v>
      </c>
      <c r="AM632" s="640" t="str">
        <f>IF(J632="Funcionamiento Gastos Generales","No aplica",IF(J632="Funcionamiento Servicios Personales","No aplica",IFERROR(VLOOKUP(J632,Listas!$A$220:$D$224,3,FALSE),"Alerta: Seleccione la celda en la comumna B con el nombre del proyecto")))</f>
        <v>Alerta: Seleccione la celda en la comumna B con el nombre del proyecto</v>
      </c>
      <c r="AN632" s="633"/>
      <c r="AO632" s="633"/>
      <c r="AP632" s="634" t="str">
        <f>IFERROR(VLOOKUP(J632,Listas!$A$182:$E$215,5,FALSE),"Alerta: Seleccione la celda en la comumna B con el nombre del proyecto")</f>
        <v>Alerta: Seleccione la celda en la comumna B con el nombre del proyecto</v>
      </c>
      <c r="AQ632" s="634" t="str">
        <f>IF(J632="Funcionamiento Gastos Generales","No aplica",IF(J632="Funcionamiento Servicios Personales","No aplica",IFERROR(VLOOKUP(J632,Listas!$A$220:$D$224,4,FALSE),"Alerta: Seleccione la celda en la comumna B con el nombre del proyecto")))</f>
        <v>Alerta: Seleccione la celda en la comumna B con el nombre del proyecto</v>
      </c>
      <c r="AR632" s="633"/>
      <c r="AS632" s="634" t="str">
        <f>IFERROR(VLOOKUP(AU632,Listas!$E$85:$L$105,7,FALSE),"Alerta: Seleccione la celda en la comumna AI con el concepto de gasto")</f>
        <v>Alerta: Seleccione la celda en la comumna AI con el concepto de gasto</v>
      </c>
      <c r="AT632" s="634" t="str">
        <f>IFERROR(VLOOKUP(AU632,Listas!$E$85:$L$105,8,FALSE),"Alerta: Seleccione la celda en la comumna AI con el concepto de gasto")</f>
        <v>Alerta: Seleccione la celda en la comumna AI con el concepto de gasto</v>
      </c>
      <c r="AU632" s="633"/>
      <c r="AV632" s="634" t="str">
        <f>IFERROR(VLOOKUP(AU632,Listas!$E$85:$F$105,2,FALSE),"Alerta: Seleccione el Concepto de Gasto primero")</f>
        <v>Alerta: Seleccione el Concepto de Gasto primero</v>
      </c>
      <c r="AW632" s="644"/>
      <c r="AX632" s="645"/>
      <c r="AY632" s="645"/>
      <c r="AZ632" s="645"/>
      <c r="BA632" s="646">
        <f t="shared" si="199"/>
        <v>0</v>
      </c>
      <c r="BB632" s="647"/>
      <c r="BC632" s="648"/>
      <c r="BD632" s="649"/>
      <c r="BE632" s="647"/>
      <c r="BF632" s="644"/>
      <c r="BG632" s="646">
        <f t="shared" si="200"/>
        <v>0</v>
      </c>
      <c r="BH632" s="650"/>
      <c r="BI632" s="647"/>
      <c r="BJ632" s="644"/>
      <c r="BK632" s="646">
        <f t="shared" si="201"/>
        <v>0</v>
      </c>
      <c r="BL632" s="651"/>
      <c r="BM632" s="652">
        <f t="shared" si="202"/>
        <v>1</v>
      </c>
      <c r="BN632" s="628"/>
      <c r="BO632" s="670"/>
      <c r="BP632" s="644"/>
      <c r="BQ632" s="644"/>
      <c r="BR632" s="644"/>
      <c r="BS632" s="644"/>
      <c r="BT632" s="644"/>
      <c r="BU632" s="644"/>
      <c r="BV632" s="644"/>
      <c r="BW632" s="644"/>
      <c r="BX632" s="644"/>
      <c r="BY632" s="644"/>
      <c r="BZ632" s="644"/>
      <c r="CA632" s="644"/>
      <c r="CB632" s="646">
        <f t="shared" si="203"/>
        <v>0</v>
      </c>
      <c r="CC632" s="646">
        <f t="shared" si="204"/>
        <v>0</v>
      </c>
      <c r="CD632" s="614"/>
    </row>
    <row r="633" spans="1:82" s="561" customFormat="1" ht="61.5" customHeight="1">
      <c r="A633" s="625" t="str">
        <f t="shared" si="186"/>
        <v>proyecto-Alerta: Seleccione la celda en la comumna B con el nombre del proyecto-Al-Al--</v>
      </c>
      <c r="B633" s="626" t="str">
        <f t="shared" si="187"/>
        <v>proyecto-Alerta: Seleccione la celda en la comumna B con el nombre del proyecto-Al-Al-</v>
      </c>
      <c r="C633" s="626" t="str">
        <f t="shared" si="188"/>
        <v>proyecto-Alerta: Seleccione la celda en la comumna B con el nombre del proyecto-</v>
      </c>
      <c r="D633" s="626" t="str">
        <f t="shared" si="189"/>
        <v>proyecto--Al-Al-</v>
      </c>
      <c r="E633" s="626" t="str">
        <f t="shared" si="190"/>
        <v>--</v>
      </c>
      <c r="F633" s="627"/>
      <c r="G633" s="628">
        <f t="shared" si="191"/>
        <v>0</v>
      </c>
      <c r="H633" s="629" t="b">
        <f t="shared" si="192"/>
        <v>1</v>
      </c>
      <c r="I633" s="630"/>
      <c r="J633" s="627"/>
      <c r="K633" s="631" t="str">
        <f>+IFERROR(VLOOKUP(J633,Listas!$A$108:$B$114,2,FALSE),"Alerta: Seleccione la celda en la comumna B con el nombre del proyecto")</f>
        <v>Alerta: Seleccione la celda en la comumna B con el nombre del proyecto</v>
      </c>
      <c r="L633" s="632"/>
      <c r="M633" s="633"/>
      <c r="N633" s="634" t="str">
        <f t="shared" si="193"/>
        <v xml:space="preserve">(Cód. ) </v>
      </c>
      <c r="O633" s="635"/>
      <c r="P633" s="636">
        <f>IFERROR(VLOOKUP(W633,'Estimación CRP'!$D$21:$E$30,2,FALSE),0)</f>
        <v>0</v>
      </c>
      <c r="Q633" s="637">
        <f>IF(O633="No aplica","No aplica",WORKDAY.INTL(O633,P633,1,'Estimación CRP'!A819:A835))</f>
        <v>0</v>
      </c>
      <c r="R633" s="636">
        <f t="shared" si="194"/>
        <v>1</v>
      </c>
      <c r="S633" s="636">
        <f t="shared" si="195"/>
        <v>1</v>
      </c>
      <c r="T633" s="636">
        <f t="shared" si="196"/>
        <v>1</v>
      </c>
      <c r="U633" s="638"/>
      <c r="V633" s="638"/>
      <c r="W633" s="639"/>
      <c r="X633" s="640" t="str">
        <f>IFERROR(VLOOKUP(W633,Listas!$A$60:$B$73,2,FALSE),"Alerta: Seleccione primero Modalidad de selección")</f>
        <v>Alerta: Seleccione primero Modalidad de selección</v>
      </c>
      <c r="Y633" s="641">
        <v>0</v>
      </c>
      <c r="Z633" s="641"/>
      <c r="AA633" s="641"/>
      <c r="AB633" s="642">
        <f t="shared" si="197"/>
        <v>0</v>
      </c>
      <c r="AC633" s="642">
        <f t="shared" si="198"/>
        <v>0</v>
      </c>
      <c r="AD633" s="641">
        <v>0</v>
      </c>
      <c r="AE633" s="643">
        <v>0</v>
      </c>
      <c r="AF633" s="639" t="s">
        <v>276</v>
      </c>
      <c r="AG633" s="639" t="s">
        <v>277</v>
      </c>
      <c r="AH633" s="639"/>
      <c r="AI633" s="626" t="str">
        <f>IFERROR(VLOOKUP(AH633,Listas!$A$77:$C$83,2,FALSE),"Alerta: Seleccione primero el responsable")</f>
        <v>Alerta: Seleccione primero el responsable</v>
      </c>
      <c r="AJ633" s="640" t="str">
        <f>IFERROR(VLOOKUP(AH633,Listas!$A$77:$C$83,3,FALSE),"Alerta: Seleccione primero el responsable")</f>
        <v>Alerta: Seleccione primero el responsable</v>
      </c>
      <c r="AK633" s="640" t="str">
        <f>IF(J633="Funcionamiento Gastos Generales","No aplica",IF(J633="Funcionamiento Servicios Personales indirectos","No aplica",IFERROR(VLOOKUP(J633,Listas!$A$127:$E$139,3,FALSE),"Alerta: Seleccione la celda en la comumna B con el nombre del proyecto")))</f>
        <v>Alerta: Seleccione la celda en la comumna B con el nombre del proyecto</v>
      </c>
      <c r="AL633" s="640" t="str">
        <f>IF(J633="Funcionamiento Gastos Generales","No aplica",IF(J633="Funcionamiento Servicios Personales","No aplica",IFERROR(VLOOKUP(J633,Listas!$A$220:$D$224,2,FALSE),"Alerta: Seleccione la celda en la comumna B con el nombre del proyecto")))</f>
        <v>Alerta: Seleccione la celda en la comumna B con el nombre del proyecto</v>
      </c>
      <c r="AM633" s="640" t="str">
        <f>IF(J633="Funcionamiento Gastos Generales","No aplica",IF(J633="Funcionamiento Servicios Personales","No aplica",IFERROR(VLOOKUP(J633,Listas!$A$220:$D$224,3,FALSE),"Alerta: Seleccione la celda en la comumna B con el nombre del proyecto")))</f>
        <v>Alerta: Seleccione la celda en la comumna B con el nombre del proyecto</v>
      </c>
      <c r="AN633" s="633"/>
      <c r="AO633" s="633"/>
      <c r="AP633" s="634" t="str">
        <f>IFERROR(VLOOKUP(J633,Listas!$A$182:$E$215,5,FALSE),"Alerta: Seleccione la celda en la comumna B con el nombre del proyecto")</f>
        <v>Alerta: Seleccione la celda en la comumna B con el nombre del proyecto</v>
      </c>
      <c r="AQ633" s="634" t="str">
        <f>IF(J633="Funcionamiento Gastos Generales","No aplica",IF(J633="Funcionamiento Servicios Personales","No aplica",IFERROR(VLOOKUP(J633,Listas!$A$220:$D$224,4,FALSE),"Alerta: Seleccione la celda en la comumna B con el nombre del proyecto")))</f>
        <v>Alerta: Seleccione la celda en la comumna B con el nombre del proyecto</v>
      </c>
      <c r="AR633" s="633"/>
      <c r="AS633" s="634" t="str">
        <f>IFERROR(VLOOKUP(AU633,Listas!$E$85:$L$105,7,FALSE),"Alerta: Seleccione la celda en la comumna AI con el concepto de gasto")</f>
        <v>Alerta: Seleccione la celda en la comumna AI con el concepto de gasto</v>
      </c>
      <c r="AT633" s="634" t="str">
        <f>IFERROR(VLOOKUP(AU633,Listas!$E$85:$L$105,8,FALSE),"Alerta: Seleccione la celda en la comumna AI con el concepto de gasto")</f>
        <v>Alerta: Seleccione la celda en la comumna AI con el concepto de gasto</v>
      </c>
      <c r="AU633" s="633"/>
      <c r="AV633" s="634" t="str">
        <f>IFERROR(VLOOKUP(AU633,Listas!$E$85:$F$105,2,FALSE),"Alerta: Seleccione el Concepto de Gasto primero")</f>
        <v>Alerta: Seleccione el Concepto de Gasto primero</v>
      </c>
      <c r="AW633" s="644"/>
      <c r="AX633" s="645"/>
      <c r="AY633" s="645"/>
      <c r="AZ633" s="645"/>
      <c r="BA633" s="646">
        <f t="shared" si="199"/>
        <v>0</v>
      </c>
      <c r="BB633" s="647"/>
      <c r="BC633" s="648"/>
      <c r="BD633" s="649"/>
      <c r="BE633" s="647"/>
      <c r="BF633" s="644"/>
      <c r="BG633" s="646">
        <f t="shared" si="200"/>
        <v>0</v>
      </c>
      <c r="BH633" s="650"/>
      <c r="BI633" s="647"/>
      <c r="BJ633" s="644"/>
      <c r="BK633" s="646">
        <f t="shared" si="201"/>
        <v>0</v>
      </c>
      <c r="BL633" s="651"/>
      <c r="BM633" s="652">
        <f t="shared" si="202"/>
        <v>1</v>
      </c>
      <c r="BN633" s="628"/>
      <c r="BO633" s="670"/>
      <c r="BP633" s="644"/>
      <c r="BQ633" s="644"/>
      <c r="BR633" s="644"/>
      <c r="BS633" s="644"/>
      <c r="BT633" s="644"/>
      <c r="BU633" s="644"/>
      <c r="BV633" s="644"/>
      <c r="BW633" s="644"/>
      <c r="BX633" s="644"/>
      <c r="BY633" s="644"/>
      <c r="BZ633" s="644"/>
      <c r="CA633" s="644"/>
      <c r="CB633" s="646">
        <f t="shared" si="203"/>
        <v>0</v>
      </c>
      <c r="CC633" s="646">
        <f t="shared" si="204"/>
        <v>0</v>
      </c>
      <c r="CD633" s="614"/>
    </row>
    <row r="634" spans="1:82" s="561" customFormat="1" ht="61.5" customHeight="1">
      <c r="A634" s="625" t="str">
        <f t="shared" si="186"/>
        <v>proyecto-Alerta: Seleccione la celda en la comumna B con el nombre del proyecto-Al-Al--</v>
      </c>
      <c r="B634" s="626" t="str">
        <f t="shared" si="187"/>
        <v>proyecto-Alerta: Seleccione la celda en la comumna B con el nombre del proyecto-Al-Al-</v>
      </c>
      <c r="C634" s="626" t="str">
        <f t="shared" si="188"/>
        <v>proyecto-Alerta: Seleccione la celda en la comumna B con el nombre del proyecto-</v>
      </c>
      <c r="D634" s="626" t="str">
        <f t="shared" si="189"/>
        <v>proyecto--Al-Al-</v>
      </c>
      <c r="E634" s="626" t="str">
        <f t="shared" si="190"/>
        <v>--</v>
      </c>
      <c r="F634" s="627"/>
      <c r="G634" s="628">
        <f t="shared" si="191"/>
        <v>0</v>
      </c>
      <c r="H634" s="629" t="b">
        <f t="shared" si="192"/>
        <v>1</v>
      </c>
      <c r="I634" s="630"/>
      <c r="J634" s="627"/>
      <c r="K634" s="631" t="str">
        <f>+IFERROR(VLOOKUP(J634,Listas!$A$108:$B$114,2,FALSE),"Alerta: Seleccione la celda en la comumna B con el nombre del proyecto")</f>
        <v>Alerta: Seleccione la celda en la comumna B con el nombre del proyecto</v>
      </c>
      <c r="L634" s="632"/>
      <c r="M634" s="633"/>
      <c r="N634" s="634" t="str">
        <f t="shared" si="193"/>
        <v xml:space="preserve">(Cód. ) </v>
      </c>
      <c r="O634" s="635"/>
      <c r="P634" s="636">
        <f>IFERROR(VLOOKUP(W634,'Estimación CRP'!$D$21:$E$30,2,FALSE),0)</f>
        <v>0</v>
      </c>
      <c r="Q634" s="637">
        <f>IF(O634="No aplica","No aplica",WORKDAY.INTL(O634,P634,1,'Estimación CRP'!A820:A836))</f>
        <v>0</v>
      </c>
      <c r="R634" s="636">
        <f t="shared" si="194"/>
        <v>1</v>
      </c>
      <c r="S634" s="636">
        <f t="shared" si="195"/>
        <v>1</v>
      </c>
      <c r="T634" s="636">
        <f t="shared" si="196"/>
        <v>1</v>
      </c>
      <c r="U634" s="638"/>
      <c r="V634" s="638"/>
      <c r="W634" s="639"/>
      <c r="X634" s="640" t="str">
        <f>IFERROR(VLOOKUP(W634,Listas!$A$60:$B$73,2,FALSE),"Alerta: Seleccione primero Modalidad de selección")</f>
        <v>Alerta: Seleccione primero Modalidad de selección</v>
      </c>
      <c r="Y634" s="641">
        <v>0</v>
      </c>
      <c r="Z634" s="641"/>
      <c r="AA634" s="641"/>
      <c r="AB634" s="642">
        <f t="shared" si="197"/>
        <v>0</v>
      </c>
      <c r="AC634" s="642">
        <f t="shared" si="198"/>
        <v>0</v>
      </c>
      <c r="AD634" s="641">
        <v>0</v>
      </c>
      <c r="AE634" s="643">
        <v>0</v>
      </c>
      <c r="AF634" s="639" t="s">
        <v>276</v>
      </c>
      <c r="AG634" s="639" t="s">
        <v>277</v>
      </c>
      <c r="AH634" s="639"/>
      <c r="AI634" s="626" t="str">
        <f>IFERROR(VLOOKUP(AH634,Listas!$A$77:$C$83,2,FALSE),"Alerta: Seleccione primero el responsable")</f>
        <v>Alerta: Seleccione primero el responsable</v>
      </c>
      <c r="AJ634" s="640" t="str">
        <f>IFERROR(VLOOKUP(AH634,Listas!$A$77:$C$83,3,FALSE),"Alerta: Seleccione primero el responsable")</f>
        <v>Alerta: Seleccione primero el responsable</v>
      </c>
      <c r="AK634" s="640" t="str">
        <f>IF(J634="Funcionamiento Gastos Generales","No aplica",IF(J634="Funcionamiento Servicios Personales indirectos","No aplica",IFERROR(VLOOKUP(J634,Listas!$A$127:$E$139,3,FALSE),"Alerta: Seleccione la celda en la comumna B con el nombre del proyecto")))</f>
        <v>Alerta: Seleccione la celda en la comumna B con el nombre del proyecto</v>
      </c>
      <c r="AL634" s="640" t="str">
        <f>IF(J634="Funcionamiento Gastos Generales","No aplica",IF(J634="Funcionamiento Servicios Personales","No aplica",IFERROR(VLOOKUP(J634,Listas!$A$220:$D$224,2,FALSE),"Alerta: Seleccione la celda en la comumna B con el nombre del proyecto")))</f>
        <v>Alerta: Seleccione la celda en la comumna B con el nombre del proyecto</v>
      </c>
      <c r="AM634" s="640" t="str">
        <f>IF(J634="Funcionamiento Gastos Generales","No aplica",IF(J634="Funcionamiento Servicios Personales","No aplica",IFERROR(VLOOKUP(J634,Listas!$A$220:$D$224,3,FALSE),"Alerta: Seleccione la celda en la comumna B con el nombre del proyecto")))</f>
        <v>Alerta: Seleccione la celda en la comumna B con el nombre del proyecto</v>
      </c>
      <c r="AN634" s="633"/>
      <c r="AO634" s="633"/>
      <c r="AP634" s="634" t="str">
        <f>IFERROR(VLOOKUP(J634,Listas!$A$182:$E$215,5,FALSE),"Alerta: Seleccione la celda en la comumna B con el nombre del proyecto")</f>
        <v>Alerta: Seleccione la celda en la comumna B con el nombre del proyecto</v>
      </c>
      <c r="AQ634" s="634" t="str">
        <f>IF(J634="Funcionamiento Gastos Generales","No aplica",IF(J634="Funcionamiento Servicios Personales","No aplica",IFERROR(VLOOKUP(J634,Listas!$A$220:$D$224,4,FALSE),"Alerta: Seleccione la celda en la comumna B con el nombre del proyecto")))</f>
        <v>Alerta: Seleccione la celda en la comumna B con el nombre del proyecto</v>
      </c>
      <c r="AR634" s="633"/>
      <c r="AS634" s="634" t="str">
        <f>IFERROR(VLOOKUP(AU634,Listas!$E$85:$L$105,7,FALSE),"Alerta: Seleccione la celda en la comumna AI con el concepto de gasto")</f>
        <v>Alerta: Seleccione la celda en la comumna AI con el concepto de gasto</v>
      </c>
      <c r="AT634" s="634" t="str">
        <f>IFERROR(VLOOKUP(AU634,Listas!$E$85:$L$105,8,FALSE),"Alerta: Seleccione la celda en la comumna AI con el concepto de gasto")</f>
        <v>Alerta: Seleccione la celda en la comumna AI con el concepto de gasto</v>
      </c>
      <c r="AU634" s="633"/>
      <c r="AV634" s="634" t="str">
        <f>IFERROR(VLOOKUP(AU634,Listas!$E$85:$F$105,2,FALSE),"Alerta: Seleccione el Concepto de Gasto primero")</f>
        <v>Alerta: Seleccione el Concepto de Gasto primero</v>
      </c>
      <c r="AW634" s="644"/>
      <c r="AX634" s="645"/>
      <c r="AY634" s="645"/>
      <c r="AZ634" s="645"/>
      <c r="BA634" s="646">
        <f t="shared" si="199"/>
        <v>0</v>
      </c>
      <c r="BB634" s="647"/>
      <c r="BC634" s="648"/>
      <c r="BD634" s="649"/>
      <c r="BE634" s="647"/>
      <c r="BF634" s="644"/>
      <c r="BG634" s="646">
        <f t="shared" si="200"/>
        <v>0</v>
      </c>
      <c r="BH634" s="650"/>
      <c r="BI634" s="647"/>
      <c r="BJ634" s="644"/>
      <c r="BK634" s="646">
        <f t="shared" si="201"/>
        <v>0</v>
      </c>
      <c r="BL634" s="651"/>
      <c r="BM634" s="652">
        <f t="shared" si="202"/>
        <v>1</v>
      </c>
      <c r="BN634" s="628"/>
      <c r="BO634" s="670"/>
      <c r="BP634" s="644"/>
      <c r="BQ634" s="644"/>
      <c r="BR634" s="644"/>
      <c r="BS634" s="644"/>
      <c r="BT634" s="644"/>
      <c r="BU634" s="644"/>
      <c r="BV634" s="644"/>
      <c r="BW634" s="644"/>
      <c r="BX634" s="644"/>
      <c r="BY634" s="644"/>
      <c r="BZ634" s="644"/>
      <c r="CA634" s="644"/>
      <c r="CB634" s="646">
        <f t="shared" si="203"/>
        <v>0</v>
      </c>
      <c r="CC634" s="646">
        <f t="shared" si="204"/>
        <v>0</v>
      </c>
      <c r="CD634" s="614"/>
    </row>
    <row r="635" spans="1:82" s="561" customFormat="1" ht="61.5" customHeight="1">
      <c r="A635" s="625" t="str">
        <f t="shared" si="186"/>
        <v>proyecto-Alerta: Seleccione la celda en la comumna B con el nombre del proyecto-Al-Al--</v>
      </c>
      <c r="B635" s="626" t="str">
        <f t="shared" si="187"/>
        <v>proyecto-Alerta: Seleccione la celda en la comumna B con el nombre del proyecto-Al-Al-</v>
      </c>
      <c r="C635" s="626" t="str">
        <f t="shared" si="188"/>
        <v>proyecto-Alerta: Seleccione la celda en la comumna B con el nombre del proyecto-</v>
      </c>
      <c r="D635" s="626" t="str">
        <f t="shared" si="189"/>
        <v>proyecto--Al-Al-</v>
      </c>
      <c r="E635" s="626" t="str">
        <f t="shared" si="190"/>
        <v>--</v>
      </c>
      <c r="F635" s="627"/>
      <c r="G635" s="628">
        <f t="shared" si="191"/>
        <v>0</v>
      </c>
      <c r="H635" s="629" t="b">
        <f t="shared" si="192"/>
        <v>1</v>
      </c>
      <c r="I635" s="630"/>
      <c r="J635" s="627"/>
      <c r="K635" s="631" t="str">
        <f>+IFERROR(VLOOKUP(J635,Listas!$A$108:$B$114,2,FALSE),"Alerta: Seleccione la celda en la comumna B con el nombre del proyecto")</f>
        <v>Alerta: Seleccione la celda en la comumna B con el nombre del proyecto</v>
      </c>
      <c r="L635" s="632"/>
      <c r="M635" s="633"/>
      <c r="N635" s="634" t="str">
        <f t="shared" si="193"/>
        <v xml:space="preserve">(Cód. ) </v>
      </c>
      <c r="O635" s="635"/>
      <c r="P635" s="636">
        <f>IFERROR(VLOOKUP(W635,'Estimación CRP'!$D$21:$E$30,2,FALSE),0)</f>
        <v>0</v>
      </c>
      <c r="Q635" s="637">
        <f>IF(O635="No aplica","No aplica",WORKDAY.INTL(O635,P635,1,'Estimación CRP'!A821:A837))</f>
        <v>0</v>
      </c>
      <c r="R635" s="636">
        <f t="shared" si="194"/>
        <v>1</v>
      </c>
      <c r="S635" s="636">
        <f t="shared" si="195"/>
        <v>1</v>
      </c>
      <c r="T635" s="636">
        <f t="shared" si="196"/>
        <v>1</v>
      </c>
      <c r="U635" s="638"/>
      <c r="V635" s="638"/>
      <c r="W635" s="639"/>
      <c r="X635" s="640" t="str">
        <f>IFERROR(VLOOKUP(W635,Listas!$A$60:$B$73,2,FALSE),"Alerta: Seleccione primero Modalidad de selección")</f>
        <v>Alerta: Seleccione primero Modalidad de selección</v>
      </c>
      <c r="Y635" s="641">
        <v>0</v>
      </c>
      <c r="Z635" s="641"/>
      <c r="AA635" s="641"/>
      <c r="AB635" s="642">
        <f t="shared" si="197"/>
        <v>0</v>
      </c>
      <c r="AC635" s="642">
        <f t="shared" si="198"/>
        <v>0</v>
      </c>
      <c r="AD635" s="641">
        <v>0</v>
      </c>
      <c r="AE635" s="643">
        <v>0</v>
      </c>
      <c r="AF635" s="639" t="s">
        <v>276</v>
      </c>
      <c r="AG635" s="639" t="s">
        <v>277</v>
      </c>
      <c r="AH635" s="639"/>
      <c r="AI635" s="626" t="str">
        <f>IFERROR(VLOOKUP(AH635,Listas!$A$77:$C$83,2,FALSE),"Alerta: Seleccione primero el responsable")</f>
        <v>Alerta: Seleccione primero el responsable</v>
      </c>
      <c r="AJ635" s="640" t="str">
        <f>IFERROR(VLOOKUP(AH635,Listas!$A$77:$C$83,3,FALSE),"Alerta: Seleccione primero el responsable")</f>
        <v>Alerta: Seleccione primero el responsable</v>
      </c>
      <c r="AK635" s="640" t="str">
        <f>IF(J635="Funcionamiento Gastos Generales","No aplica",IF(J635="Funcionamiento Servicios Personales indirectos","No aplica",IFERROR(VLOOKUP(J635,Listas!$A$127:$E$139,3,FALSE),"Alerta: Seleccione la celda en la comumna B con el nombre del proyecto")))</f>
        <v>Alerta: Seleccione la celda en la comumna B con el nombre del proyecto</v>
      </c>
      <c r="AL635" s="640" t="str">
        <f>IF(J635="Funcionamiento Gastos Generales","No aplica",IF(J635="Funcionamiento Servicios Personales","No aplica",IFERROR(VLOOKUP(J635,Listas!$A$220:$D$224,2,FALSE),"Alerta: Seleccione la celda en la comumna B con el nombre del proyecto")))</f>
        <v>Alerta: Seleccione la celda en la comumna B con el nombre del proyecto</v>
      </c>
      <c r="AM635" s="640" t="str">
        <f>IF(J635="Funcionamiento Gastos Generales","No aplica",IF(J635="Funcionamiento Servicios Personales","No aplica",IFERROR(VLOOKUP(J635,Listas!$A$220:$D$224,3,FALSE),"Alerta: Seleccione la celda en la comumna B con el nombre del proyecto")))</f>
        <v>Alerta: Seleccione la celda en la comumna B con el nombre del proyecto</v>
      </c>
      <c r="AN635" s="633"/>
      <c r="AO635" s="633"/>
      <c r="AP635" s="634" t="str">
        <f>IFERROR(VLOOKUP(J635,Listas!$A$182:$E$215,5,FALSE),"Alerta: Seleccione la celda en la comumna B con el nombre del proyecto")</f>
        <v>Alerta: Seleccione la celda en la comumna B con el nombre del proyecto</v>
      </c>
      <c r="AQ635" s="634" t="str">
        <f>IF(J635="Funcionamiento Gastos Generales","No aplica",IF(J635="Funcionamiento Servicios Personales","No aplica",IFERROR(VLOOKUP(J635,Listas!$A$220:$D$224,4,FALSE),"Alerta: Seleccione la celda en la comumna B con el nombre del proyecto")))</f>
        <v>Alerta: Seleccione la celda en la comumna B con el nombre del proyecto</v>
      </c>
      <c r="AR635" s="633"/>
      <c r="AS635" s="634" t="str">
        <f>IFERROR(VLOOKUP(AU635,Listas!$E$85:$L$105,7,FALSE),"Alerta: Seleccione la celda en la comumna AI con el concepto de gasto")</f>
        <v>Alerta: Seleccione la celda en la comumna AI con el concepto de gasto</v>
      </c>
      <c r="AT635" s="634" t="str">
        <f>IFERROR(VLOOKUP(AU635,Listas!$E$85:$L$105,8,FALSE),"Alerta: Seleccione la celda en la comumna AI con el concepto de gasto")</f>
        <v>Alerta: Seleccione la celda en la comumna AI con el concepto de gasto</v>
      </c>
      <c r="AU635" s="633"/>
      <c r="AV635" s="634" t="str">
        <f>IFERROR(VLOOKUP(AU635,Listas!$E$85:$F$105,2,FALSE),"Alerta: Seleccione el Concepto de Gasto primero")</f>
        <v>Alerta: Seleccione el Concepto de Gasto primero</v>
      </c>
      <c r="AW635" s="644"/>
      <c r="AX635" s="645"/>
      <c r="AY635" s="645"/>
      <c r="AZ635" s="645"/>
      <c r="BA635" s="646">
        <f t="shared" si="199"/>
        <v>0</v>
      </c>
      <c r="BB635" s="647"/>
      <c r="BC635" s="648"/>
      <c r="BD635" s="649"/>
      <c r="BE635" s="647"/>
      <c r="BF635" s="644"/>
      <c r="BG635" s="646">
        <f t="shared" si="200"/>
        <v>0</v>
      </c>
      <c r="BH635" s="650"/>
      <c r="BI635" s="647"/>
      <c r="BJ635" s="644"/>
      <c r="BK635" s="646">
        <f t="shared" si="201"/>
        <v>0</v>
      </c>
      <c r="BL635" s="651"/>
      <c r="BM635" s="652">
        <f t="shared" si="202"/>
        <v>1</v>
      </c>
      <c r="BN635" s="628"/>
      <c r="BO635" s="670"/>
      <c r="BP635" s="644"/>
      <c r="BQ635" s="644"/>
      <c r="BR635" s="644"/>
      <c r="BS635" s="644"/>
      <c r="BT635" s="644"/>
      <c r="BU635" s="644"/>
      <c r="BV635" s="644"/>
      <c r="BW635" s="644"/>
      <c r="BX635" s="644"/>
      <c r="BY635" s="644"/>
      <c r="BZ635" s="644"/>
      <c r="CA635" s="644"/>
      <c r="CB635" s="646">
        <f t="shared" si="203"/>
        <v>0</v>
      </c>
      <c r="CC635" s="646">
        <f t="shared" si="204"/>
        <v>0</v>
      </c>
      <c r="CD635" s="614"/>
    </row>
    <row r="636" spans="1:82" s="561" customFormat="1" ht="61.5" customHeight="1">
      <c r="A636" s="625" t="str">
        <f t="shared" si="186"/>
        <v>proyecto-Alerta: Seleccione la celda en la comumna B con el nombre del proyecto-Al-Al--</v>
      </c>
      <c r="B636" s="626" t="str">
        <f t="shared" si="187"/>
        <v>proyecto-Alerta: Seleccione la celda en la comumna B con el nombre del proyecto-Al-Al-</v>
      </c>
      <c r="C636" s="626" t="str">
        <f t="shared" si="188"/>
        <v>proyecto-Alerta: Seleccione la celda en la comumna B con el nombre del proyecto-</v>
      </c>
      <c r="D636" s="626" t="str">
        <f t="shared" si="189"/>
        <v>proyecto--Al-Al-</v>
      </c>
      <c r="E636" s="626" t="str">
        <f t="shared" si="190"/>
        <v>--</v>
      </c>
      <c r="F636" s="627"/>
      <c r="G636" s="628">
        <f t="shared" si="191"/>
        <v>0</v>
      </c>
      <c r="H636" s="629" t="b">
        <f t="shared" si="192"/>
        <v>1</v>
      </c>
      <c r="I636" s="630"/>
      <c r="J636" s="627"/>
      <c r="K636" s="631" t="str">
        <f>+IFERROR(VLOOKUP(J636,Listas!$A$108:$B$114,2,FALSE),"Alerta: Seleccione la celda en la comumna B con el nombre del proyecto")</f>
        <v>Alerta: Seleccione la celda en la comumna B con el nombre del proyecto</v>
      </c>
      <c r="L636" s="632"/>
      <c r="M636" s="633"/>
      <c r="N636" s="634" t="str">
        <f t="shared" si="193"/>
        <v xml:space="preserve">(Cód. ) </v>
      </c>
      <c r="O636" s="635"/>
      <c r="P636" s="636">
        <f>IFERROR(VLOOKUP(W636,'Estimación CRP'!$D$21:$E$30,2,FALSE),0)</f>
        <v>0</v>
      </c>
      <c r="Q636" s="637">
        <f>IF(O636="No aplica","No aplica",WORKDAY.INTL(O636,P636,1,'Estimación CRP'!A822:A838))</f>
        <v>0</v>
      </c>
      <c r="R636" s="636">
        <f t="shared" si="194"/>
        <v>1</v>
      </c>
      <c r="S636" s="636">
        <f t="shared" si="195"/>
        <v>1</v>
      </c>
      <c r="T636" s="636">
        <f t="shared" si="196"/>
        <v>1</v>
      </c>
      <c r="U636" s="638"/>
      <c r="V636" s="638"/>
      <c r="W636" s="639"/>
      <c r="X636" s="640" t="str">
        <f>IFERROR(VLOOKUP(W636,Listas!$A$60:$B$73,2,FALSE),"Alerta: Seleccione primero Modalidad de selección")</f>
        <v>Alerta: Seleccione primero Modalidad de selección</v>
      </c>
      <c r="Y636" s="641">
        <v>0</v>
      </c>
      <c r="Z636" s="641"/>
      <c r="AA636" s="641"/>
      <c r="AB636" s="642">
        <f t="shared" si="197"/>
        <v>0</v>
      </c>
      <c r="AC636" s="642">
        <f t="shared" si="198"/>
        <v>0</v>
      </c>
      <c r="AD636" s="641">
        <v>0</v>
      </c>
      <c r="AE636" s="643">
        <v>0</v>
      </c>
      <c r="AF636" s="639" t="s">
        <v>276</v>
      </c>
      <c r="AG636" s="639" t="s">
        <v>277</v>
      </c>
      <c r="AH636" s="639"/>
      <c r="AI636" s="626" t="str">
        <f>IFERROR(VLOOKUP(AH636,Listas!$A$77:$C$83,2,FALSE),"Alerta: Seleccione primero el responsable")</f>
        <v>Alerta: Seleccione primero el responsable</v>
      </c>
      <c r="AJ636" s="640" t="str">
        <f>IFERROR(VLOOKUP(AH636,Listas!$A$77:$C$83,3,FALSE),"Alerta: Seleccione primero el responsable")</f>
        <v>Alerta: Seleccione primero el responsable</v>
      </c>
      <c r="AK636" s="640" t="str">
        <f>IF(J636="Funcionamiento Gastos Generales","No aplica",IF(J636="Funcionamiento Servicios Personales indirectos","No aplica",IFERROR(VLOOKUP(J636,Listas!$A$127:$E$139,3,FALSE),"Alerta: Seleccione la celda en la comumna B con el nombre del proyecto")))</f>
        <v>Alerta: Seleccione la celda en la comumna B con el nombre del proyecto</v>
      </c>
      <c r="AL636" s="640" t="str">
        <f>IF(J636="Funcionamiento Gastos Generales","No aplica",IF(J636="Funcionamiento Servicios Personales","No aplica",IFERROR(VLOOKUP(J636,Listas!$A$220:$D$224,2,FALSE),"Alerta: Seleccione la celda en la comumna B con el nombre del proyecto")))</f>
        <v>Alerta: Seleccione la celda en la comumna B con el nombre del proyecto</v>
      </c>
      <c r="AM636" s="640" t="str">
        <f>IF(J636="Funcionamiento Gastos Generales","No aplica",IF(J636="Funcionamiento Servicios Personales","No aplica",IFERROR(VLOOKUP(J636,Listas!$A$220:$D$224,3,FALSE),"Alerta: Seleccione la celda en la comumna B con el nombre del proyecto")))</f>
        <v>Alerta: Seleccione la celda en la comumna B con el nombre del proyecto</v>
      </c>
      <c r="AN636" s="633"/>
      <c r="AO636" s="633"/>
      <c r="AP636" s="634" t="str">
        <f>IFERROR(VLOOKUP(J636,Listas!$A$182:$E$215,5,FALSE),"Alerta: Seleccione la celda en la comumna B con el nombre del proyecto")</f>
        <v>Alerta: Seleccione la celda en la comumna B con el nombre del proyecto</v>
      </c>
      <c r="AQ636" s="634" t="str">
        <f>IF(J636="Funcionamiento Gastos Generales","No aplica",IF(J636="Funcionamiento Servicios Personales","No aplica",IFERROR(VLOOKUP(J636,Listas!$A$220:$D$224,4,FALSE),"Alerta: Seleccione la celda en la comumna B con el nombre del proyecto")))</f>
        <v>Alerta: Seleccione la celda en la comumna B con el nombre del proyecto</v>
      </c>
      <c r="AR636" s="633"/>
      <c r="AS636" s="634" t="str">
        <f>IFERROR(VLOOKUP(AU636,Listas!$E$85:$L$105,7,FALSE),"Alerta: Seleccione la celda en la comumna AI con el concepto de gasto")</f>
        <v>Alerta: Seleccione la celda en la comumna AI con el concepto de gasto</v>
      </c>
      <c r="AT636" s="634" t="str">
        <f>IFERROR(VLOOKUP(AU636,Listas!$E$85:$L$105,8,FALSE),"Alerta: Seleccione la celda en la comumna AI con el concepto de gasto")</f>
        <v>Alerta: Seleccione la celda en la comumna AI con el concepto de gasto</v>
      </c>
      <c r="AU636" s="633"/>
      <c r="AV636" s="634" t="str">
        <f>IFERROR(VLOOKUP(AU636,Listas!$E$85:$F$105,2,FALSE),"Alerta: Seleccione el Concepto de Gasto primero")</f>
        <v>Alerta: Seleccione el Concepto de Gasto primero</v>
      </c>
      <c r="AW636" s="644"/>
      <c r="AX636" s="645"/>
      <c r="AY636" s="645"/>
      <c r="AZ636" s="645"/>
      <c r="BA636" s="646">
        <f t="shared" si="199"/>
        <v>0</v>
      </c>
      <c r="BB636" s="647"/>
      <c r="BC636" s="648"/>
      <c r="BD636" s="649"/>
      <c r="BE636" s="647"/>
      <c r="BF636" s="644"/>
      <c r="BG636" s="646">
        <f t="shared" si="200"/>
        <v>0</v>
      </c>
      <c r="BH636" s="650"/>
      <c r="BI636" s="647"/>
      <c r="BJ636" s="644"/>
      <c r="BK636" s="646">
        <f t="shared" si="201"/>
        <v>0</v>
      </c>
      <c r="BL636" s="651"/>
      <c r="BM636" s="652">
        <f t="shared" si="202"/>
        <v>1</v>
      </c>
      <c r="BN636" s="628"/>
      <c r="BO636" s="670"/>
      <c r="BP636" s="644"/>
      <c r="BQ636" s="644"/>
      <c r="BR636" s="644"/>
      <c r="BS636" s="644"/>
      <c r="BT636" s="644"/>
      <c r="BU636" s="644"/>
      <c r="BV636" s="644"/>
      <c r="BW636" s="644"/>
      <c r="BX636" s="644"/>
      <c r="BY636" s="644"/>
      <c r="BZ636" s="644"/>
      <c r="CA636" s="644"/>
      <c r="CB636" s="646">
        <f t="shared" si="203"/>
        <v>0</v>
      </c>
      <c r="CC636" s="646">
        <f t="shared" si="204"/>
        <v>0</v>
      </c>
      <c r="CD636" s="614"/>
    </row>
    <row r="637" spans="1:82" s="561" customFormat="1" ht="61.5" customHeight="1">
      <c r="A637" s="625" t="str">
        <f t="shared" si="186"/>
        <v>proyecto-Alerta: Seleccione la celda en la comumna B con el nombre del proyecto-Al-Al--</v>
      </c>
      <c r="B637" s="626" t="str">
        <f t="shared" si="187"/>
        <v>proyecto-Alerta: Seleccione la celda en la comumna B con el nombre del proyecto-Al-Al-</v>
      </c>
      <c r="C637" s="626" t="str">
        <f t="shared" si="188"/>
        <v>proyecto-Alerta: Seleccione la celda en la comumna B con el nombre del proyecto-</v>
      </c>
      <c r="D637" s="626" t="str">
        <f t="shared" si="189"/>
        <v>proyecto--Al-Al-</v>
      </c>
      <c r="E637" s="626" t="str">
        <f t="shared" si="190"/>
        <v>--</v>
      </c>
      <c r="F637" s="627"/>
      <c r="G637" s="628">
        <f t="shared" si="191"/>
        <v>0</v>
      </c>
      <c r="H637" s="629" t="b">
        <f t="shared" si="192"/>
        <v>1</v>
      </c>
      <c r="I637" s="630"/>
      <c r="J637" s="627"/>
      <c r="K637" s="631" t="str">
        <f>+IFERROR(VLOOKUP(J637,Listas!$A$108:$B$114,2,FALSE),"Alerta: Seleccione la celda en la comumna B con el nombre del proyecto")</f>
        <v>Alerta: Seleccione la celda en la comumna B con el nombre del proyecto</v>
      </c>
      <c r="L637" s="632"/>
      <c r="M637" s="633"/>
      <c r="N637" s="634" t="str">
        <f t="shared" si="193"/>
        <v xml:space="preserve">(Cód. ) </v>
      </c>
      <c r="O637" s="635"/>
      <c r="P637" s="636">
        <f>IFERROR(VLOOKUP(W637,'Estimación CRP'!$D$21:$E$30,2,FALSE),0)</f>
        <v>0</v>
      </c>
      <c r="Q637" s="637">
        <f>IF(O637="No aplica","No aplica",WORKDAY.INTL(O637,P637,1,'Estimación CRP'!A823:A839))</f>
        <v>0</v>
      </c>
      <c r="R637" s="636">
        <f t="shared" si="194"/>
        <v>1</v>
      </c>
      <c r="S637" s="636">
        <f t="shared" si="195"/>
        <v>1</v>
      </c>
      <c r="T637" s="636">
        <f t="shared" si="196"/>
        <v>1</v>
      </c>
      <c r="U637" s="638"/>
      <c r="V637" s="638"/>
      <c r="W637" s="639"/>
      <c r="X637" s="640" t="str">
        <f>IFERROR(VLOOKUP(W637,Listas!$A$60:$B$73,2,FALSE),"Alerta: Seleccione primero Modalidad de selección")</f>
        <v>Alerta: Seleccione primero Modalidad de selección</v>
      </c>
      <c r="Y637" s="641">
        <v>0</v>
      </c>
      <c r="Z637" s="641"/>
      <c r="AA637" s="641"/>
      <c r="AB637" s="642">
        <f t="shared" si="197"/>
        <v>0</v>
      </c>
      <c r="AC637" s="642">
        <f t="shared" si="198"/>
        <v>0</v>
      </c>
      <c r="AD637" s="641">
        <v>0</v>
      </c>
      <c r="AE637" s="643">
        <v>0</v>
      </c>
      <c r="AF637" s="639" t="s">
        <v>276</v>
      </c>
      <c r="AG637" s="639" t="s">
        <v>277</v>
      </c>
      <c r="AH637" s="639"/>
      <c r="AI637" s="626" t="str">
        <f>IFERROR(VLOOKUP(AH637,Listas!$A$77:$C$83,2,FALSE),"Alerta: Seleccione primero el responsable")</f>
        <v>Alerta: Seleccione primero el responsable</v>
      </c>
      <c r="AJ637" s="640" t="str">
        <f>IFERROR(VLOOKUP(AH637,Listas!$A$77:$C$83,3,FALSE),"Alerta: Seleccione primero el responsable")</f>
        <v>Alerta: Seleccione primero el responsable</v>
      </c>
      <c r="AK637" s="640" t="str">
        <f>IF(J637="Funcionamiento Gastos Generales","No aplica",IF(J637="Funcionamiento Servicios Personales indirectos","No aplica",IFERROR(VLOOKUP(J637,Listas!$A$127:$E$139,3,FALSE),"Alerta: Seleccione la celda en la comumna B con el nombre del proyecto")))</f>
        <v>Alerta: Seleccione la celda en la comumna B con el nombre del proyecto</v>
      </c>
      <c r="AL637" s="640" t="str">
        <f>IF(J637="Funcionamiento Gastos Generales","No aplica",IF(J637="Funcionamiento Servicios Personales","No aplica",IFERROR(VLOOKUP(J637,Listas!$A$220:$D$224,2,FALSE),"Alerta: Seleccione la celda en la comumna B con el nombre del proyecto")))</f>
        <v>Alerta: Seleccione la celda en la comumna B con el nombre del proyecto</v>
      </c>
      <c r="AM637" s="640" t="str">
        <f>IF(J637="Funcionamiento Gastos Generales","No aplica",IF(J637="Funcionamiento Servicios Personales","No aplica",IFERROR(VLOOKUP(J637,Listas!$A$220:$D$224,3,FALSE),"Alerta: Seleccione la celda en la comumna B con el nombre del proyecto")))</f>
        <v>Alerta: Seleccione la celda en la comumna B con el nombre del proyecto</v>
      </c>
      <c r="AN637" s="633"/>
      <c r="AO637" s="633"/>
      <c r="AP637" s="634" t="str">
        <f>IFERROR(VLOOKUP(J637,Listas!$A$182:$E$215,5,FALSE),"Alerta: Seleccione la celda en la comumna B con el nombre del proyecto")</f>
        <v>Alerta: Seleccione la celda en la comumna B con el nombre del proyecto</v>
      </c>
      <c r="AQ637" s="634" t="str">
        <f>IF(J637="Funcionamiento Gastos Generales","No aplica",IF(J637="Funcionamiento Servicios Personales","No aplica",IFERROR(VLOOKUP(J637,Listas!$A$220:$D$224,4,FALSE),"Alerta: Seleccione la celda en la comumna B con el nombre del proyecto")))</f>
        <v>Alerta: Seleccione la celda en la comumna B con el nombre del proyecto</v>
      </c>
      <c r="AR637" s="633"/>
      <c r="AS637" s="634" t="str">
        <f>IFERROR(VLOOKUP(AU637,Listas!$E$85:$L$105,7,FALSE),"Alerta: Seleccione la celda en la comumna AI con el concepto de gasto")</f>
        <v>Alerta: Seleccione la celda en la comumna AI con el concepto de gasto</v>
      </c>
      <c r="AT637" s="634" t="str">
        <f>IFERROR(VLOOKUP(AU637,Listas!$E$85:$L$105,8,FALSE),"Alerta: Seleccione la celda en la comumna AI con el concepto de gasto")</f>
        <v>Alerta: Seleccione la celda en la comumna AI con el concepto de gasto</v>
      </c>
      <c r="AU637" s="633"/>
      <c r="AV637" s="634" t="str">
        <f>IFERROR(VLOOKUP(AU637,Listas!$E$85:$F$105,2,FALSE),"Alerta: Seleccione el Concepto de Gasto primero")</f>
        <v>Alerta: Seleccione el Concepto de Gasto primero</v>
      </c>
      <c r="AW637" s="644"/>
      <c r="AX637" s="645"/>
      <c r="AY637" s="645"/>
      <c r="AZ637" s="645"/>
      <c r="BA637" s="646">
        <f t="shared" si="199"/>
        <v>0</v>
      </c>
      <c r="BB637" s="647"/>
      <c r="BC637" s="648"/>
      <c r="BD637" s="649"/>
      <c r="BE637" s="647"/>
      <c r="BF637" s="644"/>
      <c r="BG637" s="646">
        <f t="shared" si="200"/>
        <v>0</v>
      </c>
      <c r="BH637" s="650"/>
      <c r="BI637" s="647"/>
      <c r="BJ637" s="644"/>
      <c r="BK637" s="646">
        <f t="shared" si="201"/>
        <v>0</v>
      </c>
      <c r="BL637" s="651"/>
      <c r="BM637" s="652">
        <f t="shared" si="202"/>
        <v>1</v>
      </c>
      <c r="BN637" s="628"/>
      <c r="BO637" s="670"/>
      <c r="BP637" s="644"/>
      <c r="BQ637" s="644"/>
      <c r="BR637" s="644"/>
      <c r="BS637" s="644"/>
      <c r="BT637" s="644"/>
      <c r="BU637" s="644"/>
      <c r="BV637" s="644"/>
      <c r="BW637" s="644"/>
      <c r="BX637" s="644"/>
      <c r="BY637" s="644"/>
      <c r="BZ637" s="644"/>
      <c r="CA637" s="644"/>
      <c r="CB637" s="646">
        <f t="shared" si="203"/>
        <v>0</v>
      </c>
      <c r="CC637" s="646">
        <f t="shared" si="204"/>
        <v>0</v>
      </c>
      <c r="CD637" s="614"/>
    </row>
    <row r="638" spans="1:82" s="561" customFormat="1" ht="61.5" customHeight="1">
      <c r="A638" s="625" t="str">
        <f t="shared" si="186"/>
        <v>proyecto-Alerta: Seleccione la celda en la comumna B con el nombre del proyecto-Al-Al--</v>
      </c>
      <c r="B638" s="626" t="str">
        <f t="shared" si="187"/>
        <v>proyecto-Alerta: Seleccione la celda en la comumna B con el nombre del proyecto-Al-Al-</v>
      </c>
      <c r="C638" s="626" t="str">
        <f t="shared" si="188"/>
        <v>proyecto-Alerta: Seleccione la celda en la comumna B con el nombre del proyecto-</v>
      </c>
      <c r="D638" s="626" t="str">
        <f t="shared" si="189"/>
        <v>proyecto--Al-Al-</v>
      </c>
      <c r="E638" s="626" t="str">
        <f t="shared" si="190"/>
        <v>--</v>
      </c>
      <c r="F638" s="627"/>
      <c r="G638" s="628">
        <f t="shared" si="191"/>
        <v>0</v>
      </c>
      <c r="H638" s="629" t="b">
        <f t="shared" si="192"/>
        <v>1</v>
      </c>
      <c r="I638" s="630"/>
      <c r="J638" s="627"/>
      <c r="K638" s="631" t="str">
        <f>+IFERROR(VLOOKUP(J638,Listas!$A$108:$B$114,2,FALSE),"Alerta: Seleccione la celda en la comumna B con el nombre del proyecto")</f>
        <v>Alerta: Seleccione la celda en la comumna B con el nombre del proyecto</v>
      </c>
      <c r="L638" s="632"/>
      <c r="M638" s="633"/>
      <c r="N638" s="634" t="str">
        <f t="shared" si="193"/>
        <v xml:space="preserve">(Cód. ) </v>
      </c>
      <c r="O638" s="635"/>
      <c r="P638" s="636">
        <f>IFERROR(VLOOKUP(W638,'Estimación CRP'!$D$21:$E$30,2,FALSE),0)</f>
        <v>0</v>
      </c>
      <c r="Q638" s="637">
        <f>IF(O638="No aplica","No aplica",WORKDAY.INTL(O638,P638,1,'Estimación CRP'!A824:A840))</f>
        <v>0</v>
      </c>
      <c r="R638" s="636">
        <f t="shared" si="194"/>
        <v>1</v>
      </c>
      <c r="S638" s="636">
        <f t="shared" si="195"/>
        <v>1</v>
      </c>
      <c r="T638" s="636">
        <f t="shared" si="196"/>
        <v>1</v>
      </c>
      <c r="U638" s="638"/>
      <c r="V638" s="638"/>
      <c r="W638" s="639"/>
      <c r="X638" s="640" t="str">
        <f>IFERROR(VLOOKUP(W638,Listas!$A$60:$B$73,2,FALSE),"Alerta: Seleccione primero Modalidad de selección")</f>
        <v>Alerta: Seleccione primero Modalidad de selección</v>
      </c>
      <c r="Y638" s="641">
        <v>0</v>
      </c>
      <c r="Z638" s="641"/>
      <c r="AA638" s="641"/>
      <c r="AB638" s="642">
        <f t="shared" si="197"/>
        <v>0</v>
      </c>
      <c r="AC638" s="642">
        <f t="shared" si="198"/>
        <v>0</v>
      </c>
      <c r="AD638" s="641">
        <v>0</v>
      </c>
      <c r="AE638" s="643">
        <v>0</v>
      </c>
      <c r="AF638" s="639" t="s">
        <v>276</v>
      </c>
      <c r="AG638" s="639" t="s">
        <v>277</v>
      </c>
      <c r="AH638" s="639"/>
      <c r="AI638" s="626" t="str">
        <f>IFERROR(VLOOKUP(AH638,Listas!$A$77:$C$83,2,FALSE),"Alerta: Seleccione primero el responsable")</f>
        <v>Alerta: Seleccione primero el responsable</v>
      </c>
      <c r="AJ638" s="640" t="str">
        <f>IFERROR(VLOOKUP(AH638,Listas!$A$77:$C$83,3,FALSE),"Alerta: Seleccione primero el responsable")</f>
        <v>Alerta: Seleccione primero el responsable</v>
      </c>
      <c r="AK638" s="640" t="str">
        <f>IF(J638="Funcionamiento Gastos Generales","No aplica",IF(J638="Funcionamiento Servicios Personales indirectos","No aplica",IFERROR(VLOOKUP(J638,Listas!$A$127:$E$139,3,FALSE),"Alerta: Seleccione la celda en la comumna B con el nombre del proyecto")))</f>
        <v>Alerta: Seleccione la celda en la comumna B con el nombre del proyecto</v>
      </c>
      <c r="AL638" s="640" t="str">
        <f>IF(J638="Funcionamiento Gastos Generales","No aplica",IF(J638="Funcionamiento Servicios Personales","No aplica",IFERROR(VLOOKUP(J638,Listas!$A$220:$D$224,2,FALSE),"Alerta: Seleccione la celda en la comumna B con el nombre del proyecto")))</f>
        <v>Alerta: Seleccione la celda en la comumna B con el nombre del proyecto</v>
      </c>
      <c r="AM638" s="640" t="str">
        <f>IF(J638="Funcionamiento Gastos Generales","No aplica",IF(J638="Funcionamiento Servicios Personales","No aplica",IFERROR(VLOOKUP(J638,Listas!$A$220:$D$224,3,FALSE),"Alerta: Seleccione la celda en la comumna B con el nombre del proyecto")))</f>
        <v>Alerta: Seleccione la celda en la comumna B con el nombre del proyecto</v>
      </c>
      <c r="AN638" s="633"/>
      <c r="AO638" s="633"/>
      <c r="AP638" s="634" t="str">
        <f>IFERROR(VLOOKUP(J638,Listas!$A$182:$E$215,5,FALSE),"Alerta: Seleccione la celda en la comumna B con el nombre del proyecto")</f>
        <v>Alerta: Seleccione la celda en la comumna B con el nombre del proyecto</v>
      </c>
      <c r="AQ638" s="634" t="str">
        <f>IF(J638="Funcionamiento Gastos Generales","No aplica",IF(J638="Funcionamiento Servicios Personales","No aplica",IFERROR(VLOOKUP(J638,Listas!$A$220:$D$224,4,FALSE),"Alerta: Seleccione la celda en la comumna B con el nombre del proyecto")))</f>
        <v>Alerta: Seleccione la celda en la comumna B con el nombre del proyecto</v>
      </c>
      <c r="AR638" s="633"/>
      <c r="AS638" s="634" t="str">
        <f>IFERROR(VLOOKUP(AU638,Listas!$E$85:$L$105,7,FALSE),"Alerta: Seleccione la celda en la comumna AI con el concepto de gasto")</f>
        <v>Alerta: Seleccione la celda en la comumna AI con el concepto de gasto</v>
      </c>
      <c r="AT638" s="634" t="str">
        <f>IFERROR(VLOOKUP(AU638,Listas!$E$85:$L$105,8,FALSE),"Alerta: Seleccione la celda en la comumna AI con el concepto de gasto")</f>
        <v>Alerta: Seleccione la celda en la comumna AI con el concepto de gasto</v>
      </c>
      <c r="AU638" s="633"/>
      <c r="AV638" s="634" t="str">
        <f>IFERROR(VLOOKUP(AU638,Listas!$E$85:$F$105,2,FALSE),"Alerta: Seleccione el Concepto de Gasto primero")</f>
        <v>Alerta: Seleccione el Concepto de Gasto primero</v>
      </c>
      <c r="AW638" s="644"/>
      <c r="AX638" s="645"/>
      <c r="AY638" s="645"/>
      <c r="AZ638" s="645"/>
      <c r="BA638" s="646">
        <f t="shared" si="199"/>
        <v>0</v>
      </c>
      <c r="BB638" s="647"/>
      <c r="BC638" s="648"/>
      <c r="BD638" s="649"/>
      <c r="BE638" s="647"/>
      <c r="BF638" s="644"/>
      <c r="BG638" s="646">
        <f t="shared" si="200"/>
        <v>0</v>
      </c>
      <c r="BH638" s="650"/>
      <c r="BI638" s="647"/>
      <c r="BJ638" s="644"/>
      <c r="BK638" s="646">
        <f t="shared" si="201"/>
        <v>0</v>
      </c>
      <c r="BL638" s="651"/>
      <c r="BM638" s="652">
        <f t="shared" si="202"/>
        <v>1</v>
      </c>
      <c r="BN638" s="628"/>
      <c r="BO638" s="670"/>
      <c r="BP638" s="644"/>
      <c r="BQ638" s="644"/>
      <c r="BR638" s="644"/>
      <c r="BS638" s="644"/>
      <c r="BT638" s="644"/>
      <c r="BU638" s="644"/>
      <c r="BV638" s="644"/>
      <c r="BW638" s="644"/>
      <c r="BX638" s="644"/>
      <c r="BY638" s="644"/>
      <c r="BZ638" s="644"/>
      <c r="CA638" s="644"/>
      <c r="CB638" s="646">
        <f t="shared" si="203"/>
        <v>0</v>
      </c>
      <c r="CC638" s="646">
        <f t="shared" si="204"/>
        <v>0</v>
      </c>
      <c r="CD638" s="614"/>
    </row>
    <row r="639" spans="1:82" s="561" customFormat="1" ht="61.5" customHeight="1">
      <c r="A639" s="625" t="str">
        <f t="shared" si="186"/>
        <v>proyecto-Alerta: Seleccione la celda en la comumna B con el nombre del proyecto-Al-Al--</v>
      </c>
      <c r="B639" s="626" t="str">
        <f t="shared" si="187"/>
        <v>proyecto-Alerta: Seleccione la celda en la comumna B con el nombre del proyecto-Al-Al-</v>
      </c>
      <c r="C639" s="626" t="str">
        <f t="shared" si="188"/>
        <v>proyecto-Alerta: Seleccione la celda en la comumna B con el nombre del proyecto-</v>
      </c>
      <c r="D639" s="626" t="str">
        <f t="shared" si="189"/>
        <v>proyecto--Al-Al-</v>
      </c>
      <c r="E639" s="626" t="str">
        <f t="shared" si="190"/>
        <v>--</v>
      </c>
      <c r="F639" s="627"/>
      <c r="G639" s="628">
        <f t="shared" si="191"/>
        <v>0</v>
      </c>
      <c r="H639" s="629" t="b">
        <f t="shared" si="192"/>
        <v>1</v>
      </c>
      <c r="I639" s="630"/>
      <c r="J639" s="627"/>
      <c r="K639" s="631" t="str">
        <f>+IFERROR(VLOOKUP(J639,Listas!$A$108:$B$114,2,FALSE),"Alerta: Seleccione la celda en la comumna B con el nombre del proyecto")</f>
        <v>Alerta: Seleccione la celda en la comumna B con el nombre del proyecto</v>
      </c>
      <c r="L639" s="632"/>
      <c r="M639" s="633"/>
      <c r="N639" s="634" t="str">
        <f t="shared" si="193"/>
        <v xml:space="preserve">(Cód. ) </v>
      </c>
      <c r="O639" s="635"/>
      <c r="P639" s="636">
        <f>IFERROR(VLOOKUP(W639,'Estimación CRP'!$D$21:$E$30,2,FALSE),0)</f>
        <v>0</v>
      </c>
      <c r="Q639" s="637">
        <f>IF(O639="No aplica","No aplica",WORKDAY.INTL(O639,P639,1,'Estimación CRP'!A825:A841))</f>
        <v>0</v>
      </c>
      <c r="R639" s="636">
        <f t="shared" si="194"/>
        <v>1</v>
      </c>
      <c r="S639" s="636">
        <f t="shared" si="195"/>
        <v>1</v>
      </c>
      <c r="T639" s="636">
        <f t="shared" si="196"/>
        <v>1</v>
      </c>
      <c r="U639" s="638"/>
      <c r="V639" s="638"/>
      <c r="W639" s="639"/>
      <c r="X639" s="640" t="str">
        <f>IFERROR(VLOOKUP(W639,Listas!$A$60:$B$73,2,FALSE),"Alerta: Seleccione primero Modalidad de selección")</f>
        <v>Alerta: Seleccione primero Modalidad de selección</v>
      </c>
      <c r="Y639" s="641">
        <v>0</v>
      </c>
      <c r="Z639" s="641"/>
      <c r="AA639" s="641"/>
      <c r="AB639" s="642">
        <f t="shared" si="197"/>
        <v>0</v>
      </c>
      <c r="AC639" s="642">
        <f t="shared" si="198"/>
        <v>0</v>
      </c>
      <c r="AD639" s="641">
        <v>0</v>
      </c>
      <c r="AE639" s="643">
        <v>0</v>
      </c>
      <c r="AF639" s="639" t="s">
        <v>276</v>
      </c>
      <c r="AG639" s="639" t="s">
        <v>277</v>
      </c>
      <c r="AH639" s="639"/>
      <c r="AI639" s="626" t="str">
        <f>IFERROR(VLOOKUP(AH639,Listas!$A$77:$C$83,2,FALSE),"Alerta: Seleccione primero el responsable")</f>
        <v>Alerta: Seleccione primero el responsable</v>
      </c>
      <c r="AJ639" s="640" t="str">
        <f>IFERROR(VLOOKUP(AH639,Listas!$A$77:$C$83,3,FALSE),"Alerta: Seleccione primero el responsable")</f>
        <v>Alerta: Seleccione primero el responsable</v>
      </c>
      <c r="AK639" s="640" t="str">
        <f>IF(J639="Funcionamiento Gastos Generales","No aplica",IF(J639="Funcionamiento Servicios Personales indirectos","No aplica",IFERROR(VLOOKUP(J639,Listas!$A$127:$E$139,3,FALSE),"Alerta: Seleccione la celda en la comumna B con el nombre del proyecto")))</f>
        <v>Alerta: Seleccione la celda en la comumna B con el nombre del proyecto</v>
      </c>
      <c r="AL639" s="640" t="str">
        <f>IF(J639="Funcionamiento Gastos Generales","No aplica",IF(J639="Funcionamiento Servicios Personales","No aplica",IFERROR(VLOOKUP(J639,Listas!$A$220:$D$224,2,FALSE),"Alerta: Seleccione la celda en la comumna B con el nombre del proyecto")))</f>
        <v>Alerta: Seleccione la celda en la comumna B con el nombre del proyecto</v>
      </c>
      <c r="AM639" s="640" t="str">
        <f>IF(J639="Funcionamiento Gastos Generales","No aplica",IF(J639="Funcionamiento Servicios Personales","No aplica",IFERROR(VLOOKUP(J639,Listas!$A$220:$D$224,3,FALSE),"Alerta: Seleccione la celda en la comumna B con el nombre del proyecto")))</f>
        <v>Alerta: Seleccione la celda en la comumna B con el nombre del proyecto</v>
      </c>
      <c r="AN639" s="633"/>
      <c r="AO639" s="633"/>
      <c r="AP639" s="634" t="str">
        <f>IFERROR(VLOOKUP(J639,Listas!$A$182:$E$215,5,FALSE),"Alerta: Seleccione la celda en la comumna B con el nombre del proyecto")</f>
        <v>Alerta: Seleccione la celda en la comumna B con el nombre del proyecto</v>
      </c>
      <c r="AQ639" s="634" t="str">
        <f>IF(J639="Funcionamiento Gastos Generales","No aplica",IF(J639="Funcionamiento Servicios Personales","No aplica",IFERROR(VLOOKUP(J639,Listas!$A$220:$D$224,4,FALSE),"Alerta: Seleccione la celda en la comumna B con el nombre del proyecto")))</f>
        <v>Alerta: Seleccione la celda en la comumna B con el nombre del proyecto</v>
      </c>
      <c r="AR639" s="633"/>
      <c r="AS639" s="634" t="str">
        <f>IFERROR(VLOOKUP(AU639,Listas!$E$85:$L$105,7,FALSE),"Alerta: Seleccione la celda en la comumna AI con el concepto de gasto")</f>
        <v>Alerta: Seleccione la celda en la comumna AI con el concepto de gasto</v>
      </c>
      <c r="AT639" s="634" t="str">
        <f>IFERROR(VLOOKUP(AU639,Listas!$E$85:$L$105,8,FALSE),"Alerta: Seleccione la celda en la comumna AI con el concepto de gasto")</f>
        <v>Alerta: Seleccione la celda en la comumna AI con el concepto de gasto</v>
      </c>
      <c r="AU639" s="633"/>
      <c r="AV639" s="634" t="str">
        <f>IFERROR(VLOOKUP(AU639,Listas!$E$85:$F$105,2,FALSE),"Alerta: Seleccione el Concepto de Gasto primero")</f>
        <v>Alerta: Seleccione el Concepto de Gasto primero</v>
      </c>
      <c r="AW639" s="644"/>
      <c r="AX639" s="645"/>
      <c r="AY639" s="645"/>
      <c r="AZ639" s="645"/>
      <c r="BA639" s="646">
        <f t="shared" si="199"/>
        <v>0</v>
      </c>
      <c r="BB639" s="647"/>
      <c r="BC639" s="648"/>
      <c r="BD639" s="649"/>
      <c r="BE639" s="647"/>
      <c r="BF639" s="644"/>
      <c r="BG639" s="646">
        <f t="shared" si="200"/>
        <v>0</v>
      </c>
      <c r="BH639" s="650"/>
      <c r="BI639" s="647"/>
      <c r="BJ639" s="644"/>
      <c r="BK639" s="646">
        <f t="shared" si="201"/>
        <v>0</v>
      </c>
      <c r="BL639" s="651"/>
      <c r="BM639" s="652">
        <f t="shared" si="202"/>
        <v>1</v>
      </c>
      <c r="BN639" s="628"/>
      <c r="BO639" s="670"/>
      <c r="BP639" s="644"/>
      <c r="BQ639" s="644"/>
      <c r="BR639" s="644"/>
      <c r="BS639" s="644"/>
      <c r="BT639" s="644"/>
      <c r="BU639" s="644"/>
      <c r="BV639" s="644"/>
      <c r="BW639" s="644"/>
      <c r="BX639" s="644"/>
      <c r="BY639" s="644"/>
      <c r="BZ639" s="644"/>
      <c r="CA639" s="644"/>
      <c r="CB639" s="646">
        <f t="shared" si="203"/>
        <v>0</v>
      </c>
      <c r="CC639" s="646">
        <f t="shared" si="204"/>
        <v>0</v>
      </c>
      <c r="CD639" s="614"/>
    </row>
    <row r="640" spans="1:82" s="561" customFormat="1" ht="61.5" customHeight="1">
      <c r="A640" s="625" t="str">
        <f t="shared" si="186"/>
        <v>proyecto-Alerta: Seleccione la celda en la comumna B con el nombre del proyecto-Al-Al--</v>
      </c>
      <c r="B640" s="626" t="str">
        <f t="shared" si="187"/>
        <v>proyecto-Alerta: Seleccione la celda en la comumna B con el nombre del proyecto-Al-Al-</v>
      </c>
      <c r="C640" s="626" t="str">
        <f t="shared" si="188"/>
        <v>proyecto-Alerta: Seleccione la celda en la comumna B con el nombre del proyecto-</v>
      </c>
      <c r="D640" s="626" t="str">
        <f t="shared" si="189"/>
        <v>proyecto--Al-Al-</v>
      </c>
      <c r="E640" s="626" t="str">
        <f t="shared" si="190"/>
        <v>--</v>
      </c>
      <c r="F640" s="627"/>
      <c r="G640" s="628">
        <f t="shared" si="191"/>
        <v>0</v>
      </c>
      <c r="H640" s="629" t="b">
        <f t="shared" si="192"/>
        <v>1</v>
      </c>
      <c r="I640" s="630"/>
      <c r="J640" s="627"/>
      <c r="K640" s="631" t="str">
        <f>+IFERROR(VLOOKUP(J640,Listas!$A$108:$B$114,2,FALSE),"Alerta: Seleccione la celda en la comumna B con el nombre del proyecto")</f>
        <v>Alerta: Seleccione la celda en la comumna B con el nombre del proyecto</v>
      </c>
      <c r="L640" s="632"/>
      <c r="M640" s="633"/>
      <c r="N640" s="634" t="str">
        <f t="shared" si="193"/>
        <v xml:space="preserve">(Cód. ) </v>
      </c>
      <c r="O640" s="635"/>
      <c r="P640" s="636">
        <f>IFERROR(VLOOKUP(W640,'Estimación CRP'!$D$21:$E$30,2,FALSE),0)</f>
        <v>0</v>
      </c>
      <c r="Q640" s="637">
        <f>IF(O640="No aplica","No aplica",WORKDAY.INTL(O640,P640,1,'Estimación CRP'!A826:A842))</f>
        <v>0</v>
      </c>
      <c r="R640" s="636">
        <f t="shared" si="194"/>
        <v>1</v>
      </c>
      <c r="S640" s="636">
        <f t="shared" si="195"/>
        <v>1</v>
      </c>
      <c r="T640" s="636">
        <f t="shared" si="196"/>
        <v>1</v>
      </c>
      <c r="U640" s="638"/>
      <c r="V640" s="638"/>
      <c r="W640" s="639"/>
      <c r="X640" s="640" t="str">
        <f>IFERROR(VLOOKUP(W640,Listas!$A$60:$B$73,2,FALSE),"Alerta: Seleccione primero Modalidad de selección")</f>
        <v>Alerta: Seleccione primero Modalidad de selección</v>
      </c>
      <c r="Y640" s="641">
        <v>0</v>
      </c>
      <c r="Z640" s="641"/>
      <c r="AA640" s="641"/>
      <c r="AB640" s="642">
        <f t="shared" si="197"/>
        <v>0</v>
      </c>
      <c r="AC640" s="642">
        <f t="shared" si="198"/>
        <v>0</v>
      </c>
      <c r="AD640" s="641">
        <v>0</v>
      </c>
      <c r="AE640" s="643">
        <v>0</v>
      </c>
      <c r="AF640" s="639" t="s">
        <v>276</v>
      </c>
      <c r="AG640" s="639" t="s">
        <v>277</v>
      </c>
      <c r="AH640" s="639"/>
      <c r="AI640" s="626" t="str">
        <f>IFERROR(VLOOKUP(AH640,Listas!$A$77:$C$83,2,FALSE),"Alerta: Seleccione primero el responsable")</f>
        <v>Alerta: Seleccione primero el responsable</v>
      </c>
      <c r="AJ640" s="640" t="str">
        <f>IFERROR(VLOOKUP(AH640,Listas!$A$77:$C$83,3,FALSE),"Alerta: Seleccione primero el responsable")</f>
        <v>Alerta: Seleccione primero el responsable</v>
      </c>
      <c r="AK640" s="640" t="str">
        <f>IF(J640="Funcionamiento Gastos Generales","No aplica",IF(J640="Funcionamiento Servicios Personales indirectos","No aplica",IFERROR(VLOOKUP(J640,Listas!$A$127:$E$139,3,FALSE),"Alerta: Seleccione la celda en la comumna B con el nombre del proyecto")))</f>
        <v>Alerta: Seleccione la celda en la comumna B con el nombre del proyecto</v>
      </c>
      <c r="AL640" s="640" t="str">
        <f>IF(J640="Funcionamiento Gastos Generales","No aplica",IF(J640="Funcionamiento Servicios Personales","No aplica",IFERROR(VLOOKUP(J640,Listas!$A$220:$D$224,2,FALSE),"Alerta: Seleccione la celda en la comumna B con el nombre del proyecto")))</f>
        <v>Alerta: Seleccione la celda en la comumna B con el nombre del proyecto</v>
      </c>
      <c r="AM640" s="640" t="str">
        <f>IF(J640="Funcionamiento Gastos Generales","No aplica",IF(J640="Funcionamiento Servicios Personales","No aplica",IFERROR(VLOOKUP(J640,Listas!$A$220:$D$224,3,FALSE),"Alerta: Seleccione la celda en la comumna B con el nombre del proyecto")))</f>
        <v>Alerta: Seleccione la celda en la comumna B con el nombre del proyecto</v>
      </c>
      <c r="AN640" s="633"/>
      <c r="AO640" s="633"/>
      <c r="AP640" s="634" t="str">
        <f>IFERROR(VLOOKUP(J640,Listas!$A$182:$E$215,5,FALSE),"Alerta: Seleccione la celda en la comumna B con el nombre del proyecto")</f>
        <v>Alerta: Seleccione la celda en la comumna B con el nombre del proyecto</v>
      </c>
      <c r="AQ640" s="634" t="str">
        <f>IF(J640="Funcionamiento Gastos Generales","No aplica",IF(J640="Funcionamiento Servicios Personales","No aplica",IFERROR(VLOOKUP(J640,Listas!$A$220:$D$224,4,FALSE),"Alerta: Seleccione la celda en la comumna B con el nombre del proyecto")))</f>
        <v>Alerta: Seleccione la celda en la comumna B con el nombre del proyecto</v>
      </c>
      <c r="AR640" s="633"/>
      <c r="AS640" s="634" t="str">
        <f>IFERROR(VLOOKUP(AU640,Listas!$E$85:$L$105,7,FALSE),"Alerta: Seleccione la celda en la comumna AI con el concepto de gasto")</f>
        <v>Alerta: Seleccione la celda en la comumna AI con el concepto de gasto</v>
      </c>
      <c r="AT640" s="634" t="str">
        <f>IFERROR(VLOOKUP(AU640,Listas!$E$85:$L$105,8,FALSE),"Alerta: Seleccione la celda en la comumna AI con el concepto de gasto")</f>
        <v>Alerta: Seleccione la celda en la comumna AI con el concepto de gasto</v>
      </c>
      <c r="AU640" s="633"/>
      <c r="AV640" s="634" t="str">
        <f>IFERROR(VLOOKUP(AU640,Listas!$E$85:$F$105,2,FALSE),"Alerta: Seleccione el Concepto de Gasto primero")</f>
        <v>Alerta: Seleccione el Concepto de Gasto primero</v>
      </c>
      <c r="AW640" s="644"/>
      <c r="AX640" s="645"/>
      <c r="AY640" s="645"/>
      <c r="AZ640" s="645"/>
      <c r="BA640" s="646">
        <f t="shared" si="199"/>
        <v>0</v>
      </c>
      <c r="BB640" s="647"/>
      <c r="BC640" s="648"/>
      <c r="BD640" s="649"/>
      <c r="BE640" s="647"/>
      <c r="BF640" s="644"/>
      <c r="BG640" s="646">
        <f t="shared" si="200"/>
        <v>0</v>
      </c>
      <c r="BH640" s="650"/>
      <c r="BI640" s="647"/>
      <c r="BJ640" s="644"/>
      <c r="BK640" s="646">
        <f t="shared" si="201"/>
        <v>0</v>
      </c>
      <c r="BL640" s="651"/>
      <c r="BM640" s="652">
        <f t="shared" si="202"/>
        <v>1</v>
      </c>
      <c r="BN640" s="628"/>
      <c r="BO640" s="670"/>
      <c r="BP640" s="644"/>
      <c r="BQ640" s="644"/>
      <c r="BR640" s="644"/>
      <c r="BS640" s="644"/>
      <c r="BT640" s="644"/>
      <c r="BU640" s="644"/>
      <c r="BV640" s="644"/>
      <c r="BW640" s="644"/>
      <c r="BX640" s="644"/>
      <c r="BY640" s="644"/>
      <c r="BZ640" s="644"/>
      <c r="CA640" s="644"/>
      <c r="CB640" s="646">
        <f t="shared" si="203"/>
        <v>0</v>
      </c>
      <c r="CC640" s="646">
        <f t="shared" si="204"/>
        <v>0</v>
      </c>
      <c r="CD640" s="614"/>
    </row>
    <row r="641" spans="1:85" s="561" customFormat="1" ht="61.5" customHeight="1">
      <c r="A641" s="625" t="str">
        <f t="shared" si="186"/>
        <v>proyecto-Alerta: Seleccione la celda en la comumna B con el nombre del proyecto-Al-Al--</v>
      </c>
      <c r="B641" s="626" t="str">
        <f t="shared" si="187"/>
        <v>proyecto-Alerta: Seleccione la celda en la comumna B con el nombre del proyecto-Al-Al-</v>
      </c>
      <c r="C641" s="626" t="str">
        <f t="shared" si="188"/>
        <v>proyecto-Alerta: Seleccione la celda en la comumna B con el nombre del proyecto-</v>
      </c>
      <c r="D641" s="626" t="str">
        <f t="shared" si="189"/>
        <v>proyecto--Al-Al-</v>
      </c>
      <c r="E641" s="626" t="str">
        <f t="shared" si="190"/>
        <v>--</v>
      </c>
      <c r="F641" s="627"/>
      <c r="G641" s="628">
        <f t="shared" si="191"/>
        <v>0</v>
      </c>
      <c r="H641" s="629" t="b">
        <f t="shared" si="192"/>
        <v>1</v>
      </c>
      <c r="I641" s="630"/>
      <c r="J641" s="627"/>
      <c r="K641" s="631" t="str">
        <f>+IFERROR(VLOOKUP(J641,Listas!$A$108:$B$114,2,FALSE),"Alerta: Seleccione la celda en la comumna B con el nombre del proyecto")</f>
        <v>Alerta: Seleccione la celda en la comumna B con el nombre del proyecto</v>
      </c>
      <c r="L641" s="632"/>
      <c r="M641" s="633"/>
      <c r="N641" s="634" t="str">
        <f t="shared" si="193"/>
        <v xml:space="preserve">(Cód. ) </v>
      </c>
      <c r="O641" s="635"/>
      <c r="P641" s="636">
        <f>IFERROR(VLOOKUP(W641,'Estimación CRP'!$D$21:$E$30,2,FALSE),0)</f>
        <v>0</v>
      </c>
      <c r="Q641" s="637">
        <f>IF(O641="No aplica","No aplica",WORKDAY.INTL(O641,P641,1,'Estimación CRP'!A827:A843))</f>
        <v>0</v>
      </c>
      <c r="R641" s="636">
        <f t="shared" si="194"/>
        <v>1</v>
      </c>
      <c r="S641" s="636">
        <f t="shared" si="195"/>
        <v>1</v>
      </c>
      <c r="T641" s="636">
        <f t="shared" si="196"/>
        <v>1</v>
      </c>
      <c r="U641" s="638"/>
      <c r="V641" s="638"/>
      <c r="W641" s="639"/>
      <c r="X641" s="640" t="str">
        <f>IFERROR(VLOOKUP(W641,Listas!$A$60:$B$73,2,FALSE),"Alerta: Seleccione primero Modalidad de selección")</f>
        <v>Alerta: Seleccione primero Modalidad de selección</v>
      </c>
      <c r="Y641" s="641">
        <v>0</v>
      </c>
      <c r="Z641" s="641"/>
      <c r="AA641" s="641"/>
      <c r="AB641" s="642">
        <f t="shared" si="197"/>
        <v>0</v>
      </c>
      <c r="AC641" s="642">
        <f t="shared" si="198"/>
        <v>0</v>
      </c>
      <c r="AD641" s="641">
        <v>0</v>
      </c>
      <c r="AE641" s="643">
        <v>0</v>
      </c>
      <c r="AF641" s="639" t="s">
        <v>276</v>
      </c>
      <c r="AG641" s="639" t="s">
        <v>277</v>
      </c>
      <c r="AH641" s="639"/>
      <c r="AI641" s="626" t="str">
        <f>IFERROR(VLOOKUP(AH641,Listas!$A$77:$C$83,2,FALSE),"Alerta: Seleccione primero el responsable")</f>
        <v>Alerta: Seleccione primero el responsable</v>
      </c>
      <c r="AJ641" s="640" t="str">
        <f>IFERROR(VLOOKUP(AH641,Listas!$A$77:$C$83,3,FALSE),"Alerta: Seleccione primero el responsable")</f>
        <v>Alerta: Seleccione primero el responsable</v>
      </c>
      <c r="AK641" s="640" t="str">
        <f>IF(J641="Funcionamiento Gastos Generales","No aplica",IF(J641="Funcionamiento Servicios Personales indirectos","No aplica",IFERROR(VLOOKUP(J641,Listas!$A$127:$E$139,3,FALSE),"Alerta: Seleccione la celda en la comumna B con el nombre del proyecto")))</f>
        <v>Alerta: Seleccione la celda en la comumna B con el nombre del proyecto</v>
      </c>
      <c r="AL641" s="640" t="str">
        <f>IF(J641="Funcionamiento Gastos Generales","No aplica",IF(J641="Funcionamiento Servicios Personales","No aplica",IFERROR(VLOOKUP(J641,Listas!$A$220:$D$224,2,FALSE),"Alerta: Seleccione la celda en la comumna B con el nombre del proyecto")))</f>
        <v>Alerta: Seleccione la celda en la comumna B con el nombre del proyecto</v>
      </c>
      <c r="AM641" s="640" t="str">
        <f>IF(J641="Funcionamiento Gastos Generales","No aplica",IF(J641="Funcionamiento Servicios Personales","No aplica",IFERROR(VLOOKUP(J641,Listas!$A$220:$D$224,3,FALSE),"Alerta: Seleccione la celda en la comumna B con el nombre del proyecto")))</f>
        <v>Alerta: Seleccione la celda en la comumna B con el nombre del proyecto</v>
      </c>
      <c r="AN641" s="633"/>
      <c r="AO641" s="633"/>
      <c r="AP641" s="634" t="str">
        <f>IFERROR(VLOOKUP(J641,Listas!$A$182:$E$215,5,FALSE),"Alerta: Seleccione la celda en la comumna B con el nombre del proyecto")</f>
        <v>Alerta: Seleccione la celda en la comumna B con el nombre del proyecto</v>
      </c>
      <c r="AQ641" s="634" t="str">
        <f>IF(J641="Funcionamiento Gastos Generales","No aplica",IF(J641="Funcionamiento Servicios Personales","No aplica",IFERROR(VLOOKUP(J641,Listas!$A$220:$D$224,4,FALSE),"Alerta: Seleccione la celda en la comumna B con el nombre del proyecto")))</f>
        <v>Alerta: Seleccione la celda en la comumna B con el nombre del proyecto</v>
      </c>
      <c r="AR641" s="633"/>
      <c r="AS641" s="634" t="str">
        <f>IFERROR(VLOOKUP(AU641,Listas!$E$85:$L$105,7,FALSE),"Alerta: Seleccione la celda en la comumna AI con el concepto de gasto")</f>
        <v>Alerta: Seleccione la celda en la comumna AI con el concepto de gasto</v>
      </c>
      <c r="AT641" s="634" t="str">
        <f>IFERROR(VLOOKUP(AU641,Listas!$E$85:$L$105,8,FALSE),"Alerta: Seleccione la celda en la comumna AI con el concepto de gasto")</f>
        <v>Alerta: Seleccione la celda en la comumna AI con el concepto de gasto</v>
      </c>
      <c r="AU641" s="633"/>
      <c r="AV641" s="634" t="str">
        <f>IFERROR(VLOOKUP(AU641,Listas!$E$85:$F$105,2,FALSE),"Alerta: Seleccione el Concepto de Gasto primero")</f>
        <v>Alerta: Seleccione el Concepto de Gasto primero</v>
      </c>
      <c r="AW641" s="644"/>
      <c r="AX641" s="645"/>
      <c r="AY641" s="645"/>
      <c r="AZ641" s="645"/>
      <c r="BA641" s="646">
        <f t="shared" si="199"/>
        <v>0</v>
      </c>
      <c r="BB641" s="647"/>
      <c r="BC641" s="648"/>
      <c r="BD641" s="649"/>
      <c r="BE641" s="647"/>
      <c r="BF641" s="644"/>
      <c r="BG641" s="646">
        <f t="shared" si="200"/>
        <v>0</v>
      </c>
      <c r="BH641" s="650"/>
      <c r="BI641" s="647"/>
      <c r="BJ641" s="644"/>
      <c r="BK641" s="646">
        <f t="shared" si="201"/>
        <v>0</v>
      </c>
      <c r="BL641" s="651"/>
      <c r="BM641" s="652">
        <f t="shared" si="202"/>
        <v>1</v>
      </c>
      <c r="BN641" s="628"/>
      <c r="BO641" s="670"/>
      <c r="BP641" s="644"/>
      <c r="BQ641" s="644"/>
      <c r="BR641" s="644"/>
      <c r="BS641" s="644"/>
      <c r="BT641" s="644"/>
      <c r="BU641" s="644"/>
      <c r="BV641" s="644"/>
      <c r="BW641" s="644"/>
      <c r="BX641" s="644"/>
      <c r="BY641" s="644"/>
      <c r="BZ641" s="644"/>
      <c r="CA641" s="644"/>
      <c r="CB641" s="646">
        <f t="shared" si="203"/>
        <v>0</v>
      </c>
      <c r="CC641" s="646">
        <f t="shared" si="204"/>
        <v>0</v>
      </c>
      <c r="CD641" s="614"/>
    </row>
    <row r="642" spans="1:85" s="561" customFormat="1" ht="61.5" customHeight="1">
      <c r="A642" s="625" t="str">
        <f t="shared" si="186"/>
        <v>proyecto-Alerta: Seleccione la celda en la comumna B con el nombre del proyecto-Al-Al--</v>
      </c>
      <c r="B642" s="626" t="str">
        <f t="shared" si="187"/>
        <v>proyecto-Alerta: Seleccione la celda en la comumna B con el nombre del proyecto-Al-Al-</v>
      </c>
      <c r="C642" s="626" t="str">
        <f t="shared" si="188"/>
        <v>proyecto-Alerta: Seleccione la celda en la comumna B con el nombre del proyecto-</v>
      </c>
      <c r="D642" s="626" t="str">
        <f t="shared" si="189"/>
        <v>proyecto--Al-Al-</v>
      </c>
      <c r="E642" s="626" t="str">
        <f t="shared" si="190"/>
        <v>--</v>
      </c>
      <c r="F642" s="627"/>
      <c r="G642" s="628">
        <f t="shared" si="191"/>
        <v>0</v>
      </c>
      <c r="H642" s="629" t="b">
        <f t="shared" si="192"/>
        <v>1</v>
      </c>
      <c r="I642" s="630"/>
      <c r="J642" s="627"/>
      <c r="K642" s="631" t="str">
        <f>+IFERROR(VLOOKUP(J642,Listas!$A$108:$B$114,2,FALSE),"Alerta: Seleccione la celda en la comumna B con el nombre del proyecto")</f>
        <v>Alerta: Seleccione la celda en la comumna B con el nombre del proyecto</v>
      </c>
      <c r="L642" s="632"/>
      <c r="M642" s="633"/>
      <c r="N642" s="634" t="str">
        <f t="shared" si="193"/>
        <v xml:space="preserve">(Cód. ) </v>
      </c>
      <c r="O642" s="635"/>
      <c r="P642" s="636">
        <f>IFERROR(VLOOKUP(W642,'Estimación CRP'!$D$21:$E$30,2,FALSE),0)</f>
        <v>0</v>
      </c>
      <c r="Q642" s="637">
        <f>IF(O642="No aplica","No aplica",WORKDAY.INTL(O642,P642,1,'Estimación CRP'!A828:A844))</f>
        <v>0</v>
      </c>
      <c r="R642" s="636">
        <f t="shared" si="194"/>
        <v>1</v>
      </c>
      <c r="S642" s="636">
        <f t="shared" si="195"/>
        <v>1</v>
      </c>
      <c r="T642" s="636">
        <f t="shared" si="196"/>
        <v>1</v>
      </c>
      <c r="U642" s="638"/>
      <c r="V642" s="638"/>
      <c r="W642" s="639"/>
      <c r="X642" s="640" t="str">
        <f>IFERROR(VLOOKUP(W642,Listas!$A$60:$B$73,2,FALSE),"Alerta: Seleccione primero Modalidad de selección")</f>
        <v>Alerta: Seleccione primero Modalidad de selección</v>
      </c>
      <c r="Y642" s="641">
        <v>0</v>
      </c>
      <c r="Z642" s="641"/>
      <c r="AA642" s="641"/>
      <c r="AB642" s="642">
        <f t="shared" si="197"/>
        <v>0</v>
      </c>
      <c r="AC642" s="642">
        <f t="shared" si="198"/>
        <v>0</v>
      </c>
      <c r="AD642" s="641">
        <v>0</v>
      </c>
      <c r="AE642" s="643">
        <v>0</v>
      </c>
      <c r="AF642" s="639" t="s">
        <v>276</v>
      </c>
      <c r="AG642" s="639" t="s">
        <v>277</v>
      </c>
      <c r="AH642" s="639"/>
      <c r="AI642" s="626" t="str">
        <f>IFERROR(VLOOKUP(AH642,Listas!$A$77:$C$83,2,FALSE),"Alerta: Seleccione primero el responsable")</f>
        <v>Alerta: Seleccione primero el responsable</v>
      </c>
      <c r="AJ642" s="640" t="str">
        <f>IFERROR(VLOOKUP(AH642,Listas!$A$77:$C$83,3,FALSE),"Alerta: Seleccione primero el responsable")</f>
        <v>Alerta: Seleccione primero el responsable</v>
      </c>
      <c r="AK642" s="640" t="str">
        <f>IF(J642="Funcionamiento Gastos Generales","No aplica",IF(J642="Funcionamiento Servicios Personales indirectos","No aplica",IFERROR(VLOOKUP(J642,Listas!$A$127:$E$139,3,FALSE),"Alerta: Seleccione la celda en la comumna B con el nombre del proyecto")))</f>
        <v>Alerta: Seleccione la celda en la comumna B con el nombre del proyecto</v>
      </c>
      <c r="AL642" s="640" t="str">
        <f>IF(J642="Funcionamiento Gastos Generales","No aplica",IF(J642="Funcionamiento Servicios Personales","No aplica",IFERROR(VLOOKUP(J642,Listas!$A$220:$D$224,2,FALSE),"Alerta: Seleccione la celda en la comumna B con el nombre del proyecto")))</f>
        <v>Alerta: Seleccione la celda en la comumna B con el nombre del proyecto</v>
      </c>
      <c r="AM642" s="640" t="str">
        <f>IF(J642="Funcionamiento Gastos Generales","No aplica",IF(J642="Funcionamiento Servicios Personales","No aplica",IFERROR(VLOOKUP(J642,Listas!$A$220:$D$224,3,FALSE),"Alerta: Seleccione la celda en la comumna B con el nombre del proyecto")))</f>
        <v>Alerta: Seleccione la celda en la comumna B con el nombre del proyecto</v>
      </c>
      <c r="AN642" s="633"/>
      <c r="AO642" s="633"/>
      <c r="AP642" s="634" t="str">
        <f>IFERROR(VLOOKUP(J642,Listas!$A$182:$E$215,5,FALSE),"Alerta: Seleccione la celda en la comumna B con el nombre del proyecto")</f>
        <v>Alerta: Seleccione la celda en la comumna B con el nombre del proyecto</v>
      </c>
      <c r="AQ642" s="634" t="str">
        <f>IF(J642="Funcionamiento Gastos Generales","No aplica",IF(J642="Funcionamiento Servicios Personales","No aplica",IFERROR(VLOOKUP(J642,Listas!$A$220:$D$224,4,FALSE),"Alerta: Seleccione la celda en la comumna B con el nombre del proyecto")))</f>
        <v>Alerta: Seleccione la celda en la comumna B con el nombre del proyecto</v>
      </c>
      <c r="AR642" s="633"/>
      <c r="AS642" s="634" t="str">
        <f>IFERROR(VLOOKUP(AU642,Listas!$E$85:$L$105,7,FALSE),"Alerta: Seleccione la celda en la comumna AI con el concepto de gasto")</f>
        <v>Alerta: Seleccione la celda en la comumna AI con el concepto de gasto</v>
      </c>
      <c r="AT642" s="634" t="str">
        <f>IFERROR(VLOOKUP(AU642,Listas!$E$85:$L$105,8,FALSE),"Alerta: Seleccione la celda en la comumna AI con el concepto de gasto")</f>
        <v>Alerta: Seleccione la celda en la comumna AI con el concepto de gasto</v>
      </c>
      <c r="AU642" s="633"/>
      <c r="AV642" s="634" t="str">
        <f>IFERROR(VLOOKUP(AU642,Listas!$E$85:$F$105,2,FALSE),"Alerta: Seleccione el Concepto de Gasto primero")</f>
        <v>Alerta: Seleccione el Concepto de Gasto primero</v>
      </c>
      <c r="AW642" s="644"/>
      <c r="AX642" s="645"/>
      <c r="AY642" s="645"/>
      <c r="AZ642" s="645"/>
      <c r="BA642" s="646">
        <f t="shared" si="199"/>
        <v>0</v>
      </c>
      <c r="BB642" s="647"/>
      <c r="BC642" s="648"/>
      <c r="BD642" s="649"/>
      <c r="BE642" s="647"/>
      <c r="BF642" s="644"/>
      <c r="BG642" s="646">
        <f t="shared" si="200"/>
        <v>0</v>
      </c>
      <c r="BH642" s="650"/>
      <c r="BI642" s="647"/>
      <c r="BJ642" s="644"/>
      <c r="BK642" s="646">
        <f t="shared" si="201"/>
        <v>0</v>
      </c>
      <c r="BL642" s="651"/>
      <c r="BM642" s="652">
        <f t="shared" si="202"/>
        <v>1</v>
      </c>
      <c r="BN642" s="628"/>
      <c r="BO642" s="670"/>
      <c r="BP642" s="644"/>
      <c r="BQ642" s="644"/>
      <c r="BR642" s="644"/>
      <c r="BS642" s="644"/>
      <c r="BT642" s="644"/>
      <c r="BU642" s="644"/>
      <c r="BV642" s="644"/>
      <c r="BW642" s="644"/>
      <c r="BX642" s="644"/>
      <c r="BY642" s="644"/>
      <c r="BZ642" s="644"/>
      <c r="CA642" s="644"/>
      <c r="CB642" s="646">
        <f t="shared" si="203"/>
        <v>0</v>
      </c>
      <c r="CC642" s="646">
        <f t="shared" si="204"/>
        <v>0</v>
      </c>
      <c r="CD642" s="614"/>
      <c r="CG642" s="561" t="s">
        <v>589</v>
      </c>
    </row>
    <row r="643" spans="1:85" s="561" customFormat="1" ht="61.5" customHeight="1">
      <c r="A643" s="625" t="str">
        <f t="shared" si="186"/>
        <v>proyecto-Alerta: Seleccione la celda en la comumna B con el nombre del proyecto-Al-Al--</v>
      </c>
      <c r="B643" s="626" t="str">
        <f t="shared" si="187"/>
        <v>proyecto-Alerta: Seleccione la celda en la comumna B con el nombre del proyecto-Al-Al-</v>
      </c>
      <c r="C643" s="626" t="str">
        <f t="shared" si="188"/>
        <v>proyecto-Alerta: Seleccione la celda en la comumna B con el nombre del proyecto-</v>
      </c>
      <c r="D643" s="626" t="str">
        <f t="shared" si="189"/>
        <v>proyecto--Al-Al-</v>
      </c>
      <c r="E643" s="626" t="str">
        <f t="shared" si="190"/>
        <v>--</v>
      </c>
      <c r="F643" s="627"/>
      <c r="G643" s="628">
        <f t="shared" si="191"/>
        <v>0</v>
      </c>
      <c r="H643" s="629" t="b">
        <f t="shared" si="192"/>
        <v>1</v>
      </c>
      <c r="I643" s="630"/>
      <c r="J643" s="627"/>
      <c r="K643" s="631" t="str">
        <f>+IFERROR(VLOOKUP(J643,Listas!$A$108:$B$114,2,FALSE),"Alerta: Seleccione la celda en la comumna B con el nombre del proyecto")</f>
        <v>Alerta: Seleccione la celda en la comumna B con el nombre del proyecto</v>
      </c>
      <c r="L643" s="632"/>
      <c r="M643" s="633"/>
      <c r="N643" s="634" t="str">
        <f t="shared" si="193"/>
        <v xml:space="preserve">(Cód. ) </v>
      </c>
      <c r="O643" s="635"/>
      <c r="P643" s="636">
        <f>IFERROR(VLOOKUP(W643,'Estimación CRP'!$D$21:$E$30,2,FALSE),0)</f>
        <v>0</v>
      </c>
      <c r="Q643" s="637">
        <f>IF(O643="No aplica","No aplica",WORKDAY.INTL(O643,P643,1,'Estimación CRP'!A829:A845))</f>
        <v>0</v>
      </c>
      <c r="R643" s="636">
        <f t="shared" si="194"/>
        <v>1</v>
      </c>
      <c r="S643" s="636">
        <f t="shared" si="195"/>
        <v>1</v>
      </c>
      <c r="T643" s="636">
        <f t="shared" si="196"/>
        <v>1</v>
      </c>
      <c r="U643" s="638"/>
      <c r="V643" s="638"/>
      <c r="W643" s="639"/>
      <c r="X643" s="640" t="str">
        <f>IFERROR(VLOOKUP(W643,Listas!$A$60:$B$73,2,FALSE),"Alerta: Seleccione primero Modalidad de selección")</f>
        <v>Alerta: Seleccione primero Modalidad de selección</v>
      </c>
      <c r="Y643" s="641">
        <v>0</v>
      </c>
      <c r="Z643" s="641"/>
      <c r="AA643" s="641"/>
      <c r="AB643" s="642">
        <f t="shared" si="197"/>
        <v>0</v>
      </c>
      <c r="AC643" s="642">
        <f t="shared" si="198"/>
        <v>0</v>
      </c>
      <c r="AD643" s="641">
        <v>0</v>
      </c>
      <c r="AE643" s="643">
        <v>0</v>
      </c>
      <c r="AF643" s="639" t="s">
        <v>276</v>
      </c>
      <c r="AG643" s="639" t="s">
        <v>277</v>
      </c>
      <c r="AH643" s="639"/>
      <c r="AI643" s="626" t="str">
        <f>IFERROR(VLOOKUP(AH643,Listas!$A$77:$C$83,2,FALSE),"Alerta: Seleccione primero el responsable")</f>
        <v>Alerta: Seleccione primero el responsable</v>
      </c>
      <c r="AJ643" s="640" t="str">
        <f>IFERROR(VLOOKUP(AH643,Listas!$A$77:$C$83,3,FALSE),"Alerta: Seleccione primero el responsable")</f>
        <v>Alerta: Seleccione primero el responsable</v>
      </c>
      <c r="AK643" s="640" t="str">
        <f>IF(J643="Funcionamiento Gastos Generales","No aplica",IF(J643="Funcionamiento Servicios Personales indirectos","No aplica",IFERROR(VLOOKUP(J643,Listas!$A$127:$E$139,3,FALSE),"Alerta: Seleccione la celda en la comumna B con el nombre del proyecto")))</f>
        <v>Alerta: Seleccione la celda en la comumna B con el nombre del proyecto</v>
      </c>
      <c r="AL643" s="640" t="str">
        <f>IF(J643="Funcionamiento Gastos Generales","No aplica",IF(J643="Funcionamiento Servicios Personales","No aplica",IFERROR(VLOOKUP(J643,Listas!$A$220:$D$224,2,FALSE),"Alerta: Seleccione la celda en la comumna B con el nombre del proyecto")))</f>
        <v>Alerta: Seleccione la celda en la comumna B con el nombre del proyecto</v>
      </c>
      <c r="AM643" s="640" t="str">
        <f>IF(J643="Funcionamiento Gastos Generales","No aplica",IF(J643="Funcionamiento Servicios Personales","No aplica",IFERROR(VLOOKUP(J643,Listas!$A$220:$D$224,3,FALSE),"Alerta: Seleccione la celda en la comumna B con el nombre del proyecto")))</f>
        <v>Alerta: Seleccione la celda en la comumna B con el nombre del proyecto</v>
      </c>
      <c r="AN643" s="633"/>
      <c r="AO643" s="633"/>
      <c r="AP643" s="634" t="str">
        <f>IFERROR(VLOOKUP(J643,Listas!$A$182:$E$215,5,FALSE),"Alerta: Seleccione la celda en la comumna B con el nombre del proyecto")</f>
        <v>Alerta: Seleccione la celda en la comumna B con el nombre del proyecto</v>
      </c>
      <c r="AQ643" s="634" t="str">
        <f>IF(J643="Funcionamiento Gastos Generales","No aplica",IF(J643="Funcionamiento Servicios Personales","No aplica",IFERROR(VLOOKUP(J643,Listas!$A$220:$D$224,4,FALSE),"Alerta: Seleccione la celda en la comumna B con el nombre del proyecto")))</f>
        <v>Alerta: Seleccione la celda en la comumna B con el nombre del proyecto</v>
      </c>
      <c r="AR643" s="633"/>
      <c r="AS643" s="634" t="str">
        <f>IFERROR(VLOOKUP(AU643,Listas!$E$85:$L$105,7,FALSE),"Alerta: Seleccione la celda en la comumna AI con el concepto de gasto")</f>
        <v>Alerta: Seleccione la celda en la comumna AI con el concepto de gasto</v>
      </c>
      <c r="AT643" s="634" t="str">
        <f>IFERROR(VLOOKUP(AU643,Listas!$E$85:$L$105,8,FALSE),"Alerta: Seleccione la celda en la comumna AI con el concepto de gasto")</f>
        <v>Alerta: Seleccione la celda en la comumna AI con el concepto de gasto</v>
      </c>
      <c r="AU643" s="633"/>
      <c r="AV643" s="634" t="str">
        <f>IFERROR(VLOOKUP(AU643,Listas!$E$85:$F$105,2,FALSE),"Alerta: Seleccione el Concepto de Gasto primero")</f>
        <v>Alerta: Seleccione el Concepto de Gasto primero</v>
      </c>
      <c r="AW643" s="644"/>
      <c r="AX643" s="645"/>
      <c r="AY643" s="645"/>
      <c r="AZ643" s="645"/>
      <c r="BA643" s="646">
        <f t="shared" si="199"/>
        <v>0</v>
      </c>
      <c r="BB643" s="647"/>
      <c r="BC643" s="648"/>
      <c r="BD643" s="649"/>
      <c r="BE643" s="647"/>
      <c r="BF643" s="644"/>
      <c r="BG643" s="646">
        <f t="shared" si="200"/>
        <v>0</v>
      </c>
      <c r="BH643" s="650"/>
      <c r="BI643" s="647"/>
      <c r="BJ643" s="644"/>
      <c r="BK643" s="646">
        <f t="shared" si="201"/>
        <v>0</v>
      </c>
      <c r="BL643" s="651"/>
      <c r="BM643" s="652">
        <f t="shared" si="202"/>
        <v>1</v>
      </c>
      <c r="BN643" s="628"/>
      <c r="BO643" s="670"/>
      <c r="BP643" s="644"/>
      <c r="BQ643" s="644"/>
      <c r="BR643" s="644"/>
      <c r="BS643" s="644"/>
      <c r="BT643" s="644"/>
      <c r="BU643" s="644"/>
      <c r="BV643" s="644"/>
      <c r="BW643" s="644"/>
      <c r="BX643" s="644"/>
      <c r="BY643" s="644"/>
      <c r="BZ643" s="644"/>
      <c r="CA643" s="644"/>
      <c r="CB643" s="646">
        <f t="shared" si="203"/>
        <v>0</v>
      </c>
      <c r="CC643" s="646">
        <f t="shared" si="204"/>
        <v>0</v>
      </c>
      <c r="CD643" s="614"/>
      <c r="CG643" s="561" t="s">
        <v>589</v>
      </c>
    </row>
    <row r="644" spans="1:85" s="561" customFormat="1" ht="61.5" customHeight="1">
      <c r="A644" s="625" t="str">
        <f t="shared" si="186"/>
        <v>proyecto-Alerta: Seleccione la celda en la comumna B con el nombre del proyecto-Al-Al--</v>
      </c>
      <c r="B644" s="626" t="str">
        <f t="shared" si="187"/>
        <v>proyecto-Alerta: Seleccione la celda en la comumna B con el nombre del proyecto-Al-Al-</v>
      </c>
      <c r="C644" s="626" t="str">
        <f t="shared" si="188"/>
        <v>proyecto-Alerta: Seleccione la celda en la comumna B con el nombre del proyecto-</v>
      </c>
      <c r="D644" s="626" t="str">
        <f t="shared" si="189"/>
        <v>proyecto--Al-Al-</v>
      </c>
      <c r="E644" s="626" t="str">
        <f t="shared" si="190"/>
        <v>--</v>
      </c>
      <c r="F644" s="627"/>
      <c r="G644" s="628">
        <f t="shared" si="191"/>
        <v>0</v>
      </c>
      <c r="H644" s="629" t="b">
        <f t="shared" si="192"/>
        <v>1</v>
      </c>
      <c r="I644" s="630"/>
      <c r="J644" s="627"/>
      <c r="K644" s="631" t="str">
        <f>+IFERROR(VLOOKUP(J644,Listas!$A$108:$B$114,2,FALSE),"Alerta: Seleccione la celda en la comumna B con el nombre del proyecto")</f>
        <v>Alerta: Seleccione la celda en la comumna B con el nombre del proyecto</v>
      </c>
      <c r="L644" s="632"/>
      <c r="M644" s="633"/>
      <c r="N644" s="634" t="str">
        <f t="shared" si="193"/>
        <v xml:space="preserve">(Cód. ) </v>
      </c>
      <c r="O644" s="635"/>
      <c r="P644" s="636">
        <f>IFERROR(VLOOKUP(W644,'Estimación CRP'!$D$21:$E$30,2,FALSE),0)</f>
        <v>0</v>
      </c>
      <c r="Q644" s="637">
        <f>IF(O644="No aplica","No aplica",WORKDAY.INTL(O644,P644,1,'Estimación CRP'!A830:A846))</f>
        <v>0</v>
      </c>
      <c r="R644" s="636">
        <f t="shared" si="194"/>
        <v>1</v>
      </c>
      <c r="S644" s="636">
        <f t="shared" si="195"/>
        <v>1</v>
      </c>
      <c r="T644" s="636">
        <f t="shared" si="196"/>
        <v>1</v>
      </c>
      <c r="U644" s="638"/>
      <c r="V644" s="638"/>
      <c r="W644" s="639"/>
      <c r="X644" s="640" t="str">
        <f>IFERROR(VLOOKUP(W644,Listas!$A$60:$B$73,2,FALSE),"Alerta: Seleccione primero Modalidad de selección")</f>
        <v>Alerta: Seleccione primero Modalidad de selección</v>
      </c>
      <c r="Y644" s="641">
        <v>0</v>
      </c>
      <c r="Z644" s="641"/>
      <c r="AA644" s="641"/>
      <c r="AB644" s="642">
        <f t="shared" si="197"/>
        <v>0</v>
      </c>
      <c r="AC644" s="642">
        <f t="shared" si="198"/>
        <v>0</v>
      </c>
      <c r="AD644" s="641">
        <v>0</v>
      </c>
      <c r="AE644" s="643">
        <v>0</v>
      </c>
      <c r="AF644" s="639" t="s">
        <v>276</v>
      </c>
      <c r="AG644" s="639" t="s">
        <v>277</v>
      </c>
      <c r="AH644" s="639"/>
      <c r="AI644" s="626" t="str">
        <f>IFERROR(VLOOKUP(AH644,Listas!$A$77:$C$83,2,FALSE),"Alerta: Seleccione primero el responsable")</f>
        <v>Alerta: Seleccione primero el responsable</v>
      </c>
      <c r="AJ644" s="640" t="str">
        <f>IFERROR(VLOOKUP(AH644,Listas!$A$77:$C$83,3,FALSE),"Alerta: Seleccione primero el responsable")</f>
        <v>Alerta: Seleccione primero el responsable</v>
      </c>
      <c r="AK644" s="640" t="str">
        <f>IF(J644="Funcionamiento Gastos Generales","No aplica",IF(J644="Funcionamiento Servicios Personales indirectos","No aplica",IFERROR(VLOOKUP(J644,Listas!$A$127:$E$139,3,FALSE),"Alerta: Seleccione la celda en la comumna B con el nombre del proyecto")))</f>
        <v>Alerta: Seleccione la celda en la comumna B con el nombre del proyecto</v>
      </c>
      <c r="AL644" s="640" t="str">
        <f>IF(J644="Funcionamiento Gastos Generales","No aplica",IF(J644="Funcionamiento Servicios Personales","No aplica",IFERROR(VLOOKUP(J644,Listas!$A$220:$D$224,2,FALSE),"Alerta: Seleccione la celda en la comumna B con el nombre del proyecto")))</f>
        <v>Alerta: Seleccione la celda en la comumna B con el nombre del proyecto</v>
      </c>
      <c r="AM644" s="640" t="str">
        <f>IF(J644="Funcionamiento Gastos Generales","No aplica",IF(J644="Funcionamiento Servicios Personales","No aplica",IFERROR(VLOOKUP(J644,Listas!$A$220:$D$224,3,FALSE),"Alerta: Seleccione la celda en la comumna B con el nombre del proyecto")))</f>
        <v>Alerta: Seleccione la celda en la comumna B con el nombre del proyecto</v>
      </c>
      <c r="AN644" s="633"/>
      <c r="AO644" s="633"/>
      <c r="AP644" s="634" t="str">
        <f>IFERROR(VLOOKUP(J644,Listas!$A$182:$E$215,5,FALSE),"Alerta: Seleccione la celda en la comumna B con el nombre del proyecto")</f>
        <v>Alerta: Seleccione la celda en la comumna B con el nombre del proyecto</v>
      </c>
      <c r="AQ644" s="634" t="str">
        <f>IF(J644="Funcionamiento Gastos Generales","No aplica",IF(J644="Funcionamiento Servicios Personales","No aplica",IFERROR(VLOOKUP(J644,Listas!$A$220:$D$224,4,FALSE),"Alerta: Seleccione la celda en la comumna B con el nombre del proyecto")))</f>
        <v>Alerta: Seleccione la celda en la comumna B con el nombre del proyecto</v>
      </c>
      <c r="AR644" s="633"/>
      <c r="AS644" s="634" t="str">
        <f>IFERROR(VLOOKUP(AU644,Listas!$E$85:$L$105,7,FALSE),"Alerta: Seleccione la celda en la comumna AI con el concepto de gasto")</f>
        <v>Alerta: Seleccione la celda en la comumna AI con el concepto de gasto</v>
      </c>
      <c r="AT644" s="634" t="str">
        <f>IFERROR(VLOOKUP(AU644,Listas!$E$85:$L$105,8,FALSE),"Alerta: Seleccione la celda en la comumna AI con el concepto de gasto")</f>
        <v>Alerta: Seleccione la celda en la comumna AI con el concepto de gasto</v>
      </c>
      <c r="AU644" s="633"/>
      <c r="AV644" s="634" t="str">
        <f>IFERROR(VLOOKUP(AU644,Listas!$E$85:$F$105,2,FALSE),"Alerta: Seleccione el Concepto de Gasto primero")</f>
        <v>Alerta: Seleccione el Concepto de Gasto primero</v>
      </c>
      <c r="AW644" s="644"/>
      <c r="AX644" s="645"/>
      <c r="AY644" s="645"/>
      <c r="AZ644" s="645"/>
      <c r="BA644" s="646">
        <f t="shared" si="199"/>
        <v>0</v>
      </c>
      <c r="BB644" s="647"/>
      <c r="BC644" s="648"/>
      <c r="BD644" s="649"/>
      <c r="BE644" s="647"/>
      <c r="BF644" s="644"/>
      <c r="BG644" s="646">
        <f t="shared" si="200"/>
        <v>0</v>
      </c>
      <c r="BH644" s="650"/>
      <c r="BI644" s="647"/>
      <c r="BJ644" s="644"/>
      <c r="BK644" s="646">
        <f t="shared" si="201"/>
        <v>0</v>
      </c>
      <c r="BL644" s="651"/>
      <c r="BM644" s="652">
        <f t="shared" si="202"/>
        <v>1</v>
      </c>
      <c r="BN644" s="628"/>
      <c r="BO644" s="670"/>
      <c r="BP644" s="644"/>
      <c r="BQ644" s="644"/>
      <c r="BR644" s="644"/>
      <c r="BS644" s="644"/>
      <c r="BT644" s="644"/>
      <c r="BU644" s="644"/>
      <c r="BV644" s="644"/>
      <c r="BW644" s="644"/>
      <c r="BX644" s="644"/>
      <c r="BY644" s="644"/>
      <c r="BZ644" s="644"/>
      <c r="CA644" s="644"/>
      <c r="CB644" s="646">
        <f t="shared" si="203"/>
        <v>0</v>
      </c>
      <c r="CC644" s="646">
        <f t="shared" si="204"/>
        <v>0</v>
      </c>
      <c r="CD644" s="614"/>
      <c r="CG644" s="561" t="s">
        <v>589</v>
      </c>
    </row>
    <row r="645" spans="1:85" s="669" customFormat="1" ht="61.5" customHeight="1">
      <c r="A645" s="625" t="str">
        <f t="shared" si="186"/>
        <v>proyecto-Alerta: Seleccione la celda en la comumna B con el nombre del proyecto-Al-Al--</v>
      </c>
      <c r="B645" s="626" t="str">
        <f t="shared" si="187"/>
        <v>proyecto-Alerta: Seleccione la celda en la comumna B con el nombre del proyecto-Al-Al-</v>
      </c>
      <c r="C645" s="626" t="str">
        <f t="shared" si="188"/>
        <v>proyecto-Alerta: Seleccione la celda en la comumna B con el nombre del proyecto-</v>
      </c>
      <c r="D645" s="626" t="str">
        <f t="shared" si="189"/>
        <v>proyecto--Al-Al-</v>
      </c>
      <c r="E645" s="626" t="str">
        <f t="shared" si="190"/>
        <v>--</v>
      </c>
      <c r="F645" s="627"/>
      <c r="G645" s="628">
        <f t="shared" si="191"/>
        <v>0</v>
      </c>
      <c r="H645" s="629" t="b">
        <f t="shared" si="192"/>
        <v>1</v>
      </c>
      <c r="I645" s="630"/>
      <c r="J645" s="627"/>
      <c r="K645" s="631" t="str">
        <f>+IFERROR(VLOOKUP(J645,Listas!$A$108:$B$114,2,FALSE),"Alerta: Seleccione la celda en la comumna B con el nombre del proyecto")</f>
        <v>Alerta: Seleccione la celda en la comumna B con el nombre del proyecto</v>
      </c>
      <c r="L645" s="632"/>
      <c r="M645" s="633"/>
      <c r="N645" s="634" t="str">
        <f t="shared" si="193"/>
        <v xml:space="preserve">(Cód. ) </v>
      </c>
      <c r="O645" s="635"/>
      <c r="P645" s="636">
        <f>IFERROR(VLOOKUP(W645,'Estimación CRP'!$D$21:$E$30,2,FALSE),0)</f>
        <v>0</v>
      </c>
      <c r="Q645" s="637">
        <f>IF(O645="No aplica","No aplica",WORKDAY.INTL(O645,P645,1,'Estimación CRP'!A831:A847))</f>
        <v>0</v>
      </c>
      <c r="R645" s="636">
        <f t="shared" si="194"/>
        <v>1</v>
      </c>
      <c r="S645" s="636">
        <f t="shared" si="195"/>
        <v>1</v>
      </c>
      <c r="T645" s="636">
        <f t="shared" si="196"/>
        <v>1</v>
      </c>
      <c r="U645" s="638"/>
      <c r="V645" s="638"/>
      <c r="W645" s="639"/>
      <c r="X645" s="640" t="str">
        <f>IFERROR(VLOOKUP(W645,Listas!$A$60:$B$73,2,FALSE),"Alerta: Seleccione primero Modalidad de selección")</f>
        <v>Alerta: Seleccione primero Modalidad de selección</v>
      </c>
      <c r="Y645" s="641">
        <v>0</v>
      </c>
      <c r="Z645" s="641"/>
      <c r="AA645" s="641"/>
      <c r="AB645" s="642">
        <f t="shared" si="197"/>
        <v>0</v>
      </c>
      <c r="AC645" s="642">
        <f t="shared" si="198"/>
        <v>0</v>
      </c>
      <c r="AD645" s="641">
        <v>0</v>
      </c>
      <c r="AE645" s="643">
        <v>0</v>
      </c>
      <c r="AF645" s="639" t="s">
        <v>276</v>
      </c>
      <c r="AG645" s="639" t="s">
        <v>277</v>
      </c>
      <c r="AH645" s="639"/>
      <c r="AI645" s="626" t="str">
        <f>IFERROR(VLOOKUP(AH645,Listas!$A$77:$C$83,2,FALSE),"Alerta: Seleccione primero el responsable")</f>
        <v>Alerta: Seleccione primero el responsable</v>
      </c>
      <c r="AJ645" s="640" t="str">
        <f>IFERROR(VLOOKUP(AH645,Listas!$A$77:$C$83,3,FALSE),"Alerta: Seleccione primero el responsable")</f>
        <v>Alerta: Seleccione primero el responsable</v>
      </c>
      <c r="AK645" s="640" t="str">
        <f>IF(J645="Funcionamiento Gastos Generales","No aplica",IF(J645="Funcionamiento Servicios Personales indirectos","No aplica",IFERROR(VLOOKUP(J645,Listas!$A$127:$E$139,3,FALSE),"Alerta: Seleccione la celda en la comumna B con el nombre del proyecto")))</f>
        <v>Alerta: Seleccione la celda en la comumna B con el nombre del proyecto</v>
      </c>
      <c r="AL645" s="640" t="str">
        <f>IF(J645="Funcionamiento Gastos Generales","No aplica",IF(J645="Funcionamiento Servicios Personales","No aplica",IFERROR(VLOOKUP(J645,Listas!$A$220:$D$224,2,FALSE),"Alerta: Seleccione la celda en la comumna B con el nombre del proyecto")))</f>
        <v>Alerta: Seleccione la celda en la comumna B con el nombre del proyecto</v>
      </c>
      <c r="AM645" s="640" t="str">
        <f>IF(J645="Funcionamiento Gastos Generales","No aplica",IF(J645="Funcionamiento Servicios Personales","No aplica",IFERROR(VLOOKUP(J645,Listas!$A$220:$D$224,3,FALSE),"Alerta: Seleccione la celda en la comumna B con el nombre del proyecto")))</f>
        <v>Alerta: Seleccione la celda en la comumna B con el nombre del proyecto</v>
      </c>
      <c r="AN645" s="633"/>
      <c r="AO645" s="633"/>
      <c r="AP645" s="634" t="str">
        <f>IFERROR(VLOOKUP(J645,Listas!$A$182:$E$215,5,FALSE),"Alerta: Seleccione la celda en la comumna B con el nombre del proyecto")</f>
        <v>Alerta: Seleccione la celda en la comumna B con el nombre del proyecto</v>
      </c>
      <c r="AQ645" s="634" t="str">
        <f>IF(J645="Funcionamiento Gastos Generales","No aplica",IF(J645="Funcionamiento Servicios Personales","No aplica",IFERROR(VLOOKUP(J645,Listas!$A$220:$D$224,4,FALSE),"Alerta: Seleccione la celda en la comumna B con el nombre del proyecto")))</f>
        <v>Alerta: Seleccione la celda en la comumna B con el nombre del proyecto</v>
      </c>
      <c r="AR645" s="633"/>
      <c r="AS645" s="634" t="str">
        <f>IFERROR(VLOOKUP(AU645,Listas!$E$85:$L$105,7,FALSE),"Alerta: Seleccione la celda en la comumna AI con el concepto de gasto")</f>
        <v>Alerta: Seleccione la celda en la comumna AI con el concepto de gasto</v>
      </c>
      <c r="AT645" s="634" t="str">
        <f>IFERROR(VLOOKUP(AU645,Listas!$E$85:$L$105,8,FALSE),"Alerta: Seleccione la celda en la comumna AI con el concepto de gasto")</f>
        <v>Alerta: Seleccione la celda en la comumna AI con el concepto de gasto</v>
      </c>
      <c r="AU645" s="633"/>
      <c r="AV645" s="634" t="str">
        <f>IFERROR(VLOOKUP(AU645,Listas!$E$85:$F$105,2,FALSE),"Alerta: Seleccione el Concepto de Gasto primero")</f>
        <v>Alerta: Seleccione el Concepto de Gasto primero</v>
      </c>
      <c r="AW645" s="644"/>
      <c r="AX645" s="645"/>
      <c r="AY645" s="645"/>
      <c r="AZ645" s="645"/>
      <c r="BA645" s="646">
        <f t="shared" si="199"/>
        <v>0</v>
      </c>
      <c r="BB645" s="647"/>
      <c r="BC645" s="648"/>
      <c r="BD645" s="649"/>
      <c r="BE645" s="647"/>
      <c r="BF645" s="644"/>
      <c r="BG645" s="646">
        <f t="shared" si="200"/>
        <v>0</v>
      </c>
      <c r="BH645" s="650"/>
      <c r="BI645" s="647"/>
      <c r="BJ645" s="644"/>
      <c r="BK645" s="646">
        <f t="shared" si="201"/>
        <v>0</v>
      </c>
      <c r="BL645" s="651"/>
      <c r="BM645" s="652">
        <f t="shared" si="202"/>
        <v>1</v>
      </c>
      <c r="BN645" s="628"/>
      <c r="BO645" s="670"/>
      <c r="BP645" s="644"/>
      <c r="BQ645" s="644"/>
      <c r="BR645" s="644"/>
      <c r="BS645" s="644"/>
      <c r="BT645" s="644"/>
      <c r="BU645" s="644"/>
      <c r="BV645" s="644"/>
      <c r="BW645" s="644"/>
      <c r="BX645" s="644"/>
      <c r="BY645" s="644"/>
      <c r="BZ645" s="644"/>
      <c r="CA645" s="644"/>
      <c r="CB645" s="646">
        <f t="shared" si="203"/>
        <v>0</v>
      </c>
      <c r="CC645" s="646">
        <f t="shared" si="204"/>
        <v>0</v>
      </c>
      <c r="CD645" s="614"/>
    </row>
    <row r="646" spans="1:85" s="561" customFormat="1" ht="61.5" customHeight="1">
      <c r="A646" s="625" t="str">
        <f t="shared" si="186"/>
        <v>proyecto-Alerta: Seleccione la celda en la comumna B con el nombre del proyecto-Al-Al--</v>
      </c>
      <c r="B646" s="626" t="str">
        <f t="shared" si="187"/>
        <v>proyecto-Alerta: Seleccione la celda en la comumna B con el nombre del proyecto-Al-Al-</v>
      </c>
      <c r="C646" s="626" t="str">
        <f t="shared" si="188"/>
        <v>proyecto-Alerta: Seleccione la celda en la comumna B con el nombre del proyecto-</v>
      </c>
      <c r="D646" s="626" t="str">
        <f t="shared" si="189"/>
        <v>proyecto--Al-Al-</v>
      </c>
      <c r="E646" s="626" t="str">
        <f t="shared" si="190"/>
        <v>--</v>
      </c>
      <c r="F646" s="627"/>
      <c r="G646" s="628">
        <f t="shared" si="191"/>
        <v>0</v>
      </c>
      <c r="H646" s="629" t="b">
        <f t="shared" si="192"/>
        <v>1</v>
      </c>
      <c r="I646" s="630"/>
      <c r="J646" s="627"/>
      <c r="K646" s="631" t="str">
        <f>+IFERROR(VLOOKUP(J646,Listas!$A$108:$B$114,2,FALSE),"Alerta: Seleccione la celda en la comumna B con el nombre del proyecto")</f>
        <v>Alerta: Seleccione la celda en la comumna B con el nombre del proyecto</v>
      </c>
      <c r="L646" s="632"/>
      <c r="M646" s="633"/>
      <c r="N646" s="634" t="str">
        <f t="shared" si="193"/>
        <v xml:space="preserve">(Cód. ) </v>
      </c>
      <c r="O646" s="635"/>
      <c r="P646" s="636">
        <f>IFERROR(VLOOKUP(W646,'Estimación CRP'!$D$21:$E$30,2,FALSE),0)</f>
        <v>0</v>
      </c>
      <c r="Q646" s="637">
        <f>IF(O646="No aplica","No aplica",WORKDAY.INTL(O646,P646,1,'Estimación CRP'!A832:A848))</f>
        <v>0</v>
      </c>
      <c r="R646" s="636">
        <f t="shared" si="194"/>
        <v>1</v>
      </c>
      <c r="S646" s="636">
        <f t="shared" si="195"/>
        <v>1</v>
      </c>
      <c r="T646" s="636">
        <f t="shared" si="196"/>
        <v>1</v>
      </c>
      <c r="U646" s="638"/>
      <c r="V646" s="638"/>
      <c r="W646" s="639"/>
      <c r="X646" s="640" t="str">
        <f>IFERROR(VLOOKUP(W646,Listas!$A$60:$B$73,2,FALSE),"Alerta: Seleccione primero Modalidad de selección")</f>
        <v>Alerta: Seleccione primero Modalidad de selección</v>
      </c>
      <c r="Y646" s="641">
        <v>0</v>
      </c>
      <c r="Z646" s="641"/>
      <c r="AA646" s="641"/>
      <c r="AB646" s="642">
        <f t="shared" si="197"/>
        <v>0</v>
      </c>
      <c r="AC646" s="642">
        <f t="shared" si="198"/>
        <v>0</v>
      </c>
      <c r="AD646" s="641">
        <v>0</v>
      </c>
      <c r="AE646" s="643">
        <v>0</v>
      </c>
      <c r="AF646" s="639" t="s">
        <v>276</v>
      </c>
      <c r="AG646" s="639" t="s">
        <v>277</v>
      </c>
      <c r="AH646" s="639"/>
      <c r="AI646" s="626" t="str">
        <f>IFERROR(VLOOKUP(AH646,Listas!$A$77:$C$83,2,FALSE),"Alerta: Seleccione primero el responsable")</f>
        <v>Alerta: Seleccione primero el responsable</v>
      </c>
      <c r="AJ646" s="640" t="str">
        <f>IFERROR(VLOOKUP(AH646,Listas!$A$77:$C$83,3,FALSE),"Alerta: Seleccione primero el responsable")</f>
        <v>Alerta: Seleccione primero el responsable</v>
      </c>
      <c r="AK646" s="640" t="str">
        <f>IF(J646="Funcionamiento Gastos Generales","No aplica",IF(J646="Funcionamiento Servicios Personales indirectos","No aplica",IFERROR(VLOOKUP(J646,Listas!$A$127:$E$139,3,FALSE),"Alerta: Seleccione la celda en la comumna B con el nombre del proyecto")))</f>
        <v>Alerta: Seleccione la celda en la comumna B con el nombre del proyecto</v>
      </c>
      <c r="AL646" s="640" t="str">
        <f>IF(J646="Funcionamiento Gastos Generales","No aplica",IF(J646="Funcionamiento Servicios Personales","No aplica",IFERROR(VLOOKUP(J646,Listas!$A$220:$D$224,2,FALSE),"Alerta: Seleccione la celda en la comumna B con el nombre del proyecto")))</f>
        <v>Alerta: Seleccione la celda en la comumna B con el nombre del proyecto</v>
      </c>
      <c r="AM646" s="640" t="str">
        <f>IF(J646="Funcionamiento Gastos Generales","No aplica",IF(J646="Funcionamiento Servicios Personales","No aplica",IFERROR(VLOOKUP(J646,Listas!$A$220:$D$224,3,FALSE),"Alerta: Seleccione la celda en la comumna B con el nombre del proyecto")))</f>
        <v>Alerta: Seleccione la celda en la comumna B con el nombre del proyecto</v>
      </c>
      <c r="AN646" s="633"/>
      <c r="AO646" s="633"/>
      <c r="AP646" s="634" t="str">
        <f>IFERROR(VLOOKUP(J646,Listas!$A$182:$E$215,5,FALSE),"Alerta: Seleccione la celda en la comumna B con el nombre del proyecto")</f>
        <v>Alerta: Seleccione la celda en la comumna B con el nombre del proyecto</v>
      </c>
      <c r="AQ646" s="634" t="str">
        <f>IF(J646="Funcionamiento Gastos Generales","No aplica",IF(J646="Funcionamiento Servicios Personales","No aplica",IFERROR(VLOOKUP(J646,Listas!$A$220:$D$224,4,FALSE),"Alerta: Seleccione la celda en la comumna B con el nombre del proyecto")))</f>
        <v>Alerta: Seleccione la celda en la comumna B con el nombre del proyecto</v>
      </c>
      <c r="AR646" s="633"/>
      <c r="AS646" s="634" t="str">
        <f>IFERROR(VLOOKUP(AU646,Listas!$E$85:$L$105,7,FALSE),"Alerta: Seleccione la celda en la comumna AI con el concepto de gasto")</f>
        <v>Alerta: Seleccione la celda en la comumna AI con el concepto de gasto</v>
      </c>
      <c r="AT646" s="634" t="str">
        <f>IFERROR(VLOOKUP(AU646,Listas!$E$85:$L$105,8,FALSE),"Alerta: Seleccione la celda en la comumna AI con el concepto de gasto")</f>
        <v>Alerta: Seleccione la celda en la comumna AI con el concepto de gasto</v>
      </c>
      <c r="AU646" s="633"/>
      <c r="AV646" s="634" t="str">
        <f>IFERROR(VLOOKUP(AU646,Listas!$E$85:$F$105,2,FALSE),"Alerta: Seleccione el Concepto de Gasto primero")</f>
        <v>Alerta: Seleccione el Concepto de Gasto primero</v>
      </c>
      <c r="AW646" s="644"/>
      <c r="AX646" s="645"/>
      <c r="AY646" s="645"/>
      <c r="AZ646" s="645"/>
      <c r="BA646" s="646">
        <f t="shared" si="199"/>
        <v>0</v>
      </c>
      <c r="BB646" s="647"/>
      <c r="BC646" s="648"/>
      <c r="BD646" s="649"/>
      <c r="BE646" s="647"/>
      <c r="BF646" s="644"/>
      <c r="BG646" s="646">
        <f t="shared" si="200"/>
        <v>0</v>
      </c>
      <c r="BH646" s="650"/>
      <c r="BI646" s="647"/>
      <c r="BJ646" s="644"/>
      <c r="BK646" s="646">
        <f t="shared" si="201"/>
        <v>0</v>
      </c>
      <c r="BL646" s="651"/>
      <c r="BM646" s="652">
        <f t="shared" si="202"/>
        <v>1</v>
      </c>
      <c r="BN646" s="628"/>
      <c r="BO646" s="670"/>
      <c r="BP646" s="644"/>
      <c r="BQ646" s="644"/>
      <c r="BR646" s="644"/>
      <c r="BS646" s="644"/>
      <c r="BT646" s="644"/>
      <c r="BU646" s="644"/>
      <c r="BV646" s="644"/>
      <c r="BW646" s="644"/>
      <c r="BX646" s="644"/>
      <c r="BY646" s="644"/>
      <c r="BZ646" s="644"/>
      <c r="CA646" s="644"/>
      <c r="CB646" s="646">
        <f t="shared" si="203"/>
        <v>0</v>
      </c>
      <c r="CC646" s="646">
        <f t="shared" si="204"/>
        <v>0</v>
      </c>
      <c r="CD646" s="614"/>
    </row>
    <row r="647" spans="1:85" s="561" customFormat="1" ht="61.5" customHeight="1">
      <c r="A647" s="625" t="str">
        <f t="shared" si="186"/>
        <v>proyecto-Alerta: Seleccione la celda en la comumna B con el nombre del proyecto-Al-Al--</v>
      </c>
      <c r="B647" s="626" t="str">
        <f t="shared" si="187"/>
        <v>proyecto-Alerta: Seleccione la celda en la comumna B con el nombre del proyecto-Al-Al-</v>
      </c>
      <c r="C647" s="626" t="str">
        <f t="shared" si="188"/>
        <v>proyecto-Alerta: Seleccione la celda en la comumna B con el nombre del proyecto-</v>
      </c>
      <c r="D647" s="626" t="str">
        <f t="shared" si="189"/>
        <v>proyecto--Al-Al-</v>
      </c>
      <c r="E647" s="626" t="str">
        <f t="shared" si="190"/>
        <v>--</v>
      </c>
      <c r="F647" s="627"/>
      <c r="G647" s="628">
        <f t="shared" si="191"/>
        <v>0</v>
      </c>
      <c r="H647" s="629" t="b">
        <f t="shared" si="192"/>
        <v>1</v>
      </c>
      <c r="I647" s="630"/>
      <c r="J647" s="627"/>
      <c r="K647" s="631" t="str">
        <f>+IFERROR(VLOOKUP(J647,Listas!$A$108:$B$114,2,FALSE),"Alerta: Seleccione la celda en la comumna B con el nombre del proyecto")</f>
        <v>Alerta: Seleccione la celda en la comumna B con el nombre del proyecto</v>
      </c>
      <c r="L647" s="632"/>
      <c r="M647" s="633"/>
      <c r="N647" s="634" t="str">
        <f t="shared" si="193"/>
        <v xml:space="preserve">(Cód. ) </v>
      </c>
      <c r="O647" s="635"/>
      <c r="P647" s="636">
        <f>IFERROR(VLOOKUP(W647,'Estimación CRP'!$D$21:$E$30,2,FALSE),0)</f>
        <v>0</v>
      </c>
      <c r="Q647" s="637">
        <f>IF(O647="No aplica","No aplica",WORKDAY.INTL(O647,P647,1,'Estimación CRP'!A833:A849))</f>
        <v>0</v>
      </c>
      <c r="R647" s="636">
        <f t="shared" si="194"/>
        <v>1</v>
      </c>
      <c r="S647" s="636">
        <f t="shared" si="195"/>
        <v>1</v>
      </c>
      <c r="T647" s="636">
        <f t="shared" si="196"/>
        <v>1</v>
      </c>
      <c r="U647" s="638"/>
      <c r="V647" s="638"/>
      <c r="W647" s="639"/>
      <c r="X647" s="640" t="str">
        <f>IFERROR(VLOOKUP(W647,Listas!$A$60:$B$73,2,FALSE),"Alerta: Seleccione primero Modalidad de selección")</f>
        <v>Alerta: Seleccione primero Modalidad de selección</v>
      </c>
      <c r="Y647" s="641">
        <v>0</v>
      </c>
      <c r="Z647" s="641"/>
      <c r="AA647" s="641"/>
      <c r="AB647" s="642">
        <f t="shared" si="197"/>
        <v>0</v>
      </c>
      <c r="AC647" s="642">
        <f t="shared" si="198"/>
        <v>0</v>
      </c>
      <c r="AD647" s="641">
        <v>0</v>
      </c>
      <c r="AE647" s="643">
        <v>0</v>
      </c>
      <c r="AF647" s="639" t="s">
        <v>276</v>
      </c>
      <c r="AG647" s="639" t="s">
        <v>277</v>
      </c>
      <c r="AH647" s="639"/>
      <c r="AI647" s="626" t="str">
        <f>IFERROR(VLOOKUP(AH647,Listas!$A$77:$C$83,2,FALSE),"Alerta: Seleccione primero el responsable")</f>
        <v>Alerta: Seleccione primero el responsable</v>
      </c>
      <c r="AJ647" s="640" t="str">
        <f>IFERROR(VLOOKUP(AH647,Listas!$A$77:$C$83,3,FALSE),"Alerta: Seleccione primero el responsable")</f>
        <v>Alerta: Seleccione primero el responsable</v>
      </c>
      <c r="AK647" s="640" t="str">
        <f>IF(J647="Funcionamiento Gastos Generales","No aplica",IF(J647="Funcionamiento Servicios Personales indirectos","No aplica",IFERROR(VLOOKUP(J647,Listas!$A$127:$E$139,3,FALSE),"Alerta: Seleccione la celda en la comumna B con el nombre del proyecto")))</f>
        <v>Alerta: Seleccione la celda en la comumna B con el nombre del proyecto</v>
      </c>
      <c r="AL647" s="640" t="str">
        <f>IF(J647="Funcionamiento Gastos Generales","No aplica",IF(J647="Funcionamiento Servicios Personales","No aplica",IFERROR(VLOOKUP(J647,Listas!$A$220:$D$224,2,FALSE),"Alerta: Seleccione la celda en la comumna B con el nombre del proyecto")))</f>
        <v>Alerta: Seleccione la celda en la comumna B con el nombre del proyecto</v>
      </c>
      <c r="AM647" s="640" t="str">
        <f>IF(J647="Funcionamiento Gastos Generales","No aplica",IF(J647="Funcionamiento Servicios Personales","No aplica",IFERROR(VLOOKUP(J647,Listas!$A$220:$D$224,3,FALSE),"Alerta: Seleccione la celda en la comumna B con el nombre del proyecto")))</f>
        <v>Alerta: Seleccione la celda en la comumna B con el nombre del proyecto</v>
      </c>
      <c r="AN647" s="633"/>
      <c r="AO647" s="633"/>
      <c r="AP647" s="634" t="str">
        <f>IFERROR(VLOOKUP(J647,Listas!$A$182:$E$215,5,FALSE),"Alerta: Seleccione la celda en la comumna B con el nombre del proyecto")</f>
        <v>Alerta: Seleccione la celda en la comumna B con el nombre del proyecto</v>
      </c>
      <c r="AQ647" s="634" t="str">
        <f>IF(J647="Funcionamiento Gastos Generales","No aplica",IF(J647="Funcionamiento Servicios Personales","No aplica",IFERROR(VLOOKUP(J647,Listas!$A$220:$D$224,4,FALSE),"Alerta: Seleccione la celda en la comumna B con el nombre del proyecto")))</f>
        <v>Alerta: Seleccione la celda en la comumna B con el nombre del proyecto</v>
      </c>
      <c r="AR647" s="633"/>
      <c r="AS647" s="634" t="str">
        <f>IFERROR(VLOOKUP(AU647,Listas!$E$85:$L$105,7,FALSE),"Alerta: Seleccione la celda en la comumna AI con el concepto de gasto")</f>
        <v>Alerta: Seleccione la celda en la comumna AI con el concepto de gasto</v>
      </c>
      <c r="AT647" s="634" t="str">
        <f>IFERROR(VLOOKUP(AU647,Listas!$E$85:$L$105,8,FALSE),"Alerta: Seleccione la celda en la comumna AI con el concepto de gasto")</f>
        <v>Alerta: Seleccione la celda en la comumna AI con el concepto de gasto</v>
      </c>
      <c r="AU647" s="633"/>
      <c r="AV647" s="634" t="str">
        <f>IFERROR(VLOOKUP(AU647,Listas!$E$85:$F$105,2,FALSE),"Alerta: Seleccione el Concepto de Gasto primero")</f>
        <v>Alerta: Seleccione el Concepto de Gasto primero</v>
      </c>
      <c r="AW647" s="644"/>
      <c r="AX647" s="645"/>
      <c r="AY647" s="645"/>
      <c r="AZ647" s="645"/>
      <c r="BA647" s="646">
        <f t="shared" si="199"/>
        <v>0</v>
      </c>
      <c r="BB647" s="647"/>
      <c r="BC647" s="648"/>
      <c r="BD647" s="649"/>
      <c r="BE647" s="647"/>
      <c r="BF647" s="644"/>
      <c r="BG647" s="646">
        <f t="shared" si="200"/>
        <v>0</v>
      </c>
      <c r="BH647" s="650"/>
      <c r="BI647" s="647"/>
      <c r="BJ647" s="644"/>
      <c r="BK647" s="646">
        <f t="shared" si="201"/>
        <v>0</v>
      </c>
      <c r="BL647" s="651"/>
      <c r="BM647" s="652">
        <f t="shared" si="202"/>
        <v>1</v>
      </c>
      <c r="BN647" s="628"/>
      <c r="BO647" s="670"/>
      <c r="BP647" s="644"/>
      <c r="BQ647" s="644"/>
      <c r="BR647" s="644"/>
      <c r="BS647" s="644"/>
      <c r="BT647" s="644"/>
      <c r="BU647" s="644"/>
      <c r="BV647" s="644"/>
      <c r="BW647" s="644"/>
      <c r="BX647" s="644"/>
      <c r="BY647" s="644"/>
      <c r="BZ647" s="644"/>
      <c r="CA647" s="644"/>
      <c r="CB647" s="646">
        <f t="shared" si="203"/>
        <v>0</v>
      </c>
      <c r="CC647" s="646">
        <f t="shared" si="204"/>
        <v>0</v>
      </c>
      <c r="CD647" s="614"/>
    </row>
    <row r="648" spans="1:85" s="561" customFormat="1" ht="61.5" customHeight="1">
      <c r="A648" s="625" t="str">
        <f t="shared" si="186"/>
        <v>proyecto-Alerta: Seleccione la celda en la comumna B con el nombre del proyecto-Al-Al--</v>
      </c>
      <c r="B648" s="626" t="str">
        <f t="shared" si="187"/>
        <v>proyecto-Alerta: Seleccione la celda en la comumna B con el nombre del proyecto-Al-Al-</v>
      </c>
      <c r="C648" s="626" t="str">
        <f t="shared" si="188"/>
        <v>proyecto-Alerta: Seleccione la celda en la comumna B con el nombre del proyecto-</v>
      </c>
      <c r="D648" s="626" t="str">
        <f t="shared" si="189"/>
        <v>proyecto--Al-Al-</v>
      </c>
      <c r="E648" s="626" t="str">
        <f t="shared" si="190"/>
        <v>--</v>
      </c>
      <c r="F648" s="627"/>
      <c r="G648" s="628">
        <f t="shared" si="191"/>
        <v>0</v>
      </c>
      <c r="H648" s="629" t="b">
        <f t="shared" si="192"/>
        <v>1</v>
      </c>
      <c r="I648" s="630"/>
      <c r="J648" s="627"/>
      <c r="K648" s="631" t="str">
        <f>+IFERROR(VLOOKUP(J648,Listas!$A$108:$B$114,2,FALSE),"Alerta: Seleccione la celda en la comumna B con el nombre del proyecto")</f>
        <v>Alerta: Seleccione la celda en la comumna B con el nombre del proyecto</v>
      </c>
      <c r="L648" s="632"/>
      <c r="M648" s="633"/>
      <c r="N648" s="634" t="str">
        <f t="shared" si="193"/>
        <v xml:space="preserve">(Cód. ) </v>
      </c>
      <c r="O648" s="635"/>
      <c r="P648" s="636">
        <f>IFERROR(VLOOKUP(W648,'Estimación CRP'!$D$21:$E$30,2,FALSE),0)</f>
        <v>0</v>
      </c>
      <c r="Q648" s="637">
        <f>IF(O648="No aplica","No aplica",WORKDAY.INTL(O648,P648,1,'Estimación CRP'!A834:A850))</f>
        <v>0</v>
      </c>
      <c r="R648" s="636">
        <f t="shared" si="194"/>
        <v>1</v>
      </c>
      <c r="S648" s="636">
        <f t="shared" si="195"/>
        <v>1</v>
      </c>
      <c r="T648" s="636">
        <f t="shared" si="196"/>
        <v>1</v>
      </c>
      <c r="U648" s="638"/>
      <c r="V648" s="638"/>
      <c r="W648" s="639"/>
      <c r="X648" s="640" t="str">
        <f>IFERROR(VLOOKUP(W648,Listas!$A$60:$B$73,2,FALSE),"Alerta: Seleccione primero Modalidad de selección")</f>
        <v>Alerta: Seleccione primero Modalidad de selección</v>
      </c>
      <c r="Y648" s="641">
        <v>0</v>
      </c>
      <c r="Z648" s="641"/>
      <c r="AA648" s="641"/>
      <c r="AB648" s="642">
        <f t="shared" si="197"/>
        <v>0</v>
      </c>
      <c r="AC648" s="642">
        <f t="shared" si="198"/>
        <v>0</v>
      </c>
      <c r="AD648" s="641">
        <v>0</v>
      </c>
      <c r="AE648" s="643">
        <v>0</v>
      </c>
      <c r="AF648" s="639" t="s">
        <v>276</v>
      </c>
      <c r="AG648" s="639" t="s">
        <v>277</v>
      </c>
      <c r="AH648" s="639"/>
      <c r="AI648" s="626" t="str">
        <f>IFERROR(VLOOKUP(AH648,Listas!$A$77:$C$83,2,FALSE),"Alerta: Seleccione primero el responsable")</f>
        <v>Alerta: Seleccione primero el responsable</v>
      </c>
      <c r="AJ648" s="640" t="str">
        <f>IFERROR(VLOOKUP(AH648,Listas!$A$77:$C$83,3,FALSE),"Alerta: Seleccione primero el responsable")</f>
        <v>Alerta: Seleccione primero el responsable</v>
      </c>
      <c r="AK648" s="640" t="str">
        <f>IF(J648="Funcionamiento Gastos Generales","No aplica",IF(J648="Funcionamiento Servicios Personales indirectos","No aplica",IFERROR(VLOOKUP(J648,Listas!$A$127:$E$139,3,FALSE),"Alerta: Seleccione la celda en la comumna B con el nombre del proyecto")))</f>
        <v>Alerta: Seleccione la celda en la comumna B con el nombre del proyecto</v>
      </c>
      <c r="AL648" s="640" t="str">
        <f>IF(J648="Funcionamiento Gastos Generales","No aplica",IF(J648="Funcionamiento Servicios Personales","No aplica",IFERROR(VLOOKUP(J648,Listas!$A$220:$D$224,2,FALSE),"Alerta: Seleccione la celda en la comumna B con el nombre del proyecto")))</f>
        <v>Alerta: Seleccione la celda en la comumna B con el nombre del proyecto</v>
      </c>
      <c r="AM648" s="640" t="str">
        <f>IF(J648="Funcionamiento Gastos Generales","No aplica",IF(J648="Funcionamiento Servicios Personales","No aplica",IFERROR(VLOOKUP(J648,Listas!$A$220:$D$224,3,FALSE),"Alerta: Seleccione la celda en la comumna B con el nombre del proyecto")))</f>
        <v>Alerta: Seleccione la celda en la comumna B con el nombre del proyecto</v>
      </c>
      <c r="AN648" s="633"/>
      <c r="AO648" s="633"/>
      <c r="AP648" s="634" t="str">
        <f>IFERROR(VLOOKUP(J648,Listas!$A$182:$E$215,5,FALSE),"Alerta: Seleccione la celda en la comumna B con el nombre del proyecto")</f>
        <v>Alerta: Seleccione la celda en la comumna B con el nombre del proyecto</v>
      </c>
      <c r="AQ648" s="634" t="str">
        <f>IF(J648="Funcionamiento Gastos Generales","No aplica",IF(J648="Funcionamiento Servicios Personales","No aplica",IFERROR(VLOOKUP(J648,Listas!$A$220:$D$224,4,FALSE),"Alerta: Seleccione la celda en la comumna B con el nombre del proyecto")))</f>
        <v>Alerta: Seleccione la celda en la comumna B con el nombre del proyecto</v>
      </c>
      <c r="AR648" s="633"/>
      <c r="AS648" s="634" t="str">
        <f>IFERROR(VLOOKUP(AU648,Listas!$E$85:$L$105,7,FALSE),"Alerta: Seleccione la celda en la comumna AI con el concepto de gasto")</f>
        <v>Alerta: Seleccione la celda en la comumna AI con el concepto de gasto</v>
      </c>
      <c r="AT648" s="634" t="str">
        <f>IFERROR(VLOOKUP(AU648,Listas!$E$85:$L$105,8,FALSE),"Alerta: Seleccione la celda en la comumna AI con el concepto de gasto")</f>
        <v>Alerta: Seleccione la celda en la comumna AI con el concepto de gasto</v>
      </c>
      <c r="AU648" s="633"/>
      <c r="AV648" s="634" t="str">
        <f>IFERROR(VLOOKUP(AU648,Listas!$E$85:$F$105,2,FALSE),"Alerta: Seleccione el Concepto de Gasto primero")</f>
        <v>Alerta: Seleccione el Concepto de Gasto primero</v>
      </c>
      <c r="AW648" s="644"/>
      <c r="AX648" s="645"/>
      <c r="AY648" s="645"/>
      <c r="AZ648" s="645"/>
      <c r="BA648" s="646">
        <f t="shared" si="199"/>
        <v>0</v>
      </c>
      <c r="BB648" s="647"/>
      <c r="BC648" s="648"/>
      <c r="BD648" s="649"/>
      <c r="BE648" s="647"/>
      <c r="BF648" s="644"/>
      <c r="BG648" s="646">
        <f t="shared" si="200"/>
        <v>0</v>
      </c>
      <c r="BH648" s="650"/>
      <c r="BI648" s="647"/>
      <c r="BJ648" s="644"/>
      <c r="BK648" s="646">
        <f t="shared" si="201"/>
        <v>0</v>
      </c>
      <c r="BL648" s="651"/>
      <c r="BM648" s="652">
        <f t="shared" si="202"/>
        <v>1</v>
      </c>
      <c r="BN648" s="628"/>
      <c r="BO648" s="670"/>
      <c r="BP648" s="644"/>
      <c r="BQ648" s="644"/>
      <c r="BR648" s="644"/>
      <c r="BS648" s="644"/>
      <c r="BT648" s="644"/>
      <c r="BU648" s="644"/>
      <c r="BV648" s="644"/>
      <c r="BW648" s="644"/>
      <c r="BX648" s="644"/>
      <c r="BY648" s="644"/>
      <c r="BZ648" s="644"/>
      <c r="CA648" s="644"/>
      <c r="CB648" s="646">
        <f t="shared" si="203"/>
        <v>0</v>
      </c>
      <c r="CC648" s="646">
        <f t="shared" si="204"/>
        <v>0</v>
      </c>
      <c r="CD648" s="614"/>
    </row>
    <row r="649" spans="1:85" s="561" customFormat="1" ht="61.5" customHeight="1">
      <c r="A649" s="625" t="str">
        <f t="shared" si="186"/>
        <v>proyecto-Alerta: Seleccione la celda en la comumna B con el nombre del proyecto-Al-Al--</v>
      </c>
      <c r="B649" s="626" t="str">
        <f t="shared" si="187"/>
        <v>proyecto-Alerta: Seleccione la celda en la comumna B con el nombre del proyecto-Al-Al-</v>
      </c>
      <c r="C649" s="626" t="str">
        <f t="shared" si="188"/>
        <v>proyecto-Alerta: Seleccione la celda en la comumna B con el nombre del proyecto-</v>
      </c>
      <c r="D649" s="626" t="str">
        <f t="shared" si="189"/>
        <v>proyecto--Al-Al-</v>
      </c>
      <c r="E649" s="626" t="str">
        <f t="shared" si="190"/>
        <v>--</v>
      </c>
      <c r="F649" s="627"/>
      <c r="G649" s="628">
        <f t="shared" si="191"/>
        <v>0</v>
      </c>
      <c r="H649" s="629" t="b">
        <f t="shared" si="192"/>
        <v>1</v>
      </c>
      <c r="I649" s="630"/>
      <c r="J649" s="627"/>
      <c r="K649" s="631" t="str">
        <f>+IFERROR(VLOOKUP(J649,Listas!$A$108:$B$114,2,FALSE),"Alerta: Seleccione la celda en la comumna B con el nombre del proyecto")</f>
        <v>Alerta: Seleccione la celda en la comumna B con el nombre del proyecto</v>
      </c>
      <c r="L649" s="632"/>
      <c r="M649" s="633"/>
      <c r="N649" s="634" t="str">
        <f t="shared" si="193"/>
        <v xml:space="preserve">(Cód. ) </v>
      </c>
      <c r="O649" s="635"/>
      <c r="P649" s="636">
        <f>IFERROR(VLOOKUP(W649,'Estimación CRP'!$D$21:$E$30,2,FALSE),0)</f>
        <v>0</v>
      </c>
      <c r="Q649" s="637">
        <f>IF(O649="No aplica","No aplica",WORKDAY.INTL(O649,P649,1,'Estimación CRP'!A835:A851))</f>
        <v>0</v>
      </c>
      <c r="R649" s="636">
        <f t="shared" si="194"/>
        <v>1</v>
      </c>
      <c r="S649" s="636">
        <f t="shared" si="195"/>
        <v>1</v>
      </c>
      <c r="T649" s="636">
        <f t="shared" si="196"/>
        <v>1</v>
      </c>
      <c r="U649" s="638"/>
      <c r="V649" s="638"/>
      <c r="W649" s="639"/>
      <c r="X649" s="640" t="str">
        <f>IFERROR(VLOOKUP(W649,Listas!$A$60:$B$73,2,FALSE),"Alerta: Seleccione primero Modalidad de selección")</f>
        <v>Alerta: Seleccione primero Modalidad de selección</v>
      </c>
      <c r="Y649" s="641">
        <v>0</v>
      </c>
      <c r="Z649" s="641"/>
      <c r="AA649" s="641"/>
      <c r="AB649" s="642">
        <f t="shared" si="197"/>
        <v>0</v>
      </c>
      <c r="AC649" s="642">
        <f t="shared" si="198"/>
        <v>0</v>
      </c>
      <c r="AD649" s="641">
        <v>0</v>
      </c>
      <c r="AE649" s="643">
        <v>0</v>
      </c>
      <c r="AF649" s="639" t="s">
        <v>276</v>
      </c>
      <c r="AG649" s="639" t="s">
        <v>277</v>
      </c>
      <c r="AH649" s="639"/>
      <c r="AI649" s="626" t="str">
        <f>IFERROR(VLOOKUP(AH649,Listas!$A$77:$C$83,2,FALSE),"Alerta: Seleccione primero el responsable")</f>
        <v>Alerta: Seleccione primero el responsable</v>
      </c>
      <c r="AJ649" s="640" t="str">
        <f>IFERROR(VLOOKUP(AH649,Listas!$A$77:$C$83,3,FALSE),"Alerta: Seleccione primero el responsable")</f>
        <v>Alerta: Seleccione primero el responsable</v>
      </c>
      <c r="AK649" s="640" t="str">
        <f>IF(J649="Funcionamiento Gastos Generales","No aplica",IF(J649="Funcionamiento Servicios Personales indirectos","No aplica",IFERROR(VLOOKUP(J649,Listas!$A$127:$E$139,3,FALSE),"Alerta: Seleccione la celda en la comumna B con el nombre del proyecto")))</f>
        <v>Alerta: Seleccione la celda en la comumna B con el nombre del proyecto</v>
      </c>
      <c r="AL649" s="640" t="str">
        <f>IF(J649="Funcionamiento Gastos Generales","No aplica",IF(J649="Funcionamiento Servicios Personales","No aplica",IFERROR(VLOOKUP(J649,Listas!$A$220:$D$224,2,FALSE),"Alerta: Seleccione la celda en la comumna B con el nombre del proyecto")))</f>
        <v>Alerta: Seleccione la celda en la comumna B con el nombre del proyecto</v>
      </c>
      <c r="AM649" s="640" t="str">
        <f>IF(J649="Funcionamiento Gastos Generales","No aplica",IF(J649="Funcionamiento Servicios Personales","No aplica",IFERROR(VLOOKUP(J649,Listas!$A$220:$D$224,3,FALSE),"Alerta: Seleccione la celda en la comumna B con el nombre del proyecto")))</f>
        <v>Alerta: Seleccione la celda en la comumna B con el nombre del proyecto</v>
      </c>
      <c r="AN649" s="633"/>
      <c r="AO649" s="633"/>
      <c r="AP649" s="634" t="str">
        <f>IFERROR(VLOOKUP(J649,Listas!$A$182:$E$215,5,FALSE),"Alerta: Seleccione la celda en la comumna B con el nombre del proyecto")</f>
        <v>Alerta: Seleccione la celda en la comumna B con el nombre del proyecto</v>
      </c>
      <c r="AQ649" s="634" t="str">
        <f>IF(J649="Funcionamiento Gastos Generales","No aplica",IF(J649="Funcionamiento Servicios Personales","No aplica",IFERROR(VLOOKUP(J649,Listas!$A$220:$D$224,4,FALSE),"Alerta: Seleccione la celda en la comumna B con el nombre del proyecto")))</f>
        <v>Alerta: Seleccione la celda en la comumna B con el nombre del proyecto</v>
      </c>
      <c r="AR649" s="633"/>
      <c r="AS649" s="634" t="str">
        <f>IFERROR(VLOOKUP(AU649,Listas!$E$85:$L$105,7,FALSE),"Alerta: Seleccione la celda en la comumna AI con el concepto de gasto")</f>
        <v>Alerta: Seleccione la celda en la comumna AI con el concepto de gasto</v>
      </c>
      <c r="AT649" s="634" t="str">
        <f>IFERROR(VLOOKUP(AU649,Listas!$E$85:$L$105,8,FALSE),"Alerta: Seleccione la celda en la comumna AI con el concepto de gasto")</f>
        <v>Alerta: Seleccione la celda en la comumna AI con el concepto de gasto</v>
      </c>
      <c r="AU649" s="633"/>
      <c r="AV649" s="634" t="str">
        <f>IFERROR(VLOOKUP(AU649,Listas!$E$85:$F$105,2,FALSE),"Alerta: Seleccione el Concepto de Gasto primero")</f>
        <v>Alerta: Seleccione el Concepto de Gasto primero</v>
      </c>
      <c r="AW649" s="644"/>
      <c r="AX649" s="645"/>
      <c r="AY649" s="645"/>
      <c r="AZ649" s="645"/>
      <c r="BA649" s="646">
        <f t="shared" si="199"/>
        <v>0</v>
      </c>
      <c r="BB649" s="647"/>
      <c r="BC649" s="648"/>
      <c r="BD649" s="649"/>
      <c r="BE649" s="647"/>
      <c r="BF649" s="644"/>
      <c r="BG649" s="646">
        <f t="shared" si="200"/>
        <v>0</v>
      </c>
      <c r="BH649" s="650"/>
      <c r="BI649" s="647"/>
      <c r="BJ649" s="644"/>
      <c r="BK649" s="646">
        <f t="shared" si="201"/>
        <v>0</v>
      </c>
      <c r="BL649" s="651"/>
      <c r="BM649" s="652">
        <f t="shared" si="202"/>
        <v>1</v>
      </c>
      <c r="BN649" s="628"/>
      <c r="BO649" s="670"/>
      <c r="BP649" s="644"/>
      <c r="BQ649" s="644"/>
      <c r="BR649" s="644"/>
      <c r="BS649" s="644"/>
      <c r="BT649" s="644"/>
      <c r="BU649" s="644"/>
      <c r="BV649" s="644"/>
      <c r="BW649" s="644"/>
      <c r="BX649" s="644"/>
      <c r="BY649" s="644"/>
      <c r="BZ649" s="644"/>
      <c r="CA649" s="644"/>
      <c r="CB649" s="646">
        <f t="shared" si="203"/>
        <v>0</v>
      </c>
      <c r="CC649" s="646">
        <f t="shared" si="204"/>
        <v>0</v>
      </c>
      <c r="CD649" s="614"/>
    </row>
    <row r="650" spans="1:85" s="561" customFormat="1" ht="61.5" customHeight="1">
      <c r="A650" s="625" t="str">
        <f t="shared" si="186"/>
        <v>proyecto-Alerta: Seleccione la celda en la comumna B con el nombre del proyecto-Al-Al--</v>
      </c>
      <c r="B650" s="626" t="str">
        <f t="shared" si="187"/>
        <v>proyecto-Alerta: Seleccione la celda en la comumna B con el nombre del proyecto-Al-Al-</v>
      </c>
      <c r="C650" s="626" t="str">
        <f t="shared" si="188"/>
        <v>proyecto-Alerta: Seleccione la celda en la comumna B con el nombre del proyecto-</v>
      </c>
      <c r="D650" s="626" t="str">
        <f t="shared" si="189"/>
        <v>proyecto--Al-Al-</v>
      </c>
      <c r="E650" s="626" t="str">
        <f t="shared" si="190"/>
        <v>--</v>
      </c>
      <c r="F650" s="627"/>
      <c r="G650" s="628">
        <f t="shared" si="191"/>
        <v>0</v>
      </c>
      <c r="H650" s="629" t="b">
        <f t="shared" si="192"/>
        <v>1</v>
      </c>
      <c r="I650" s="630"/>
      <c r="J650" s="627"/>
      <c r="K650" s="631" t="str">
        <f>+IFERROR(VLOOKUP(J650,Listas!$A$108:$B$114,2,FALSE),"Alerta: Seleccione la celda en la comumna B con el nombre del proyecto")</f>
        <v>Alerta: Seleccione la celda en la comumna B con el nombre del proyecto</v>
      </c>
      <c r="L650" s="632"/>
      <c r="M650" s="633"/>
      <c r="N650" s="634" t="str">
        <f t="shared" si="193"/>
        <v xml:space="preserve">(Cód. ) </v>
      </c>
      <c r="O650" s="635"/>
      <c r="P650" s="636">
        <f>IFERROR(VLOOKUP(W650,'Estimación CRP'!$D$21:$E$30,2,FALSE),0)</f>
        <v>0</v>
      </c>
      <c r="Q650" s="637">
        <f>IF(O650="No aplica","No aplica",WORKDAY.INTL(O650,P650,1,'Estimación CRP'!A836:A852))</f>
        <v>0</v>
      </c>
      <c r="R650" s="636">
        <f t="shared" si="194"/>
        <v>1</v>
      </c>
      <c r="S650" s="636">
        <f t="shared" si="195"/>
        <v>1</v>
      </c>
      <c r="T650" s="636">
        <f t="shared" si="196"/>
        <v>1</v>
      </c>
      <c r="U650" s="638"/>
      <c r="V650" s="638"/>
      <c r="W650" s="639"/>
      <c r="X650" s="640" t="str">
        <f>IFERROR(VLOOKUP(W650,Listas!$A$60:$B$73,2,FALSE),"Alerta: Seleccione primero Modalidad de selección")</f>
        <v>Alerta: Seleccione primero Modalidad de selección</v>
      </c>
      <c r="Y650" s="641">
        <v>0</v>
      </c>
      <c r="Z650" s="641"/>
      <c r="AA650" s="641"/>
      <c r="AB650" s="642">
        <f t="shared" si="197"/>
        <v>0</v>
      </c>
      <c r="AC650" s="642">
        <f t="shared" si="198"/>
        <v>0</v>
      </c>
      <c r="AD650" s="641">
        <v>0</v>
      </c>
      <c r="AE650" s="643">
        <v>0</v>
      </c>
      <c r="AF650" s="639" t="s">
        <v>276</v>
      </c>
      <c r="AG650" s="639" t="s">
        <v>277</v>
      </c>
      <c r="AH650" s="639"/>
      <c r="AI650" s="626" t="str">
        <f>IFERROR(VLOOKUP(AH650,Listas!$A$77:$C$83,2,FALSE),"Alerta: Seleccione primero el responsable")</f>
        <v>Alerta: Seleccione primero el responsable</v>
      </c>
      <c r="AJ650" s="640" t="str">
        <f>IFERROR(VLOOKUP(AH650,Listas!$A$77:$C$83,3,FALSE),"Alerta: Seleccione primero el responsable")</f>
        <v>Alerta: Seleccione primero el responsable</v>
      </c>
      <c r="AK650" s="640" t="str">
        <f>IF(J650="Funcionamiento Gastos Generales","No aplica",IF(J650="Funcionamiento Servicios Personales indirectos","No aplica",IFERROR(VLOOKUP(J650,Listas!$A$127:$E$139,3,FALSE),"Alerta: Seleccione la celda en la comumna B con el nombre del proyecto")))</f>
        <v>Alerta: Seleccione la celda en la comumna B con el nombre del proyecto</v>
      </c>
      <c r="AL650" s="640" t="str">
        <f>IF(J650="Funcionamiento Gastos Generales","No aplica",IF(J650="Funcionamiento Servicios Personales","No aplica",IFERROR(VLOOKUP(J650,Listas!$A$220:$D$224,2,FALSE),"Alerta: Seleccione la celda en la comumna B con el nombre del proyecto")))</f>
        <v>Alerta: Seleccione la celda en la comumna B con el nombre del proyecto</v>
      </c>
      <c r="AM650" s="640" t="str">
        <f>IF(J650="Funcionamiento Gastos Generales","No aplica",IF(J650="Funcionamiento Servicios Personales","No aplica",IFERROR(VLOOKUP(J650,Listas!$A$220:$D$224,3,FALSE),"Alerta: Seleccione la celda en la comumna B con el nombre del proyecto")))</f>
        <v>Alerta: Seleccione la celda en la comumna B con el nombre del proyecto</v>
      </c>
      <c r="AN650" s="633"/>
      <c r="AO650" s="633"/>
      <c r="AP650" s="634" t="str">
        <f>IFERROR(VLOOKUP(J650,Listas!$A$182:$E$215,5,FALSE),"Alerta: Seleccione la celda en la comumna B con el nombre del proyecto")</f>
        <v>Alerta: Seleccione la celda en la comumna B con el nombre del proyecto</v>
      </c>
      <c r="AQ650" s="634" t="str">
        <f>IF(J650="Funcionamiento Gastos Generales","No aplica",IF(J650="Funcionamiento Servicios Personales","No aplica",IFERROR(VLOOKUP(J650,Listas!$A$220:$D$224,4,FALSE),"Alerta: Seleccione la celda en la comumna B con el nombre del proyecto")))</f>
        <v>Alerta: Seleccione la celda en la comumna B con el nombre del proyecto</v>
      </c>
      <c r="AR650" s="633"/>
      <c r="AS650" s="634" t="str">
        <f>IFERROR(VLOOKUP(AU650,Listas!$E$85:$L$105,7,FALSE),"Alerta: Seleccione la celda en la comumna AI con el concepto de gasto")</f>
        <v>Alerta: Seleccione la celda en la comumna AI con el concepto de gasto</v>
      </c>
      <c r="AT650" s="634" t="str">
        <f>IFERROR(VLOOKUP(AU650,Listas!$E$85:$L$105,8,FALSE),"Alerta: Seleccione la celda en la comumna AI con el concepto de gasto")</f>
        <v>Alerta: Seleccione la celda en la comumna AI con el concepto de gasto</v>
      </c>
      <c r="AU650" s="633"/>
      <c r="AV650" s="634" t="str">
        <f>IFERROR(VLOOKUP(AU650,Listas!$E$85:$F$105,2,FALSE),"Alerta: Seleccione el Concepto de Gasto primero")</f>
        <v>Alerta: Seleccione el Concepto de Gasto primero</v>
      </c>
      <c r="AW650" s="644"/>
      <c r="AX650" s="645"/>
      <c r="AY650" s="645"/>
      <c r="AZ650" s="645"/>
      <c r="BA650" s="646">
        <f t="shared" si="199"/>
        <v>0</v>
      </c>
      <c r="BB650" s="647"/>
      <c r="BC650" s="648"/>
      <c r="BD650" s="649"/>
      <c r="BE650" s="647"/>
      <c r="BF650" s="644"/>
      <c r="BG650" s="646">
        <f t="shared" si="200"/>
        <v>0</v>
      </c>
      <c r="BH650" s="650"/>
      <c r="BI650" s="647"/>
      <c r="BJ650" s="644"/>
      <c r="BK650" s="646">
        <f t="shared" si="201"/>
        <v>0</v>
      </c>
      <c r="BL650" s="651"/>
      <c r="BM650" s="652">
        <f t="shared" si="202"/>
        <v>1</v>
      </c>
      <c r="BN650" s="628"/>
      <c r="BO650" s="670"/>
      <c r="BP650" s="644"/>
      <c r="BQ650" s="644"/>
      <c r="BR650" s="644"/>
      <c r="BS650" s="644"/>
      <c r="BT650" s="644"/>
      <c r="BU650" s="644"/>
      <c r="BV650" s="644"/>
      <c r="BW650" s="644"/>
      <c r="BX650" s="644"/>
      <c r="BY650" s="644"/>
      <c r="BZ650" s="644"/>
      <c r="CA650" s="644"/>
      <c r="CB650" s="646">
        <f t="shared" si="203"/>
        <v>0</v>
      </c>
      <c r="CC650" s="646">
        <f t="shared" si="204"/>
        <v>0</v>
      </c>
      <c r="CD650" s="614"/>
    </row>
    <row r="651" spans="1:85" s="561" customFormat="1" ht="61.5" customHeight="1">
      <c r="A651" s="625" t="str">
        <f t="shared" si="186"/>
        <v>proyecto-Alerta: Seleccione la celda en la comumna B con el nombre del proyecto-Al-Al--</v>
      </c>
      <c r="B651" s="626" t="str">
        <f t="shared" si="187"/>
        <v>proyecto-Alerta: Seleccione la celda en la comumna B con el nombre del proyecto-Al-Al-</v>
      </c>
      <c r="C651" s="626" t="str">
        <f t="shared" si="188"/>
        <v>proyecto-Alerta: Seleccione la celda en la comumna B con el nombre del proyecto-</v>
      </c>
      <c r="D651" s="626" t="str">
        <f t="shared" si="189"/>
        <v>proyecto--Al-Al-</v>
      </c>
      <c r="E651" s="626" t="str">
        <f t="shared" si="190"/>
        <v>--</v>
      </c>
      <c r="F651" s="627"/>
      <c r="G651" s="628">
        <f t="shared" si="191"/>
        <v>0</v>
      </c>
      <c r="H651" s="629" t="b">
        <f t="shared" si="192"/>
        <v>1</v>
      </c>
      <c r="I651" s="630"/>
      <c r="J651" s="627"/>
      <c r="K651" s="631" t="str">
        <f>+IFERROR(VLOOKUP(J651,Listas!$A$108:$B$114,2,FALSE),"Alerta: Seleccione la celda en la comumna B con el nombre del proyecto")</f>
        <v>Alerta: Seleccione la celda en la comumna B con el nombre del proyecto</v>
      </c>
      <c r="L651" s="632"/>
      <c r="M651" s="633"/>
      <c r="N651" s="634" t="str">
        <f t="shared" si="193"/>
        <v xml:space="preserve">(Cód. ) </v>
      </c>
      <c r="O651" s="635"/>
      <c r="P651" s="636">
        <f>IFERROR(VLOOKUP(W651,'Estimación CRP'!$D$21:$E$30,2,FALSE),0)</f>
        <v>0</v>
      </c>
      <c r="Q651" s="637">
        <f>IF(O651="No aplica","No aplica",WORKDAY.INTL(O651,P651,1,'Estimación CRP'!A837:A853))</f>
        <v>0</v>
      </c>
      <c r="R651" s="636">
        <f t="shared" si="194"/>
        <v>1</v>
      </c>
      <c r="S651" s="636">
        <f t="shared" si="195"/>
        <v>1</v>
      </c>
      <c r="T651" s="636">
        <f t="shared" si="196"/>
        <v>1</v>
      </c>
      <c r="U651" s="638"/>
      <c r="V651" s="638"/>
      <c r="W651" s="639"/>
      <c r="X651" s="640" t="str">
        <f>IFERROR(VLOOKUP(W651,Listas!$A$60:$B$73,2,FALSE),"Alerta: Seleccione primero Modalidad de selección")</f>
        <v>Alerta: Seleccione primero Modalidad de selección</v>
      </c>
      <c r="Y651" s="641">
        <v>0</v>
      </c>
      <c r="Z651" s="641"/>
      <c r="AA651" s="641"/>
      <c r="AB651" s="642">
        <f t="shared" si="197"/>
        <v>0</v>
      </c>
      <c r="AC651" s="642">
        <f t="shared" si="198"/>
        <v>0</v>
      </c>
      <c r="AD651" s="641">
        <v>0</v>
      </c>
      <c r="AE651" s="643">
        <v>0</v>
      </c>
      <c r="AF651" s="639" t="s">
        <v>276</v>
      </c>
      <c r="AG651" s="639" t="s">
        <v>277</v>
      </c>
      <c r="AH651" s="639"/>
      <c r="AI651" s="626" t="str">
        <f>IFERROR(VLOOKUP(AH651,Listas!$A$77:$C$83,2,FALSE),"Alerta: Seleccione primero el responsable")</f>
        <v>Alerta: Seleccione primero el responsable</v>
      </c>
      <c r="AJ651" s="640" t="str">
        <f>IFERROR(VLOOKUP(AH651,Listas!$A$77:$C$83,3,FALSE),"Alerta: Seleccione primero el responsable")</f>
        <v>Alerta: Seleccione primero el responsable</v>
      </c>
      <c r="AK651" s="640" t="str">
        <f>IF(J651="Funcionamiento Gastos Generales","No aplica",IF(J651="Funcionamiento Servicios Personales indirectos","No aplica",IFERROR(VLOOKUP(J651,Listas!$A$127:$E$139,3,FALSE),"Alerta: Seleccione la celda en la comumna B con el nombre del proyecto")))</f>
        <v>Alerta: Seleccione la celda en la comumna B con el nombre del proyecto</v>
      </c>
      <c r="AL651" s="640" t="str">
        <f>IF(J651="Funcionamiento Gastos Generales","No aplica",IF(J651="Funcionamiento Servicios Personales","No aplica",IFERROR(VLOOKUP(J651,Listas!$A$220:$D$224,2,FALSE),"Alerta: Seleccione la celda en la comumna B con el nombre del proyecto")))</f>
        <v>Alerta: Seleccione la celda en la comumna B con el nombre del proyecto</v>
      </c>
      <c r="AM651" s="640" t="str">
        <f>IF(J651="Funcionamiento Gastos Generales","No aplica",IF(J651="Funcionamiento Servicios Personales","No aplica",IFERROR(VLOOKUP(J651,Listas!$A$220:$D$224,3,FALSE),"Alerta: Seleccione la celda en la comumna B con el nombre del proyecto")))</f>
        <v>Alerta: Seleccione la celda en la comumna B con el nombre del proyecto</v>
      </c>
      <c r="AN651" s="633"/>
      <c r="AO651" s="633"/>
      <c r="AP651" s="634" t="str">
        <f>IFERROR(VLOOKUP(J651,Listas!$A$182:$E$215,5,FALSE),"Alerta: Seleccione la celda en la comumna B con el nombre del proyecto")</f>
        <v>Alerta: Seleccione la celda en la comumna B con el nombre del proyecto</v>
      </c>
      <c r="AQ651" s="634" t="str">
        <f>IF(J651="Funcionamiento Gastos Generales","No aplica",IF(J651="Funcionamiento Servicios Personales","No aplica",IFERROR(VLOOKUP(J651,Listas!$A$220:$D$224,4,FALSE),"Alerta: Seleccione la celda en la comumna B con el nombre del proyecto")))</f>
        <v>Alerta: Seleccione la celda en la comumna B con el nombre del proyecto</v>
      </c>
      <c r="AR651" s="633"/>
      <c r="AS651" s="634" t="str">
        <f>IFERROR(VLOOKUP(AU651,Listas!$E$85:$L$105,7,FALSE),"Alerta: Seleccione la celda en la comumna AI con el concepto de gasto")</f>
        <v>Alerta: Seleccione la celda en la comumna AI con el concepto de gasto</v>
      </c>
      <c r="AT651" s="634" t="str">
        <f>IFERROR(VLOOKUP(AU651,Listas!$E$85:$L$105,8,FALSE),"Alerta: Seleccione la celda en la comumna AI con el concepto de gasto")</f>
        <v>Alerta: Seleccione la celda en la comumna AI con el concepto de gasto</v>
      </c>
      <c r="AU651" s="633"/>
      <c r="AV651" s="634" t="str">
        <f>IFERROR(VLOOKUP(AU651,Listas!$E$85:$F$105,2,FALSE),"Alerta: Seleccione el Concepto de Gasto primero")</f>
        <v>Alerta: Seleccione el Concepto de Gasto primero</v>
      </c>
      <c r="AW651" s="644"/>
      <c r="AX651" s="645"/>
      <c r="AY651" s="645"/>
      <c r="AZ651" s="645"/>
      <c r="BA651" s="646">
        <f t="shared" si="199"/>
        <v>0</v>
      </c>
      <c r="BB651" s="647"/>
      <c r="BC651" s="648"/>
      <c r="BD651" s="649"/>
      <c r="BE651" s="647"/>
      <c r="BF651" s="644"/>
      <c r="BG651" s="646">
        <f t="shared" si="200"/>
        <v>0</v>
      </c>
      <c r="BH651" s="650"/>
      <c r="BI651" s="647"/>
      <c r="BJ651" s="644"/>
      <c r="BK651" s="646">
        <f t="shared" si="201"/>
        <v>0</v>
      </c>
      <c r="BL651" s="651"/>
      <c r="BM651" s="652">
        <f t="shared" si="202"/>
        <v>1</v>
      </c>
      <c r="BN651" s="628"/>
      <c r="BO651" s="670"/>
      <c r="BP651" s="644"/>
      <c r="BQ651" s="644"/>
      <c r="BR651" s="644"/>
      <c r="BS651" s="644"/>
      <c r="BT651" s="644"/>
      <c r="BU651" s="644"/>
      <c r="BV651" s="644"/>
      <c r="BW651" s="644"/>
      <c r="BX651" s="644"/>
      <c r="BY651" s="644"/>
      <c r="BZ651" s="644"/>
      <c r="CA651" s="644"/>
      <c r="CB651" s="646">
        <f t="shared" si="203"/>
        <v>0</v>
      </c>
      <c r="CC651" s="646">
        <f t="shared" si="204"/>
        <v>0</v>
      </c>
      <c r="CD651" s="614"/>
    </row>
    <row r="652" spans="1:85" s="561" customFormat="1" ht="61.5" customHeight="1">
      <c r="A652" s="625" t="str">
        <f t="shared" si="186"/>
        <v>proyecto-Alerta: Seleccione la celda en la comumna B con el nombre del proyecto-Al-Al--</v>
      </c>
      <c r="B652" s="626" t="str">
        <f t="shared" si="187"/>
        <v>proyecto-Alerta: Seleccione la celda en la comumna B con el nombre del proyecto-Al-Al-</v>
      </c>
      <c r="C652" s="626" t="str">
        <f t="shared" si="188"/>
        <v>proyecto-Alerta: Seleccione la celda en la comumna B con el nombre del proyecto-</v>
      </c>
      <c r="D652" s="626" t="str">
        <f t="shared" si="189"/>
        <v>proyecto--Al-Al-</v>
      </c>
      <c r="E652" s="626" t="str">
        <f t="shared" si="190"/>
        <v>--</v>
      </c>
      <c r="F652" s="627"/>
      <c r="G652" s="628">
        <f t="shared" si="191"/>
        <v>0</v>
      </c>
      <c r="H652" s="629" t="b">
        <f t="shared" si="192"/>
        <v>1</v>
      </c>
      <c r="I652" s="630"/>
      <c r="J652" s="627"/>
      <c r="K652" s="631" t="str">
        <f>+IFERROR(VLOOKUP(J652,Listas!$A$108:$B$114,2,FALSE),"Alerta: Seleccione la celda en la comumna B con el nombre del proyecto")</f>
        <v>Alerta: Seleccione la celda en la comumna B con el nombre del proyecto</v>
      </c>
      <c r="L652" s="632"/>
      <c r="M652" s="633"/>
      <c r="N652" s="634" t="str">
        <f t="shared" si="193"/>
        <v xml:space="preserve">(Cód. ) </v>
      </c>
      <c r="O652" s="635"/>
      <c r="P652" s="636">
        <f>IFERROR(VLOOKUP(W652,'Estimación CRP'!$D$21:$E$30,2,FALSE),0)</f>
        <v>0</v>
      </c>
      <c r="Q652" s="637">
        <f>IF(O652="No aplica","No aplica",WORKDAY.INTL(O652,P652,1,'Estimación CRP'!A838:A854))</f>
        <v>0</v>
      </c>
      <c r="R652" s="636">
        <f t="shared" si="194"/>
        <v>1</v>
      </c>
      <c r="S652" s="636">
        <f t="shared" si="195"/>
        <v>1</v>
      </c>
      <c r="T652" s="636">
        <f t="shared" si="196"/>
        <v>1</v>
      </c>
      <c r="U652" s="638"/>
      <c r="V652" s="638"/>
      <c r="W652" s="639"/>
      <c r="X652" s="640" t="str">
        <f>IFERROR(VLOOKUP(W652,Listas!$A$60:$B$73,2,FALSE),"Alerta: Seleccione primero Modalidad de selección")</f>
        <v>Alerta: Seleccione primero Modalidad de selección</v>
      </c>
      <c r="Y652" s="641">
        <v>0</v>
      </c>
      <c r="Z652" s="641"/>
      <c r="AA652" s="641"/>
      <c r="AB652" s="642">
        <f t="shared" si="197"/>
        <v>0</v>
      </c>
      <c r="AC652" s="642">
        <f t="shared" si="198"/>
        <v>0</v>
      </c>
      <c r="AD652" s="641">
        <v>0</v>
      </c>
      <c r="AE652" s="643">
        <v>0</v>
      </c>
      <c r="AF652" s="639" t="s">
        <v>276</v>
      </c>
      <c r="AG652" s="639" t="s">
        <v>277</v>
      </c>
      <c r="AH652" s="639"/>
      <c r="AI652" s="626" t="str">
        <f>IFERROR(VLOOKUP(AH652,Listas!$A$77:$C$83,2,FALSE),"Alerta: Seleccione primero el responsable")</f>
        <v>Alerta: Seleccione primero el responsable</v>
      </c>
      <c r="AJ652" s="640" t="str">
        <f>IFERROR(VLOOKUP(AH652,Listas!$A$77:$C$83,3,FALSE),"Alerta: Seleccione primero el responsable")</f>
        <v>Alerta: Seleccione primero el responsable</v>
      </c>
      <c r="AK652" s="640" t="str">
        <f>IF(J652="Funcionamiento Gastos Generales","No aplica",IF(J652="Funcionamiento Servicios Personales indirectos","No aplica",IFERROR(VLOOKUP(J652,Listas!$A$127:$E$139,3,FALSE),"Alerta: Seleccione la celda en la comumna B con el nombre del proyecto")))</f>
        <v>Alerta: Seleccione la celda en la comumna B con el nombre del proyecto</v>
      </c>
      <c r="AL652" s="640" t="str">
        <f>IF(J652="Funcionamiento Gastos Generales","No aplica",IF(J652="Funcionamiento Servicios Personales","No aplica",IFERROR(VLOOKUP(J652,Listas!$A$220:$D$224,2,FALSE),"Alerta: Seleccione la celda en la comumna B con el nombre del proyecto")))</f>
        <v>Alerta: Seleccione la celda en la comumna B con el nombre del proyecto</v>
      </c>
      <c r="AM652" s="640" t="str">
        <f>IF(J652="Funcionamiento Gastos Generales","No aplica",IF(J652="Funcionamiento Servicios Personales","No aplica",IFERROR(VLOOKUP(J652,Listas!$A$220:$D$224,3,FALSE),"Alerta: Seleccione la celda en la comumna B con el nombre del proyecto")))</f>
        <v>Alerta: Seleccione la celda en la comumna B con el nombre del proyecto</v>
      </c>
      <c r="AN652" s="633"/>
      <c r="AO652" s="633"/>
      <c r="AP652" s="634" t="str">
        <f>IFERROR(VLOOKUP(J652,Listas!$A$182:$E$215,5,FALSE),"Alerta: Seleccione la celda en la comumna B con el nombre del proyecto")</f>
        <v>Alerta: Seleccione la celda en la comumna B con el nombre del proyecto</v>
      </c>
      <c r="AQ652" s="634" t="str">
        <f>IF(J652="Funcionamiento Gastos Generales","No aplica",IF(J652="Funcionamiento Servicios Personales","No aplica",IFERROR(VLOOKUP(J652,Listas!$A$220:$D$224,4,FALSE),"Alerta: Seleccione la celda en la comumna B con el nombre del proyecto")))</f>
        <v>Alerta: Seleccione la celda en la comumna B con el nombre del proyecto</v>
      </c>
      <c r="AR652" s="633"/>
      <c r="AS652" s="634" t="str">
        <f>IFERROR(VLOOKUP(AU652,Listas!$E$85:$L$105,7,FALSE),"Alerta: Seleccione la celda en la comumna AI con el concepto de gasto")</f>
        <v>Alerta: Seleccione la celda en la comumna AI con el concepto de gasto</v>
      </c>
      <c r="AT652" s="634" t="str">
        <f>IFERROR(VLOOKUP(AU652,Listas!$E$85:$L$105,8,FALSE),"Alerta: Seleccione la celda en la comumna AI con el concepto de gasto")</f>
        <v>Alerta: Seleccione la celda en la comumna AI con el concepto de gasto</v>
      </c>
      <c r="AU652" s="633"/>
      <c r="AV652" s="634" t="str">
        <f>IFERROR(VLOOKUP(AU652,Listas!$E$85:$F$105,2,FALSE),"Alerta: Seleccione el Concepto de Gasto primero")</f>
        <v>Alerta: Seleccione el Concepto de Gasto primero</v>
      </c>
      <c r="AW652" s="644"/>
      <c r="AX652" s="645"/>
      <c r="AY652" s="645"/>
      <c r="AZ652" s="645"/>
      <c r="BA652" s="646">
        <f t="shared" si="199"/>
        <v>0</v>
      </c>
      <c r="BB652" s="647"/>
      <c r="BC652" s="648"/>
      <c r="BD652" s="649"/>
      <c r="BE652" s="647"/>
      <c r="BF652" s="644"/>
      <c r="BG652" s="646">
        <f t="shared" si="200"/>
        <v>0</v>
      </c>
      <c r="BH652" s="650"/>
      <c r="BI652" s="647"/>
      <c r="BJ652" s="644"/>
      <c r="BK652" s="646">
        <f t="shared" si="201"/>
        <v>0</v>
      </c>
      <c r="BL652" s="651"/>
      <c r="BM652" s="652">
        <f t="shared" si="202"/>
        <v>1</v>
      </c>
      <c r="BN652" s="628"/>
      <c r="BO652" s="670"/>
      <c r="BP652" s="644"/>
      <c r="BQ652" s="644"/>
      <c r="BR652" s="644"/>
      <c r="BS652" s="644"/>
      <c r="BT652" s="644"/>
      <c r="BU652" s="644"/>
      <c r="BV652" s="644"/>
      <c r="BW652" s="644"/>
      <c r="BX652" s="644"/>
      <c r="BY652" s="644"/>
      <c r="BZ652" s="644"/>
      <c r="CA652" s="644"/>
      <c r="CB652" s="646">
        <f t="shared" si="203"/>
        <v>0</v>
      </c>
      <c r="CC652" s="646">
        <f t="shared" si="204"/>
        <v>0</v>
      </c>
      <c r="CD652" s="614"/>
    </row>
    <row r="653" spans="1:85" s="561" customFormat="1" ht="61.5" customHeight="1">
      <c r="A653" s="625" t="str">
        <f t="shared" si="186"/>
        <v>proyecto-Alerta: Seleccione la celda en la comumna B con el nombre del proyecto-Al-Al--</v>
      </c>
      <c r="B653" s="626" t="str">
        <f t="shared" si="187"/>
        <v>proyecto-Alerta: Seleccione la celda en la comumna B con el nombre del proyecto-Al-Al-</v>
      </c>
      <c r="C653" s="626" t="str">
        <f t="shared" si="188"/>
        <v>proyecto-Alerta: Seleccione la celda en la comumna B con el nombre del proyecto-</v>
      </c>
      <c r="D653" s="626" t="str">
        <f t="shared" si="189"/>
        <v>proyecto--Al-Al-</v>
      </c>
      <c r="E653" s="626" t="str">
        <f t="shared" si="190"/>
        <v>--</v>
      </c>
      <c r="F653" s="627"/>
      <c r="G653" s="628">
        <f t="shared" si="191"/>
        <v>0</v>
      </c>
      <c r="H653" s="629" t="b">
        <f t="shared" si="192"/>
        <v>1</v>
      </c>
      <c r="I653" s="630"/>
      <c r="J653" s="627"/>
      <c r="K653" s="631" t="str">
        <f>+IFERROR(VLOOKUP(J653,Listas!$A$108:$B$114,2,FALSE),"Alerta: Seleccione la celda en la comumna B con el nombre del proyecto")</f>
        <v>Alerta: Seleccione la celda en la comumna B con el nombre del proyecto</v>
      </c>
      <c r="L653" s="632"/>
      <c r="M653" s="633"/>
      <c r="N653" s="634" t="str">
        <f t="shared" si="193"/>
        <v xml:space="preserve">(Cód. ) </v>
      </c>
      <c r="O653" s="635"/>
      <c r="P653" s="636">
        <f>IFERROR(VLOOKUP(W653,'Estimación CRP'!$D$21:$E$30,2,FALSE),0)</f>
        <v>0</v>
      </c>
      <c r="Q653" s="637">
        <f>IF(O653="No aplica","No aplica",WORKDAY.INTL(O653,P653,1,'Estimación CRP'!A839:A855))</f>
        <v>0</v>
      </c>
      <c r="R653" s="636">
        <f t="shared" si="194"/>
        <v>1</v>
      </c>
      <c r="S653" s="636">
        <f t="shared" si="195"/>
        <v>1</v>
      </c>
      <c r="T653" s="636">
        <f t="shared" si="196"/>
        <v>1</v>
      </c>
      <c r="U653" s="638"/>
      <c r="V653" s="638"/>
      <c r="W653" s="639"/>
      <c r="X653" s="640" t="str">
        <f>IFERROR(VLOOKUP(W653,Listas!$A$60:$B$73,2,FALSE),"Alerta: Seleccione primero Modalidad de selección")</f>
        <v>Alerta: Seleccione primero Modalidad de selección</v>
      </c>
      <c r="Y653" s="641">
        <v>0</v>
      </c>
      <c r="Z653" s="641"/>
      <c r="AA653" s="641"/>
      <c r="AB653" s="642">
        <f t="shared" si="197"/>
        <v>0</v>
      </c>
      <c r="AC653" s="642">
        <f t="shared" si="198"/>
        <v>0</v>
      </c>
      <c r="AD653" s="641">
        <v>0</v>
      </c>
      <c r="AE653" s="643">
        <v>0</v>
      </c>
      <c r="AF653" s="639" t="s">
        <v>276</v>
      </c>
      <c r="AG653" s="639" t="s">
        <v>277</v>
      </c>
      <c r="AH653" s="639"/>
      <c r="AI653" s="626" t="str">
        <f>IFERROR(VLOOKUP(AH653,Listas!$A$77:$C$83,2,FALSE),"Alerta: Seleccione primero el responsable")</f>
        <v>Alerta: Seleccione primero el responsable</v>
      </c>
      <c r="AJ653" s="640" t="str">
        <f>IFERROR(VLOOKUP(AH653,Listas!$A$77:$C$83,3,FALSE),"Alerta: Seleccione primero el responsable")</f>
        <v>Alerta: Seleccione primero el responsable</v>
      </c>
      <c r="AK653" s="640" t="str">
        <f>IF(J653="Funcionamiento Gastos Generales","No aplica",IF(J653="Funcionamiento Servicios Personales indirectos","No aplica",IFERROR(VLOOKUP(J653,Listas!$A$127:$E$139,3,FALSE),"Alerta: Seleccione la celda en la comumna B con el nombre del proyecto")))</f>
        <v>Alerta: Seleccione la celda en la comumna B con el nombre del proyecto</v>
      </c>
      <c r="AL653" s="640" t="str">
        <f>IF(J653="Funcionamiento Gastos Generales","No aplica",IF(J653="Funcionamiento Servicios Personales","No aplica",IFERROR(VLOOKUP(J653,Listas!$A$220:$D$224,2,FALSE),"Alerta: Seleccione la celda en la comumna B con el nombre del proyecto")))</f>
        <v>Alerta: Seleccione la celda en la comumna B con el nombre del proyecto</v>
      </c>
      <c r="AM653" s="640" t="str">
        <f>IF(J653="Funcionamiento Gastos Generales","No aplica",IF(J653="Funcionamiento Servicios Personales","No aplica",IFERROR(VLOOKUP(J653,Listas!$A$220:$D$224,3,FALSE),"Alerta: Seleccione la celda en la comumna B con el nombre del proyecto")))</f>
        <v>Alerta: Seleccione la celda en la comumna B con el nombre del proyecto</v>
      </c>
      <c r="AN653" s="633"/>
      <c r="AO653" s="633"/>
      <c r="AP653" s="634" t="str">
        <f>IFERROR(VLOOKUP(J653,Listas!$A$182:$E$215,5,FALSE),"Alerta: Seleccione la celda en la comumna B con el nombre del proyecto")</f>
        <v>Alerta: Seleccione la celda en la comumna B con el nombre del proyecto</v>
      </c>
      <c r="AQ653" s="634" t="str">
        <f>IF(J653="Funcionamiento Gastos Generales","No aplica",IF(J653="Funcionamiento Servicios Personales","No aplica",IFERROR(VLOOKUP(J653,Listas!$A$220:$D$224,4,FALSE),"Alerta: Seleccione la celda en la comumna B con el nombre del proyecto")))</f>
        <v>Alerta: Seleccione la celda en la comumna B con el nombre del proyecto</v>
      </c>
      <c r="AR653" s="633"/>
      <c r="AS653" s="634" t="str">
        <f>IFERROR(VLOOKUP(AU653,Listas!$E$85:$L$105,7,FALSE),"Alerta: Seleccione la celda en la comumna AI con el concepto de gasto")</f>
        <v>Alerta: Seleccione la celda en la comumna AI con el concepto de gasto</v>
      </c>
      <c r="AT653" s="634" t="str">
        <f>IFERROR(VLOOKUP(AU653,Listas!$E$85:$L$105,8,FALSE),"Alerta: Seleccione la celda en la comumna AI con el concepto de gasto")</f>
        <v>Alerta: Seleccione la celda en la comumna AI con el concepto de gasto</v>
      </c>
      <c r="AU653" s="633"/>
      <c r="AV653" s="634" t="str">
        <f>IFERROR(VLOOKUP(AU653,Listas!$E$85:$F$105,2,FALSE),"Alerta: Seleccione el Concepto de Gasto primero")</f>
        <v>Alerta: Seleccione el Concepto de Gasto primero</v>
      </c>
      <c r="AW653" s="644"/>
      <c r="AX653" s="645"/>
      <c r="AY653" s="645"/>
      <c r="AZ653" s="645"/>
      <c r="BA653" s="646">
        <f t="shared" si="199"/>
        <v>0</v>
      </c>
      <c r="BB653" s="647"/>
      <c r="BC653" s="648"/>
      <c r="BD653" s="649"/>
      <c r="BE653" s="647"/>
      <c r="BF653" s="644"/>
      <c r="BG653" s="646">
        <f t="shared" si="200"/>
        <v>0</v>
      </c>
      <c r="BH653" s="650"/>
      <c r="BI653" s="647"/>
      <c r="BJ653" s="644"/>
      <c r="BK653" s="646">
        <f t="shared" si="201"/>
        <v>0</v>
      </c>
      <c r="BL653" s="651"/>
      <c r="BM653" s="652">
        <f t="shared" si="202"/>
        <v>1</v>
      </c>
      <c r="BN653" s="628"/>
      <c r="BO653" s="670"/>
      <c r="BP653" s="644"/>
      <c r="BQ653" s="644"/>
      <c r="BR653" s="644"/>
      <c r="BS653" s="644"/>
      <c r="BT653" s="644"/>
      <c r="BU653" s="644"/>
      <c r="BV653" s="644"/>
      <c r="BW653" s="644"/>
      <c r="BX653" s="644"/>
      <c r="BY653" s="644"/>
      <c r="BZ653" s="644"/>
      <c r="CA653" s="644"/>
      <c r="CB653" s="646">
        <f t="shared" si="203"/>
        <v>0</v>
      </c>
      <c r="CC653" s="646">
        <f t="shared" si="204"/>
        <v>0</v>
      </c>
      <c r="CD653" s="614"/>
    </row>
    <row r="654" spans="1:85" s="561" customFormat="1" ht="61.5" customHeight="1">
      <c r="A654" s="625" t="str">
        <f t="shared" si="186"/>
        <v>proyecto-Alerta: Seleccione la celda en la comumna B con el nombre del proyecto-Al-Al--</v>
      </c>
      <c r="B654" s="626" t="str">
        <f t="shared" si="187"/>
        <v>proyecto-Alerta: Seleccione la celda en la comumna B con el nombre del proyecto-Al-Al-</v>
      </c>
      <c r="C654" s="626" t="str">
        <f t="shared" si="188"/>
        <v>proyecto-Alerta: Seleccione la celda en la comumna B con el nombre del proyecto-</v>
      </c>
      <c r="D654" s="626" t="str">
        <f t="shared" si="189"/>
        <v>proyecto--Al-Al-</v>
      </c>
      <c r="E654" s="626" t="str">
        <f t="shared" si="190"/>
        <v>--</v>
      </c>
      <c r="F654" s="627"/>
      <c r="G654" s="628">
        <f t="shared" si="191"/>
        <v>0</v>
      </c>
      <c r="H654" s="629" t="b">
        <f t="shared" si="192"/>
        <v>1</v>
      </c>
      <c r="I654" s="630"/>
      <c r="J654" s="627"/>
      <c r="K654" s="631" t="str">
        <f>+IFERROR(VLOOKUP(J654,Listas!$A$108:$B$114,2,FALSE),"Alerta: Seleccione la celda en la comumna B con el nombre del proyecto")</f>
        <v>Alerta: Seleccione la celda en la comumna B con el nombre del proyecto</v>
      </c>
      <c r="L654" s="632"/>
      <c r="M654" s="633"/>
      <c r="N654" s="634" t="str">
        <f t="shared" si="193"/>
        <v xml:space="preserve">(Cód. ) </v>
      </c>
      <c r="O654" s="635"/>
      <c r="P654" s="636">
        <f>IFERROR(VLOOKUP(W654,'Estimación CRP'!$D$21:$E$30,2,FALSE),0)</f>
        <v>0</v>
      </c>
      <c r="Q654" s="637">
        <f>IF(O654="No aplica","No aplica",WORKDAY.INTL(O654,P654,1,'Estimación CRP'!A840:A856))</f>
        <v>0</v>
      </c>
      <c r="R654" s="636">
        <f t="shared" si="194"/>
        <v>1</v>
      </c>
      <c r="S654" s="636">
        <f t="shared" si="195"/>
        <v>1</v>
      </c>
      <c r="T654" s="636">
        <f t="shared" si="196"/>
        <v>1</v>
      </c>
      <c r="U654" s="638"/>
      <c r="V654" s="638"/>
      <c r="W654" s="639"/>
      <c r="X654" s="640" t="str">
        <f>IFERROR(VLOOKUP(W654,Listas!$A$60:$B$73,2,FALSE),"Alerta: Seleccione primero Modalidad de selección")</f>
        <v>Alerta: Seleccione primero Modalidad de selección</v>
      </c>
      <c r="Y654" s="641">
        <v>0</v>
      </c>
      <c r="Z654" s="641"/>
      <c r="AA654" s="641"/>
      <c r="AB654" s="642">
        <f t="shared" si="197"/>
        <v>0</v>
      </c>
      <c r="AC654" s="642">
        <f t="shared" si="198"/>
        <v>0</v>
      </c>
      <c r="AD654" s="641">
        <v>0</v>
      </c>
      <c r="AE654" s="643">
        <v>0</v>
      </c>
      <c r="AF654" s="639" t="s">
        <v>276</v>
      </c>
      <c r="AG654" s="639" t="s">
        <v>277</v>
      </c>
      <c r="AH654" s="639"/>
      <c r="AI654" s="626" t="str">
        <f>IFERROR(VLOOKUP(AH654,Listas!$A$77:$C$83,2,FALSE),"Alerta: Seleccione primero el responsable")</f>
        <v>Alerta: Seleccione primero el responsable</v>
      </c>
      <c r="AJ654" s="640" t="str">
        <f>IFERROR(VLOOKUP(AH654,Listas!$A$77:$C$83,3,FALSE),"Alerta: Seleccione primero el responsable")</f>
        <v>Alerta: Seleccione primero el responsable</v>
      </c>
      <c r="AK654" s="640" t="str">
        <f>IF(J654="Funcionamiento Gastos Generales","No aplica",IF(J654="Funcionamiento Servicios Personales indirectos","No aplica",IFERROR(VLOOKUP(J654,Listas!$A$127:$E$139,3,FALSE),"Alerta: Seleccione la celda en la comumna B con el nombre del proyecto")))</f>
        <v>Alerta: Seleccione la celda en la comumna B con el nombre del proyecto</v>
      </c>
      <c r="AL654" s="640" t="str">
        <f>IF(J654="Funcionamiento Gastos Generales","No aplica",IF(J654="Funcionamiento Servicios Personales","No aplica",IFERROR(VLOOKUP(J654,Listas!$A$220:$D$224,2,FALSE),"Alerta: Seleccione la celda en la comumna B con el nombre del proyecto")))</f>
        <v>Alerta: Seleccione la celda en la comumna B con el nombre del proyecto</v>
      </c>
      <c r="AM654" s="640" t="str">
        <f>IF(J654="Funcionamiento Gastos Generales","No aplica",IF(J654="Funcionamiento Servicios Personales","No aplica",IFERROR(VLOOKUP(J654,Listas!$A$220:$D$224,3,FALSE),"Alerta: Seleccione la celda en la comumna B con el nombre del proyecto")))</f>
        <v>Alerta: Seleccione la celda en la comumna B con el nombre del proyecto</v>
      </c>
      <c r="AN654" s="633"/>
      <c r="AO654" s="633"/>
      <c r="AP654" s="634" t="str">
        <f>IFERROR(VLOOKUP(J654,Listas!$A$182:$E$215,5,FALSE),"Alerta: Seleccione la celda en la comumna B con el nombre del proyecto")</f>
        <v>Alerta: Seleccione la celda en la comumna B con el nombre del proyecto</v>
      </c>
      <c r="AQ654" s="634" t="str">
        <f>IF(J654="Funcionamiento Gastos Generales","No aplica",IF(J654="Funcionamiento Servicios Personales","No aplica",IFERROR(VLOOKUP(J654,Listas!$A$220:$D$224,4,FALSE),"Alerta: Seleccione la celda en la comumna B con el nombre del proyecto")))</f>
        <v>Alerta: Seleccione la celda en la comumna B con el nombre del proyecto</v>
      </c>
      <c r="AR654" s="633"/>
      <c r="AS654" s="634" t="str">
        <f>IFERROR(VLOOKUP(AU654,Listas!$E$85:$L$105,7,FALSE),"Alerta: Seleccione la celda en la comumna AI con el concepto de gasto")</f>
        <v>Alerta: Seleccione la celda en la comumna AI con el concepto de gasto</v>
      </c>
      <c r="AT654" s="634" t="str">
        <f>IFERROR(VLOOKUP(AU654,Listas!$E$85:$L$105,8,FALSE),"Alerta: Seleccione la celda en la comumna AI con el concepto de gasto")</f>
        <v>Alerta: Seleccione la celda en la comumna AI con el concepto de gasto</v>
      </c>
      <c r="AU654" s="633"/>
      <c r="AV654" s="634" t="str">
        <f>IFERROR(VLOOKUP(AU654,Listas!$E$85:$F$105,2,FALSE),"Alerta: Seleccione el Concepto de Gasto primero")</f>
        <v>Alerta: Seleccione el Concepto de Gasto primero</v>
      </c>
      <c r="AW654" s="644"/>
      <c r="AX654" s="645"/>
      <c r="AY654" s="645"/>
      <c r="AZ654" s="645"/>
      <c r="BA654" s="646">
        <f t="shared" si="199"/>
        <v>0</v>
      </c>
      <c r="BB654" s="647"/>
      <c r="BC654" s="648"/>
      <c r="BD654" s="649"/>
      <c r="BE654" s="647"/>
      <c r="BF654" s="644"/>
      <c r="BG654" s="646">
        <f t="shared" si="200"/>
        <v>0</v>
      </c>
      <c r="BH654" s="650"/>
      <c r="BI654" s="647"/>
      <c r="BJ654" s="644"/>
      <c r="BK654" s="646">
        <f t="shared" si="201"/>
        <v>0</v>
      </c>
      <c r="BL654" s="651"/>
      <c r="BM654" s="652">
        <f t="shared" si="202"/>
        <v>1</v>
      </c>
      <c r="BN654" s="628"/>
      <c r="BO654" s="670"/>
      <c r="BP654" s="644"/>
      <c r="BQ654" s="644"/>
      <c r="BR654" s="644"/>
      <c r="BS654" s="644"/>
      <c r="BT654" s="644"/>
      <c r="BU654" s="644"/>
      <c r="BV654" s="644"/>
      <c r="BW654" s="644"/>
      <c r="BX654" s="644"/>
      <c r="BY654" s="644"/>
      <c r="BZ654" s="644"/>
      <c r="CA654" s="644"/>
      <c r="CB654" s="646">
        <f t="shared" si="203"/>
        <v>0</v>
      </c>
      <c r="CC654" s="646">
        <f t="shared" si="204"/>
        <v>0</v>
      </c>
      <c r="CD654" s="614"/>
    </row>
    <row r="655" spans="1:85" s="561" customFormat="1" ht="61.5" customHeight="1">
      <c r="A655" s="625" t="str">
        <f t="shared" si="186"/>
        <v>proyecto-Alerta: Seleccione la celda en la comumna B con el nombre del proyecto-Al-Al--</v>
      </c>
      <c r="B655" s="626" t="str">
        <f t="shared" si="187"/>
        <v>proyecto-Alerta: Seleccione la celda en la comumna B con el nombre del proyecto-Al-Al-</v>
      </c>
      <c r="C655" s="626" t="str">
        <f t="shared" si="188"/>
        <v>proyecto-Alerta: Seleccione la celda en la comumna B con el nombre del proyecto-</v>
      </c>
      <c r="D655" s="626" t="str">
        <f t="shared" si="189"/>
        <v>proyecto--Al-Al-</v>
      </c>
      <c r="E655" s="626" t="str">
        <f t="shared" si="190"/>
        <v>--</v>
      </c>
      <c r="F655" s="627"/>
      <c r="G655" s="628">
        <f t="shared" si="191"/>
        <v>0</v>
      </c>
      <c r="H655" s="629" t="b">
        <f t="shared" si="192"/>
        <v>1</v>
      </c>
      <c r="I655" s="630"/>
      <c r="J655" s="627"/>
      <c r="K655" s="631" t="str">
        <f>+IFERROR(VLOOKUP(J655,Listas!$A$108:$B$114,2,FALSE),"Alerta: Seleccione la celda en la comumna B con el nombre del proyecto")</f>
        <v>Alerta: Seleccione la celda en la comumna B con el nombre del proyecto</v>
      </c>
      <c r="L655" s="632"/>
      <c r="M655" s="633"/>
      <c r="N655" s="634" t="str">
        <f t="shared" si="193"/>
        <v xml:space="preserve">(Cód. ) </v>
      </c>
      <c r="O655" s="635"/>
      <c r="P655" s="636">
        <f>IFERROR(VLOOKUP(W655,'Estimación CRP'!$D$21:$E$30,2,FALSE),0)</f>
        <v>0</v>
      </c>
      <c r="Q655" s="637">
        <f>IF(O655="No aplica","No aplica",WORKDAY.INTL(O655,P655,1,'Estimación CRP'!A841:A857))</f>
        <v>0</v>
      </c>
      <c r="R655" s="636">
        <f t="shared" si="194"/>
        <v>1</v>
      </c>
      <c r="S655" s="636">
        <f t="shared" si="195"/>
        <v>1</v>
      </c>
      <c r="T655" s="636">
        <f t="shared" si="196"/>
        <v>1</v>
      </c>
      <c r="U655" s="638"/>
      <c r="V655" s="638"/>
      <c r="W655" s="639"/>
      <c r="X655" s="640" t="str">
        <f>IFERROR(VLOOKUP(W655,Listas!$A$60:$B$73,2,FALSE),"Alerta: Seleccione primero Modalidad de selección")</f>
        <v>Alerta: Seleccione primero Modalidad de selección</v>
      </c>
      <c r="Y655" s="641">
        <v>0</v>
      </c>
      <c r="Z655" s="641"/>
      <c r="AA655" s="641"/>
      <c r="AB655" s="642">
        <f t="shared" si="197"/>
        <v>0</v>
      </c>
      <c r="AC655" s="642">
        <f t="shared" si="198"/>
        <v>0</v>
      </c>
      <c r="AD655" s="641">
        <v>0</v>
      </c>
      <c r="AE655" s="643">
        <v>0</v>
      </c>
      <c r="AF655" s="639" t="s">
        <v>276</v>
      </c>
      <c r="AG655" s="639" t="s">
        <v>277</v>
      </c>
      <c r="AH655" s="639"/>
      <c r="AI655" s="626" t="str">
        <f>IFERROR(VLOOKUP(AH655,Listas!$A$77:$C$83,2,FALSE),"Alerta: Seleccione primero el responsable")</f>
        <v>Alerta: Seleccione primero el responsable</v>
      </c>
      <c r="AJ655" s="640" t="str">
        <f>IFERROR(VLOOKUP(AH655,Listas!$A$77:$C$83,3,FALSE),"Alerta: Seleccione primero el responsable")</f>
        <v>Alerta: Seleccione primero el responsable</v>
      </c>
      <c r="AK655" s="640" t="str">
        <f>IF(J655="Funcionamiento Gastos Generales","No aplica",IF(J655="Funcionamiento Servicios Personales indirectos","No aplica",IFERROR(VLOOKUP(J655,Listas!$A$127:$E$139,3,FALSE),"Alerta: Seleccione la celda en la comumna B con el nombre del proyecto")))</f>
        <v>Alerta: Seleccione la celda en la comumna B con el nombre del proyecto</v>
      </c>
      <c r="AL655" s="640" t="str">
        <f>IF(J655="Funcionamiento Gastos Generales","No aplica",IF(J655="Funcionamiento Servicios Personales","No aplica",IFERROR(VLOOKUP(J655,Listas!$A$220:$D$224,2,FALSE),"Alerta: Seleccione la celda en la comumna B con el nombre del proyecto")))</f>
        <v>Alerta: Seleccione la celda en la comumna B con el nombre del proyecto</v>
      </c>
      <c r="AM655" s="640" t="str">
        <f>IF(J655="Funcionamiento Gastos Generales","No aplica",IF(J655="Funcionamiento Servicios Personales","No aplica",IFERROR(VLOOKUP(J655,Listas!$A$220:$D$224,3,FALSE),"Alerta: Seleccione la celda en la comumna B con el nombre del proyecto")))</f>
        <v>Alerta: Seleccione la celda en la comumna B con el nombre del proyecto</v>
      </c>
      <c r="AN655" s="633"/>
      <c r="AO655" s="633"/>
      <c r="AP655" s="634" t="str">
        <f>IFERROR(VLOOKUP(J655,Listas!$A$182:$E$215,5,FALSE),"Alerta: Seleccione la celda en la comumna B con el nombre del proyecto")</f>
        <v>Alerta: Seleccione la celda en la comumna B con el nombre del proyecto</v>
      </c>
      <c r="AQ655" s="634" t="str">
        <f>IF(J655="Funcionamiento Gastos Generales","No aplica",IF(J655="Funcionamiento Servicios Personales","No aplica",IFERROR(VLOOKUP(J655,Listas!$A$220:$D$224,4,FALSE),"Alerta: Seleccione la celda en la comumna B con el nombre del proyecto")))</f>
        <v>Alerta: Seleccione la celda en la comumna B con el nombre del proyecto</v>
      </c>
      <c r="AR655" s="633"/>
      <c r="AS655" s="634" t="str">
        <f>IFERROR(VLOOKUP(AU655,Listas!$E$85:$L$105,7,FALSE),"Alerta: Seleccione la celda en la comumna AI con el concepto de gasto")</f>
        <v>Alerta: Seleccione la celda en la comumna AI con el concepto de gasto</v>
      </c>
      <c r="AT655" s="634" t="str">
        <f>IFERROR(VLOOKUP(AU655,Listas!$E$85:$L$105,8,FALSE),"Alerta: Seleccione la celda en la comumna AI con el concepto de gasto")</f>
        <v>Alerta: Seleccione la celda en la comumna AI con el concepto de gasto</v>
      </c>
      <c r="AU655" s="633"/>
      <c r="AV655" s="634" t="str">
        <f>IFERROR(VLOOKUP(AU655,Listas!$E$85:$F$105,2,FALSE),"Alerta: Seleccione el Concepto de Gasto primero")</f>
        <v>Alerta: Seleccione el Concepto de Gasto primero</v>
      </c>
      <c r="AW655" s="644"/>
      <c r="AX655" s="645"/>
      <c r="AY655" s="645"/>
      <c r="AZ655" s="645"/>
      <c r="BA655" s="646">
        <f t="shared" si="199"/>
        <v>0</v>
      </c>
      <c r="BB655" s="647"/>
      <c r="BC655" s="648"/>
      <c r="BD655" s="649"/>
      <c r="BE655" s="647"/>
      <c r="BF655" s="644"/>
      <c r="BG655" s="646">
        <f t="shared" si="200"/>
        <v>0</v>
      </c>
      <c r="BH655" s="650"/>
      <c r="BI655" s="647"/>
      <c r="BJ655" s="644"/>
      <c r="BK655" s="646">
        <f t="shared" si="201"/>
        <v>0</v>
      </c>
      <c r="BL655" s="651"/>
      <c r="BM655" s="652">
        <f t="shared" si="202"/>
        <v>1</v>
      </c>
      <c r="BN655" s="628"/>
      <c r="BO655" s="670"/>
      <c r="BP655" s="644"/>
      <c r="BQ655" s="644"/>
      <c r="BR655" s="644"/>
      <c r="BS655" s="644"/>
      <c r="BT655" s="644"/>
      <c r="BU655" s="644"/>
      <c r="BV655" s="644"/>
      <c r="BW655" s="644"/>
      <c r="BX655" s="644"/>
      <c r="BY655" s="644"/>
      <c r="BZ655" s="644"/>
      <c r="CA655" s="644"/>
      <c r="CB655" s="646">
        <f t="shared" si="203"/>
        <v>0</v>
      </c>
      <c r="CC655" s="646">
        <f t="shared" si="204"/>
        <v>0</v>
      </c>
      <c r="CD655" s="614"/>
    </row>
    <row r="656" spans="1:85" s="561" customFormat="1" ht="61.5" customHeight="1">
      <c r="A656" s="625" t="str">
        <f t="shared" si="186"/>
        <v>proyecto-Alerta: Seleccione la celda en la comumna B con el nombre del proyecto-Al-Al--</v>
      </c>
      <c r="B656" s="626" t="str">
        <f t="shared" si="187"/>
        <v>proyecto-Alerta: Seleccione la celda en la comumna B con el nombre del proyecto-Al-Al-</v>
      </c>
      <c r="C656" s="626" t="str">
        <f t="shared" si="188"/>
        <v>proyecto-Alerta: Seleccione la celda en la comumna B con el nombre del proyecto-</v>
      </c>
      <c r="D656" s="626" t="str">
        <f t="shared" si="189"/>
        <v>proyecto--Al-Al-</v>
      </c>
      <c r="E656" s="626" t="str">
        <f t="shared" si="190"/>
        <v>--</v>
      </c>
      <c r="F656" s="627"/>
      <c r="G656" s="628">
        <f t="shared" si="191"/>
        <v>0</v>
      </c>
      <c r="H656" s="629" t="b">
        <f t="shared" si="192"/>
        <v>1</v>
      </c>
      <c r="I656" s="630"/>
      <c r="J656" s="627"/>
      <c r="K656" s="631" t="str">
        <f>+IFERROR(VLOOKUP(J656,Listas!$A$108:$B$114,2,FALSE),"Alerta: Seleccione la celda en la comumna B con el nombre del proyecto")</f>
        <v>Alerta: Seleccione la celda en la comumna B con el nombre del proyecto</v>
      </c>
      <c r="L656" s="632"/>
      <c r="M656" s="633"/>
      <c r="N656" s="634" t="str">
        <f t="shared" si="193"/>
        <v xml:space="preserve">(Cód. ) </v>
      </c>
      <c r="O656" s="635"/>
      <c r="P656" s="636">
        <f>IFERROR(VLOOKUP(W656,'Estimación CRP'!$D$21:$E$30,2,FALSE),0)</f>
        <v>0</v>
      </c>
      <c r="Q656" s="637">
        <f>IF(O656="No aplica","No aplica",WORKDAY.INTL(O656,P656,1,'Estimación CRP'!A842:A858))</f>
        <v>0</v>
      </c>
      <c r="R656" s="636">
        <f t="shared" si="194"/>
        <v>1</v>
      </c>
      <c r="S656" s="636">
        <f t="shared" si="195"/>
        <v>1</v>
      </c>
      <c r="T656" s="636">
        <f t="shared" si="196"/>
        <v>1</v>
      </c>
      <c r="U656" s="638"/>
      <c r="V656" s="638"/>
      <c r="W656" s="639"/>
      <c r="X656" s="640" t="str">
        <f>IFERROR(VLOOKUP(W656,Listas!$A$60:$B$73,2,FALSE),"Alerta: Seleccione primero Modalidad de selección")</f>
        <v>Alerta: Seleccione primero Modalidad de selección</v>
      </c>
      <c r="Y656" s="641">
        <v>0</v>
      </c>
      <c r="Z656" s="641"/>
      <c r="AA656" s="641"/>
      <c r="AB656" s="642">
        <f t="shared" si="197"/>
        <v>0</v>
      </c>
      <c r="AC656" s="642">
        <f t="shared" si="198"/>
        <v>0</v>
      </c>
      <c r="AD656" s="641">
        <v>0</v>
      </c>
      <c r="AE656" s="643">
        <v>0</v>
      </c>
      <c r="AF656" s="639" t="s">
        <v>276</v>
      </c>
      <c r="AG656" s="639" t="s">
        <v>277</v>
      </c>
      <c r="AH656" s="639"/>
      <c r="AI656" s="626" t="str">
        <f>IFERROR(VLOOKUP(AH656,Listas!$A$77:$C$83,2,FALSE),"Alerta: Seleccione primero el responsable")</f>
        <v>Alerta: Seleccione primero el responsable</v>
      </c>
      <c r="AJ656" s="640" t="str">
        <f>IFERROR(VLOOKUP(AH656,Listas!$A$77:$C$83,3,FALSE),"Alerta: Seleccione primero el responsable")</f>
        <v>Alerta: Seleccione primero el responsable</v>
      </c>
      <c r="AK656" s="640" t="str">
        <f>IF(J656="Funcionamiento Gastos Generales","No aplica",IF(J656="Funcionamiento Servicios Personales indirectos","No aplica",IFERROR(VLOOKUP(J656,Listas!$A$127:$E$139,3,FALSE),"Alerta: Seleccione la celda en la comumna B con el nombre del proyecto")))</f>
        <v>Alerta: Seleccione la celda en la comumna B con el nombre del proyecto</v>
      </c>
      <c r="AL656" s="640" t="str">
        <f>IF(J656="Funcionamiento Gastos Generales","No aplica",IF(J656="Funcionamiento Servicios Personales","No aplica",IFERROR(VLOOKUP(J656,Listas!$A$220:$D$224,2,FALSE),"Alerta: Seleccione la celda en la comumna B con el nombre del proyecto")))</f>
        <v>Alerta: Seleccione la celda en la comumna B con el nombre del proyecto</v>
      </c>
      <c r="AM656" s="640" t="str">
        <f>IF(J656="Funcionamiento Gastos Generales","No aplica",IF(J656="Funcionamiento Servicios Personales","No aplica",IFERROR(VLOOKUP(J656,Listas!$A$220:$D$224,3,FALSE),"Alerta: Seleccione la celda en la comumna B con el nombre del proyecto")))</f>
        <v>Alerta: Seleccione la celda en la comumna B con el nombre del proyecto</v>
      </c>
      <c r="AN656" s="633"/>
      <c r="AO656" s="633"/>
      <c r="AP656" s="634" t="str">
        <f>IFERROR(VLOOKUP(J656,Listas!$A$182:$E$215,5,FALSE),"Alerta: Seleccione la celda en la comumna B con el nombre del proyecto")</f>
        <v>Alerta: Seleccione la celda en la comumna B con el nombre del proyecto</v>
      </c>
      <c r="AQ656" s="634" t="str">
        <f>IF(J656="Funcionamiento Gastos Generales","No aplica",IF(J656="Funcionamiento Servicios Personales","No aplica",IFERROR(VLOOKUP(J656,Listas!$A$220:$D$224,4,FALSE),"Alerta: Seleccione la celda en la comumna B con el nombre del proyecto")))</f>
        <v>Alerta: Seleccione la celda en la comumna B con el nombre del proyecto</v>
      </c>
      <c r="AR656" s="633"/>
      <c r="AS656" s="634" t="str">
        <f>IFERROR(VLOOKUP(AU656,Listas!$E$85:$L$105,7,FALSE),"Alerta: Seleccione la celda en la comumna AI con el concepto de gasto")</f>
        <v>Alerta: Seleccione la celda en la comumna AI con el concepto de gasto</v>
      </c>
      <c r="AT656" s="634" t="str">
        <f>IFERROR(VLOOKUP(AU656,Listas!$E$85:$L$105,8,FALSE),"Alerta: Seleccione la celda en la comumna AI con el concepto de gasto")</f>
        <v>Alerta: Seleccione la celda en la comumna AI con el concepto de gasto</v>
      </c>
      <c r="AU656" s="633"/>
      <c r="AV656" s="634" t="str">
        <f>IFERROR(VLOOKUP(AU656,Listas!$E$85:$F$105,2,FALSE),"Alerta: Seleccione el Concepto de Gasto primero")</f>
        <v>Alerta: Seleccione el Concepto de Gasto primero</v>
      </c>
      <c r="AW656" s="644"/>
      <c r="AX656" s="645"/>
      <c r="AY656" s="645"/>
      <c r="AZ656" s="645"/>
      <c r="BA656" s="646">
        <f t="shared" si="199"/>
        <v>0</v>
      </c>
      <c r="BB656" s="647"/>
      <c r="BC656" s="648"/>
      <c r="BD656" s="649"/>
      <c r="BE656" s="647"/>
      <c r="BF656" s="644"/>
      <c r="BG656" s="646">
        <f t="shared" si="200"/>
        <v>0</v>
      </c>
      <c r="BH656" s="650"/>
      <c r="BI656" s="647"/>
      <c r="BJ656" s="644"/>
      <c r="BK656" s="646">
        <f t="shared" si="201"/>
        <v>0</v>
      </c>
      <c r="BL656" s="651"/>
      <c r="BM656" s="652">
        <f t="shared" si="202"/>
        <v>1</v>
      </c>
      <c r="BN656" s="628"/>
      <c r="BO656" s="670"/>
      <c r="BP656" s="644"/>
      <c r="BQ656" s="644"/>
      <c r="BR656" s="644"/>
      <c r="BS656" s="644"/>
      <c r="BT656" s="644"/>
      <c r="BU656" s="644"/>
      <c r="BV656" s="644"/>
      <c r="BW656" s="644"/>
      <c r="BX656" s="644"/>
      <c r="BY656" s="644"/>
      <c r="BZ656" s="644"/>
      <c r="CA656" s="644"/>
      <c r="CB656" s="646">
        <f t="shared" si="203"/>
        <v>0</v>
      </c>
      <c r="CC656" s="646">
        <f t="shared" si="204"/>
        <v>0</v>
      </c>
      <c r="CD656" s="614"/>
    </row>
    <row r="657" spans="1:85" s="561" customFormat="1" ht="61.5" customHeight="1">
      <c r="A657" s="625" t="str">
        <f t="shared" si="186"/>
        <v>proyecto-Alerta: Seleccione la celda en la comumna B con el nombre del proyecto-Al-Al--</v>
      </c>
      <c r="B657" s="626" t="str">
        <f t="shared" si="187"/>
        <v>proyecto-Alerta: Seleccione la celda en la comumna B con el nombre del proyecto-Al-Al-</v>
      </c>
      <c r="C657" s="626" t="str">
        <f t="shared" si="188"/>
        <v>proyecto-Alerta: Seleccione la celda en la comumna B con el nombre del proyecto-</v>
      </c>
      <c r="D657" s="626" t="str">
        <f t="shared" si="189"/>
        <v>proyecto--Al-Al-</v>
      </c>
      <c r="E657" s="626" t="str">
        <f t="shared" si="190"/>
        <v>--</v>
      </c>
      <c r="F657" s="627"/>
      <c r="G657" s="628">
        <f t="shared" si="191"/>
        <v>0</v>
      </c>
      <c r="H657" s="629" t="b">
        <f t="shared" si="192"/>
        <v>1</v>
      </c>
      <c r="I657" s="630"/>
      <c r="J657" s="627"/>
      <c r="K657" s="631" t="str">
        <f>+IFERROR(VLOOKUP(J657,Listas!$A$108:$B$114,2,FALSE),"Alerta: Seleccione la celda en la comumna B con el nombre del proyecto")</f>
        <v>Alerta: Seleccione la celda en la comumna B con el nombre del proyecto</v>
      </c>
      <c r="L657" s="632"/>
      <c r="M657" s="633"/>
      <c r="N657" s="634" t="str">
        <f t="shared" si="193"/>
        <v xml:space="preserve">(Cód. ) </v>
      </c>
      <c r="O657" s="635"/>
      <c r="P657" s="636">
        <f>IFERROR(VLOOKUP(W657,'Estimación CRP'!$D$21:$E$30,2,FALSE),0)</f>
        <v>0</v>
      </c>
      <c r="Q657" s="637">
        <f>IF(O657="No aplica","No aplica",WORKDAY.INTL(O657,P657,1,'Estimación CRP'!A843:A859))</f>
        <v>0</v>
      </c>
      <c r="R657" s="636">
        <f t="shared" si="194"/>
        <v>1</v>
      </c>
      <c r="S657" s="636">
        <f t="shared" si="195"/>
        <v>1</v>
      </c>
      <c r="T657" s="636">
        <f t="shared" si="196"/>
        <v>1</v>
      </c>
      <c r="U657" s="638"/>
      <c r="V657" s="638"/>
      <c r="W657" s="639"/>
      <c r="X657" s="640" t="str">
        <f>IFERROR(VLOOKUP(W657,Listas!$A$60:$B$73,2,FALSE),"Alerta: Seleccione primero Modalidad de selección")</f>
        <v>Alerta: Seleccione primero Modalidad de selección</v>
      </c>
      <c r="Y657" s="641">
        <v>0</v>
      </c>
      <c r="Z657" s="641"/>
      <c r="AA657" s="641"/>
      <c r="AB657" s="642">
        <f t="shared" si="197"/>
        <v>0</v>
      </c>
      <c r="AC657" s="642">
        <f t="shared" si="198"/>
        <v>0</v>
      </c>
      <c r="AD657" s="641">
        <v>0</v>
      </c>
      <c r="AE657" s="643">
        <v>0</v>
      </c>
      <c r="AF657" s="639" t="s">
        <v>276</v>
      </c>
      <c r="AG657" s="639" t="s">
        <v>277</v>
      </c>
      <c r="AH657" s="639"/>
      <c r="AI657" s="626" t="str">
        <f>IFERROR(VLOOKUP(AH657,Listas!$A$77:$C$83,2,FALSE),"Alerta: Seleccione primero el responsable")</f>
        <v>Alerta: Seleccione primero el responsable</v>
      </c>
      <c r="AJ657" s="640" t="str">
        <f>IFERROR(VLOOKUP(AH657,Listas!$A$77:$C$83,3,FALSE),"Alerta: Seleccione primero el responsable")</f>
        <v>Alerta: Seleccione primero el responsable</v>
      </c>
      <c r="AK657" s="640" t="str">
        <f>IF(J657="Funcionamiento Gastos Generales","No aplica",IF(J657="Funcionamiento Servicios Personales indirectos","No aplica",IFERROR(VLOOKUP(J657,Listas!$A$127:$E$139,3,FALSE),"Alerta: Seleccione la celda en la comumna B con el nombre del proyecto")))</f>
        <v>Alerta: Seleccione la celda en la comumna B con el nombre del proyecto</v>
      </c>
      <c r="AL657" s="640" t="str">
        <f>IF(J657="Funcionamiento Gastos Generales","No aplica",IF(J657="Funcionamiento Servicios Personales","No aplica",IFERROR(VLOOKUP(J657,Listas!$A$220:$D$224,2,FALSE),"Alerta: Seleccione la celda en la comumna B con el nombre del proyecto")))</f>
        <v>Alerta: Seleccione la celda en la comumna B con el nombre del proyecto</v>
      </c>
      <c r="AM657" s="640" t="str">
        <f>IF(J657="Funcionamiento Gastos Generales","No aplica",IF(J657="Funcionamiento Servicios Personales","No aplica",IFERROR(VLOOKUP(J657,Listas!$A$220:$D$224,3,FALSE),"Alerta: Seleccione la celda en la comumna B con el nombre del proyecto")))</f>
        <v>Alerta: Seleccione la celda en la comumna B con el nombre del proyecto</v>
      </c>
      <c r="AN657" s="633"/>
      <c r="AO657" s="633"/>
      <c r="AP657" s="634" t="str">
        <f>IFERROR(VLOOKUP(J657,Listas!$A$182:$E$215,5,FALSE),"Alerta: Seleccione la celda en la comumna B con el nombre del proyecto")</f>
        <v>Alerta: Seleccione la celda en la comumna B con el nombre del proyecto</v>
      </c>
      <c r="AQ657" s="634" t="str">
        <f>IF(J657="Funcionamiento Gastos Generales","No aplica",IF(J657="Funcionamiento Servicios Personales","No aplica",IFERROR(VLOOKUP(J657,Listas!$A$220:$D$224,4,FALSE),"Alerta: Seleccione la celda en la comumna B con el nombre del proyecto")))</f>
        <v>Alerta: Seleccione la celda en la comumna B con el nombre del proyecto</v>
      </c>
      <c r="AR657" s="633"/>
      <c r="AS657" s="634" t="str">
        <f>IFERROR(VLOOKUP(AU657,Listas!$E$85:$L$105,7,FALSE),"Alerta: Seleccione la celda en la comumna AI con el concepto de gasto")</f>
        <v>Alerta: Seleccione la celda en la comumna AI con el concepto de gasto</v>
      </c>
      <c r="AT657" s="634" t="str">
        <f>IFERROR(VLOOKUP(AU657,Listas!$E$85:$L$105,8,FALSE),"Alerta: Seleccione la celda en la comumna AI con el concepto de gasto")</f>
        <v>Alerta: Seleccione la celda en la comumna AI con el concepto de gasto</v>
      </c>
      <c r="AU657" s="633"/>
      <c r="AV657" s="634" t="str">
        <f>IFERROR(VLOOKUP(AU657,Listas!$E$85:$F$105,2,FALSE),"Alerta: Seleccione el Concepto de Gasto primero")</f>
        <v>Alerta: Seleccione el Concepto de Gasto primero</v>
      </c>
      <c r="AW657" s="644"/>
      <c r="AX657" s="645"/>
      <c r="AY657" s="645"/>
      <c r="AZ657" s="645"/>
      <c r="BA657" s="646">
        <f t="shared" si="199"/>
        <v>0</v>
      </c>
      <c r="BB657" s="647"/>
      <c r="BC657" s="648"/>
      <c r="BD657" s="649"/>
      <c r="BE657" s="647"/>
      <c r="BF657" s="644"/>
      <c r="BG657" s="646">
        <f t="shared" si="200"/>
        <v>0</v>
      </c>
      <c r="BH657" s="650"/>
      <c r="BI657" s="647"/>
      <c r="BJ657" s="644"/>
      <c r="BK657" s="646">
        <f t="shared" si="201"/>
        <v>0</v>
      </c>
      <c r="BL657" s="651"/>
      <c r="BM657" s="652">
        <f t="shared" si="202"/>
        <v>1</v>
      </c>
      <c r="BN657" s="628"/>
      <c r="BO657" s="670"/>
      <c r="BP657" s="644"/>
      <c r="BQ657" s="644"/>
      <c r="BR657" s="644"/>
      <c r="BS657" s="644"/>
      <c r="BT657" s="644"/>
      <c r="BU657" s="644"/>
      <c r="BV657" s="644"/>
      <c r="BW657" s="644"/>
      <c r="BX657" s="644"/>
      <c r="BY657" s="644"/>
      <c r="BZ657" s="644"/>
      <c r="CA657" s="644"/>
      <c r="CB657" s="646">
        <f t="shared" si="203"/>
        <v>0</v>
      </c>
      <c r="CC657" s="646">
        <f t="shared" si="204"/>
        <v>0</v>
      </c>
      <c r="CD657" s="614"/>
    </row>
    <row r="658" spans="1:85" s="561" customFormat="1" ht="61.5" customHeight="1">
      <c r="A658" s="625" t="str">
        <f t="shared" si="186"/>
        <v>proyecto-Alerta: Seleccione la celda en la comumna B con el nombre del proyecto-Al-Al--</v>
      </c>
      <c r="B658" s="626" t="str">
        <f t="shared" si="187"/>
        <v>proyecto-Alerta: Seleccione la celda en la comumna B con el nombre del proyecto-Al-Al-</v>
      </c>
      <c r="C658" s="626" t="str">
        <f t="shared" si="188"/>
        <v>proyecto-Alerta: Seleccione la celda en la comumna B con el nombre del proyecto-</v>
      </c>
      <c r="D658" s="626" t="str">
        <f t="shared" si="189"/>
        <v>proyecto--Al-Al-</v>
      </c>
      <c r="E658" s="626" t="str">
        <f t="shared" si="190"/>
        <v>--</v>
      </c>
      <c r="F658" s="627"/>
      <c r="G658" s="628">
        <f t="shared" si="191"/>
        <v>0</v>
      </c>
      <c r="H658" s="629" t="b">
        <f t="shared" si="192"/>
        <v>1</v>
      </c>
      <c r="I658" s="630"/>
      <c r="J658" s="627"/>
      <c r="K658" s="631" t="str">
        <f>+IFERROR(VLOOKUP(J658,Listas!$A$108:$B$114,2,FALSE),"Alerta: Seleccione la celda en la comumna B con el nombre del proyecto")</f>
        <v>Alerta: Seleccione la celda en la comumna B con el nombre del proyecto</v>
      </c>
      <c r="L658" s="632"/>
      <c r="M658" s="633"/>
      <c r="N658" s="634" t="str">
        <f t="shared" si="193"/>
        <v xml:space="preserve">(Cód. ) </v>
      </c>
      <c r="O658" s="635"/>
      <c r="P658" s="636">
        <f>IFERROR(VLOOKUP(W658,'Estimación CRP'!$D$21:$E$30,2,FALSE),0)</f>
        <v>0</v>
      </c>
      <c r="Q658" s="637">
        <f>IF(O658="No aplica","No aplica",WORKDAY.INTL(O658,P658,1,'Estimación CRP'!A844:A860))</f>
        <v>0</v>
      </c>
      <c r="R658" s="636">
        <f t="shared" si="194"/>
        <v>1</v>
      </c>
      <c r="S658" s="636">
        <f t="shared" si="195"/>
        <v>1</v>
      </c>
      <c r="T658" s="636">
        <f t="shared" si="196"/>
        <v>1</v>
      </c>
      <c r="U658" s="638"/>
      <c r="V658" s="638"/>
      <c r="W658" s="639"/>
      <c r="X658" s="640" t="str">
        <f>IFERROR(VLOOKUP(W658,Listas!$A$60:$B$73,2,FALSE),"Alerta: Seleccione primero Modalidad de selección")</f>
        <v>Alerta: Seleccione primero Modalidad de selección</v>
      </c>
      <c r="Y658" s="641">
        <v>0</v>
      </c>
      <c r="Z658" s="641"/>
      <c r="AA658" s="641"/>
      <c r="AB658" s="642">
        <f t="shared" si="197"/>
        <v>0</v>
      </c>
      <c r="AC658" s="642">
        <f t="shared" si="198"/>
        <v>0</v>
      </c>
      <c r="AD658" s="641">
        <v>0</v>
      </c>
      <c r="AE658" s="643">
        <v>0</v>
      </c>
      <c r="AF658" s="639" t="s">
        <v>276</v>
      </c>
      <c r="AG658" s="639" t="s">
        <v>277</v>
      </c>
      <c r="AH658" s="639"/>
      <c r="AI658" s="626" t="str">
        <f>IFERROR(VLOOKUP(AH658,Listas!$A$77:$C$83,2,FALSE),"Alerta: Seleccione primero el responsable")</f>
        <v>Alerta: Seleccione primero el responsable</v>
      </c>
      <c r="AJ658" s="640" t="str">
        <f>IFERROR(VLOOKUP(AH658,Listas!$A$77:$C$83,3,FALSE),"Alerta: Seleccione primero el responsable")</f>
        <v>Alerta: Seleccione primero el responsable</v>
      </c>
      <c r="AK658" s="640" t="str">
        <f>IF(J658="Funcionamiento Gastos Generales","No aplica",IF(J658="Funcionamiento Servicios Personales indirectos","No aplica",IFERROR(VLOOKUP(J658,Listas!$A$127:$E$139,3,FALSE),"Alerta: Seleccione la celda en la comumna B con el nombre del proyecto")))</f>
        <v>Alerta: Seleccione la celda en la comumna B con el nombre del proyecto</v>
      </c>
      <c r="AL658" s="640" t="str">
        <f>IF(J658="Funcionamiento Gastos Generales","No aplica",IF(J658="Funcionamiento Servicios Personales","No aplica",IFERROR(VLOOKUP(J658,Listas!$A$220:$D$224,2,FALSE),"Alerta: Seleccione la celda en la comumna B con el nombre del proyecto")))</f>
        <v>Alerta: Seleccione la celda en la comumna B con el nombre del proyecto</v>
      </c>
      <c r="AM658" s="640" t="str">
        <f>IF(J658="Funcionamiento Gastos Generales","No aplica",IF(J658="Funcionamiento Servicios Personales","No aplica",IFERROR(VLOOKUP(J658,Listas!$A$220:$D$224,3,FALSE),"Alerta: Seleccione la celda en la comumna B con el nombre del proyecto")))</f>
        <v>Alerta: Seleccione la celda en la comumna B con el nombre del proyecto</v>
      </c>
      <c r="AN658" s="633"/>
      <c r="AO658" s="633"/>
      <c r="AP658" s="634" t="str">
        <f>IFERROR(VLOOKUP(J658,Listas!$A$182:$E$215,5,FALSE),"Alerta: Seleccione la celda en la comumna B con el nombre del proyecto")</f>
        <v>Alerta: Seleccione la celda en la comumna B con el nombre del proyecto</v>
      </c>
      <c r="AQ658" s="634" t="str">
        <f>IF(J658="Funcionamiento Gastos Generales","No aplica",IF(J658="Funcionamiento Servicios Personales","No aplica",IFERROR(VLOOKUP(J658,Listas!$A$220:$D$224,4,FALSE),"Alerta: Seleccione la celda en la comumna B con el nombre del proyecto")))</f>
        <v>Alerta: Seleccione la celda en la comumna B con el nombre del proyecto</v>
      </c>
      <c r="AR658" s="633"/>
      <c r="AS658" s="634" t="str">
        <f>IFERROR(VLOOKUP(AU658,Listas!$E$85:$L$105,7,FALSE),"Alerta: Seleccione la celda en la comumna AI con el concepto de gasto")</f>
        <v>Alerta: Seleccione la celda en la comumna AI con el concepto de gasto</v>
      </c>
      <c r="AT658" s="634" t="str">
        <f>IFERROR(VLOOKUP(AU658,Listas!$E$85:$L$105,8,FALSE),"Alerta: Seleccione la celda en la comumna AI con el concepto de gasto")</f>
        <v>Alerta: Seleccione la celda en la comumna AI con el concepto de gasto</v>
      </c>
      <c r="AU658" s="633"/>
      <c r="AV658" s="634" t="str">
        <f>IFERROR(VLOOKUP(AU658,Listas!$E$85:$F$105,2,FALSE),"Alerta: Seleccione el Concepto de Gasto primero")</f>
        <v>Alerta: Seleccione el Concepto de Gasto primero</v>
      </c>
      <c r="AW658" s="644"/>
      <c r="AX658" s="645"/>
      <c r="AY658" s="645"/>
      <c r="AZ658" s="645"/>
      <c r="BA658" s="646">
        <f t="shared" si="199"/>
        <v>0</v>
      </c>
      <c r="BB658" s="647"/>
      <c r="BC658" s="648"/>
      <c r="BD658" s="649"/>
      <c r="BE658" s="647"/>
      <c r="BF658" s="644"/>
      <c r="BG658" s="646">
        <f t="shared" si="200"/>
        <v>0</v>
      </c>
      <c r="BH658" s="650"/>
      <c r="BI658" s="647"/>
      <c r="BJ658" s="644"/>
      <c r="BK658" s="646">
        <f t="shared" si="201"/>
        <v>0</v>
      </c>
      <c r="BL658" s="651"/>
      <c r="BM658" s="652">
        <f t="shared" si="202"/>
        <v>1</v>
      </c>
      <c r="BN658" s="628"/>
      <c r="BO658" s="670"/>
      <c r="BP658" s="644"/>
      <c r="BQ658" s="644"/>
      <c r="BR658" s="644"/>
      <c r="BS658" s="644"/>
      <c r="BT658" s="644"/>
      <c r="BU658" s="644"/>
      <c r="BV658" s="644"/>
      <c r="BW658" s="644"/>
      <c r="BX658" s="644"/>
      <c r="BY658" s="644"/>
      <c r="BZ658" s="644"/>
      <c r="CA658" s="644"/>
      <c r="CB658" s="646">
        <f t="shared" si="203"/>
        <v>0</v>
      </c>
      <c r="CC658" s="646">
        <f t="shared" si="204"/>
        <v>0</v>
      </c>
      <c r="CD658" s="614"/>
    </row>
    <row r="659" spans="1:85" s="561" customFormat="1" ht="61.5" customHeight="1">
      <c r="A659" s="625" t="str">
        <f t="shared" si="186"/>
        <v>proyecto-Alerta: Seleccione la celda en la comumna B con el nombre del proyecto-Al-Al--</v>
      </c>
      <c r="B659" s="626" t="str">
        <f t="shared" si="187"/>
        <v>proyecto-Alerta: Seleccione la celda en la comumna B con el nombre del proyecto-Al-Al-</v>
      </c>
      <c r="C659" s="626" t="str">
        <f t="shared" si="188"/>
        <v>proyecto-Alerta: Seleccione la celda en la comumna B con el nombre del proyecto-</v>
      </c>
      <c r="D659" s="626" t="str">
        <f t="shared" si="189"/>
        <v>proyecto--Al-Al-</v>
      </c>
      <c r="E659" s="626" t="str">
        <f t="shared" si="190"/>
        <v>--</v>
      </c>
      <c r="F659" s="627"/>
      <c r="G659" s="628">
        <f t="shared" si="191"/>
        <v>0</v>
      </c>
      <c r="H659" s="629" t="b">
        <f t="shared" si="192"/>
        <v>1</v>
      </c>
      <c r="I659" s="630"/>
      <c r="J659" s="627"/>
      <c r="K659" s="631" t="str">
        <f>+IFERROR(VLOOKUP(J659,Listas!$A$108:$B$114,2,FALSE),"Alerta: Seleccione la celda en la comumna B con el nombre del proyecto")</f>
        <v>Alerta: Seleccione la celda en la comumna B con el nombre del proyecto</v>
      </c>
      <c r="L659" s="632"/>
      <c r="M659" s="633"/>
      <c r="N659" s="634" t="str">
        <f t="shared" si="193"/>
        <v xml:space="preserve">(Cód. ) </v>
      </c>
      <c r="O659" s="635"/>
      <c r="P659" s="636">
        <f>IFERROR(VLOOKUP(W659,'Estimación CRP'!$D$21:$E$30,2,FALSE),0)</f>
        <v>0</v>
      </c>
      <c r="Q659" s="637">
        <f>IF(O659="No aplica","No aplica",WORKDAY.INTL(O659,P659,1,'Estimación CRP'!A845:A861))</f>
        <v>0</v>
      </c>
      <c r="R659" s="636">
        <f t="shared" si="194"/>
        <v>1</v>
      </c>
      <c r="S659" s="636">
        <f t="shared" si="195"/>
        <v>1</v>
      </c>
      <c r="T659" s="636">
        <f t="shared" si="196"/>
        <v>1</v>
      </c>
      <c r="U659" s="638"/>
      <c r="V659" s="638"/>
      <c r="W659" s="639"/>
      <c r="X659" s="640" t="str">
        <f>IFERROR(VLOOKUP(W659,Listas!$A$60:$B$73,2,FALSE),"Alerta: Seleccione primero Modalidad de selección")</f>
        <v>Alerta: Seleccione primero Modalidad de selección</v>
      </c>
      <c r="Y659" s="641">
        <v>0</v>
      </c>
      <c r="Z659" s="641"/>
      <c r="AA659" s="641"/>
      <c r="AB659" s="642">
        <f t="shared" si="197"/>
        <v>0</v>
      </c>
      <c r="AC659" s="642">
        <f t="shared" si="198"/>
        <v>0</v>
      </c>
      <c r="AD659" s="641">
        <v>0</v>
      </c>
      <c r="AE659" s="643">
        <v>0</v>
      </c>
      <c r="AF659" s="639" t="s">
        <v>276</v>
      </c>
      <c r="AG659" s="639" t="s">
        <v>277</v>
      </c>
      <c r="AH659" s="639"/>
      <c r="AI659" s="626" t="str">
        <f>IFERROR(VLOOKUP(AH659,Listas!$A$77:$C$83,2,FALSE),"Alerta: Seleccione primero el responsable")</f>
        <v>Alerta: Seleccione primero el responsable</v>
      </c>
      <c r="AJ659" s="640" t="str">
        <f>IFERROR(VLOOKUP(AH659,Listas!$A$77:$C$83,3,FALSE),"Alerta: Seleccione primero el responsable")</f>
        <v>Alerta: Seleccione primero el responsable</v>
      </c>
      <c r="AK659" s="640" t="str">
        <f>IF(J659="Funcionamiento Gastos Generales","No aplica",IF(J659="Funcionamiento Servicios Personales indirectos","No aplica",IFERROR(VLOOKUP(J659,Listas!$A$127:$E$139,3,FALSE),"Alerta: Seleccione la celda en la comumna B con el nombre del proyecto")))</f>
        <v>Alerta: Seleccione la celda en la comumna B con el nombre del proyecto</v>
      </c>
      <c r="AL659" s="640" t="str">
        <f>IF(J659="Funcionamiento Gastos Generales","No aplica",IF(J659="Funcionamiento Servicios Personales","No aplica",IFERROR(VLOOKUP(J659,Listas!$A$220:$D$224,2,FALSE),"Alerta: Seleccione la celda en la comumna B con el nombre del proyecto")))</f>
        <v>Alerta: Seleccione la celda en la comumna B con el nombre del proyecto</v>
      </c>
      <c r="AM659" s="640" t="str">
        <f>IF(J659="Funcionamiento Gastos Generales","No aplica",IF(J659="Funcionamiento Servicios Personales","No aplica",IFERROR(VLOOKUP(J659,Listas!$A$220:$D$224,3,FALSE),"Alerta: Seleccione la celda en la comumna B con el nombre del proyecto")))</f>
        <v>Alerta: Seleccione la celda en la comumna B con el nombre del proyecto</v>
      </c>
      <c r="AN659" s="633"/>
      <c r="AO659" s="633"/>
      <c r="AP659" s="634" t="str">
        <f>IFERROR(VLOOKUP(J659,Listas!$A$182:$E$215,5,FALSE),"Alerta: Seleccione la celda en la comumna B con el nombre del proyecto")</f>
        <v>Alerta: Seleccione la celda en la comumna B con el nombre del proyecto</v>
      </c>
      <c r="AQ659" s="634" t="str">
        <f>IF(J659="Funcionamiento Gastos Generales","No aplica",IF(J659="Funcionamiento Servicios Personales","No aplica",IFERROR(VLOOKUP(J659,Listas!$A$220:$D$224,4,FALSE),"Alerta: Seleccione la celda en la comumna B con el nombre del proyecto")))</f>
        <v>Alerta: Seleccione la celda en la comumna B con el nombre del proyecto</v>
      </c>
      <c r="AR659" s="633"/>
      <c r="AS659" s="634" t="str">
        <f>IFERROR(VLOOKUP(AU659,Listas!$E$85:$L$105,7,FALSE),"Alerta: Seleccione la celda en la comumna AI con el concepto de gasto")</f>
        <v>Alerta: Seleccione la celda en la comumna AI con el concepto de gasto</v>
      </c>
      <c r="AT659" s="634" t="str">
        <f>IFERROR(VLOOKUP(AU659,Listas!$E$85:$L$105,8,FALSE),"Alerta: Seleccione la celda en la comumna AI con el concepto de gasto")</f>
        <v>Alerta: Seleccione la celda en la comumna AI con el concepto de gasto</v>
      </c>
      <c r="AU659" s="633"/>
      <c r="AV659" s="634" t="str">
        <f>IFERROR(VLOOKUP(AU659,Listas!$E$85:$F$105,2,FALSE),"Alerta: Seleccione el Concepto de Gasto primero")</f>
        <v>Alerta: Seleccione el Concepto de Gasto primero</v>
      </c>
      <c r="AW659" s="644"/>
      <c r="AX659" s="645"/>
      <c r="AY659" s="645"/>
      <c r="AZ659" s="645"/>
      <c r="BA659" s="646">
        <f t="shared" si="199"/>
        <v>0</v>
      </c>
      <c r="BB659" s="647"/>
      <c r="BC659" s="648"/>
      <c r="BD659" s="649"/>
      <c r="BE659" s="647"/>
      <c r="BF659" s="644"/>
      <c r="BG659" s="646">
        <f t="shared" si="200"/>
        <v>0</v>
      </c>
      <c r="BH659" s="650"/>
      <c r="BI659" s="647"/>
      <c r="BJ659" s="644"/>
      <c r="BK659" s="646">
        <f t="shared" si="201"/>
        <v>0</v>
      </c>
      <c r="BL659" s="651"/>
      <c r="BM659" s="652">
        <f t="shared" si="202"/>
        <v>1</v>
      </c>
      <c r="BN659" s="628"/>
      <c r="BO659" s="670"/>
      <c r="BP659" s="644"/>
      <c r="BQ659" s="644"/>
      <c r="BR659" s="644"/>
      <c r="BS659" s="644"/>
      <c r="BT659" s="644"/>
      <c r="BU659" s="644"/>
      <c r="BV659" s="644"/>
      <c r="BW659" s="644"/>
      <c r="BX659" s="644"/>
      <c r="BY659" s="644"/>
      <c r="BZ659" s="644"/>
      <c r="CA659" s="644"/>
      <c r="CB659" s="646">
        <f t="shared" si="203"/>
        <v>0</v>
      </c>
      <c r="CC659" s="646">
        <f t="shared" si="204"/>
        <v>0</v>
      </c>
      <c r="CD659" s="614"/>
      <c r="CG659" s="561" t="s">
        <v>589</v>
      </c>
    </row>
    <row r="660" spans="1:85" s="561" customFormat="1" ht="61.5" customHeight="1">
      <c r="A660" s="625" t="str">
        <f t="shared" si="186"/>
        <v>proyecto-Alerta: Seleccione la celda en la comumna B con el nombre del proyecto-Al-Al--</v>
      </c>
      <c r="B660" s="626" t="str">
        <f t="shared" si="187"/>
        <v>proyecto-Alerta: Seleccione la celda en la comumna B con el nombre del proyecto-Al-Al-</v>
      </c>
      <c r="C660" s="626" t="str">
        <f t="shared" si="188"/>
        <v>proyecto-Alerta: Seleccione la celda en la comumna B con el nombre del proyecto-</v>
      </c>
      <c r="D660" s="626" t="str">
        <f t="shared" si="189"/>
        <v>proyecto--Al-Al-</v>
      </c>
      <c r="E660" s="626" t="str">
        <f t="shared" si="190"/>
        <v>--</v>
      </c>
      <c r="F660" s="627"/>
      <c r="G660" s="628">
        <f t="shared" si="191"/>
        <v>0</v>
      </c>
      <c r="H660" s="629" t="b">
        <f t="shared" si="192"/>
        <v>1</v>
      </c>
      <c r="I660" s="630"/>
      <c r="J660" s="627"/>
      <c r="K660" s="631" t="str">
        <f>+IFERROR(VLOOKUP(J660,Listas!$A$108:$B$114,2,FALSE),"Alerta: Seleccione la celda en la comumna B con el nombre del proyecto")</f>
        <v>Alerta: Seleccione la celda en la comumna B con el nombre del proyecto</v>
      </c>
      <c r="L660" s="632"/>
      <c r="M660" s="633"/>
      <c r="N660" s="634" t="str">
        <f t="shared" si="193"/>
        <v xml:space="preserve">(Cód. ) </v>
      </c>
      <c r="O660" s="635"/>
      <c r="P660" s="636">
        <f>IFERROR(VLOOKUP(W660,'Estimación CRP'!$D$21:$E$30,2,FALSE),0)</f>
        <v>0</v>
      </c>
      <c r="Q660" s="637">
        <f>IF(O660="No aplica","No aplica",WORKDAY.INTL(O660,P660,1,'Estimación CRP'!A846:A862))</f>
        <v>0</v>
      </c>
      <c r="R660" s="636">
        <f t="shared" si="194"/>
        <v>1</v>
      </c>
      <c r="S660" s="636">
        <f t="shared" si="195"/>
        <v>1</v>
      </c>
      <c r="T660" s="636">
        <f t="shared" si="196"/>
        <v>1</v>
      </c>
      <c r="U660" s="638"/>
      <c r="V660" s="638"/>
      <c r="W660" s="639"/>
      <c r="X660" s="640" t="str">
        <f>IFERROR(VLOOKUP(W660,Listas!$A$60:$B$73,2,FALSE),"Alerta: Seleccione primero Modalidad de selección")</f>
        <v>Alerta: Seleccione primero Modalidad de selección</v>
      </c>
      <c r="Y660" s="641">
        <v>0</v>
      </c>
      <c r="Z660" s="641"/>
      <c r="AA660" s="641"/>
      <c r="AB660" s="642">
        <f t="shared" si="197"/>
        <v>0</v>
      </c>
      <c r="AC660" s="642">
        <f t="shared" si="198"/>
        <v>0</v>
      </c>
      <c r="AD660" s="641">
        <v>0</v>
      </c>
      <c r="AE660" s="643">
        <v>0</v>
      </c>
      <c r="AF660" s="639" t="s">
        <v>276</v>
      </c>
      <c r="AG660" s="639" t="s">
        <v>277</v>
      </c>
      <c r="AH660" s="639"/>
      <c r="AI660" s="626" t="str">
        <f>IFERROR(VLOOKUP(AH660,Listas!$A$77:$C$83,2,FALSE),"Alerta: Seleccione primero el responsable")</f>
        <v>Alerta: Seleccione primero el responsable</v>
      </c>
      <c r="AJ660" s="640" t="str">
        <f>IFERROR(VLOOKUP(AH660,Listas!$A$77:$C$83,3,FALSE),"Alerta: Seleccione primero el responsable")</f>
        <v>Alerta: Seleccione primero el responsable</v>
      </c>
      <c r="AK660" s="640" t="str">
        <f>IF(J660="Funcionamiento Gastos Generales","No aplica",IF(J660="Funcionamiento Servicios Personales indirectos","No aplica",IFERROR(VLOOKUP(J660,Listas!$A$127:$E$139,3,FALSE),"Alerta: Seleccione la celda en la comumna B con el nombre del proyecto")))</f>
        <v>Alerta: Seleccione la celda en la comumna B con el nombre del proyecto</v>
      </c>
      <c r="AL660" s="640" t="str">
        <f>IF(J660="Funcionamiento Gastos Generales","No aplica",IF(J660="Funcionamiento Servicios Personales","No aplica",IFERROR(VLOOKUP(J660,Listas!$A$220:$D$224,2,FALSE),"Alerta: Seleccione la celda en la comumna B con el nombre del proyecto")))</f>
        <v>Alerta: Seleccione la celda en la comumna B con el nombre del proyecto</v>
      </c>
      <c r="AM660" s="640" t="str">
        <f>IF(J660="Funcionamiento Gastos Generales","No aplica",IF(J660="Funcionamiento Servicios Personales","No aplica",IFERROR(VLOOKUP(J660,Listas!$A$220:$D$224,3,FALSE),"Alerta: Seleccione la celda en la comumna B con el nombre del proyecto")))</f>
        <v>Alerta: Seleccione la celda en la comumna B con el nombre del proyecto</v>
      </c>
      <c r="AN660" s="633"/>
      <c r="AO660" s="633"/>
      <c r="AP660" s="634" t="str">
        <f>IFERROR(VLOOKUP(J660,Listas!$A$182:$E$215,5,FALSE),"Alerta: Seleccione la celda en la comumna B con el nombre del proyecto")</f>
        <v>Alerta: Seleccione la celda en la comumna B con el nombre del proyecto</v>
      </c>
      <c r="AQ660" s="634" t="str">
        <f>IF(J660="Funcionamiento Gastos Generales","No aplica",IF(J660="Funcionamiento Servicios Personales","No aplica",IFERROR(VLOOKUP(J660,Listas!$A$220:$D$224,4,FALSE),"Alerta: Seleccione la celda en la comumna B con el nombre del proyecto")))</f>
        <v>Alerta: Seleccione la celda en la comumna B con el nombre del proyecto</v>
      </c>
      <c r="AR660" s="633"/>
      <c r="AS660" s="634" t="str">
        <f>IFERROR(VLOOKUP(AU660,Listas!$E$85:$L$105,7,FALSE),"Alerta: Seleccione la celda en la comumna AI con el concepto de gasto")</f>
        <v>Alerta: Seleccione la celda en la comumna AI con el concepto de gasto</v>
      </c>
      <c r="AT660" s="634" t="str">
        <f>IFERROR(VLOOKUP(AU660,Listas!$E$85:$L$105,8,FALSE),"Alerta: Seleccione la celda en la comumna AI con el concepto de gasto")</f>
        <v>Alerta: Seleccione la celda en la comumna AI con el concepto de gasto</v>
      </c>
      <c r="AU660" s="633"/>
      <c r="AV660" s="634" t="str">
        <f>IFERROR(VLOOKUP(AU660,Listas!$E$85:$F$105,2,FALSE),"Alerta: Seleccione el Concepto de Gasto primero")</f>
        <v>Alerta: Seleccione el Concepto de Gasto primero</v>
      </c>
      <c r="AW660" s="644"/>
      <c r="AX660" s="645"/>
      <c r="AY660" s="645"/>
      <c r="AZ660" s="645"/>
      <c r="BA660" s="646">
        <f t="shared" si="199"/>
        <v>0</v>
      </c>
      <c r="BB660" s="647"/>
      <c r="BC660" s="648"/>
      <c r="BD660" s="649"/>
      <c r="BE660" s="647"/>
      <c r="BF660" s="644"/>
      <c r="BG660" s="646">
        <f t="shared" si="200"/>
        <v>0</v>
      </c>
      <c r="BH660" s="650"/>
      <c r="BI660" s="647"/>
      <c r="BJ660" s="644"/>
      <c r="BK660" s="646">
        <f t="shared" si="201"/>
        <v>0</v>
      </c>
      <c r="BL660" s="651"/>
      <c r="BM660" s="652">
        <f t="shared" si="202"/>
        <v>1</v>
      </c>
      <c r="BN660" s="628"/>
      <c r="BO660" s="670"/>
      <c r="BP660" s="644"/>
      <c r="BQ660" s="644"/>
      <c r="BR660" s="644"/>
      <c r="BS660" s="644"/>
      <c r="BT660" s="644"/>
      <c r="BU660" s="644"/>
      <c r="BV660" s="644"/>
      <c r="BW660" s="644"/>
      <c r="BX660" s="644"/>
      <c r="BY660" s="644"/>
      <c r="BZ660" s="644"/>
      <c r="CA660" s="644"/>
      <c r="CB660" s="646">
        <f t="shared" si="203"/>
        <v>0</v>
      </c>
      <c r="CC660" s="646">
        <f t="shared" si="204"/>
        <v>0</v>
      </c>
      <c r="CD660" s="614"/>
      <c r="CG660" s="561" t="s">
        <v>589</v>
      </c>
    </row>
    <row r="661" spans="1:85" s="561" customFormat="1" ht="61.5" customHeight="1">
      <c r="A661" s="625" t="str">
        <f t="shared" si="186"/>
        <v>proyecto-Alerta: Seleccione la celda en la comumna B con el nombre del proyecto-Al-Al--</v>
      </c>
      <c r="B661" s="626" t="str">
        <f t="shared" si="187"/>
        <v>proyecto-Alerta: Seleccione la celda en la comumna B con el nombre del proyecto-Al-Al-</v>
      </c>
      <c r="C661" s="626" t="str">
        <f t="shared" si="188"/>
        <v>proyecto-Alerta: Seleccione la celda en la comumna B con el nombre del proyecto-</v>
      </c>
      <c r="D661" s="626" t="str">
        <f t="shared" si="189"/>
        <v>proyecto--Al-Al-</v>
      </c>
      <c r="E661" s="626" t="str">
        <f t="shared" si="190"/>
        <v>--</v>
      </c>
      <c r="F661" s="627"/>
      <c r="G661" s="628">
        <f t="shared" si="191"/>
        <v>0</v>
      </c>
      <c r="H661" s="629" t="b">
        <f t="shared" si="192"/>
        <v>1</v>
      </c>
      <c r="I661" s="630"/>
      <c r="J661" s="627"/>
      <c r="K661" s="631" t="str">
        <f>+IFERROR(VLOOKUP(J661,Listas!$A$108:$B$114,2,FALSE),"Alerta: Seleccione la celda en la comumna B con el nombre del proyecto")</f>
        <v>Alerta: Seleccione la celda en la comumna B con el nombre del proyecto</v>
      </c>
      <c r="L661" s="632"/>
      <c r="M661" s="633"/>
      <c r="N661" s="634" t="str">
        <f t="shared" si="193"/>
        <v xml:space="preserve">(Cód. ) </v>
      </c>
      <c r="O661" s="635"/>
      <c r="P661" s="636">
        <f>IFERROR(VLOOKUP(W661,'Estimación CRP'!$D$21:$E$30,2,FALSE),0)</f>
        <v>0</v>
      </c>
      <c r="Q661" s="637">
        <f>IF(O661="No aplica","No aplica",WORKDAY.INTL(O661,P661,1,'Estimación CRP'!A847:A863))</f>
        <v>0</v>
      </c>
      <c r="R661" s="636">
        <f t="shared" si="194"/>
        <v>1</v>
      </c>
      <c r="S661" s="636">
        <f t="shared" si="195"/>
        <v>1</v>
      </c>
      <c r="T661" s="636">
        <f t="shared" si="196"/>
        <v>1</v>
      </c>
      <c r="U661" s="638"/>
      <c r="V661" s="638"/>
      <c r="W661" s="639"/>
      <c r="X661" s="640" t="str">
        <f>IFERROR(VLOOKUP(W661,Listas!$A$60:$B$73,2,FALSE),"Alerta: Seleccione primero Modalidad de selección")</f>
        <v>Alerta: Seleccione primero Modalidad de selección</v>
      </c>
      <c r="Y661" s="641">
        <v>0</v>
      </c>
      <c r="Z661" s="641"/>
      <c r="AA661" s="641"/>
      <c r="AB661" s="642">
        <f t="shared" si="197"/>
        <v>0</v>
      </c>
      <c r="AC661" s="642">
        <f t="shared" si="198"/>
        <v>0</v>
      </c>
      <c r="AD661" s="641">
        <v>0</v>
      </c>
      <c r="AE661" s="643">
        <v>0</v>
      </c>
      <c r="AF661" s="639" t="s">
        <v>276</v>
      </c>
      <c r="AG661" s="639" t="s">
        <v>277</v>
      </c>
      <c r="AH661" s="639"/>
      <c r="AI661" s="626" t="str">
        <f>IFERROR(VLOOKUP(AH661,Listas!$A$77:$C$83,2,FALSE),"Alerta: Seleccione primero el responsable")</f>
        <v>Alerta: Seleccione primero el responsable</v>
      </c>
      <c r="AJ661" s="640" t="str">
        <f>IFERROR(VLOOKUP(AH661,Listas!$A$77:$C$83,3,FALSE),"Alerta: Seleccione primero el responsable")</f>
        <v>Alerta: Seleccione primero el responsable</v>
      </c>
      <c r="AK661" s="640" t="str">
        <f>IF(J661="Funcionamiento Gastos Generales","No aplica",IF(J661="Funcionamiento Servicios Personales indirectos","No aplica",IFERROR(VLOOKUP(J661,Listas!$A$127:$E$139,3,FALSE),"Alerta: Seleccione la celda en la comumna B con el nombre del proyecto")))</f>
        <v>Alerta: Seleccione la celda en la comumna B con el nombre del proyecto</v>
      </c>
      <c r="AL661" s="640" t="str">
        <f>IF(J661="Funcionamiento Gastos Generales","No aplica",IF(J661="Funcionamiento Servicios Personales","No aplica",IFERROR(VLOOKUP(J661,Listas!$A$220:$D$224,2,FALSE),"Alerta: Seleccione la celda en la comumna B con el nombre del proyecto")))</f>
        <v>Alerta: Seleccione la celda en la comumna B con el nombre del proyecto</v>
      </c>
      <c r="AM661" s="640" t="str">
        <f>IF(J661="Funcionamiento Gastos Generales","No aplica",IF(J661="Funcionamiento Servicios Personales","No aplica",IFERROR(VLOOKUP(J661,Listas!$A$220:$D$224,3,FALSE),"Alerta: Seleccione la celda en la comumna B con el nombre del proyecto")))</f>
        <v>Alerta: Seleccione la celda en la comumna B con el nombre del proyecto</v>
      </c>
      <c r="AN661" s="633"/>
      <c r="AO661" s="633"/>
      <c r="AP661" s="634" t="str">
        <f>IFERROR(VLOOKUP(J661,Listas!$A$182:$E$215,5,FALSE),"Alerta: Seleccione la celda en la comumna B con el nombre del proyecto")</f>
        <v>Alerta: Seleccione la celda en la comumna B con el nombre del proyecto</v>
      </c>
      <c r="AQ661" s="634" t="str">
        <f>IF(J661="Funcionamiento Gastos Generales","No aplica",IF(J661="Funcionamiento Servicios Personales","No aplica",IFERROR(VLOOKUP(J661,Listas!$A$220:$D$224,4,FALSE),"Alerta: Seleccione la celda en la comumna B con el nombre del proyecto")))</f>
        <v>Alerta: Seleccione la celda en la comumna B con el nombre del proyecto</v>
      </c>
      <c r="AR661" s="633"/>
      <c r="AS661" s="634" t="str">
        <f>IFERROR(VLOOKUP(AU661,Listas!$E$85:$L$105,7,FALSE),"Alerta: Seleccione la celda en la comumna AI con el concepto de gasto")</f>
        <v>Alerta: Seleccione la celda en la comumna AI con el concepto de gasto</v>
      </c>
      <c r="AT661" s="634" t="str">
        <f>IFERROR(VLOOKUP(AU661,Listas!$E$85:$L$105,8,FALSE),"Alerta: Seleccione la celda en la comumna AI con el concepto de gasto")</f>
        <v>Alerta: Seleccione la celda en la comumna AI con el concepto de gasto</v>
      </c>
      <c r="AU661" s="633"/>
      <c r="AV661" s="634" t="str">
        <f>IFERROR(VLOOKUP(AU661,Listas!$E$85:$F$105,2,FALSE),"Alerta: Seleccione el Concepto de Gasto primero")</f>
        <v>Alerta: Seleccione el Concepto de Gasto primero</v>
      </c>
      <c r="AW661" s="644"/>
      <c r="AX661" s="645"/>
      <c r="AY661" s="645"/>
      <c r="AZ661" s="645"/>
      <c r="BA661" s="646">
        <f t="shared" si="199"/>
        <v>0</v>
      </c>
      <c r="BB661" s="647"/>
      <c r="BC661" s="648"/>
      <c r="BD661" s="649"/>
      <c r="BE661" s="647"/>
      <c r="BF661" s="644"/>
      <c r="BG661" s="646">
        <f t="shared" si="200"/>
        <v>0</v>
      </c>
      <c r="BH661" s="650"/>
      <c r="BI661" s="647"/>
      <c r="BJ661" s="644"/>
      <c r="BK661" s="646">
        <f t="shared" si="201"/>
        <v>0</v>
      </c>
      <c r="BL661" s="651"/>
      <c r="BM661" s="652">
        <f t="shared" si="202"/>
        <v>1</v>
      </c>
      <c r="BN661" s="628"/>
      <c r="BO661" s="670"/>
      <c r="BP661" s="644"/>
      <c r="BQ661" s="644"/>
      <c r="BR661" s="644"/>
      <c r="BS661" s="644"/>
      <c r="BT661" s="644"/>
      <c r="BU661" s="644"/>
      <c r="BV661" s="644"/>
      <c r="BW661" s="644"/>
      <c r="BX661" s="644"/>
      <c r="BY661" s="644"/>
      <c r="BZ661" s="644"/>
      <c r="CA661" s="644"/>
      <c r="CB661" s="646">
        <f t="shared" si="203"/>
        <v>0</v>
      </c>
      <c r="CC661" s="646">
        <f t="shared" si="204"/>
        <v>0</v>
      </c>
      <c r="CD661" s="614"/>
    </row>
    <row r="662" spans="1:85" s="561" customFormat="1" ht="61.5" customHeight="1">
      <c r="A662" s="625" t="str">
        <f t="shared" si="186"/>
        <v>proyecto-Alerta: Seleccione la celda en la comumna B con el nombre del proyecto-Al-Al--</v>
      </c>
      <c r="B662" s="626" t="str">
        <f t="shared" si="187"/>
        <v>proyecto-Alerta: Seleccione la celda en la comumna B con el nombre del proyecto-Al-Al-</v>
      </c>
      <c r="C662" s="626" t="str">
        <f t="shared" si="188"/>
        <v>proyecto-Alerta: Seleccione la celda en la comumna B con el nombre del proyecto-</v>
      </c>
      <c r="D662" s="626" t="str">
        <f t="shared" si="189"/>
        <v>proyecto--Al-Al-</v>
      </c>
      <c r="E662" s="626" t="str">
        <f t="shared" si="190"/>
        <v>--</v>
      </c>
      <c r="F662" s="627"/>
      <c r="G662" s="628">
        <f t="shared" si="191"/>
        <v>0</v>
      </c>
      <c r="H662" s="629" t="b">
        <f t="shared" si="192"/>
        <v>1</v>
      </c>
      <c r="I662" s="630"/>
      <c r="J662" s="627"/>
      <c r="K662" s="631" t="str">
        <f>+IFERROR(VLOOKUP(J662,Listas!$A$108:$B$114,2,FALSE),"Alerta: Seleccione la celda en la comumna B con el nombre del proyecto")</f>
        <v>Alerta: Seleccione la celda en la comumna B con el nombre del proyecto</v>
      </c>
      <c r="L662" s="632"/>
      <c r="M662" s="633"/>
      <c r="N662" s="634" t="str">
        <f t="shared" si="193"/>
        <v xml:space="preserve">(Cód. ) </v>
      </c>
      <c r="O662" s="635"/>
      <c r="P662" s="636">
        <f>IFERROR(VLOOKUP(W662,'Estimación CRP'!$D$21:$E$30,2,FALSE),0)</f>
        <v>0</v>
      </c>
      <c r="Q662" s="637">
        <f>IF(O662="No aplica","No aplica",WORKDAY.INTL(O662,P662,1,'Estimación CRP'!A848:A864))</f>
        <v>0</v>
      </c>
      <c r="R662" s="636">
        <f t="shared" si="194"/>
        <v>1</v>
      </c>
      <c r="S662" s="636">
        <f t="shared" si="195"/>
        <v>1</v>
      </c>
      <c r="T662" s="636">
        <f t="shared" si="196"/>
        <v>1</v>
      </c>
      <c r="U662" s="638"/>
      <c r="V662" s="638"/>
      <c r="W662" s="639"/>
      <c r="X662" s="640" t="str">
        <f>IFERROR(VLOOKUP(W662,Listas!$A$60:$B$73,2,FALSE),"Alerta: Seleccione primero Modalidad de selección")</f>
        <v>Alerta: Seleccione primero Modalidad de selección</v>
      </c>
      <c r="Y662" s="641">
        <v>0</v>
      </c>
      <c r="Z662" s="641"/>
      <c r="AA662" s="641"/>
      <c r="AB662" s="642">
        <f t="shared" si="197"/>
        <v>0</v>
      </c>
      <c r="AC662" s="642">
        <f t="shared" si="198"/>
        <v>0</v>
      </c>
      <c r="AD662" s="641">
        <v>0</v>
      </c>
      <c r="AE662" s="643">
        <v>0</v>
      </c>
      <c r="AF662" s="639" t="s">
        <v>276</v>
      </c>
      <c r="AG662" s="639" t="s">
        <v>277</v>
      </c>
      <c r="AH662" s="639"/>
      <c r="AI662" s="626" t="str">
        <f>IFERROR(VLOOKUP(AH662,Listas!$A$77:$C$83,2,FALSE),"Alerta: Seleccione primero el responsable")</f>
        <v>Alerta: Seleccione primero el responsable</v>
      </c>
      <c r="AJ662" s="640" t="str">
        <f>IFERROR(VLOOKUP(AH662,Listas!$A$77:$C$83,3,FALSE),"Alerta: Seleccione primero el responsable")</f>
        <v>Alerta: Seleccione primero el responsable</v>
      </c>
      <c r="AK662" s="640" t="str">
        <f>IF(J662="Funcionamiento Gastos Generales","No aplica",IF(J662="Funcionamiento Servicios Personales indirectos","No aplica",IFERROR(VLOOKUP(J662,Listas!$A$127:$E$139,3,FALSE),"Alerta: Seleccione la celda en la comumna B con el nombre del proyecto")))</f>
        <v>Alerta: Seleccione la celda en la comumna B con el nombre del proyecto</v>
      </c>
      <c r="AL662" s="640" t="str">
        <f>IF(J662="Funcionamiento Gastos Generales","No aplica",IF(J662="Funcionamiento Servicios Personales","No aplica",IFERROR(VLOOKUP(J662,Listas!$A$220:$D$224,2,FALSE),"Alerta: Seleccione la celda en la comumna B con el nombre del proyecto")))</f>
        <v>Alerta: Seleccione la celda en la comumna B con el nombre del proyecto</v>
      </c>
      <c r="AM662" s="640" t="str">
        <f>IF(J662="Funcionamiento Gastos Generales","No aplica",IF(J662="Funcionamiento Servicios Personales","No aplica",IFERROR(VLOOKUP(J662,Listas!$A$220:$D$224,3,FALSE),"Alerta: Seleccione la celda en la comumna B con el nombre del proyecto")))</f>
        <v>Alerta: Seleccione la celda en la comumna B con el nombre del proyecto</v>
      </c>
      <c r="AN662" s="633"/>
      <c r="AO662" s="633"/>
      <c r="AP662" s="634" t="str">
        <f>IFERROR(VLOOKUP(J662,Listas!$A$182:$E$215,5,FALSE),"Alerta: Seleccione la celda en la comumna B con el nombre del proyecto")</f>
        <v>Alerta: Seleccione la celda en la comumna B con el nombre del proyecto</v>
      </c>
      <c r="AQ662" s="634" t="str">
        <f>IF(J662="Funcionamiento Gastos Generales","No aplica",IF(J662="Funcionamiento Servicios Personales","No aplica",IFERROR(VLOOKUP(J662,Listas!$A$220:$D$224,4,FALSE),"Alerta: Seleccione la celda en la comumna B con el nombre del proyecto")))</f>
        <v>Alerta: Seleccione la celda en la comumna B con el nombre del proyecto</v>
      </c>
      <c r="AR662" s="633"/>
      <c r="AS662" s="634" t="str">
        <f>IFERROR(VLOOKUP(AU662,Listas!$E$85:$L$105,7,FALSE),"Alerta: Seleccione la celda en la comumna AI con el concepto de gasto")</f>
        <v>Alerta: Seleccione la celda en la comumna AI con el concepto de gasto</v>
      </c>
      <c r="AT662" s="634" t="str">
        <f>IFERROR(VLOOKUP(AU662,Listas!$E$85:$L$105,8,FALSE),"Alerta: Seleccione la celda en la comumna AI con el concepto de gasto")</f>
        <v>Alerta: Seleccione la celda en la comumna AI con el concepto de gasto</v>
      </c>
      <c r="AU662" s="633"/>
      <c r="AV662" s="634" t="str">
        <f>IFERROR(VLOOKUP(AU662,Listas!$E$85:$F$105,2,FALSE),"Alerta: Seleccione el Concepto de Gasto primero")</f>
        <v>Alerta: Seleccione el Concepto de Gasto primero</v>
      </c>
      <c r="AW662" s="644"/>
      <c r="AX662" s="645"/>
      <c r="AY662" s="645"/>
      <c r="AZ662" s="645"/>
      <c r="BA662" s="646">
        <f t="shared" si="199"/>
        <v>0</v>
      </c>
      <c r="BB662" s="647"/>
      <c r="BC662" s="648"/>
      <c r="BD662" s="649"/>
      <c r="BE662" s="647"/>
      <c r="BF662" s="644"/>
      <c r="BG662" s="646">
        <f t="shared" si="200"/>
        <v>0</v>
      </c>
      <c r="BH662" s="650"/>
      <c r="BI662" s="647"/>
      <c r="BJ662" s="644"/>
      <c r="BK662" s="646">
        <f t="shared" si="201"/>
        <v>0</v>
      </c>
      <c r="BL662" s="651"/>
      <c r="BM662" s="652">
        <f t="shared" si="202"/>
        <v>1</v>
      </c>
      <c r="BN662" s="628"/>
      <c r="BO662" s="670"/>
      <c r="BP662" s="644"/>
      <c r="BQ662" s="644"/>
      <c r="BR662" s="644"/>
      <c r="BS662" s="644"/>
      <c r="BT662" s="644"/>
      <c r="BU662" s="644"/>
      <c r="BV662" s="644"/>
      <c r="BW662" s="644"/>
      <c r="BX662" s="644"/>
      <c r="BY662" s="644"/>
      <c r="BZ662" s="644"/>
      <c r="CA662" s="644"/>
      <c r="CB662" s="646">
        <f t="shared" si="203"/>
        <v>0</v>
      </c>
      <c r="CC662" s="646">
        <f t="shared" si="204"/>
        <v>0</v>
      </c>
      <c r="CD662" s="614"/>
    </row>
    <row r="663" spans="1:85" s="561" customFormat="1" ht="61.5" customHeight="1">
      <c r="A663" s="625" t="str">
        <f t="shared" si="186"/>
        <v>proyecto-Alerta: Seleccione la celda en la comumna B con el nombre del proyecto-Al-Al--</v>
      </c>
      <c r="B663" s="626" t="str">
        <f t="shared" si="187"/>
        <v>proyecto-Alerta: Seleccione la celda en la comumna B con el nombre del proyecto-Al-Al-</v>
      </c>
      <c r="C663" s="626" t="str">
        <f t="shared" si="188"/>
        <v>proyecto-Alerta: Seleccione la celda en la comumna B con el nombre del proyecto-</v>
      </c>
      <c r="D663" s="626" t="str">
        <f t="shared" si="189"/>
        <v>proyecto--Al-Al-</v>
      </c>
      <c r="E663" s="626" t="str">
        <f t="shared" si="190"/>
        <v>--</v>
      </c>
      <c r="F663" s="627"/>
      <c r="G663" s="628">
        <f t="shared" si="191"/>
        <v>0</v>
      </c>
      <c r="H663" s="629" t="b">
        <f t="shared" si="192"/>
        <v>1</v>
      </c>
      <c r="I663" s="630"/>
      <c r="J663" s="627"/>
      <c r="K663" s="631" t="str">
        <f>+IFERROR(VLOOKUP(J663,Listas!$A$108:$B$114,2,FALSE),"Alerta: Seleccione la celda en la comumna B con el nombre del proyecto")</f>
        <v>Alerta: Seleccione la celda en la comumna B con el nombre del proyecto</v>
      </c>
      <c r="L663" s="632"/>
      <c r="M663" s="633"/>
      <c r="N663" s="634" t="str">
        <f t="shared" si="193"/>
        <v xml:space="preserve">(Cód. ) </v>
      </c>
      <c r="O663" s="635"/>
      <c r="P663" s="636">
        <f>IFERROR(VLOOKUP(W663,'Estimación CRP'!$D$21:$E$30,2,FALSE),0)</f>
        <v>0</v>
      </c>
      <c r="Q663" s="637">
        <f>IF(O663="No aplica","No aplica",WORKDAY.INTL(O663,P663,1,'Estimación CRP'!A849:A865))</f>
        <v>0</v>
      </c>
      <c r="R663" s="636">
        <f t="shared" si="194"/>
        <v>1</v>
      </c>
      <c r="S663" s="636">
        <f t="shared" si="195"/>
        <v>1</v>
      </c>
      <c r="T663" s="636">
        <f t="shared" si="196"/>
        <v>1</v>
      </c>
      <c r="U663" s="638"/>
      <c r="V663" s="638"/>
      <c r="W663" s="639"/>
      <c r="X663" s="640" t="str">
        <f>IFERROR(VLOOKUP(W663,Listas!$A$60:$B$73,2,FALSE),"Alerta: Seleccione primero Modalidad de selección")</f>
        <v>Alerta: Seleccione primero Modalidad de selección</v>
      </c>
      <c r="Y663" s="641">
        <v>0</v>
      </c>
      <c r="Z663" s="641"/>
      <c r="AA663" s="641"/>
      <c r="AB663" s="642">
        <f t="shared" si="197"/>
        <v>0</v>
      </c>
      <c r="AC663" s="642">
        <f t="shared" si="198"/>
        <v>0</v>
      </c>
      <c r="AD663" s="641">
        <v>0</v>
      </c>
      <c r="AE663" s="643">
        <v>0</v>
      </c>
      <c r="AF663" s="639" t="s">
        <v>276</v>
      </c>
      <c r="AG663" s="639" t="s">
        <v>277</v>
      </c>
      <c r="AH663" s="639"/>
      <c r="AI663" s="626" t="str">
        <f>IFERROR(VLOOKUP(AH663,Listas!$A$77:$C$83,2,FALSE),"Alerta: Seleccione primero el responsable")</f>
        <v>Alerta: Seleccione primero el responsable</v>
      </c>
      <c r="AJ663" s="640" t="str">
        <f>IFERROR(VLOOKUP(AH663,Listas!$A$77:$C$83,3,FALSE),"Alerta: Seleccione primero el responsable")</f>
        <v>Alerta: Seleccione primero el responsable</v>
      </c>
      <c r="AK663" s="640" t="str">
        <f>IF(J663="Funcionamiento Gastos Generales","No aplica",IF(J663="Funcionamiento Servicios Personales indirectos","No aplica",IFERROR(VLOOKUP(J663,Listas!$A$127:$E$139,3,FALSE),"Alerta: Seleccione la celda en la comumna B con el nombre del proyecto")))</f>
        <v>Alerta: Seleccione la celda en la comumna B con el nombre del proyecto</v>
      </c>
      <c r="AL663" s="640" t="str">
        <f>IF(J663="Funcionamiento Gastos Generales","No aplica",IF(J663="Funcionamiento Servicios Personales","No aplica",IFERROR(VLOOKUP(J663,Listas!$A$220:$D$224,2,FALSE),"Alerta: Seleccione la celda en la comumna B con el nombre del proyecto")))</f>
        <v>Alerta: Seleccione la celda en la comumna B con el nombre del proyecto</v>
      </c>
      <c r="AM663" s="640" t="str">
        <f>IF(J663="Funcionamiento Gastos Generales","No aplica",IF(J663="Funcionamiento Servicios Personales","No aplica",IFERROR(VLOOKUP(J663,Listas!$A$220:$D$224,3,FALSE),"Alerta: Seleccione la celda en la comumna B con el nombre del proyecto")))</f>
        <v>Alerta: Seleccione la celda en la comumna B con el nombre del proyecto</v>
      </c>
      <c r="AN663" s="633"/>
      <c r="AO663" s="633"/>
      <c r="AP663" s="634" t="str">
        <f>IFERROR(VLOOKUP(J663,Listas!$A$182:$E$215,5,FALSE),"Alerta: Seleccione la celda en la comumna B con el nombre del proyecto")</f>
        <v>Alerta: Seleccione la celda en la comumna B con el nombre del proyecto</v>
      </c>
      <c r="AQ663" s="634" t="str">
        <f>IF(J663="Funcionamiento Gastos Generales","No aplica",IF(J663="Funcionamiento Servicios Personales","No aplica",IFERROR(VLOOKUP(J663,Listas!$A$220:$D$224,4,FALSE),"Alerta: Seleccione la celda en la comumna B con el nombre del proyecto")))</f>
        <v>Alerta: Seleccione la celda en la comumna B con el nombre del proyecto</v>
      </c>
      <c r="AR663" s="633"/>
      <c r="AS663" s="634" t="str">
        <f>IFERROR(VLOOKUP(AU663,Listas!$E$85:$L$105,7,FALSE),"Alerta: Seleccione la celda en la comumna AI con el concepto de gasto")</f>
        <v>Alerta: Seleccione la celda en la comumna AI con el concepto de gasto</v>
      </c>
      <c r="AT663" s="634" t="str">
        <f>IFERROR(VLOOKUP(AU663,Listas!$E$85:$L$105,8,FALSE),"Alerta: Seleccione la celda en la comumna AI con el concepto de gasto")</f>
        <v>Alerta: Seleccione la celda en la comumna AI con el concepto de gasto</v>
      </c>
      <c r="AU663" s="633"/>
      <c r="AV663" s="634" t="str">
        <f>IFERROR(VLOOKUP(AU663,Listas!$E$85:$F$105,2,FALSE),"Alerta: Seleccione el Concepto de Gasto primero")</f>
        <v>Alerta: Seleccione el Concepto de Gasto primero</v>
      </c>
      <c r="AW663" s="644"/>
      <c r="AX663" s="645"/>
      <c r="AY663" s="645"/>
      <c r="AZ663" s="645"/>
      <c r="BA663" s="646">
        <f t="shared" si="199"/>
        <v>0</v>
      </c>
      <c r="BB663" s="647"/>
      <c r="BC663" s="648"/>
      <c r="BD663" s="649"/>
      <c r="BE663" s="647"/>
      <c r="BF663" s="644"/>
      <c r="BG663" s="646">
        <f t="shared" si="200"/>
        <v>0</v>
      </c>
      <c r="BH663" s="650"/>
      <c r="BI663" s="647"/>
      <c r="BJ663" s="644"/>
      <c r="BK663" s="646">
        <f t="shared" si="201"/>
        <v>0</v>
      </c>
      <c r="BL663" s="651"/>
      <c r="BM663" s="652">
        <f t="shared" si="202"/>
        <v>1</v>
      </c>
      <c r="BN663" s="628"/>
      <c r="BO663" s="670"/>
      <c r="BP663" s="644"/>
      <c r="BQ663" s="644"/>
      <c r="BR663" s="644"/>
      <c r="BS663" s="644"/>
      <c r="BT663" s="644"/>
      <c r="BU663" s="644"/>
      <c r="BV663" s="644"/>
      <c r="BW663" s="644"/>
      <c r="BX663" s="644"/>
      <c r="BY663" s="644"/>
      <c r="BZ663" s="644"/>
      <c r="CA663" s="644"/>
      <c r="CB663" s="646">
        <f t="shared" si="203"/>
        <v>0</v>
      </c>
      <c r="CC663" s="646">
        <f t="shared" si="204"/>
        <v>0</v>
      </c>
      <c r="CD663" s="614"/>
    </row>
    <row r="664" spans="1:85" s="561" customFormat="1" ht="61.5" customHeight="1">
      <c r="A664" s="625" t="str">
        <f t="shared" si="186"/>
        <v>proyecto-Alerta: Seleccione la celda en la comumna B con el nombre del proyecto-Al-Al--</v>
      </c>
      <c r="B664" s="626" t="str">
        <f t="shared" si="187"/>
        <v>proyecto-Alerta: Seleccione la celda en la comumna B con el nombre del proyecto-Al-Al-</v>
      </c>
      <c r="C664" s="626" t="str">
        <f t="shared" si="188"/>
        <v>proyecto-Alerta: Seleccione la celda en la comumna B con el nombre del proyecto-</v>
      </c>
      <c r="D664" s="626" t="str">
        <f t="shared" si="189"/>
        <v>proyecto--Al-Al-</v>
      </c>
      <c r="E664" s="626" t="str">
        <f t="shared" si="190"/>
        <v>--</v>
      </c>
      <c r="F664" s="627"/>
      <c r="G664" s="628">
        <f t="shared" si="191"/>
        <v>0</v>
      </c>
      <c r="H664" s="629" t="b">
        <f t="shared" si="192"/>
        <v>1</v>
      </c>
      <c r="I664" s="630"/>
      <c r="J664" s="627"/>
      <c r="K664" s="631" t="str">
        <f>+IFERROR(VLOOKUP(J664,Listas!$A$108:$B$114,2,FALSE),"Alerta: Seleccione la celda en la comumna B con el nombre del proyecto")</f>
        <v>Alerta: Seleccione la celda en la comumna B con el nombre del proyecto</v>
      </c>
      <c r="L664" s="632"/>
      <c r="M664" s="633"/>
      <c r="N664" s="634" t="str">
        <f t="shared" si="193"/>
        <v xml:space="preserve">(Cód. ) </v>
      </c>
      <c r="O664" s="635"/>
      <c r="P664" s="636">
        <f>IFERROR(VLOOKUP(W664,'Estimación CRP'!$D$21:$E$30,2,FALSE),0)</f>
        <v>0</v>
      </c>
      <c r="Q664" s="637">
        <f>IF(O664="No aplica","No aplica",WORKDAY.INTL(O664,P664,1,'Estimación CRP'!A850:A866))</f>
        <v>0</v>
      </c>
      <c r="R664" s="636">
        <f t="shared" si="194"/>
        <v>1</v>
      </c>
      <c r="S664" s="636">
        <f t="shared" si="195"/>
        <v>1</v>
      </c>
      <c r="T664" s="636">
        <f t="shared" si="196"/>
        <v>1</v>
      </c>
      <c r="U664" s="638"/>
      <c r="V664" s="638"/>
      <c r="W664" s="639"/>
      <c r="X664" s="640" t="str">
        <f>IFERROR(VLOOKUP(W664,Listas!$A$60:$B$73,2,FALSE),"Alerta: Seleccione primero Modalidad de selección")</f>
        <v>Alerta: Seleccione primero Modalidad de selección</v>
      </c>
      <c r="Y664" s="641">
        <v>0</v>
      </c>
      <c r="Z664" s="641"/>
      <c r="AA664" s="641"/>
      <c r="AB664" s="642">
        <f t="shared" si="197"/>
        <v>0</v>
      </c>
      <c r="AC664" s="642">
        <f t="shared" si="198"/>
        <v>0</v>
      </c>
      <c r="AD664" s="641">
        <v>0</v>
      </c>
      <c r="AE664" s="643">
        <v>0</v>
      </c>
      <c r="AF664" s="639" t="s">
        <v>276</v>
      </c>
      <c r="AG664" s="639" t="s">
        <v>277</v>
      </c>
      <c r="AH664" s="639"/>
      <c r="AI664" s="626" t="str">
        <f>IFERROR(VLOOKUP(AH664,Listas!$A$77:$C$83,2,FALSE),"Alerta: Seleccione primero el responsable")</f>
        <v>Alerta: Seleccione primero el responsable</v>
      </c>
      <c r="AJ664" s="640" t="str">
        <f>IFERROR(VLOOKUP(AH664,Listas!$A$77:$C$83,3,FALSE),"Alerta: Seleccione primero el responsable")</f>
        <v>Alerta: Seleccione primero el responsable</v>
      </c>
      <c r="AK664" s="640" t="str">
        <f>IF(J664="Funcionamiento Gastos Generales","No aplica",IF(J664="Funcionamiento Servicios Personales indirectos","No aplica",IFERROR(VLOOKUP(J664,Listas!$A$127:$E$139,3,FALSE),"Alerta: Seleccione la celda en la comumna B con el nombre del proyecto")))</f>
        <v>Alerta: Seleccione la celda en la comumna B con el nombre del proyecto</v>
      </c>
      <c r="AL664" s="640" t="str">
        <f>IF(J664="Funcionamiento Gastos Generales","No aplica",IF(J664="Funcionamiento Servicios Personales","No aplica",IFERROR(VLOOKUP(J664,Listas!$A$220:$D$224,2,FALSE),"Alerta: Seleccione la celda en la comumna B con el nombre del proyecto")))</f>
        <v>Alerta: Seleccione la celda en la comumna B con el nombre del proyecto</v>
      </c>
      <c r="AM664" s="640" t="str">
        <f>IF(J664="Funcionamiento Gastos Generales","No aplica",IF(J664="Funcionamiento Servicios Personales","No aplica",IFERROR(VLOOKUP(J664,Listas!$A$220:$D$224,3,FALSE),"Alerta: Seleccione la celda en la comumna B con el nombre del proyecto")))</f>
        <v>Alerta: Seleccione la celda en la comumna B con el nombre del proyecto</v>
      </c>
      <c r="AN664" s="633"/>
      <c r="AO664" s="633"/>
      <c r="AP664" s="634" t="str">
        <f>IFERROR(VLOOKUP(J664,Listas!$A$182:$E$215,5,FALSE),"Alerta: Seleccione la celda en la comumna B con el nombre del proyecto")</f>
        <v>Alerta: Seleccione la celda en la comumna B con el nombre del proyecto</v>
      </c>
      <c r="AQ664" s="634" t="str">
        <f>IF(J664="Funcionamiento Gastos Generales","No aplica",IF(J664="Funcionamiento Servicios Personales","No aplica",IFERROR(VLOOKUP(J664,Listas!$A$220:$D$224,4,FALSE),"Alerta: Seleccione la celda en la comumna B con el nombre del proyecto")))</f>
        <v>Alerta: Seleccione la celda en la comumna B con el nombre del proyecto</v>
      </c>
      <c r="AR664" s="633"/>
      <c r="AS664" s="634" t="str">
        <f>IFERROR(VLOOKUP(AU664,Listas!$E$85:$L$105,7,FALSE),"Alerta: Seleccione la celda en la comumna AI con el concepto de gasto")</f>
        <v>Alerta: Seleccione la celda en la comumna AI con el concepto de gasto</v>
      </c>
      <c r="AT664" s="634" t="str">
        <f>IFERROR(VLOOKUP(AU664,Listas!$E$85:$L$105,8,FALSE),"Alerta: Seleccione la celda en la comumna AI con el concepto de gasto")</f>
        <v>Alerta: Seleccione la celda en la comumna AI con el concepto de gasto</v>
      </c>
      <c r="AU664" s="633"/>
      <c r="AV664" s="634" t="str">
        <f>IFERROR(VLOOKUP(AU664,Listas!$E$85:$F$105,2,FALSE),"Alerta: Seleccione el Concepto de Gasto primero")</f>
        <v>Alerta: Seleccione el Concepto de Gasto primero</v>
      </c>
      <c r="AW664" s="644"/>
      <c r="AX664" s="645"/>
      <c r="AY664" s="645"/>
      <c r="AZ664" s="645"/>
      <c r="BA664" s="646">
        <f t="shared" si="199"/>
        <v>0</v>
      </c>
      <c r="BB664" s="647"/>
      <c r="BC664" s="648"/>
      <c r="BD664" s="649"/>
      <c r="BE664" s="647"/>
      <c r="BF664" s="644"/>
      <c r="BG664" s="646">
        <f t="shared" si="200"/>
        <v>0</v>
      </c>
      <c r="BH664" s="650"/>
      <c r="BI664" s="647"/>
      <c r="BJ664" s="644"/>
      <c r="BK664" s="646">
        <f t="shared" si="201"/>
        <v>0</v>
      </c>
      <c r="BL664" s="651"/>
      <c r="BM664" s="652">
        <f t="shared" si="202"/>
        <v>1</v>
      </c>
      <c r="BN664" s="628"/>
      <c r="BO664" s="670"/>
      <c r="BP664" s="644"/>
      <c r="BQ664" s="644"/>
      <c r="BR664" s="644"/>
      <c r="BS664" s="644"/>
      <c r="BT664" s="644"/>
      <c r="BU664" s="644"/>
      <c r="BV664" s="644"/>
      <c r="BW664" s="644"/>
      <c r="BX664" s="644"/>
      <c r="BY664" s="644"/>
      <c r="BZ664" s="644"/>
      <c r="CA664" s="644"/>
      <c r="CB664" s="646">
        <f t="shared" si="203"/>
        <v>0</v>
      </c>
      <c r="CC664" s="646">
        <f t="shared" si="204"/>
        <v>0</v>
      </c>
      <c r="CD664" s="614"/>
    </row>
    <row r="665" spans="1:85" s="561" customFormat="1" ht="61.5" customHeight="1">
      <c r="A665" s="625" t="str">
        <f t="shared" si="186"/>
        <v>proyecto-Alerta: Seleccione la celda en la comumna B con el nombre del proyecto-Al-Al--</v>
      </c>
      <c r="B665" s="626" t="str">
        <f t="shared" si="187"/>
        <v>proyecto-Alerta: Seleccione la celda en la comumna B con el nombre del proyecto-Al-Al-</v>
      </c>
      <c r="C665" s="626" t="str">
        <f t="shared" si="188"/>
        <v>proyecto-Alerta: Seleccione la celda en la comumna B con el nombre del proyecto-</v>
      </c>
      <c r="D665" s="626" t="str">
        <f t="shared" si="189"/>
        <v>proyecto--Al-Al-</v>
      </c>
      <c r="E665" s="626" t="str">
        <f t="shared" si="190"/>
        <v>--</v>
      </c>
      <c r="F665" s="627"/>
      <c r="G665" s="628">
        <f t="shared" si="191"/>
        <v>0</v>
      </c>
      <c r="H665" s="629" t="b">
        <f t="shared" si="192"/>
        <v>1</v>
      </c>
      <c r="I665" s="630"/>
      <c r="J665" s="627"/>
      <c r="K665" s="631" t="str">
        <f>+IFERROR(VLOOKUP(J665,Listas!$A$108:$B$114,2,FALSE),"Alerta: Seleccione la celda en la comumna B con el nombre del proyecto")</f>
        <v>Alerta: Seleccione la celda en la comumna B con el nombre del proyecto</v>
      </c>
      <c r="L665" s="632"/>
      <c r="M665" s="633"/>
      <c r="N665" s="634" t="str">
        <f t="shared" si="193"/>
        <v xml:space="preserve">(Cód. ) </v>
      </c>
      <c r="O665" s="635"/>
      <c r="P665" s="636">
        <f>IFERROR(VLOOKUP(W665,'Estimación CRP'!$D$21:$E$30,2,FALSE),0)</f>
        <v>0</v>
      </c>
      <c r="Q665" s="637">
        <f>IF(O665="No aplica","No aplica",WORKDAY.INTL(O665,P665,1,'Estimación CRP'!A851:A867))</f>
        <v>0</v>
      </c>
      <c r="R665" s="636">
        <f t="shared" si="194"/>
        <v>1</v>
      </c>
      <c r="S665" s="636">
        <f t="shared" si="195"/>
        <v>1</v>
      </c>
      <c r="T665" s="636">
        <f t="shared" si="196"/>
        <v>1</v>
      </c>
      <c r="U665" s="638"/>
      <c r="V665" s="638"/>
      <c r="W665" s="639"/>
      <c r="X665" s="640" t="str">
        <f>IFERROR(VLOOKUP(W665,Listas!$A$60:$B$73,2,FALSE),"Alerta: Seleccione primero Modalidad de selección")</f>
        <v>Alerta: Seleccione primero Modalidad de selección</v>
      </c>
      <c r="Y665" s="641">
        <v>0</v>
      </c>
      <c r="Z665" s="641"/>
      <c r="AA665" s="641"/>
      <c r="AB665" s="642">
        <f t="shared" si="197"/>
        <v>0</v>
      </c>
      <c r="AC665" s="642">
        <f t="shared" si="198"/>
        <v>0</v>
      </c>
      <c r="AD665" s="641">
        <v>0</v>
      </c>
      <c r="AE665" s="643">
        <v>0</v>
      </c>
      <c r="AF665" s="639" t="s">
        <v>276</v>
      </c>
      <c r="AG665" s="639" t="s">
        <v>277</v>
      </c>
      <c r="AH665" s="639"/>
      <c r="AI665" s="626" t="str">
        <f>IFERROR(VLOOKUP(AH665,Listas!$A$77:$C$83,2,FALSE),"Alerta: Seleccione primero el responsable")</f>
        <v>Alerta: Seleccione primero el responsable</v>
      </c>
      <c r="AJ665" s="640" t="str">
        <f>IFERROR(VLOOKUP(AH665,Listas!$A$77:$C$83,3,FALSE),"Alerta: Seleccione primero el responsable")</f>
        <v>Alerta: Seleccione primero el responsable</v>
      </c>
      <c r="AK665" s="640" t="str">
        <f>IF(J665="Funcionamiento Gastos Generales","No aplica",IF(J665="Funcionamiento Servicios Personales indirectos","No aplica",IFERROR(VLOOKUP(J665,Listas!$A$127:$E$139,3,FALSE),"Alerta: Seleccione la celda en la comumna B con el nombre del proyecto")))</f>
        <v>Alerta: Seleccione la celda en la comumna B con el nombre del proyecto</v>
      </c>
      <c r="AL665" s="640" t="str">
        <f>IF(J665="Funcionamiento Gastos Generales","No aplica",IF(J665="Funcionamiento Servicios Personales","No aplica",IFERROR(VLOOKUP(J665,Listas!$A$220:$D$224,2,FALSE),"Alerta: Seleccione la celda en la comumna B con el nombre del proyecto")))</f>
        <v>Alerta: Seleccione la celda en la comumna B con el nombre del proyecto</v>
      </c>
      <c r="AM665" s="640" t="str">
        <f>IF(J665="Funcionamiento Gastos Generales","No aplica",IF(J665="Funcionamiento Servicios Personales","No aplica",IFERROR(VLOOKUP(J665,Listas!$A$220:$D$224,3,FALSE),"Alerta: Seleccione la celda en la comumna B con el nombre del proyecto")))</f>
        <v>Alerta: Seleccione la celda en la comumna B con el nombre del proyecto</v>
      </c>
      <c r="AN665" s="633"/>
      <c r="AO665" s="633"/>
      <c r="AP665" s="634" t="str">
        <f>IFERROR(VLOOKUP(J665,Listas!$A$182:$E$215,5,FALSE),"Alerta: Seleccione la celda en la comumna B con el nombre del proyecto")</f>
        <v>Alerta: Seleccione la celda en la comumna B con el nombre del proyecto</v>
      </c>
      <c r="AQ665" s="634" t="str">
        <f>IF(J665="Funcionamiento Gastos Generales","No aplica",IF(J665="Funcionamiento Servicios Personales","No aplica",IFERROR(VLOOKUP(J665,Listas!$A$220:$D$224,4,FALSE),"Alerta: Seleccione la celda en la comumna B con el nombre del proyecto")))</f>
        <v>Alerta: Seleccione la celda en la comumna B con el nombre del proyecto</v>
      </c>
      <c r="AR665" s="633"/>
      <c r="AS665" s="634" t="str">
        <f>IFERROR(VLOOKUP(AU665,Listas!$E$85:$L$105,7,FALSE),"Alerta: Seleccione la celda en la comumna AI con el concepto de gasto")</f>
        <v>Alerta: Seleccione la celda en la comumna AI con el concepto de gasto</v>
      </c>
      <c r="AT665" s="634" t="str">
        <f>IFERROR(VLOOKUP(AU665,Listas!$E$85:$L$105,8,FALSE),"Alerta: Seleccione la celda en la comumna AI con el concepto de gasto")</f>
        <v>Alerta: Seleccione la celda en la comumna AI con el concepto de gasto</v>
      </c>
      <c r="AU665" s="633"/>
      <c r="AV665" s="634" t="str">
        <f>IFERROR(VLOOKUP(AU665,Listas!$E$85:$F$105,2,FALSE),"Alerta: Seleccione el Concepto de Gasto primero")</f>
        <v>Alerta: Seleccione el Concepto de Gasto primero</v>
      </c>
      <c r="AW665" s="644"/>
      <c r="AX665" s="645"/>
      <c r="AY665" s="645"/>
      <c r="AZ665" s="645"/>
      <c r="BA665" s="646">
        <f t="shared" si="199"/>
        <v>0</v>
      </c>
      <c r="BB665" s="647"/>
      <c r="BC665" s="648"/>
      <c r="BD665" s="649"/>
      <c r="BE665" s="647"/>
      <c r="BF665" s="644"/>
      <c r="BG665" s="646">
        <f t="shared" si="200"/>
        <v>0</v>
      </c>
      <c r="BH665" s="650"/>
      <c r="BI665" s="647"/>
      <c r="BJ665" s="644"/>
      <c r="BK665" s="646">
        <f t="shared" si="201"/>
        <v>0</v>
      </c>
      <c r="BL665" s="651"/>
      <c r="BM665" s="652">
        <f t="shared" si="202"/>
        <v>1</v>
      </c>
      <c r="BN665" s="628"/>
      <c r="BO665" s="670"/>
      <c r="BP665" s="644"/>
      <c r="BQ665" s="644"/>
      <c r="BR665" s="644"/>
      <c r="BS665" s="644"/>
      <c r="BT665" s="644"/>
      <c r="BU665" s="644"/>
      <c r="BV665" s="644"/>
      <c r="BW665" s="644"/>
      <c r="BX665" s="644"/>
      <c r="BY665" s="644"/>
      <c r="BZ665" s="644"/>
      <c r="CA665" s="644"/>
      <c r="CB665" s="646">
        <f t="shared" si="203"/>
        <v>0</v>
      </c>
      <c r="CC665" s="646">
        <f t="shared" si="204"/>
        <v>0</v>
      </c>
      <c r="CD665" s="614"/>
    </row>
    <row r="666" spans="1:85" s="561" customFormat="1" ht="61.5" customHeight="1">
      <c r="A666" s="625" t="str">
        <f t="shared" si="186"/>
        <v>proyecto-Alerta: Seleccione la celda en la comumna B con el nombre del proyecto-Al-Al--</v>
      </c>
      <c r="B666" s="626" t="str">
        <f t="shared" si="187"/>
        <v>proyecto-Alerta: Seleccione la celda en la comumna B con el nombre del proyecto-Al-Al-</v>
      </c>
      <c r="C666" s="626" t="str">
        <f t="shared" si="188"/>
        <v>proyecto-Alerta: Seleccione la celda en la comumna B con el nombre del proyecto-</v>
      </c>
      <c r="D666" s="626" t="str">
        <f t="shared" si="189"/>
        <v>proyecto--Al-Al-</v>
      </c>
      <c r="E666" s="626" t="str">
        <f t="shared" si="190"/>
        <v>--</v>
      </c>
      <c r="F666" s="627"/>
      <c r="G666" s="628">
        <f t="shared" si="191"/>
        <v>0</v>
      </c>
      <c r="H666" s="629" t="b">
        <f t="shared" si="192"/>
        <v>1</v>
      </c>
      <c r="I666" s="630"/>
      <c r="J666" s="627"/>
      <c r="K666" s="631" t="str">
        <f>+IFERROR(VLOOKUP(J666,Listas!$A$108:$B$114,2,FALSE),"Alerta: Seleccione la celda en la comumna B con el nombre del proyecto")</f>
        <v>Alerta: Seleccione la celda en la comumna B con el nombre del proyecto</v>
      </c>
      <c r="L666" s="632"/>
      <c r="M666" s="633"/>
      <c r="N666" s="634" t="str">
        <f t="shared" si="193"/>
        <v xml:space="preserve">(Cód. ) </v>
      </c>
      <c r="O666" s="635"/>
      <c r="P666" s="636">
        <f>IFERROR(VLOOKUP(W666,'Estimación CRP'!$D$21:$E$30,2,FALSE),0)</f>
        <v>0</v>
      </c>
      <c r="Q666" s="637">
        <f>IF(O666="No aplica","No aplica",WORKDAY.INTL(O666,P666,1,'Estimación CRP'!A852:A868))</f>
        <v>0</v>
      </c>
      <c r="R666" s="636">
        <f t="shared" si="194"/>
        <v>1</v>
      </c>
      <c r="S666" s="636">
        <f t="shared" si="195"/>
        <v>1</v>
      </c>
      <c r="T666" s="636">
        <f t="shared" si="196"/>
        <v>1</v>
      </c>
      <c r="U666" s="638"/>
      <c r="V666" s="638"/>
      <c r="W666" s="639"/>
      <c r="X666" s="640" t="str">
        <f>IFERROR(VLOOKUP(W666,Listas!$A$60:$B$73,2,FALSE),"Alerta: Seleccione primero Modalidad de selección")</f>
        <v>Alerta: Seleccione primero Modalidad de selección</v>
      </c>
      <c r="Y666" s="641">
        <v>0</v>
      </c>
      <c r="Z666" s="641"/>
      <c r="AA666" s="641"/>
      <c r="AB666" s="642">
        <f t="shared" si="197"/>
        <v>0</v>
      </c>
      <c r="AC666" s="642">
        <f t="shared" si="198"/>
        <v>0</v>
      </c>
      <c r="AD666" s="641">
        <v>0</v>
      </c>
      <c r="AE666" s="643">
        <v>0</v>
      </c>
      <c r="AF666" s="639" t="s">
        <v>276</v>
      </c>
      <c r="AG666" s="639" t="s">
        <v>277</v>
      </c>
      <c r="AH666" s="639"/>
      <c r="AI666" s="626" t="str">
        <f>IFERROR(VLOOKUP(AH666,Listas!$A$77:$C$83,2,FALSE),"Alerta: Seleccione primero el responsable")</f>
        <v>Alerta: Seleccione primero el responsable</v>
      </c>
      <c r="AJ666" s="640" t="str">
        <f>IFERROR(VLOOKUP(AH666,Listas!$A$77:$C$83,3,FALSE),"Alerta: Seleccione primero el responsable")</f>
        <v>Alerta: Seleccione primero el responsable</v>
      </c>
      <c r="AK666" s="640" t="str">
        <f>IF(J666="Funcionamiento Gastos Generales","No aplica",IF(J666="Funcionamiento Servicios Personales indirectos","No aplica",IFERROR(VLOOKUP(J666,Listas!$A$127:$E$139,3,FALSE),"Alerta: Seleccione la celda en la comumna B con el nombre del proyecto")))</f>
        <v>Alerta: Seleccione la celda en la comumna B con el nombre del proyecto</v>
      </c>
      <c r="AL666" s="640" t="str">
        <f>IF(J666="Funcionamiento Gastos Generales","No aplica",IF(J666="Funcionamiento Servicios Personales","No aplica",IFERROR(VLOOKUP(J666,Listas!$A$220:$D$224,2,FALSE),"Alerta: Seleccione la celda en la comumna B con el nombre del proyecto")))</f>
        <v>Alerta: Seleccione la celda en la comumna B con el nombre del proyecto</v>
      </c>
      <c r="AM666" s="640" t="str">
        <f>IF(J666="Funcionamiento Gastos Generales","No aplica",IF(J666="Funcionamiento Servicios Personales","No aplica",IFERROR(VLOOKUP(J666,Listas!$A$220:$D$224,3,FALSE),"Alerta: Seleccione la celda en la comumna B con el nombre del proyecto")))</f>
        <v>Alerta: Seleccione la celda en la comumna B con el nombre del proyecto</v>
      </c>
      <c r="AN666" s="633"/>
      <c r="AO666" s="633"/>
      <c r="AP666" s="634" t="str">
        <f>IFERROR(VLOOKUP(J666,Listas!$A$182:$E$215,5,FALSE),"Alerta: Seleccione la celda en la comumna B con el nombre del proyecto")</f>
        <v>Alerta: Seleccione la celda en la comumna B con el nombre del proyecto</v>
      </c>
      <c r="AQ666" s="634" t="str">
        <f>IF(J666="Funcionamiento Gastos Generales","No aplica",IF(J666="Funcionamiento Servicios Personales","No aplica",IFERROR(VLOOKUP(J666,Listas!$A$220:$D$224,4,FALSE),"Alerta: Seleccione la celda en la comumna B con el nombre del proyecto")))</f>
        <v>Alerta: Seleccione la celda en la comumna B con el nombre del proyecto</v>
      </c>
      <c r="AR666" s="633"/>
      <c r="AS666" s="634" t="str">
        <f>IFERROR(VLOOKUP(AU666,Listas!$E$85:$L$105,7,FALSE),"Alerta: Seleccione la celda en la comumna AI con el concepto de gasto")</f>
        <v>Alerta: Seleccione la celda en la comumna AI con el concepto de gasto</v>
      </c>
      <c r="AT666" s="634" t="str">
        <f>IFERROR(VLOOKUP(AU666,Listas!$E$85:$L$105,8,FALSE),"Alerta: Seleccione la celda en la comumna AI con el concepto de gasto")</f>
        <v>Alerta: Seleccione la celda en la comumna AI con el concepto de gasto</v>
      </c>
      <c r="AU666" s="633"/>
      <c r="AV666" s="634" t="str">
        <f>IFERROR(VLOOKUP(AU666,Listas!$E$85:$F$105,2,FALSE),"Alerta: Seleccione el Concepto de Gasto primero")</f>
        <v>Alerta: Seleccione el Concepto de Gasto primero</v>
      </c>
      <c r="AW666" s="644"/>
      <c r="AX666" s="645"/>
      <c r="AY666" s="645"/>
      <c r="AZ666" s="645"/>
      <c r="BA666" s="646">
        <f t="shared" si="199"/>
        <v>0</v>
      </c>
      <c r="BB666" s="647"/>
      <c r="BC666" s="648"/>
      <c r="BD666" s="649"/>
      <c r="BE666" s="647"/>
      <c r="BF666" s="644"/>
      <c r="BG666" s="646">
        <f t="shared" si="200"/>
        <v>0</v>
      </c>
      <c r="BH666" s="650"/>
      <c r="BI666" s="647"/>
      <c r="BJ666" s="644"/>
      <c r="BK666" s="646">
        <f t="shared" si="201"/>
        <v>0</v>
      </c>
      <c r="BL666" s="651"/>
      <c r="BM666" s="652">
        <f t="shared" si="202"/>
        <v>1</v>
      </c>
      <c r="BN666" s="628"/>
      <c r="BO666" s="670"/>
      <c r="BP666" s="644"/>
      <c r="BQ666" s="644"/>
      <c r="BR666" s="644"/>
      <c r="BS666" s="644"/>
      <c r="BT666" s="644"/>
      <c r="BU666" s="644"/>
      <c r="BV666" s="644"/>
      <c r="BW666" s="644"/>
      <c r="BX666" s="644"/>
      <c r="BY666" s="644"/>
      <c r="BZ666" s="644"/>
      <c r="CA666" s="644"/>
      <c r="CB666" s="646">
        <f t="shared" si="203"/>
        <v>0</v>
      </c>
      <c r="CC666" s="646">
        <f t="shared" si="204"/>
        <v>0</v>
      </c>
      <c r="CD666" s="614"/>
    </row>
    <row r="667" spans="1:85" s="561" customFormat="1" ht="61.5" customHeight="1">
      <c r="A667" s="625" t="str">
        <f t="shared" si="186"/>
        <v>proyecto-Alerta: Seleccione la celda en la comumna B con el nombre del proyecto-Al-Al--</v>
      </c>
      <c r="B667" s="626" t="str">
        <f t="shared" si="187"/>
        <v>proyecto-Alerta: Seleccione la celda en la comumna B con el nombre del proyecto-Al-Al-</v>
      </c>
      <c r="C667" s="626" t="str">
        <f t="shared" si="188"/>
        <v>proyecto-Alerta: Seleccione la celda en la comumna B con el nombre del proyecto-</v>
      </c>
      <c r="D667" s="626" t="str">
        <f t="shared" si="189"/>
        <v>proyecto--Al-Al-</v>
      </c>
      <c r="E667" s="626" t="str">
        <f t="shared" si="190"/>
        <v>--</v>
      </c>
      <c r="F667" s="627"/>
      <c r="G667" s="628">
        <f t="shared" si="191"/>
        <v>0</v>
      </c>
      <c r="H667" s="629" t="b">
        <f t="shared" si="192"/>
        <v>1</v>
      </c>
      <c r="I667" s="630"/>
      <c r="J667" s="627"/>
      <c r="K667" s="631" t="str">
        <f>+IFERROR(VLOOKUP(J667,Listas!$A$108:$B$114,2,FALSE),"Alerta: Seleccione la celda en la comumna B con el nombre del proyecto")</f>
        <v>Alerta: Seleccione la celda en la comumna B con el nombre del proyecto</v>
      </c>
      <c r="L667" s="632"/>
      <c r="M667" s="633"/>
      <c r="N667" s="634" t="str">
        <f t="shared" si="193"/>
        <v xml:space="preserve">(Cód. ) </v>
      </c>
      <c r="O667" s="635"/>
      <c r="P667" s="636">
        <f>IFERROR(VLOOKUP(W667,'Estimación CRP'!$D$21:$E$30,2,FALSE),0)</f>
        <v>0</v>
      </c>
      <c r="Q667" s="637">
        <f>IF(O667="No aplica","No aplica",WORKDAY.INTL(O667,P667,1,'Estimación CRP'!A853:A869))</f>
        <v>0</v>
      </c>
      <c r="R667" s="636">
        <f t="shared" si="194"/>
        <v>1</v>
      </c>
      <c r="S667" s="636">
        <f t="shared" si="195"/>
        <v>1</v>
      </c>
      <c r="T667" s="636">
        <f t="shared" si="196"/>
        <v>1</v>
      </c>
      <c r="U667" s="638"/>
      <c r="V667" s="638"/>
      <c r="W667" s="639"/>
      <c r="X667" s="640" t="str">
        <f>IFERROR(VLOOKUP(W667,Listas!$A$60:$B$73,2,FALSE),"Alerta: Seleccione primero Modalidad de selección")</f>
        <v>Alerta: Seleccione primero Modalidad de selección</v>
      </c>
      <c r="Y667" s="641">
        <v>0</v>
      </c>
      <c r="Z667" s="641"/>
      <c r="AA667" s="641"/>
      <c r="AB667" s="642">
        <f t="shared" si="197"/>
        <v>0</v>
      </c>
      <c r="AC667" s="642">
        <f t="shared" si="198"/>
        <v>0</v>
      </c>
      <c r="AD667" s="641">
        <v>0</v>
      </c>
      <c r="AE667" s="643">
        <v>0</v>
      </c>
      <c r="AF667" s="639" t="s">
        <v>276</v>
      </c>
      <c r="AG667" s="639" t="s">
        <v>277</v>
      </c>
      <c r="AH667" s="639"/>
      <c r="AI667" s="626" t="str">
        <f>IFERROR(VLOOKUP(AH667,Listas!$A$77:$C$83,2,FALSE),"Alerta: Seleccione primero el responsable")</f>
        <v>Alerta: Seleccione primero el responsable</v>
      </c>
      <c r="AJ667" s="640" t="str">
        <f>IFERROR(VLOOKUP(AH667,Listas!$A$77:$C$83,3,FALSE),"Alerta: Seleccione primero el responsable")</f>
        <v>Alerta: Seleccione primero el responsable</v>
      </c>
      <c r="AK667" s="640" t="str">
        <f>IF(J667="Funcionamiento Gastos Generales","No aplica",IF(J667="Funcionamiento Servicios Personales indirectos","No aplica",IFERROR(VLOOKUP(J667,Listas!$A$127:$E$139,3,FALSE),"Alerta: Seleccione la celda en la comumna B con el nombre del proyecto")))</f>
        <v>Alerta: Seleccione la celda en la comumna B con el nombre del proyecto</v>
      </c>
      <c r="AL667" s="640" t="str">
        <f>IF(J667="Funcionamiento Gastos Generales","No aplica",IF(J667="Funcionamiento Servicios Personales","No aplica",IFERROR(VLOOKUP(J667,Listas!$A$220:$D$224,2,FALSE),"Alerta: Seleccione la celda en la comumna B con el nombre del proyecto")))</f>
        <v>Alerta: Seleccione la celda en la comumna B con el nombre del proyecto</v>
      </c>
      <c r="AM667" s="640" t="str">
        <f>IF(J667="Funcionamiento Gastos Generales","No aplica",IF(J667="Funcionamiento Servicios Personales","No aplica",IFERROR(VLOOKUP(J667,Listas!$A$220:$D$224,3,FALSE),"Alerta: Seleccione la celda en la comumna B con el nombre del proyecto")))</f>
        <v>Alerta: Seleccione la celda en la comumna B con el nombre del proyecto</v>
      </c>
      <c r="AN667" s="633"/>
      <c r="AO667" s="633"/>
      <c r="AP667" s="634" t="str">
        <f>IFERROR(VLOOKUP(J667,Listas!$A$182:$E$215,5,FALSE),"Alerta: Seleccione la celda en la comumna B con el nombre del proyecto")</f>
        <v>Alerta: Seleccione la celda en la comumna B con el nombre del proyecto</v>
      </c>
      <c r="AQ667" s="634" t="str">
        <f>IF(J667="Funcionamiento Gastos Generales","No aplica",IF(J667="Funcionamiento Servicios Personales","No aplica",IFERROR(VLOOKUP(J667,Listas!$A$220:$D$224,4,FALSE),"Alerta: Seleccione la celda en la comumna B con el nombre del proyecto")))</f>
        <v>Alerta: Seleccione la celda en la comumna B con el nombre del proyecto</v>
      </c>
      <c r="AR667" s="633"/>
      <c r="AS667" s="634" t="str">
        <f>IFERROR(VLOOKUP(AU667,Listas!$E$85:$L$105,7,FALSE),"Alerta: Seleccione la celda en la comumna AI con el concepto de gasto")</f>
        <v>Alerta: Seleccione la celda en la comumna AI con el concepto de gasto</v>
      </c>
      <c r="AT667" s="634" t="str">
        <f>IFERROR(VLOOKUP(AU667,Listas!$E$85:$L$105,8,FALSE),"Alerta: Seleccione la celda en la comumna AI con el concepto de gasto")</f>
        <v>Alerta: Seleccione la celda en la comumna AI con el concepto de gasto</v>
      </c>
      <c r="AU667" s="633"/>
      <c r="AV667" s="634" t="str">
        <f>IFERROR(VLOOKUP(AU667,Listas!$E$85:$F$105,2,FALSE),"Alerta: Seleccione el Concepto de Gasto primero")</f>
        <v>Alerta: Seleccione el Concepto de Gasto primero</v>
      </c>
      <c r="AW667" s="644"/>
      <c r="AX667" s="645"/>
      <c r="AY667" s="645"/>
      <c r="AZ667" s="645"/>
      <c r="BA667" s="646">
        <f t="shared" si="199"/>
        <v>0</v>
      </c>
      <c r="BB667" s="647"/>
      <c r="BC667" s="648"/>
      <c r="BD667" s="649"/>
      <c r="BE667" s="647"/>
      <c r="BF667" s="644"/>
      <c r="BG667" s="646">
        <f t="shared" si="200"/>
        <v>0</v>
      </c>
      <c r="BH667" s="650"/>
      <c r="BI667" s="647"/>
      <c r="BJ667" s="644"/>
      <c r="BK667" s="646">
        <f t="shared" si="201"/>
        <v>0</v>
      </c>
      <c r="BL667" s="651"/>
      <c r="BM667" s="652">
        <f t="shared" si="202"/>
        <v>1</v>
      </c>
      <c r="BN667" s="628"/>
      <c r="BO667" s="670"/>
      <c r="BP667" s="644"/>
      <c r="BQ667" s="644"/>
      <c r="BR667" s="644"/>
      <c r="BS667" s="644"/>
      <c r="BT667" s="644"/>
      <c r="BU667" s="644"/>
      <c r="BV667" s="644"/>
      <c r="BW667" s="644"/>
      <c r="BX667" s="644"/>
      <c r="BY667" s="644"/>
      <c r="BZ667" s="644"/>
      <c r="CA667" s="644"/>
      <c r="CB667" s="646">
        <f t="shared" si="203"/>
        <v>0</v>
      </c>
      <c r="CC667" s="646">
        <f t="shared" si="204"/>
        <v>0</v>
      </c>
      <c r="CD667" s="614"/>
    </row>
    <row r="668" spans="1:85" s="561" customFormat="1" ht="61.5" customHeight="1">
      <c r="A668" s="625" t="str">
        <f t="shared" si="186"/>
        <v>proyecto-Alerta: Seleccione la celda en la comumna B con el nombre del proyecto-Al-Al--</v>
      </c>
      <c r="B668" s="626" t="str">
        <f t="shared" si="187"/>
        <v>proyecto-Alerta: Seleccione la celda en la comumna B con el nombre del proyecto-Al-Al-</v>
      </c>
      <c r="C668" s="626" t="str">
        <f t="shared" si="188"/>
        <v>proyecto-Alerta: Seleccione la celda en la comumna B con el nombre del proyecto-</v>
      </c>
      <c r="D668" s="626" t="str">
        <f t="shared" si="189"/>
        <v>proyecto--Al-Al-</v>
      </c>
      <c r="E668" s="626" t="str">
        <f t="shared" si="190"/>
        <v>--</v>
      </c>
      <c r="F668" s="627"/>
      <c r="G668" s="628">
        <f t="shared" si="191"/>
        <v>0</v>
      </c>
      <c r="H668" s="629" t="b">
        <f t="shared" si="192"/>
        <v>1</v>
      </c>
      <c r="I668" s="630"/>
      <c r="J668" s="627"/>
      <c r="K668" s="631" t="str">
        <f>+IFERROR(VLOOKUP(J668,Listas!$A$108:$B$114,2,FALSE),"Alerta: Seleccione la celda en la comumna B con el nombre del proyecto")</f>
        <v>Alerta: Seleccione la celda en la comumna B con el nombre del proyecto</v>
      </c>
      <c r="L668" s="632"/>
      <c r="M668" s="633"/>
      <c r="N668" s="634" t="str">
        <f t="shared" si="193"/>
        <v xml:space="preserve">(Cód. ) </v>
      </c>
      <c r="O668" s="635"/>
      <c r="P668" s="636">
        <f>IFERROR(VLOOKUP(W668,'Estimación CRP'!$D$21:$E$30,2,FALSE),0)</f>
        <v>0</v>
      </c>
      <c r="Q668" s="637">
        <f>IF(O668="No aplica","No aplica",WORKDAY.INTL(O668,P668,1,'Estimación CRP'!A854:A870))</f>
        <v>0</v>
      </c>
      <c r="R668" s="636">
        <f t="shared" si="194"/>
        <v>1</v>
      </c>
      <c r="S668" s="636">
        <f t="shared" si="195"/>
        <v>1</v>
      </c>
      <c r="T668" s="636">
        <f t="shared" si="196"/>
        <v>1</v>
      </c>
      <c r="U668" s="638"/>
      <c r="V668" s="638"/>
      <c r="W668" s="639"/>
      <c r="X668" s="640" t="str">
        <f>IFERROR(VLOOKUP(W668,Listas!$A$60:$B$73,2,FALSE),"Alerta: Seleccione primero Modalidad de selección")</f>
        <v>Alerta: Seleccione primero Modalidad de selección</v>
      </c>
      <c r="Y668" s="641">
        <v>0</v>
      </c>
      <c r="Z668" s="641"/>
      <c r="AA668" s="641"/>
      <c r="AB668" s="642">
        <f t="shared" si="197"/>
        <v>0</v>
      </c>
      <c r="AC668" s="642">
        <f t="shared" si="198"/>
        <v>0</v>
      </c>
      <c r="AD668" s="641">
        <v>0</v>
      </c>
      <c r="AE668" s="643">
        <v>0</v>
      </c>
      <c r="AF668" s="639" t="s">
        <v>276</v>
      </c>
      <c r="AG668" s="639" t="s">
        <v>277</v>
      </c>
      <c r="AH668" s="639"/>
      <c r="AI668" s="626" t="str">
        <f>IFERROR(VLOOKUP(AH668,Listas!$A$77:$C$83,2,FALSE),"Alerta: Seleccione primero el responsable")</f>
        <v>Alerta: Seleccione primero el responsable</v>
      </c>
      <c r="AJ668" s="640" t="str">
        <f>IFERROR(VLOOKUP(AH668,Listas!$A$77:$C$83,3,FALSE),"Alerta: Seleccione primero el responsable")</f>
        <v>Alerta: Seleccione primero el responsable</v>
      </c>
      <c r="AK668" s="640" t="str">
        <f>IF(J668="Funcionamiento Gastos Generales","No aplica",IF(J668="Funcionamiento Servicios Personales indirectos","No aplica",IFERROR(VLOOKUP(J668,Listas!$A$127:$E$139,3,FALSE),"Alerta: Seleccione la celda en la comumna B con el nombre del proyecto")))</f>
        <v>Alerta: Seleccione la celda en la comumna B con el nombre del proyecto</v>
      </c>
      <c r="AL668" s="640" t="str">
        <f>IF(J668="Funcionamiento Gastos Generales","No aplica",IF(J668="Funcionamiento Servicios Personales","No aplica",IFERROR(VLOOKUP(J668,Listas!$A$220:$D$224,2,FALSE),"Alerta: Seleccione la celda en la comumna B con el nombre del proyecto")))</f>
        <v>Alerta: Seleccione la celda en la comumna B con el nombre del proyecto</v>
      </c>
      <c r="AM668" s="640" t="str">
        <f>IF(J668="Funcionamiento Gastos Generales","No aplica",IF(J668="Funcionamiento Servicios Personales","No aplica",IFERROR(VLOOKUP(J668,Listas!$A$220:$D$224,3,FALSE),"Alerta: Seleccione la celda en la comumna B con el nombre del proyecto")))</f>
        <v>Alerta: Seleccione la celda en la comumna B con el nombre del proyecto</v>
      </c>
      <c r="AN668" s="633"/>
      <c r="AO668" s="633"/>
      <c r="AP668" s="634" t="str">
        <f>IFERROR(VLOOKUP(J668,Listas!$A$182:$E$215,5,FALSE),"Alerta: Seleccione la celda en la comumna B con el nombre del proyecto")</f>
        <v>Alerta: Seleccione la celda en la comumna B con el nombre del proyecto</v>
      </c>
      <c r="AQ668" s="634" t="str">
        <f>IF(J668="Funcionamiento Gastos Generales","No aplica",IF(J668="Funcionamiento Servicios Personales","No aplica",IFERROR(VLOOKUP(J668,Listas!$A$220:$D$224,4,FALSE),"Alerta: Seleccione la celda en la comumna B con el nombre del proyecto")))</f>
        <v>Alerta: Seleccione la celda en la comumna B con el nombre del proyecto</v>
      </c>
      <c r="AR668" s="633"/>
      <c r="AS668" s="634" t="str">
        <f>IFERROR(VLOOKUP(AU668,Listas!$E$85:$L$105,7,FALSE),"Alerta: Seleccione la celda en la comumna AI con el concepto de gasto")</f>
        <v>Alerta: Seleccione la celda en la comumna AI con el concepto de gasto</v>
      </c>
      <c r="AT668" s="634" t="str">
        <f>IFERROR(VLOOKUP(AU668,Listas!$E$85:$L$105,8,FALSE),"Alerta: Seleccione la celda en la comumna AI con el concepto de gasto")</f>
        <v>Alerta: Seleccione la celda en la comumna AI con el concepto de gasto</v>
      </c>
      <c r="AU668" s="633"/>
      <c r="AV668" s="634" t="str">
        <f>IFERROR(VLOOKUP(AU668,Listas!$E$85:$F$105,2,FALSE),"Alerta: Seleccione el Concepto de Gasto primero")</f>
        <v>Alerta: Seleccione el Concepto de Gasto primero</v>
      </c>
      <c r="AW668" s="644"/>
      <c r="AX668" s="645"/>
      <c r="AY668" s="645"/>
      <c r="AZ668" s="645"/>
      <c r="BA668" s="646">
        <f t="shared" si="199"/>
        <v>0</v>
      </c>
      <c r="BB668" s="647"/>
      <c r="BC668" s="648"/>
      <c r="BD668" s="649"/>
      <c r="BE668" s="647"/>
      <c r="BF668" s="644"/>
      <c r="BG668" s="646">
        <f t="shared" si="200"/>
        <v>0</v>
      </c>
      <c r="BH668" s="650"/>
      <c r="BI668" s="647"/>
      <c r="BJ668" s="644"/>
      <c r="BK668" s="646">
        <f t="shared" si="201"/>
        <v>0</v>
      </c>
      <c r="BL668" s="651"/>
      <c r="BM668" s="652">
        <f t="shared" si="202"/>
        <v>1</v>
      </c>
      <c r="BN668" s="628"/>
      <c r="BO668" s="670"/>
      <c r="BP668" s="644"/>
      <c r="BQ668" s="644"/>
      <c r="BR668" s="644"/>
      <c r="BS668" s="644"/>
      <c r="BT668" s="644"/>
      <c r="BU668" s="644"/>
      <c r="BV668" s="644"/>
      <c r="BW668" s="644"/>
      <c r="BX668" s="644"/>
      <c r="BY668" s="644"/>
      <c r="BZ668" s="644"/>
      <c r="CA668" s="644"/>
      <c r="CB668" s="646">
        <f t="shared" si="203"/>
        <v>0</v>
      </c>
      <c r="CC668" s="646">
        <f t="shared" si="204"/>
        <v>0</v>
      </c>
      <c r="CD668" s="614"/>
    </row>
    <row r="669" spans="1:85" s="561" customFormat="1" ht="61.5" customHeight="1">
      <c r="A669" s="625" t="str">
        <f t="shared" si="186"/>
        <v>proyecto-Alerta: Seleccione la celda en la comumna B con el nombre del proyecto-Al-Al--</v>
      </c>
      <c r="B669" s="626" t="str">
        <f t="shared" si="187"/>
        <v>proyecto-Alerta: Seleccione la celda en la comumna B con el nombre del proyecto-Al-Al-</v>
      </c>
      <c r="C669" s="626" t="str">
        <f t="shared" si="188"/>
        <v>proyecto-Alerta: Seleccione la celda en la comumna B con el nombre del proyecto-</v>
      </c>
      <c r="D669" s="626" t="str">
        <f t="shared" si="189"/>
        <v>proyecto--Al-Al-</v>
      </c>
      <c r="E669" s="626" t="str">
        <f t="shared" si="190"/>
        <v>--</v>
      </c>
      <c r="F669" s="627"/>
      <c r="G669" s="628">
        <f t="shared" si="191"/>
        <v>0</v>
      </c>
      <c r="H669" s="629" t="b">
        <f t="shared" si="192"/>
        <v>1</v>
      </c>
      <c r="I669" s="630"/>
      <c r="J669" s="627"/>
      <c r="K669" s="631" t="str">
        <f>+IFERROR(VLOOKUP(J669,Listas!$A$108:$B$114,2,FALSE),"Alerta: Seleccione la celda en la comumna B con el nombre del proyecto")</f>
        <v>Alerta: Seleccione la celda en la comumna B con el nombre del proyecto</v>
      </c>
      <c r="L669" s="632"/>
      <c r="M669" s="633"/>
      <c r="N669" s="634" t="str">
        <f t="shared" si="193"/>
        <v xml:space="preserve">(Cód. ) </v>
      </c>
      <c r="O669" s="635"/>
      <c r="P669" s="636">
        <f>IFERROR(VLOOKUP(W669,'Estimación CRP'!$D$21:$E$30,2,FALSE),0)</f>
        <v>0</v>
      </c>
      <c r="Q669" s="637">
        <f>IF(O669="No aplica","No aplica",WORKDAY.INTL(O669,P669,1,'Estimación CRP'!A855:A871))</f>
        <v>0</v>
      </c>
      <c r="R669" s="636">
        <f t="shared" si="194"/>
        <v>1</v>
      </c>
      <c r="S669" s="636">
        <f t="shared" si="195"/>
        <v>1</v>
      </c>
      <c r="T669" s="636">
        <f t="shared" si="196"/>
        <v>1</v>
      </c>
      <c r="U669" s="638"/>
      <c r="V669" s="638"/>
      <c r="W669" s="639"/>
      <c r="X669" s="640" t="str">
        <f>IFERROR(VLOOKUP(W669,Listas!$A$60:$B$73,2,FALSE),"Alerta: Seleccione primero Modalidad de selección")</f>
        <v>Alerta: Seleccione primero Modalidad de selección</v>
      </c>
      <c r="Y669" s="641">
        <v>0</v>
      </c>
      <c r="Z669" s="641"/>
      <c r="AA669" s="641"/>
      <c r="AB669" s="642">
        <f t="shared" si="197"/>
        <v>0</v>
      </c>
      <c r="AC669" s="642">
        <f t="shared" si="198"/>
        <v>0</v>
      </c>
      <c r="AD669" s="641">
        <v>0</v>
      </c>
      <c r="AE669" s="643">
        <v>0</v>
      </c>
      <c r="AF669" s="639" t="s">
        <v>276</v>
      </c>
      <c r="AG669" s="639" t="s">
        <v>277</v>
      </c>
      <c r="AH669" s="639"/>
      <c r="AI669" s="626" t="str">
        <f>IFERROR(VLOOKUP(AH669,Listas!$A$77:$C$83,2,FALSE),"Alerta: Seleccione primero el responsable")</f>
        <v>Alerta: Seleccione primero el responsable</v>
      </c>
      <c r="AJ669" s="640" t="str">
        <f>IFERROR(VLOOKUP(AH669,Listas!$A$77:$C$83,3,FALSE),"Alerta: Seleccione primero el responsable")</f>
        <v>Alerta: Seleccione primero el responsable</v>
      </c>
      <c r="AK669" s="640" t="str">
        <f>IF(J669="Funcionamiento Gastos Generales","No aplica",IF(J669="Funcionamiento Servicios Personales indirectos","No aplica",IFERROR(VLOOKUP(J669,Listas!$A$127:$E$139,3,FALSE),"Alerta: Seleccione la celda en la comumna B con el nombre del proyecto")))</f>
        <v>Alerta: Seleccione la celda en la comumna B con el nombre del proyecto</v>
      </c>
      <c r="AL669" s="640" t="str">
        <f>IF(J669="Funcionamiento Gastos Generales","No aplica",IF(J669="Funcionamiento Servicios Personales","No aplica",IFERROR(VLOOKUP(J669,Listas!$A$220:$D$224,2,FALSE),"Alerta: Seleccione la celda en la comumna B con el nombre del proyecto")))</f>
        <v>Alerta: Seleccione la celda en la comumna B con el nombre del proyecto</v>
      </c>
      <c r="AM669" s="640" t="str">
        <f>IF(J669="Funcionamiento Gastos Generales","No aplica",IF(J669="Funcionamiento Servicios Personales","No aplica",IFERROR(VLOOKUP(J669,Listas!$A$220:$D$224,3,FALSE),"Alerta: Seleccione la celda en la comumna B con el nombre del proyecto")))</f>
        <v>Alerta: Seleccione la celda en la comumna B con el nombre del proyecto</v>
      </c>
      <c r="AN669" s="633"/>
      <c r="AO669" s="633"/>
      <c r="AP669" s="634" t="str">
        <f>IFERROR(VLOOKUP(J669,Listas!$A$182:$E$215,5,FALSE),"Alerta: Seleccione la celda en la comumna B con el nombre del proyecto")</f>
        <v>Alerta: Seleccione la celda en la comumna B con el nombre del proyecto</v>
      </c>
      <c r="AQ669" s="634" t="str">
        <f>IF(J669="Funcionamiento Gastos Generales","No aplica",IF(J669="Funcionamiento Servicios Personales","No aplica",IFERROR(VLOOKUP(J669,Listas!$A$220:$D$224,4,FALSE),"Alerta: Seleccione la celda en la comumna B con el nombre del proyecto")))</f>
        <v>Alerta: Seleccione la celda en la comumna B con el nombre del proyecto</v>
      </c>
      <c r="AR669" s="633"/>
      <c r="AS669" s="634" t="str">
        <f>IFERROR(VLOOKUP(AU669,Listas!$E$85:$L$105,7,FALSE),"Alerta: Seleccione la celda en la comumna AI con el concepto de gasto")</f>
        <v>Alerta: Seleccione la celda en la comumna AI con el concepto de gasto</v>
      </c>
      <c r="AT669" s="634" t="str">
        <f>IFERROR(VLOOKUP(AU669,Listas!$E$85:$L$105,8,FALSE),"Alerta: Seleccione la celda en la comumna AI con el concepto de gasto")</f>
        <v>Alerta: Seleccione la celda en la comumna AI con el concepto de gasto</v>
      </c>
      <c r="AU669" s="633"/>
      <c r="AV669" s="634" t="str">
        <f>IFERROR(VLOOKUP(AU669,Listas!$E$85:$F$105,2,FALSE),"Alerta: Seleccione el Concepto de Gasto primero")</f>
        <v>Alerta: Seleccione el Concepto de Gasto primero</v>
      </c>
      <c r="AW669" s="644"/>
      <c r="AX669" s="645"/>
      <c r="AY669" s="645"/>
      <c r="AZ669" s="645"/>
      <c r="BA669" s="646">
        <f t="shared" si="199"/>
        <v>0</v>
      </c>
      <c r="BB669" s="647"/>
      <c r="BC669" s="648"/>
      <c r="BD669" s="649"/>
      <c r="BE669" s="647"/>
      <c r="BF669" s="644"/>
      <c r="BG669" s="646">
        <f t="shared" si="200"/>
        <v>0</v>
      </c>
      <c r="BH669" s="650"/>
      <c r="BI669" s="647"/>
      <c r="BJ669" s="644"/>
      <c r="BK669" s="646">
        <f t="shared" si="201"/>
        <v>0</v>
      </c>
      <c r="BL669" s="651"/>
      <c r="BM669" s="652">
        <f t="shared" si="202"/>
        <v>1</v>
      </c>
      <c r="BN669" s="628"/>
      <c r="BO669" s="670"/>
      <c r="BP669" s="644"/>
      <c r="BQ669" s="644"/>
      <c r="BR669" s="644"/>
      <c r="BS669" s="644"/>
      <c r="BT669" s="644"/>
      <c r="BU669" s="644"/>
      <c r="BV669" s="644"/>
      <c r="BW669" s="644"/>
      <c r="BX669" s="644"/>
      <c r="BY669" s="644"/>
      <c r="BZ669" s="644"/>
      <c r="CA669" s="644"/>
      <c r="CB669" s="646">
        <f t="shared" si="203"/>
        <v>0</v>
      </c>
      <c r="CC669" s="646">
        <f t="shared" si="204"/>
        <v>0</v>
      </c>
      <c r="CD669" s="614"/>
    </row>
    <row r="670" spans="1:85" s="561" customFormat="1" ht="61.5" customHeight="1">
      <c r="A670" s="625" t="str">
        <f t="shared" si="186"/>
        <v>proyecto-Alerta: Seleccione la celda en la comumna B con el nombre del proyecto-Al-Al--</v>
      </c>
      <c r="B670" s="626" t="str">
        <f t="shared" si="187"/>
        <v>proyecto-Alerta: Seleccione la celda en la comumna B con el nombre del proyecto-Al-Al-</v>
      </c>
      <c r="C670" s="626" t="str">
        <f t="shared" si="188"/>
        <v>proyecto-Alerta: Seleccione la celda en la comumna B con el nombre del proyecto-</v>
      </c>
      <c r="D670" s="626" t="str">
        <f t="shared" si="189"/>
        <v>proyecto--Al-Al-</v>
      </c>
      <c r="E670" s="626" t="str">
        <f t="shared" si="190"/>
        <v>--</v>
      </c>
      <c r="F670" s="627"/>
      <c r="G670" s="628">
        <f t="shared" si="191"/>
        <v>0</v>
      </c>
      <c r="H670" s="629" t="b">
        <f t="shared" si="192"/>
        <v>1</v>
      </c>
      <c r="I670" s="630"/>
      <c r="J670" s="627"/>
      <c r="K670" s="631" t="str">
        <f>+IFERROR(VLOOKUP(J670,Listas!$A$108:$B$114,2,FALSE),"Alerta: Seleccione la celda en la comumna B con el nombre del proyecto")</f>
        <v>Alerta: Seleccione la celda en la comumna B con el nombre del proyecto</v>
      </c>
      <c r="L670" s="632"/>
      <c r="M670" s="633"/>
      <c r="N670" s="634" t="str">
        <f t="shared" si="193"/>
        <v xml:space="preserve">(Cód. ) </v>
      </c>
      <c r="O670" s="635"/>
      <c r="P670" s="636">
        <f>IFERROR(VLOOKUP(W670,'Estimación CRP'!$D$21:$E$30,2,FALSE),0)</f>
        <v>0</v>
      </c>
      <c r="Q670" s="637">
        <f>IF(O670="No aplica","No aplica",WORKDAY.INTL(O670,P670,1,'Estimación CRP'!A856:A872))</f>
        <v>0</v>
      </c>
      <c r="R670" s="636">
        <f t="shared" si="194"/>
        <v>1</v>
      </c>
      <c r="S670" s="636">
        <f t="shared" si="195"/>
        <v>1</v>
      </c>
      <c r="T670" s="636">
        <f t="shared" si="196"/>
        <v>1</v>
      </c>
      <c r="U670" s="638"/>
      <c r="V670" s="638"/>
      <c r="W670" s="639"/>
      <c r="X670" s="640" t="str">
        <f>IFERROR(VLOOKUP(W670,Listas!$A$60:$B$73,2,FALSE),"Alerta: Seleccione primero Modalidad de selección")</f>
        <v>Alerta: Seleccione primero Modalidad de selección</v>
      </c>
      <c r="Y670" s="641">
        <v>0</v>
      </c>
      <c r="Z670" s="641"/>
      <c r="AA670" s="641"/>
      <c r="AB670" s="642">
        <f t="shared" si="197"/>
        <v>0</v>
      </c>
      <c r="AC670" s="642">
        <f t="shared" si="198"/>
        <v>0</v>
      </c>
      <c r="AD670" s="641">
        <v>0</v>
      </c>
      <c r="AE670" s="643">
        <v>0</v>
      </c>
      <c r="AF670" s="639" t="s">
        <v>276</v>
      </c>
      <c r="AG670" s="639" t="s">
        <v>277</v>
      </c>
      <c r="AH670" s="639"/>
      <c r="AI670" s="626" t="str">
        <f>IFERROR(VLOOKUP(AH670,Listas!$A$77:$C$83,2,FALSE),"Alerta: Seleccione primero el responsable")</f>
        <v>Alerta: Seleccione primero el responsable</v>
      </c>
      <c r="AJ670" s="640" t="str">
        <f>IFERROR(VLOOKUP(AH670,Listas!$A$77:$C$83,3,FALSE),"Alerta: Seleccione primero el responsable")</f>
        <v>Alerta: Seleccione primero el responsable</v>
      </c>
      <c r="AK670" s="640" t="str">
        <f>IF(J670="Funcionamiento Gastos Generales","No aplica",IF(J670="Funcionamiento Servicios Personales indirectos","No aplica",IFERROR(VLOOKUP(J670,Listas!$A$127:$E$139,3,FALSE),"Alerta: Seleccione la celda en la comumna B con el nombre del proyecto")))</f>
        <v>Alerta: Seleccione la celda en la comumna B con el nombre del proyecto</v>
      </c>
      <c r="AL670" s="640" t="str">
        <f>IF(J670="Funcionamiento Gastos Generales","No aplica",IF(J670="Funcionamiento Servicios Personales","No aplica",IFERROR(VLOOKUP(J670,Listas!$A$220:$D$224,2,FALSE),"Alerta: Seleccione la celda en la comumna B con el nombre del proyecto")))</f>
        <v>Alerta: Seleccione la celda en la comumna B con el nombre del proyecto</v>
      </c>
      <c r="AM670" s="640" t="str">
        <f>IF(J670="Funcionamiento Gastos Generales","No aplica",IF(J670="Funcionamiento Servicios Personales","No aplica",IFERROR(VLOOKUP(J670,Listas!$A$220:$D$224,3,FALSE),"Alerta: Seleccione la celda en la comumna B con el nombre del proyecto")))</f>
        <v>Alerta: Seleccione la celda en la comumna B con el nombre del proyecto</v>
      </c>
      <c r="AN670" s="633"/>
      <c r="AO670" s="633"/>
      <c r="AP670" s="634" t="str">
        <f>IFERROR(VLOOKUP(J670,Listas!$A$182:$E$215,5,FALSE),"Alerta: Seleccione la celda en la comumna B con el nombre del proyecto")</f>
        <v>Alerta: Seleccione la celda en la comumna B con el nombre del proyecto</v>
      </c>
      <c r="AQ670" s="634" t="str">
        <f>IF(J670="Funcionamiento Gastos Generales","No aplica",IF(J670="Funcionamiento Servicios Personales","No aplica",IFERROR(VLOOKUP(J670,Listas!$A$220:$D$224,4,FALSE),"Alerta: Seleccione la celda en la comumna B con el nombre del proyecto")))</f>
        <v>Alerta: Seleccione la celda en la comumna B con el nombre del proyecto</v>
      </c>
      <c r="AR670" s="633"/>
      <c r="AS670" s="634" t="str">
        <f>IFERROR(VLOOKUP(AU670,Listas!$E$85:$L$105,7,FALSE),"Alerta: Seleccione la celda en la comumna AI con el concepto de gasto")</f>
        <v>Alerta: Seleccione la celda en la comumna AI con el concepto de gasto</v>
      </c>
      <c r="AT670" s="634" t="str">
        <f>IFERROR(VLOOKUP(AU670,Listas!$E$85:$L$105,8,FALSE),"Alerta: Seleccione la celda en la comumna AI con el concepto de gasto")</f>
        <v>Alerta: Seleccione la celda en la comumna AI con el concepto de gasto</v>
      </c>
      <c r="AU670" s="633"/>
      <c r="AV670" s="634" t="str">
        <f>IFERROR(VLOOKUP(AU670,Listas!$E$85:$F$105,2,FALSE),"Alerta: Seleccione el Concepto de Gasto primero")</f>
        <v>Alerta: Seleccione el Concepto de Gasto primero</v>
      </c>
      <c r="AW670" s="644"/>
      <c r="AX670" s="645"/>
      <c r="AY670" s="645"/>
      <c r="AZ670" s="645"/>
      <c r="BA670" s="646">
        <f t="shared" si="199"/>
        <v>0</v>
      </c>
      <c r="BB670" s="647"/>
      <c r="BC670" s="648"/>
      <c r="BD670" s="649"/>
      <c r="BE670" s="647"/>
      <c r="BF670" s="644"/>
      <c r="BG670" s="646">
        <f t="shared" si="200"/>
        <v>0</v>
      </c>
      <c r="BH670" s="650"/>
      <c r="BI670" s="647"/>
      <c r="BJ670" s="644"/>
      <c r="BK670" s="646">
        <f t="shared" si="201"/>
        <v>0</v>
      </c>
      <c r="BL670" s="651"/>
      <c r="BM670" s="652">
        <f t="shared" si="202"/>
        <v>1</v>
      </c>
      <c r="BN670" s="628"/>
      <c r="BO670" s="670"/>
      <c r="BP670" s="644"/>
      <c r="BQ670" s="644"/>
      <c r="BR670" s="644"/>
      <c r="BS670" s="644"/>
      <c r="BT670" s="644"/>
      <c r="BU670" s="644"/>
      <c r="BV670" s="644"/>
      <c r="BW670" s="644"/>
      <c r="BX670" s="644"/>
      <c r="BY670" s="644"/>
      <c r="BZ670" s="644"/>
      <c r="CA670" s="644"/>
      <c r="CB670" s="646">
        <f t="shared" si="203"/>
        <v>0</v>
      </c>
      <c r="CC670" s="646">
        <f t="shared" si="204"/>
        <v>0</v>
      </c>
      <c r="CD670" s="614"/>
    </row>
    <row r="671" spans="1:85" s="561" customFormat="1" ht="61.5" customHeight="1">
      <c r="A671" s="625" t="str">
        <f t="shared" si="186"/>
        <v>proyecto-Alerta: Seleccione la celda en la comumna B con el nombre del proyecto-Al-Al--</v>
      </c>
      <c r="B671" s="626" t="str">
        <f t="shared" si="187"/>
        <v>proyecto-Alerta: Seleccione la celda en la comumna B con el nombre del proyecto-Al-Al-</v>
      </c>
      <c r="C671" s="626" t="str">
        <f t="shared" si="188"/>
        <v>proyecto-Alerta: Seleccione la celda en la comumna B con el nombre del proyecto-</v>
      </c>
      <c r="D671" s="626" t="str">
        <f t="shared" si="189"/>
        <v>proyecto--Al-Al-</v>
      </c>
      <c r="E671" s="626" t="str">
        <f t="shared" si="190"/>
        <v>--</v>
      </c>
      <c r="F671" s="627"/>
      <c r="G671" s="628">
        <f t="shared" si="191"/>
        <v>0</v>
      </c>
      <c r="H671" s="629" t="b">
        <f t="shared" si="192"/>
        <v>1</v>
      </c>
      <c r="I671" s="630"/>
      <c r="J671" s="627"/>
      <c r="K671" s="631" t="str">
        <f>+IFERROR(VLOOKUP(J671,Listas!$A$108:$B$114,2,FALSE),"Alerta: Seleccione la celda en la comumna B con el nombre del proyecto")</f>
        <v>Alerta: Seleccione la celda en la comumna B con el nombre del proyecto</v>
      </c>
      <c r="L671" s="632"/>
      <c r="M671" s="633"/>
      <c r="N671" s="634" t="str">
        <f t="shared" si="193"/>
        <v xml:space="preserve">(Cód. ) </v>
      </c>
      <c r="O671" s="635"/>
      <c r="P671" s="636">
        <f>IFERROR(VLOOKUP(W671,'Estimación CRP'!$D$21:$E$30,2,FALSE),0)</f>
        <v>0</v>
      </c>
      <c r="Q671" s="637">
        <f>IF(O671="No aplica","No aplica",WORKDAY.INTL(O671,P671,1,'Estimación CRP'!A857:A873))</f>
        <v>0</v>
      </c>
      <c r="R671" s="636">
        <f t="shared" si="194"/>
        <v>1</v>
      </c>
      <c r="S671" s="636">
        <f t="shared" si="195"/>
        <v>1</v>
      </c>
      <c r="T671" s="636">
        <f t="shared" si="196"/>
        <v>1</v>
      </c>
      <c r="U671" s="638"/>
      <c r="V671" s="638"/>
      <c r="W671" s="639"/>
      <c r="X671" s="640" t="str">
        <f>IFERROR(VLOOKUP(W671,Listas!$A$60:$B$73,2,FALSE),"Alerta: Seleccione primero Modalidad de selección")</f>
        <v>Alerta: Seleccione primero Modalidad de selección</v>
      </c>
      <c r="Y671" s="641">
        <v>0</v>
      </c>
      <c r="Z671" s="641"/>
      <c r="AA671" s="641"/>
      <c r="AB671" s="642">
        <f t="shared" si="197"/>
        <v>0</v>
      </c>
      <c r="AC671" s="642">
        <f t="shared" si="198"/>
        <v>0</v>
      </c>
      <c r="AD671" s="641">
        <v>0</v>
      </c>
      <c r="AE671" s="643">
        <v>0</v>
      </c>
      <c r="AF671" s="639" t="s">
        <v>276</v>
      </c>
      <c r="AG671" s="639" t="s">
        <v>277</v>
      </c>
      <c r="AH671" s="639"/>
      <c r="AI671" s="626" t="str">
        <f>IFERROR(VLOOKUP(AH671,Listas!$A$77:$C$83,2,FALSE),"Alerta: Seleccione primero el responsable")</f>
        <v>Alerta: Seleccione primero el responsable</v>
      </c>
      <c r="AJ671" s="640" t="str">
        <f>IFERROR(VLOOKUP(AH671,Listas!$A$77:$C$83,3,FALSE),"Alerta: Seleccione primero el responsable")</f>
        <v>Alerta: Seleccione primero el responsable</v>
      </c>
      <c r="AK671" s="640" t="str">
        <f>IF(J671="Funcionamiento Gastos Generales","No aplica",IF(J671="Funcionamiento Servicios Personales indirectos","No aplica",IFERROR(VLOOKUP(J671,Listas!$A$127:$E$139,3,FALSE),"Alerta: Seleccione la celda en la comumna B con el nombre del proyecto")))</f>
        <v>Alerta: Seleccione la celda en la comumna B con el nombre del proyecto</v>
      </c>
      <c r="AL671" s="640" t="str">
        <f>IF(J671="Funcionamiento Gastos Generales","No aplica",IF(J671="Funcionamiento Servicios Personales","No aplica",IFERROR(VLOOKUP(J671,Listas!$A$220:$D$224,2,FALSE),"Alerta: Seleccione la celda en la comumna B con el nombre del proyecto")))</f>
        <v>Alerta: Seleccione la celda en la comumna B con el nombre del proyecto</v>
      </c>
      <c r="AM671" s="640" t="str">
        <f>IF(J671="Funcionamiento Gastos Generales","No aplica",IF(J671="Funcionamiento Servicios Personales","No aplica",IFERROR(VLOOKUP(J671,Listas!$A$220:$D$224,3,FALSE),"Alerta: Seleccione la celda en la comumna B con el nombre del proyecto")))</f>
        <v>Alerta: Seleccione la celda en la comumna B con el nombre del proyecto</v>
      </c>
      <c r="AN671" s="633"/>
      <c r="AO671" s="633"/>
      <c r="AP671" s="634" t="str">
        <f>IFERROR(VLOOKUP(J671,Listas!$A$182:$E$215,5,FALSE),"Alerta: Seleccione la celda en la comumna B con el nombre del proyecto")</f>
        <v>Alerta: Seleccione la celda en la comumna B con el nombre del proyecto</v>
      </c>
      <c r="AQ671" s="634" t="str">
        <f>IF(J671="Funcionamiento Gastos Generales","No aplica",IF(J671="Funcionamiento Servicios Personales","No aplica",IFERROR(VLOOKUP(J671,Listas!$A$220:$D$224,4,FALSE),"Alerta: Seleccione la celda en la comumna B con el nombre del proyecto")))</f>
        <v>Alerta: Seleccione la celda en la comumna B con el nombre del proyecto</v>
      </c>
      <c r="AR671" s="633"/>
      <c r="AS671" s="634" t="str">
        <f>IFERROR(VLOOKUP(AU671,Listas!$E$85:$L$105,7,FALSE),"Alerta: Seleccione la celda en la comumna AI con el concepto de gasto")</f>
        <v>Alerta: Seleccione la celda en la comumna AI con el concepto de gasto</v>
      </c>
      <c r="AT671" s="634" t="str">
        <f>IFERROR(VLOOKUP(AU671,Listas!$E$85:$L$105,8,FALSE),"Alerta: Seleccione la celda en la comumna AI con el concepto de gasto")</f>
        <v>Alerta: Seleccione la celda en la comumna AI con el concepto de gasto</v>
      </c>
      <c r="AU671" s="633"/>
      <c r="AV671" s="634" t="str">
        <f>IFERROR(VLOOKUP(AU671,Listas!$E$85:$F$105,2,FALSE),"Alerta: Seleccione el Concepto de Gasto primero")</f>
        <v>Alerta: Seleccione el Concepto de Gasto primero</v>
      </c>
      <c r="AW671" s="644"/>
      <c r="AX671" s="645"/>
      <c r="AY671" s="645"/>
      <c r="AZ671" s="645"/>
      <c r="BA671" s="646">
        <f t="shared" si="199"/>
        <v>0</v>
      </c>
      <c r="BB671" s="647"/>
      <c r="BC671" s="648"/>
      <c r="BD671" s="649"/>
      <c r="BE671" s="647"/>
      <c r="BF671" s="644"/>
      <c r="BG671" s="646">
        <f t="shared" si="200"/>
        <v>0</v>
      </c>
      <c r="BH671" s="650"/>
      <c r="BI671" s="647"/>
      <c r="BJ671" s="644"/>
      <c r="BK671" s="646">
        <f t="shared" si="201"/>
        <v>0</v>
      </c>
      <c r="BL671" s="651"/>
      <c r="BM671" s="652">
        <f t="shared" si="202"/>
        <v>1</v>
      </c>
      <c r="BN671" s="628"/>
      <c r="BO671" s="670"/>
      <c r="BP671" s="644"/>
      <c r="BQ671" s="644"/>
      <c r="BR671" s="644"/>
      <c r="BS671" s="644"/>
      <c r="BT671" s="644"/>
      <c r="BU671" s="644"/>
      <c r="BV671" s="644"/>
      <c r="BW671" s="644"/>
      <c r="BX671" s="644"/>
      <c r="BY671" s="644"/>
      <c r="BZ671" s="644"/>
      <c r="CA671" s="644"/>
      <c r="CB671" s="646">
        <f t="shared" si="203"/>
        <v>0</v>
      </c>
      <c r="CC671" s="646">
        <f t="shared" si="204"/>
        <v>0</v>
      </c>
      <c r="CD671" s="614"/>
    </row>
    <row r="672" spans="1:85" s="561" customFormat="1" ht="61.5" customHeight="1">
      <c r="A672" s="625" t="str">
        <f t="shared" ref="A672:A735" si="205">+CONCATENATE(B672,"-",AO672)</f>
        <v>proyecto-Alerta: Seleccione la celda en la comumna B con el nombre del proyecto-Al-Al--</v>
      </c>
      <c r="B672" s="626" t="str">
        <f t="shared" ref="B672:B735" si="206">CONCATENATE(RIGHT(K672,8),"-",AQ672,"-",LEFT(AS672,2),"-",LEFT(AT672,2),"-",LEFT(AU672,4))</f>
        <v>proyecto-Alerta: Seleccione la celda en la comumna B con el nombre del proyecto-Al-Al-</v>
      </c>
      <c r="C672" s="626" t="str">
        <f t="shared" ref="C672:C735" si="207">+CONCATENATE(RIGHT(K672,8),"-",AQ672,"-",AO672)</f>
        <v>proyecto-Alerta: Seleccione la celda en la comumna B con el nombre del proyecto-</v>
      </c>
      <c r="D672" s="626" t="str">
        <f t="shared" ref="D672:D735" si="208">+CONCATENATE(RIGHT(K672,8),"-",AR672,"-",LEFT(AS672,2),"-",LEFT(AT672,2),"-",LEFT(AU672,4))</f>
        <v>proyecto--Al-Al-</v>
      </c>
      <c r="E672" s="626" t="str">
        <f t="shared" si="190"/>
        <v>--</v>
      </c>
      <c r="F672" s="627"/>
      <c r="G672" s="628">
        <f t="shared" si="191"/>
        <v>0</v>
      </c>
      <c r="H672" s="629" t="b">
        <f t="shared" si="192"/>
        <v>1</v>
      </c>
      <c r="I672" s="630"/>
      <c r="J672" s="627"/>
      <c r="K672" s="631" t="str">
        <f>+IFERROR(VLOOKUP(J672,Listas!$A$108:$B$114,2,FALSE),"Alerta: Seleccione la celda en la comumna B con el nombre del proyecto")</f>
        <v>Alerta: Seleccione la celda en la comumna B con el nombre del proyecto</v>
      </c>
      <c r="L672" s="632"/>
      <c r="M672" s="633"/>
      <c r="N672" s="634" t="str">
        <f t="shared" si="193"/>
        <v xml:space="preserve">(Cód. ) </v>
      </c>
      <c r="O672" s="635"/>
      <c r="P672" s="636">
        <f>IFERROR(VLOOKUP(W672,'Estimación CRP'!$D$21:$E$30,2,FALSE),0)</f>
        <v>0</v>
      </c>
      <c r="Q672" s="637">
        <f>IF(O672="No aplica","No aplica",WORKDAY.INTL(O672,P672,1,'Estimación CRP'!A858:A874))</f>
        <v>0</v>
      </c>
      <c r="R672" s="636">
        <f t="shared" si="194"/>
        <v>1</v>
      </c>
      <c r="S672" s="636">
        <f t="shared" si="195"/>
        <v>1</v>
      </c>
      <c r="T672" s="636">
        <f t="shared" si="196"/>
        <v>1</v>
      </c>
      <c r="U672" s="638"/>
      <c r="V672" s="638"/>
      <c r="W672" s="639"/>
      <c r="X672" s="640" t="str">
        <f>IFERROR(VLOOKUP(W672,Listas!$A$60:$B$73,2,FALSE),"Alerta: Seleccione primero Modalidad de selección")</f>
        <v>Alerta: Seleccione primero Modalidad de selección</v>
      </c>
      <c r="Y672" s="641">
        <v>0</v>
      </c>
      <c r="Z672" s="641"/>
      <c r="AA672" s="641"/>
      <c r="AB672" s="642">
        <f t="shared" si="197"/>
        <v>0</v>
      </c>
      <c r="AC672" s="642">
        <f t="shared" si="198"/>
        <v>0</v>
      </c>
      <c r="AD672" s="641">
        <v>0</v>
      </c>
      <c r="AE672" s="643">
        <v>0</v>
      </c>
      <c r="AF672" s="639" t="s">
        <v>276</v>
      </c>
      <c r="AG672" s="639" t="s">
        <v>277</v>
      </c>
      <c r="AH672" s="639"/>
      <c r="AI672" s="626" t="str">
        <f>IFERROR(VLOOKUP(AH672,Listas!$A$77:$C$83,2,FALSE),"Alerta: Seleccione primero el responsable")</f>
        <v>Alerta: Seleccione primero el responsable</v>
      </c>
      <c r="AJ672" s="640" t="str">
        <f>IFERROR(VLOOKUP(AH672,Listas!$A$77:$C$83,3,FALSE),"Alerta: Seleccione primero el responsable")</f>
        <v>Alerta: Seleccione primero el responsable</v>
      </c>
      <c r="AK672" s="640" t="str">
        <f>IF(J672="Funcionamiento Gastos Generales","No aplica",IF(J672="Funcionamiento Servicios Personales indirectos","No aplica",IFERROR(VLOOKUP(J672,Listas!$A$127:$E$139,3,FALSE),"Alerta: Seleccione la celda en la comumna B con el nombre del proyecto")))</f>
        <v>Alerta: Seleccione la celda en la comumna B con el nombre del proyecto</v>
      </c>
      <c r="AL672" s="640" t="str">
        <f>IF(J672="Funcionamiento Gastos Generales","No aplica",IF(J672="Funcionamiento Servicios Personales","No aplica",IFERROR(VLOOKUP(J672,Listas!$A$220:$D$224,2,FALSE),"Alerta: Seleccione la celda en la comumna B con el nombre del proyecto")))</f>
        <v>Alerta: Seleccione la celda en la comumna B con el nombre del proyecto</v>
      </c>
      <c r="AM672" s="640" t="str">
        <f>IF(J672="Funcionamiento Gastos Generales","No aplica",IF(J672="Funcionamiento Servicios Personales","No aplica",IFERROR(VLOOKUP(J672,Listas!$A$220:$D$224,3,FALSE),"Alerta: Seleccione la celda en la comumna B con el nombre del proyecto")))</f>
        <v>Alerta: Seleccione la celda en la comumna B con el nombre del proyecto</v>
      </c>
      <c r="AN672" s="633"/>
      <c r="AO672" s="633"/>
      <c r="AP672" s="634" t="str">
        <f>IFERROR(VLOOKUP(J672,Listas!$A$182:$E$215,5,FALSE),"Alerta: Seleccione la celda en la comumna B con el nombre del proyecto")</f>
        <v>Alerta: Seleccione la celda en la comumna B con el nombre del proyecto</v>
      </c>
      <c r="AQ672" s="634" t="str">
        <f>IF(J672="Funcionamiento Gastos Generales","No aplica",IF(J672="Funcionamiento Servicios Personales","No aplica",IFERROR(VLOOKUP(J672,Listas!$A$220:$D$224,4,FALSE),"Alerta: Seleccione la celda en la comumna B con el nombre del proyecto")))</f>
        <v>Alerta: Seleccione la celda en la comumna B con el nombre del proyecto</v>
      </c>
      <c r="AR672" s="633"/>
      <c r="AS672" s="634" t="str">
        <f>IFERROR(VLOOKUP(AU672,Listas!$E$85:$L$105,7,FALSE),"Alerta: Seleccione la celda en la comumna AI con el concepto de gasto")</f>
        <v>Alerta: Seleccione la celda en la comumna AI con el concepto de gasto</v>
      </c>
      <c r="AT672" s="634" t="str">
        <f>IFERROR(VLOOKUP(AU672,Listas!$E$85:$L$105,8,FALSE),"Alerta: Seleccione la celda en la comumna AI con el concepto de gasto")</f>
        <v>Alerta: Seleccione la celda en la comumna AI con el concepto de gasto</v>
      </c>
      <c r="AU672" s="633"/>
      <c r="AV672" s="634" t="str">
        <f>IFERROR(VLOOKUP(AU672,Listas!$E$85:$F$105,2,FALSE),"Alerta: Seleccione el Concepto de Gasto primero")</f>
        <v>Alerta: Seleccione el Concepto de Gasto primero</v>
      </c>
      <c r="AW672" s="644"/>
      <c r="AX672" s="645"/>
      <c r="AY672" s="645"/>
      <c r="AZ672" s="645"/>
      <c r="BA672" s="646">
        <f t="shared" si="199"/>
        <v>0</v>
      </c>
      <c r="BB672" s="647"/>
      <c r="BC672" s="648"/>
      <c r="BD672" s="649"/>
      <c r="BE672" s="647"/>
      <c r="BF672" s="644"/>
      <c r="BG672" s="646">
        <f t="shared" si="200"/>
        <v>0</v>
      </c>
      <c r="BH672" s="650"/>
      <c r="BI672" s="647"/>
      <c r="BJ672" s="644"/>
      <c r="BK672" s="646">
        <f t="shared" si="201"/>
        <v>0</v>
      </c>
      <c r="BL672" s="651"/>
      <c r="BM672" s="652">
        <f t="shared" si="202"/>
        <v>1</v>
      </c>
      <c r="BN672" s="628"/>
      <c r="BO672" s="670"/>
      <c r="BP672" s="644"/>
      <c r="BQ672" s="644"/>
      <c r="BR672" s="644"/>
      <c r="BS672" s="644"/>
      <c r="BT672" s="644"/>
      <c r="BU672" s="644"/>
      <c r="BV672" s="644"/>
      <c r="BW672" s="644"/>
      <c r="BX672" s="644"/>
      <c r="BY672" s="644"/>
      <c r="BZ672" s="644"/>
      <c r="CA672" s="644"/>
      <c r="CB672" s="646">
        <f t="shared" si="203"/>
        <v>0</v>
      </c>
      <c r="CC672" s="646">
        <f t="shared" si="204"/>
        <v>0</v>
      </c>
      <c r="CD672" s="614"/>
    </row>
    <row r="673" spans="1:85" s="561" customFormat="1" ht="61.5" customHeight="1">
      <c r="A673" s="625" t="str">
        <f t="shared" si="205"/>
        <v>proyecto-Alerta: Seleccione la celda en la comumna B con el nombre del proyecto-Al-Al--</v>
      </c>
      <c r="B673" s="626" t="str">
        <f t="shared" si="206"/>
        <v>proyecto-Alerta: Seleccione la celda en la comumna B con el nombre del proyecto-Al-Al-</v>
      </c>
      <c r="C673" s="626" t="str">
        <f t="shared" si="207"/>
        <v>proyecto-Alerta: Seleccione la celda en la comumna B con el nombre del proyecto-</v>
      </c>
      <c r="D673" s="626" t="str">
        <f t="shared" si="208"/>
        <v>proyecto--Al-Al-</v>
      </c>
      <c r="E673" s="626" t="str">
        <f t="shared" ref="E673:E736" si="209">+CONCATENATE(AO673,"-",AR673,"-",AU673)</f>
        <v>--</v>
      </c>
      <c r="F673" s="627"/>
      <c r="G673" s="628">
        <f t="shared" ref="G673:G736" si="210">+F673</f>
        <v>0</v>
      </c>
      <c r="H673" s="629" t="b">
        <f t="shared" ref="H673:H736" si="211">+G673=G672</f>
        <v>1</v>
      </c>
      <c r="I673" s="630"/>
      <c r="J673" s="627"/>
      <c r="K673" s="631" t="str">
        <f>+IFERROR(VLOOKUP(J673,Listas!$A$108:$B$114,2,FALSE),"Alerta: Seleccione la celda en la comumna B con el nombre del proyecto")</f>
        <v>Alerta: Seleccione la celda en la comumna B con el nombre del proyecto</v>
      </c>
      <c r="L673" s="632"/>
      <c r="M673" s="633"/>
      <c r="N673" s="634" t="str">
        <f t="shared" ref="N673:N736" si="212">+CONCATENATE("(Cód. ",F673,") ",M673)</f>
        <v xml:space="preserve">(Cód. ) </v>
      </c>
      <c r="O673" s="635"/>
      <c r="P673" s="636">
        <f>IFERROR(VLOOKUP(W673,'Estimación CRP'!$D$21:$E$30,2,FALSE),0)</f>
        <v>0</v>
      </c>
      <c r="Q673" s="637">
        <f>IF(O673="No aplica","No aplica",WORKDAY.INTL(O673,P673,1,'Estimación CRP'!A859:A875))</f>
        <v>0</v>
      </c>
      <c r="R673" s="636">
        <f t="shared" ref="R673:R736" si="213">IF(O673="No aplica","No aplica",MONTH(Q673))</f>
        <v>1</v>
      </c>
      <c r="S673" s="636">
        <f t="shared" ref="S673:S736" si="214">IF(O673="No aplica","No aplica",MONTH(O673))</f>
        <v>1</v>
      </c>
      <c r="T673" s="636">
        <f t="shared" ref="T673:T736" si="215">IF(O673="No aplica","No aplica",S673)</f>
        <v>1</v>
      </c>
      <c r="U673" s="638"/>
      <c r="V673" s="638"/>
      <c r="W673" s="639"/>
      <c r="X673" s="640" t="str">
        <f>IFERROR(VLOOKUP(W673,Listas!$A$60:$B$73,2,FALSE),"Alerta: Seleccione primero Modalidad de selección")</f>
        <v>Alerta: Seleccione primero Modalidad de selección</v>
      </c>
      <c r="Y673" s="641">
        <v>0</v>
      </c>
      <c r="Z673" s="641"/>
      <c r="AA673" s="641"/>
      <c r="AB673" s="642">
        <f t="shared" ref="AB673:AB736" si="216">+BA673</f>
        <v>0</v>
      </c>
      <c r="AC673" s="642">
        <f t="shared" ref="AC673:AC736" si="217">+AB673</f>
        <v>0</v>
      </c>
      <c r="AD673" s="641">
        <v>0</v>
      </c>
      <c r="AE673" s="643">
        <v>0</v>
      </c>
      <c r="AF673" s="639" t="s">
        <v>276</v>
      </c>
      <c r="AG673" s="639" t="s">
        <v>277</v>
      </c>
      <c r="AH673" s="639"/>
      <c r="AI673" s="626" t="str">
        <f>IFERROR(VLOOKUP(AH673,Listas!$A$77:$C$83,2,FALSE),"Alerta: Seleccione primero el responsable")</f>
        <v>Alerta: Seleccione primero el responsable</v>
      </c>
      <c r="AJ673" s="640" t="str">
        <f>IFERROR(VLOOKUP(AH673,Listas!$A$77:$C$83,3,FALSE),"Alerta: Seleccione primero el responsable")</f>
        <v>Alerta: Seleccione primero el responsable</v>
      </c>
      <c r="AK673" s="640" t="str">
        <f>IF(J673="Funcionamiento Gastos Generales","No aplica",IF(J673="Funcionamiento Servicios Personales indirectos","No aplica",IFERROR(VLOOKUP(J673,Listas!$A$127:$E$139,3,FALSE),"Alerta: Seleccione la celda en la comumna B con el nombre del proyecto")))</f>
        <v>Alerta: Seleccione la celda en la comumna B con el nombre del proyecto</v>
      </c>
      <c r="AL673" s="640" t="str">
        <f>IF(J673="Funcionamiento Gastos Generales","No aplica",IF(J673="Funcionamiento Servicios Personales","No aplica",IFERROR(VLOOKUP(J673,Listas!$A$220:$D$224,2,FALSE),"Alerta: Seleccione la celda en la comumna B con el nombre del proyecto")))</f>
        <v>Alerta: Seleccione la celda en la comumna B con el nombre del proyecto</v>
      </c>
      <c r="AM673" s="640" t="str">
        <f>IF(J673="Funcionamiento Gastos Generales","No aplica",IF(J673="Funcionamiento Servicios Personales","No aplica",IFERROR(VLOOKUP(J673,Listas!$A$220:$D$224,3,FALSE),"Alerta: Seleccione la celda en la comumna B con el nombre del proyecto")))</f>
        <v>Alerta: Seleccione la celda en la comumna B con el nombre del proyecto</v>
      </c>
      <c r="AN673" s="633"/>
      <c r="AO673" s="633"/>
      <c r="AP673" s="634" t="str">
        <f>IFERROR(VLOOKUP(J673,Listas!$A$182:$E$215,5,FALSE),"Alerta: Seleccione la celda en la comumna B con el nombre del proyecto")</f>
        <v>Alerta: Seleccione la celda en la comumna B con el nombre del proyecto</v>
      </c>
      <c r="AQ673" s="634" t="str">
        <f>IF(J673="Funcionamiento Gastos Generales","No aplica",IF(J673="Funcionamiento Servicios Personales","No aplica",IFERROR(VLOOKUP(J673,Listas!$A$220:$D$224,4,FALSE),"Alerta: Seleccione la celda en la comumna B con el nombre del proyecto")))</f>
        <v>Alerta: Seleccione la celda en la comumna B con el nombre del proyecto</v>
      </c>
      <c r="AR673" s="633"/>
      <c r="AS673" s="634" t="str">
        <f>IFERROR(VLOOKUP(AU673,Listas!$E$85:$L$105,7,FALSE),"Alerta: Seleccione la celda en la comumna AI con el concepto de gasto")</f>
        <v>Alerta: Seleccione la celda en la comumna AI con el concepto de gasto</v>
      </c>
      <c r="AT673" s="634" t="str">
        <f>IFERROR(VLOOKUP(AU673,Listas!$E$85:$L$105,8,FALSE),"Alerta: Seleccione la celda en la comumna AI con el concepto de gasto")</f>
        <v>Alerta: Seleccione la celda en la comumna AI con el concepto de gasto</v>
      </c>
      <c r="AU673" s="633"/>
      <c r="AV673" s="634" t="str">
        <f>IFERROR(VLOOKUP(AU673,Listas!$E$85:$F$105,2,FALSE),"Alerta: Seleccione el Concepto de Gasto primero")</f>
        <v>Alerta: Seleccione el Concepto de Gasto primero</v>
      </c>
      <c r="AW673" s="644"/>
      <c r="AX673" s="645"/>
      <c r="AY673" s="645"/>
      <c r="AZ673" s="645"/>
      <c r="BA673" s="646">
        <f t="shared" ref="BA673:BA736" si="218">+AW673+AX673+AY673-AZ673</f>
        <v>0</v>
      </c>
      <c r="BB673" s="647"/>
      <c r="BC673" s="648"/>
      <c r="BD673" s="649"/>
      <c r="BE673" s="647"/>
      <c r="BF673" s="644"/>
      <c r="BG673" s="646">
        <f t="shared" ref="BG673:BG736" si="219">+BA673-BF673</f>
        <v>0</v>
      </c>
      <c r="BH673" s="650"/>
      <c r="BI673" s="647"/>
      <c r="BJ673" s="644"/>
      <c r="BK673" s="646">
        <f t="shared" ref="BK673:BK736" si="220">BF673-BJ673</f>
        <v>0</v>
      </c>
      <c r="BL673" s="651"/>
      <c r="BM673" s="652">
        <f t="shared" ref="BM673:BM736" si="221">MONTH(BL673)</f>
        <v>1</v>
      </c>
      <c r="BN673" s="628"/>
      <c r="BO673" s="670"/>
      <c r="BP673" s="644"/>
      <c r="BQ673" s="644"/>
      <c r="BR673" s="644"/>
      <c r="BS673" s="644"/>
      <c r="BT673" s="644"/>
      <c r="BU673" s="644"/>
      <c r="BV673" s="644"/>
      <c r="BW673" s="644"/>
      <c r="BX673" s="644"/>
      <c r="BY673" s="644"/>
      <c r="BZ673" s="644"/>
      <c r="CA673" s="644"/>
      <c r="CB673" s="646">
        <f t="shared" ref="CB673:CB736" si="222">+SUM(BP673:CA673)</f>
        <v>0</v>
      </c>
      <c r="CC673" s="646">
        <f t="shared" ref="CC673:CC736" si="223">BJ673-CB673</f>
        <v>0</v>
      </c>
      <c r="CD673" s="614"/>
    </row>
    <row r="674" spans="1:85" s="561" customFormat="1" ht="61.5" customHeight="1">
      <c r="A674" s="625" t="str">
        <f t="shared" si="205"/>
        <v>proyecto-Alerta: Seleccione la celda en la comumna B con el nombre del proyecto-Al-Al--</v>
      </c>
      <c r="B674" s="626" t="str">
        <f t="shared" si="206"/>
        <v>proyecto-Alerta: Seleccione la celda en la comumna B con el nombre del proyecto-Al-Al-</v>
      </c>
      <c r="C674" s="626" t="str">
        <f t="shared" si="207"/>
        <v>proyecto-Alerta: Seleccione la celda en la comumna B con el nombre del proyecto-</v>
      </c>
      <c r="D674" s="626" t="str">
        <f t="shared" si="208"/>
        <v>proyecto--Al-Al-</v>
      </c>
      <c r="E674" s="626" t="str">
        <f t="shared" si="209"/>
        <v>--</v>
      </c>
      <c r="F674" s="627"/>
      <c r="G674" s="628">
        <f t="shared" si="210"/>
        <v>0</v>
      </c>
      <c r="H674" s="629" t="b">
        <f t="shared" si="211"/>
        <v>1</v>
      </c>
      <c r="I674" s="630"/>
      <c r="J674" s="627"/>
      <c r="K674" s="631" t="str">
        <f>+IFERROR(VLOOKUP(J674,Listas!$A$108:$B$114,2,FALSE),"Alerta: Seleccione la celda en la comumna B con el nombre del proyecto")</f>
        <v>Alerta: Seleccione la celda en la comumna B con el nombre del proyecto</v>
      </c>
      <c r="L674" s="632"/>
      <c r="M674" s="633"/>
      <c r="N674" s="634" t="str">
        <f t="shared" si="212"/>
        <v xml:space="preserve">(Cód. ) </v>
      </c>
      <c r="O674" s="635"/>
      <c r="P674" s="636">
        <f>IFERROR(VLOOKUP(W674,'Estimación CRP'!$D$21:$E$30,2,FALSE),0)</f>
        <v>0</v>
      </c>
      <c r="Q674" s="637">
        <f>IF(O674="No aplica","No aplica",WORKDAY.INTL(O674,P674,1,'Estimación CRP'!A860:A876))</f>
        <v>0</v>
      </c>
      <c r="R674" s="636">
        <f t="shared" si="213"/>
        <v>1</v>
      </c>
      <c r="S674" s="636">
        <f t="shared" si="214"/>
        <v>1</v>
      </c>
      <c r="T674" s="636">
        <f t="shared" si="215"/>
        <v>1</v>
      </c>
      <c r="U674" s="638"/>
      <c r="V674" s="638"/>
      <c r="W674" s="639"/>
      <c r="X674" s="640" t="str">
        <f>IFERROR(VLOOKUP(W674,Listas!$A$60:$B$73,2,FALSE),"Alerta: Seleccione primero Modalidad de selección")</f>
        <v>Alerta: Seleccione primero Modalidad de selección</v>
      </c>
      <c r="Y674" s="641">
        <v>0</v>
      </c>
      <c r="Z674" s="641"/>
      <c r="AA674" s="641"/>
      <c r="AB674" s="642">
        <f t="shared" si="216"/>
        <v>0</v>
      </c>
      <c r="AC674" s="642">
        <f t="shared" si="217"/>
        <v>0</v>
      </c>
      <c r="AD674" s="641">
        <v>0</v>
      </c>
      <c r="AE674" s="643">
        <v>0</v>
      </c>
      <c r="AF674" s="639" t="s">
        <v>276</v>
      </c>
      <c r="AG674" s="639" t="s">
        <v>277</v>
      </c>
      <c r="AH674" s="639"/>
      <c r="AI674" s="626" t="str">
        <f>IFERROR(VLOOKUP(AH674,Listas!$A$77:$C$83,2,FALSE),"Alerta: Seleccione primero el responsable")</f>
        <v>Alerta: Seleccione primero el responsable</v>
      </c>
      <c r="AJ674" s="640" t="str">
        <f>IFERROR(VLOOKUP(AH674,Listas!$A$77:$C$83,3,FALSE),"Alerta: Seleccione primero el responsable")</f>
        <v>Alerta: Seleccione primero el responsable</v>
      </c>
      <c r="AK674" s="640" t="str">
        <f>IF(J674="Funcionamiento Gastos Generales","No aplica",IF(J674="Funcionamiento Servicios Personales indirectos","No aplica",IFERROR(VLOOKUP(J674,Listas!$A$127:$E$139,3,FALSE),"Alerta: Seleccione la celda en la comumna B con el nombre del proyecto")))</f>
        <v>Alerta: Seleccione la celda en la comumna B con el nombre del proyecto</v>
      </c>
      <c r="AL674" s="640" t="str">
        <f>IF(J674="Funcionamiento Gastos Generales","No aplica",IF(J674="Funcionamiento Servicios Personales","No aplica",IFERROR(VLOOKUP(J674,Listas!$A$220:$D$224,2,FALSE),"Alerta: Seleccione la celda en la comumna B con el nombre del proyecto")))</f>
        <v>Alerta: Seleccione la celda en la comumna B con el nombre del proyecto</v>
      </c>
      <c r="AM674" s="640" t="str">
        <f>IF(J674="Funcionamiento Gastos Generales","No aplica",IF(J674="Funcionamiento Servicios Personales","No aplica",IFERROR(VLOOKUP(J674,Listas!$A$220:$D$224,3,FALSE),"Alerta: Seleccione la celda en la comumna B con el nombre del proyecto")))</f>
        <v>Alerta: Seleccione la celda en la comumna B con el nombre del proyecto</v>
      </c>
      <c r="AN674" s="633"/>
      <c r="AO674" s="633"/>
      <c r="AP674" s="634" t="str">
        <f>IFERROR(VLOOKUP(J674,Listas!$A$182:$E$215,5,FALSE),"Alerta: Seleccione la celda en la comumna B con el nombre del proyecto")</f>
        <v>Alerta: Seleccione la celda en la comumna B con el nombre del proyecto</v>
      </c>
      <c r="AQ674" s="634" t="str">
        <f>IF(J674="Funcionamiento Gastos Generales","No aplica",IF(J674="Funcionamiento Servicios Personales","No aplica",IFERROR(VLOOKUP(J674,Listas!$A$220:$D$224,4,FALSE),"Alerta: Seleccione la celda en la comumna B con el nombre del proyecto")))</f>
        <v>Alerta: Seleccione la celda en la comumna B con el nombre del proyecto</v>
      </c>
      <c r="AR674" s="633"/>
      <c r="AS674" s="634" t="str">
        <f>IFERROR(VLOOKUP(AU674,Listas!$E$85:$L$105,7,FALSE),"Alerta: Seleccione la celda en la comumna AI con el concepto de gasto")</f>
        <v>Alerta: Seleccione la celda en la comumna AI con el concepto de gasto</v>
      </c>
      <c r="AT674" s="634" t="str">
        <f>IFERROR(VLOOKUP(AU674,Listas!$E$85:$L$105,8,FALSE),"Alerta: Seleccione la celda en la comumna AI con el concepto de gasto")</f>
        <v>Alerta: Seleccione la celda en la comumna AI con el concepto de gasto</v>
      </c>
      <c r="AU674" s="633"/>
      <c r="AV674" s="634" t="str">
        <f>IFERROR(VLOOKUP(AU674,Listas!$E$85:$F$105,2,FALSE),"Alerta: Seleccione el Concepto de Gasto primero")</f>
        <v>Alerta: Seleccione el Concepto de Gasto primero</v>
      </c>
      <c r="AW674" s="644"/>
      <c r="AX674" s="645"/>
      <c r="AY674" s="645"/>
      <c r="AZ674" s="645"/>
      <c r="BA674" s="646">
        <f t="shared" si="218"/>
        <v>0</v>
      </c>
      <c r="BB674" s="647"/>
      <c r="BC674" s="648"/>
      <c r="BD674" s="649"/>
      <c r="BE674" s="647"/>
      <c r="BF674" s="644"/>
      <c r="BG674" s="646">
        <f t="shared" si="219"/>
        <v>0</v>
      </c>
      <c r="BH674" s="650"/>
      <c r="BI674" s="647"/>
      <c r="BJ674" s="644"/>
      <c r="BK674" s="646">
        <f t="shared" si="220"/>
        <v>0</v>
      </c>
      <c r="BL674" s="651"/>
      <c r="BM674" s="652">
        <f t="shared" si="221"/>
        <v>1</v>
      </c>
      <c r="BN674" s="628"/>
      <c r="BO674" s="670"/>
      <c r="BP674" s="644"/>
      <c r="BQ674" s="644"/>
      <c r="BR674" s="644"/>
      <c r="BS674" s="644"/>
      <c r="BT674" s="644"/>
      <c r="BU674" s="644"/>
      <c r="BV674" s="644"/>
      <c r="BW674" s="644"/>
      <c r="BX674" s="644"/>
      <c r="BY674" s="644"/>
      <c r="BZ674" s="644"/>
      <c r="CA674" s="644"/>
      <c r="CB674" s="646">
        <f t="shared" si="222"/>
        <v>0</v>
      </c>
      <c r="CC674" s="646">
        <f t="shared" si="223"/>
        <v>0</v>
      </c>
      <c r="CD674" s="614"/>
    </row>
    <row r="675" spans="1:85" s="561" customFormat="1" ht="61.5" customHeight="1">
      <c r="A675" s="625" t="str">
        <f t="shared" si="205"/>
        <v>proyecto-Alerta: Seleccione la celda en la comumna B con el nombre del proyecto-Al-Al--</v>
      </c>
      <c r="B675" s="626" t="str">
        <f t="shared" si="206"/>
        <v>proyecto-Alerta: Seleccione la celda en la comumna B con el nombre del proyecto-Al-Al-</v>
      </c>
      <c r="C675" s="626" t="str">
        <f t="shared" si="207"/>
        <v>proyecto-Alerta: Seleccione la celda en la comumna B con el nombre del proyecto-</v>
      </c>
      <c r="D675" s="626" t="str">
        <f t="shared" si="208"/>
        <v>proyecto--Al-Al-</v>
      </c>
      <c r="E675" s="626" t="str">
        <f t="shared" si="209"/>
        <v>--</v>
      </c>
      <c r="F675" s="627"/>
      <c r="G675" s="628">
        <f t="shared" si="210"/>
        <v>0</v>
      </c>
      <c r="H675" s="629" t="b">
        <f t="shared" si="211"/>
        <v>1</v>
      </c>
      <c r="I675" s="630"/>
      <c r="J675" s="627"/>
      <c r="K675" s="631" t="str">
        <f>+IFERROR(VLOOKUP(J675,Listas!$A$108:$B$114,2,FALSE),"Alerta: Seleccione la celda en la comumna B con el nombre del proyecto")</f>
        <v>Alerta: Seleccione la celda en la comumna B con el nombre del proyecto</v>
      </c>
      <c r="L675" s="632"/>
      <c r="M675" s="633"/>
      <c r="N675" s="634" t="str">
        <f t="shared" si="212"/>
        <v xml:space="preserve">(Cód. ) </v>
      </c>
      <c r="O675" s="635"/>
      <c r="P675" s="636">
        <f>IFERROR(VLOOKUP(W675,'Estimación CRP'!$D$21:$E$30,2,FALSE),0)</f>
        <v>0</v>
      </c>
      <c r="Q675" s="637">
        <f>IF(O675="No aplica","No aplica",WORKDAY.INTL(O675,P675,1,'Estimación CRP'!A861:A877))</f>
        <v>0</v>
      </c>
      <c r="R675" s="636">
        <f t="shared" si="213"/>
        <v>1</v>
      </c>
      <c r="S675" s="636">
        <f t="shared" si="214"/>
        <v>1</v>
      </c>
      <c r="T675" s="636">
        <f t="shared" si="215"/>
        <v>1</v>
      </c>
      <c r="U675" s="638"/>
      <c r="V675" s="638"/>
      <c r="W675" s="639"/>
      <c r="X675" s="640" t="str">
        <f>IFERROR(VLOOKUP(W675,Listas!$A$60:$B$73,2,FALSE),"Alerta: Seleccione primero Modalidad de selección")</f>
        <v>Alerta: Seleccione primero Modalidad de selección</v>
      </c>
      <c r="Y675" s="641">
        <v>0</v>
      </c>
      <c r="Z675" s="641"/>
      <c r="AA675" s="641"/>
      <c r="AB675" s="642">
        <f t="shared" si="216"/>
        <v>0</v>
      </c>
      <c r="AC675" s="642">
        <f t="shared" si="217"/>
        <v>0</v>
      </c>
      <c r="AD675" s="641">
        <v>0</v>
      </c>
      <c r="AE675" s="643">
        <v>0</v>
      </c>
      <c r="AF675" s="639" t="s">
        <v>276</v>
      </c>
      <c r="AG675" s="639" t="s">
        <v>277</v>
      </c>
      <c r="AH675" s="639"/>
      <c r="AI675" s="626" t="str">
        <f>IFERROR(VLOOKUP(AH675,Listas!$A$77:$C$83,2,FALSE),"Alerta: Seleccione primero el responsable")</f>
        <v>Alerta: Seleccione primero el responsable</v>
      </c>
      <c r="AJ675" s="640" t="str">
        <f>IFERROR(VLOOKUP(AH675,Listas!$A$77:$C$83,3,FALSE),"Alerta: Seleccione primero el responsable")</f>
        <v>Alerta: Seleccione primero el responsable</v>
      </c>
      <c r="AK675" s="640" t="str">
        <f>IF(J675="Funcionamiento Gastos Generales","No aplica",IF(J675="Funcionamiento Servicios Personales indirectos","No aplica",IFERROR(VLOOKUP(J675,Listas!$A$127:$E$139,3,FALSE),"Alerta: Seleccione la celda en la comumna B con el nombre del proyecto")))</f>
        <v>Alerta: Seleccione la celda en la comumna B con el nombre del proyecto</v>
      </c>
      <c r="AL675" s="640" t="str">
        <f>IF(J675="Funcionamiento Gastos Generales","No aplica",IF(J675="Funcionamiento Servicios Personales","No aplica",IFERROR(VLOOKUP(J675,Listas!$A$220:$D$224,2,FALSE),"Alerta: Seleccione la celda en la comumna B con el nombre del proyecto")))</f>
        <v>Alerta: Seleccione la celda en la comumna B con el nombre del proyecto</v>
      </c>
      <c r="AM675" s="640" t="str">
        <f>IF(J675="Funcionamiento Gastos Generales","No aplica",IF(J675="Funcionamiento Servicios Personales","No aplica",IFERROR(VLOOKUP(J675,Listas!$A$220:$D$224,3,FALSE),"Alerta: Seleccione la celda en la comumna B con el nombre del proyecto")))</f>
        <v>Alerta: Seleccione la celda en la comumna B con el nombre del proyecto</v>
      </c>
      <c r="AN675" s="633"/>
      <c r="AO675" s="633"/>
      <c r="AP675" s="634" t="str">
        <f>IFERROR(VLOOKUP(J675,Listas!$A$182:$E$215,5,FALSE),"Alerta: Seleccione la celda en la comumna B con el nombre del proyecto")</f>
        <v>Alerta: Seleccione la celda en la comumna B con el nombre del proyecto</v>
      </c>
      <c r="AQ675" s="634" t="str">
        <f>IF(J675="Funcionamiento Gastos Generales","No aplica",IF(J675="Funcionamiento Servicios Personales","No aplica",IFERROR(VLOOKUP(J675,Listas!$A$220:$D$224,4,FALSE),"Alerta: Seleccione la celda en la comumna B con el nombre del proyecto")))</f>
        <v>Alerta: Seleccione la celda en la comumna B con el nombre del proyecto</v>
      </c>
      <c r="AR675" s="633"/>
      <c r="AS675" s="634" t="str">
        <f>IFERROR(VLOOKUP(AU675,Listas!$E$85:$L$105,7,FALSE),"Alerta: Seleccione la celda en la comumna AI con el concepto de gasto")</f>
        <v>Alerta: Seleccione la celda en la comumna AI con el concepto de gasto</v>
      </c>
      <c r="AT675" s="634" t="str">
        <f>IFERROR(VLOOKUP(AU675,Listas!$E$85:$L$105,8,FALSE),"Alerta: Seleccione la celda en la comumna AI con el concepto de gasto")</f>
        <v>Alerta: Seleccione la celda en la comumna AI con el concepto de gasto</v>
      </c>
      <c r="AU675" s="633"/>
      <c r="AV675" s="634" t="str">
        <f>IFERROR(VLOOKUP(AU675,Listas!$E$85:$F$105,2,FALSE),"Alerta: Seleccione el Concepto de Gasto primero")</f>
        <v>Alerta: Seleccione el Concepto de Gasto primero</v>
      </c>
      <c r="AW675" s="644"/>
      <c r="AX675" s="645"/>
      <c r="AY675" s="645"/>
      <c r="AZ675" s="645"/>
      <c r="BA675" s="646">
        <f t="shared" si="218"/>
        <v>0</v>
      </c>
      <c r="BB675" s="647"/>
      <c r="BC675" s="648"/>
      <c r="BD675" s="649"/>
      <c r="BE675" s="647"/>
      <c r="BF675" s="644"/>
      <c r="BG675" s="646">
        <f t="shared" si="219"/>
        <v>0</v>
      </c>
      <c r="BH675" s="650"/>
      <c r="BI675" s="647"/>
      <c r="BJ675" s="644"/>
      <c r="BK675" s="646">
        <f t="shared" si="220"/>
        <v>0</v>
      </c>
      <c r="BL675" s="651"/>
      <c r="BM675" s="652">
        <f t="shared" si="221"/>
        <v>1</v>
      </c>
      <c r="BN675" s="628"/>
      <c r="BO675" s="670"/>
      <c r="BP675" s="644"/>
      <c r="BQ675" s="644"/>
      <c r="BR675" s="644"/>
      <c r="BS675" s="644"/>
      <c r="BT675" s="644"/>
      <c r="BU675" s="644"/>
      <c r="BV675" s="644"/>
      <c r="BW675" s="644"/>
      <c r="BX675" s="644"/>
      <c r="BY675" s="644"/>
      <c r="BZ675" s="644"/>
      <c r="CA675" s="644"/>
      <c r="CB675" s="646">
        <f t="shared" si="222"/>
        <v>0</v>
      </c>
      <c r="CC675" s="646">
        <f t="shared" si="223"/>
        <v>0</v>
      </c>
      <c r="CD675" s="614"/>
    </row>
    <row r="676" spans="1:85" s="561" customFormat="1" ht="61.5" customHeight="1">
      <c r="A676" s="625" t="str">
        <f t="shared" si="205"/>
        <v>proyecto-Alerta: Seleccione la celda en la comumna B con el nombre del proyecto-Al-Al--</v>
      </c>
      <c r="B676" s="626" t="str">
        <f t="shared" si="206"/>
        <v>proyecto-Alerta: Seleccione la celda en la comumna B con el nombre del proyecto-Al-Al-</v>
      </c>
      <c r="C676" s="626" t="str">
        <f t="shared" si="207"/>
        <v>proyecto-Alerta: Seleccione la celda en la comumna B con el nombre del proyecto-</v>
      </c>
      <c r="D676" s="626" t="str">
        <f t="shared" si="208"/>
        <v>proyecto--Al-Al-</v>
      </c>
      <c r="E676" s="626" t="str">
        <f t="shared" si="209"/>
        <v>--</v>
      </c>
      <c r="F676" s="627"/>
      <c r="G676" s="628">
        <f t="shared" si="210"/>
        <v>0</v>
      </c>
      <c r="H676" s="629" t="b">
        <f t="shared" si="211"/>
        <v>1</v>
      </c>
      <c r="I676" s="630"/>
      <c r="J676" s="627"/>
      <c r="K676" s="631" t="str">
        <f>+IFERROR(VLOOKUP(J676,Listas!$A$108:$B$114,2,FALSE),"Alerta: Seleccione la celda en la comumna B con el nombre del proyecto")</f>
        <v>Alerta: Seleccione la celda en la comumna B con el nombre del proyecto</v>
      </c>
      <c r="L676" s="632"/>
      <c r="M676" s="633"/>
      <c r="N676" s="634" t="str">
        <f t="shared" si="212"/>
        <v xml:space="preserve">(Cód. ) </v>
      </c>
      <c r="O676" s="635"/>
      <c r="P676" s="636">
        <f>IFERROR(VLOOKUP(W676,'Estimación CRP'!$D$21:$E$30,2,FALSE),0)</f>
        <v>0</v>
      </c>
      <c r="Q676" s="637">
        <f>IF(O676="No aplica","No aplica",WORKDAY.INTL(O676,P676,1,'Estimación CRP'!A862:A878))</f>
        <v>0</v>
      </c>
      <c r="R676" s="636">
        <f t="shared" si="213"/>
        <v>1</v>
      </c>
      <c r="S676" s="636">
        <f t="shared" si="214"/>
        <v>1</v>
      </c>
      <c r="T676" s="636">
        <f t="shared" si="215"/>
        <v>1</v>
      </c>
      <c r="U676" s="638"/>
      <c r="V676" s="638"/>
      <c r="W676" s="639"/>
      <c r="X676" s="640" t="str">
        <f>IFERROR(VLOOKUP(W676,Listas!$A$60:$B$73,2,FALSE),"Alerta: Seleccione primero Modalidad de selección")</f>
        <v>Alerta: Seleccione primero Modalidad de selección</v>
      </c>
      <c r="Y676" s="641">
        <v>0</v>
      </c>
      <c r="Z676" s="641"/>
      <c r="AA676" s="641"/>
      <c r="AB676" s="642">
        <f t="shared" si="216"/>
        <v>0</v>
      </c>
      <c r="AC676" s="642">
        <f t="shared" si="217"/>
        <v>0</v>
      </c>
      <c r="AD676" s="641">
        <v>0</v>
      </c>
      <c r="AE676" s="643">
        <v>0</v>
      </c>
      <c r="AF676" s="639" t="s">
        <v>276</v>
      </c>
      <c r="AG676" s="639" t="s">
        <v>277</v>
      </c>
      <c r="AH676" s="639"/>
      <c r="AI676" s="626" t="str">
        <f>IFERROR(VLOOKUP(AH676,Listas!$A$77:$C$83,2,FALSE),"Alerta: Seleccione primero el responsable")</f>
        <v>Alerta: Seleccione primero el responsable</v>
      </c>
      <c r="AJ676" s="640" t="str">
        <f>IFERROR(VLOOKUP(AH676,Listas!$A$77:$C$83,3,FALSE),"Alerta: Seleccione primero el responsable")</f>
        <v>Alerta: Seleccione primero el responsable</v>
      </c>
      <c r="AK676" s="640" t="str">
        <f>IF(J676="Funcionamiento Gastos Generales","No aplica",IF(J676="Funcionamiento Servicios Personales indirectos","No aplica",IFERROR(VLOOKUP(J676,Listas!$A$127:$E$139,3,FALSE),"Alerta: Seleccione la celda en la comumna B con el nombre del proyecto")))</f>
        <v>Alerta: Seleccione la celda en la comumna B con el nombre del proyecto</v>
      </c>
      <c r="AL676" s="640" t="str">
        <f>IF(J676="Funcionamiento Gastos Generales","No aplica",IF(J676="Funcionamiento Servicios Personales","No aplica",IFERROR(VLOOKUP(J676,Listas!$A$220:$D$224,2,FALSE),"Alerta: Seleccione la celda en la comumna B con el nombre del proyecto")))</f>
        <v>Alerta: Seleccione la celda en la comumna B con el nombre del proyecto</v>
      </c>
      <c r="AM676" s="640" t="str">
        <f>IF(J676="Funcionamiento Gastos Generales","No aplica",IF(J676="Funcionamiento Servicios Personales","No aplica",IFERROR(VLOOKUP(J676,Listas!$A$220:$D$224,3,FALSE),"Alerta: Seleccione la celda en la comumna B con el nombre del proyecto")))</f>
        <v>Alerta: Seleccione la celda en la comumna B con el nombre del proyecto</v>
      </c>
      <c r="AN676" s="633"/>
      <c r="AO676" s="633"/>
      <c r="AP676" s="634" t="str">
        <f>IFERROR(VLOOKUP(J676,Listas!$A$182:$E$215,5,FALSE),"Alerta: Seleccione la celda en la comumna B con el nombre del proyecto")</f>
        <v>Alerta: Seleccione la celda en la comumna B con el nombre del proyecto</v>
      </c>
      <c r="AQ676" s="634" t="str">
        <f>IF(J676="Funcionamiento Gastos Generales","No aplica",IF(J676="Funcionamiento Servicios Personales","No aplica",IFERROR(VLOOKUP(J676,Listas!$A$220:$D$224,4,FALSE),"Alerta: Seleccione la celda en la comumna B con el nombre del proyecto")))</f>
        <v>Alerta: Seleccione la celda en la comumna B con el nombre del proyecto</v>
      </c>
      <c r="AR676" s="633"/>
      <c r="AS676" s="634" t="str">
        <f>IFERROR(VLOOKUP(AU676,Listas!$E$85:$L$105,7,FALSE),"Alerta: Seleccione la celda en la comumna AI con el concepto de gasto")</f>
        <v>Alerta: Seleccione la celda en la comumna AI con el concepto de gasto</v>
      </c>
      <c r="AT676" s="634" t="str">
        <f>IFERROR(VLOOKUP(AU676,Listas!$E$85:$L$105,8,FALSE),"Alerta: Seleccione la celda en la comumna AI con el concepto de gasto")</f>
        <v>Alerta: Seleccione la celda en la comumna AI con el concepto de gasto</v>
      </c>
      <c r="AU676" s="633"/>
      <c r="AV676" s="634" t="str">
        <f>IFERROR(VLOOKUP(AU676,Listas!$E$85:$F$105,2,FALSE),"Alerta: Seleccione el Concepto de Gasto primero")</f>
        <v>Alerta: Seleccione el Concepto de Gasto primero</v>
      </c>
      <c r="AW676" s="644"/>
      <c r="AX676" s="645"/>
      <c r="AY676" s="645"/>
      <c r="AZ676" s="645"/>
      <c r="BA676" s="646">
        <f t="shared" si="218"/>
        <v>0</v>
      </c>
      <c r="BB676" s="647"/>
      <c r="BC676" s="648"/>
      <c r="BD676" s="649"/>
      <c r="BE676" s="647"/>
      <c r="BF676" s="644"/>
      <c r="BG676" s="646">
        <f t="shared" si="219"/>
        <v>0</v>
      </c>
      <c r="BH676" s="650"/>
      <c r="BI676" s="647"/>
      <c r="BJ676" s="644"/>
      <c r="BK676" s="646">
        <f t="shared" si="220"/>
        <v>0</v>
      </c>
      <c r="BL676" s="651"/>
      <c r="BM676" s="652">
        <f t="shared" si="221"/>
        <v>1</v>
      </c>
      <c r="BN676" s="628"/>
      <c r="BO676" s="670"/>
      <c r="BP676" s="644"/>
      <c r="BQ676" s="644"/>
      <c r="BR676" s="644"/>
      <c r="BS676" s="644"/>
      <c r="BT676" s="644"/>
      <c r="BU676" s="644"/>
      <c r="BV676" s="644"/>
      <c r="BW676" s="644"/>
      <c r="BX676" s="644"/>
      <c r="BY676" s="644"/>
      <c r="BZ676" s="644"/>
      <c r="CA676" s="644"/>
      <c r="CB676" s="646">
        <f t="shared" si="222"/>
        <v>0</v>
      </c>
      <c r="CC676" s="646">
        <f t="shared" si="223"/>
        <v>0</v>
      </c>
      <c r="CD676" s="614"/>
    </row>
    <row r="677" spans="1:85" s="561" customFormat="1" ht="61.5" customHeight="1">
      <c r="A677" s="625" t="str">
        <f t="shared" si="205"/>
        <v>proyecto-Alerta: Seleccione la celda en la comumna B con el nombre del proyecto-Al-Al--</v>
      </c>
      <c r="B677" s="626" t="str">
        <f t="shared" si="206"/>
        <v>proyecto-Alerta: Seleccione la celda en la comumna B con el nombre del proyecto-Al-Al-</v>
      </c>
      <c r="C677" s="626" t="str">
        <f t="shared" si="207"/>
        <v>proyecto-Alerta: Seleccione la celda en la comumna B con el nombre del proyecto-</v>
      </c>
      <c r="D677" s="626" t="str">
        <f t="shared" si="208"/>
        <v>proyecto--Al-Al-</v>
      </c>
      <c r="E677" s="626" t="str">
        <f t="shared" si="209"/>
        <v>--</v>
      </c>
      <c r="F677" s="627"/>
      <c r="G677" s="628">
        <f t="shared" si="210"/>
        <v>0</v>
      </c>
      <c r="H677" s="629" t="b">
        <f t="shared" si="211"/>
        <v>1</v>
      </c>
      <c r="I677" s="630"/>
      <c r="J677" s="627"/>
      <c r="K677" s="631" t="str">
        <f>+IFERROR(VLOOKUP(J677,Listas!$A$108:$B$114,2,FALSE),"Alerta: Seleccione la celda en la comumna B con el nombre del proyecto")</f>
        <v>Alerta: Seleccione la celda en la comumna B con el nombre del proyecto</v>
      </c>
      <c r="L677" s="632"/>
      <c r="M677" s="633"/>
      <c r="N677" s="634" t="str">
        <f t="shared" si="212"/>
        <v xml:space="preserve">(Cód. ) </v>
      </c>
      <c r="O677" s="635"/>
      <c r="P677" s="636">
        <f>IFERROR(VLOOKUP(W677,'Estimación CRP'!$D$21:$E$30,2,FALSE),0)</f>
        <v>0</v>
      </c>
      <c r="Q677" s="637">
        <f>IF(O677="No aplica","No aplica",WORKDAY.INTL(O677,P677,1,'Estimación CRP'!A863:A879))</f>
        <v>0</v>
      </c>
      <c r="R677" s="636">
        <f t="shared" si="213"/>
        <v>1</v>
      </c>
      <c r="S677" s="636">
        <f t="shared" si="214"/>
        <v>1</v>
      </c>
      <c r="T677" s="636">
        <f t="shared" si="215"/>
        <v>1</v>
      </c>
      <c r="U677" s="638"/>
      <c r="V677" s="638"/>
      <c r="W677" s="639"/>
      <c r="X677" s="640" t="str">
        <f>IFERROR(VLOOKUP(W677,Listas!$A$60:$B$73,2,FALSE),"Alerta: Seleccione primero Modalidad de selección")</f>
        <v>Alerta: Seleccione primero Modalidad de selección</v>
      </c>
      <c r="Y677" s="641">
        <v>0</v>
      </c>
      <c r="Z677" s="641"/>
      <c r="AA677" s="641"/>
      <c r="AB677" s="642">
        <f t="shared" si="216"/>
        <v>0</v>
      </c>
      <c r="AC677" s="642">
        <f t="shared" si="217"/>
        <v>0</v>
      </c>
      <c r="AD677" s="641">
        <v>0</v>
      </c>
      <c r="AE677" s="643">
        <v>0</v>
      </c>
      <c r="AF677" s="639" t="s">
        <v>276</v>
      </c>
      <c r="AG677" s="639" t="s">
        <v>277</v>
      </c>
      <c r="AH677" s="639"/>
      <c r="AI677" s="626" t="str">
        <f>IFERROR(VLOOKUP(AH677,Listas!$A$77:$C$83,2,FALSE),"Alerta: Seleccione primero el responsable")</f>
        <v>Alerta: Seleccione primero el responsable</v>
      </c>
      <c r="AJ677" s="640" t="str">
        <f>IFERROR(VLOOKUP(AH677,Listas!$A$77:$C$83,3,FALSE),"Alerta: Seleccione primero el responsable")</f>
        <v>Alerta: Seleccione primero el responsable</v>
      </c>
      <c r="AK677" s="640" t="str">
        <f>IF(J677="Funcionamiento Gastos Generales","No aplica",IF(J677="Funcionamiento Servicios Personales indirectos","No aplica",IFERROR(VLOOKUP(J677,Listas!$A$127:$E$139,3,FALSE),"Alerta: Seleccione la celda en la comumna B con el nombre del proyecto")))</f>
        <v>Alerta: Seleccione la celda en la comumna B con el nombre del proyecto</v>
      </c>
      <c r="AL677" s="640" t="str">
        <f>IF(J677="Funcionamiento Gastos Generales","No aplica",IF(J677="Funcionamiento Servicios Personales","No aplica",IFERROR(VLOOKUP(J677,Listas!$A$220:$D$224,2,FALSE),"Alerta: Seleccione la celda en la comumna B con el nombre del proyecto")))</f>
        <v>Alerta: Seleccione la celda en la comumna B con el nombre del proyecto</v>
      </c>
      <c r="AM677" s="640" t="str">
        <f>IF(J677="Funcionamiento Gastos Generales","No aplica",IF(J677="Funcionamiento Servicios Personales","No aplica",IFERROR(VLOOKUP(J677,Listas!$A$220:$D$224,3,FALSE),"Alerta: Seleccione la celda en la comumna B con el nombre del proyecto")))</f>
        <v>Alerta: Seleccione la celda en la comumna B con el nombre del proyecto</v>
      </c>
      <c r="AN677" s="633"/>
      <c r="AO677" s="633"/>
      <c r="AP677" s="634" t="str">
        <f>IFERROR(VLOOKUP(J677,Listas!$A$182:$E$215,5,FALSE),"Alerta: Seleccione la celda en la comumna B con el nombre del proyecto")</f>
        <v>Alerta: Seleccione la celda en la comumna B con el nombre del proyecto</v>
      </c>
      <c r="AQ677" s="634" t="str">
        <f>IF(J677="Funcionamiento Gastos Generales","No aplica",IF(J677="Funcionamiento Servicios Personales","No aplica",IFERROR(VLOOKUP(J677,Listas!$A$220:$D$224,4,FALSE),"Alerta: Seleccione la celda en la comumna B con el nombre del proyecto")))</f>
        <v>Alerta: Seleccione la celda en la comumna B con el nombre del proyecto</v>
      </c>
      <c r="AR677" s="633"/>
      <c r="AS677" s="634" t="str">
        <f>IFERROR(VLOOKUP(AU677,Listas!$E$85:$L$105,7,FALSE),"Alerta: Seleccione la celda en la comumna AI con el concepto de gasto")</f>
        <v>Alerta: Seleccione la celda en la comumna AI con el concepto de gasto</v>
      </c>
      <c r="AT677" s="634" t="str">
        <f>IFERROR(VLOOKUP(AU677,Listas!$E$85:$L$105,8,FALSE),"Alerta: Seleccione la celda en la comumna AI con el concepto de gasto")</f>
        <v>Alerta: Seleccione la celda en la comumna AI con el concepto de gasto</v>
      </c>
      <c r="AU677" s="633"/>
      <c r="AV677" s="634" t="str">
        <f>IFERROR(VLOOKUP(AU677,Listas!$E$85:$F$105,2,FALSE),"Alerta: Seleccione el Concepto de Gasto primero")</f>
        <v>Alerta: Seleccione el Concepto de Gasto primero</v>
      </c>
      <c r="AW677" s="644"/>
      <c r="AX677" s="645"/>
      <c r="AY677" s="645"/>
      <c r="AZ677" s="645"/>
      <c r="BA677" s="646">
        <f t="shared" si="218"/>
        <v>0</v>
      </c>
      <c r="BB677" s="647"/>
      <c r="BC677" s="648"/>
      <c r="BD677" s="649"/>
      <c r="BE677" s="647"/>
      <c r="BF677" s="644"/>
      <c r="BG677" s="646">
        <f t="shared" si="219"/>
        <v>0</v>
      </c>
      <c r="BH677" s="650"/>
      <c r="BI677" s="647"/>
      <c r="BJ677" s="644"/>
      <c r="BK677" s="646">
        <f t="shared" si="220"/>
        <v>0</v>
      </c>
      <c r="BL677" s="651"/>
      <c r="BM677" s="652">
        <f t="shared" si="221"/>
        <v>1</v>
      </c>
      <c r="BN677" s="628"/>
      <c r="BO677" s="670"/>
      <c r="BP677" s="644"/>
      <c r="BQ677" s="644"/>
      <c r="BR677" s="644"/>
      <c r="BS677" s="644"/>
      <c r="BT677" s="644"/>
      <c r="BU677" s="644"/>
      <c r="BV677" s="644"/>
      <c r="BW677" s="644"/>
      <c r="BX677" s="644"/>
      <c r="BY677" s="644"/>
      <c r="BZ677" s="644"/>
      <c r="CA677" s="644"/>
      <c r="CB677" s="646">
        <f t="shared" si="222"/>
        <v>0</v>
      </c>
      <c r="CC677" s="646">
        <f t="shared" si="223"/>
        <v>0</v>
      </c>
      <c r="CD677" s="614"/>
    </row>
    <row r="678" spans="1:85" s="561" customFormat="1" ht="61.5" customHeight="1">
      <c r="A678" s="625" t="str">
        <f t="shared" si="205"/>
        <v>proyecto-Alerta: Seleccione la celda en la comumna B con el nombre del proyecto-Al-Al--</v>
      </c>
      <c r="B678" s="626" t="str">
        <f t="shared" si="206"/>
        <v>proyecto-Alerta: Seleccione la celda en la comumna B con el nombre del proyecto-Al-Al-</v>
      </c>
      <c r="C678" s="626" t="str">
        <f t="shared" si="207"/>
        <v>proyecto-Alerta: Seleccione la celda en la comumna B con el nombre del proyecto-</v>
      </c>
      <c r="D678" s="626" t="str">
        <f t="shared" si="208"/>
        <v>proyecto--Al-Al-</v>
      </c>
      <c r="E678" s="626" t="str">
        <f t="shared" si="209"/>
        <v>--</v>
      </c>
      <c r="F678" s="627"/>
      <c r="G678" s="628">
        <f t="shared" si="210"/>
        <v>0</v>
      </c>
      <c r="H678" s="629" t="b">
        <f t="shared" si="211"/>
        <v>1</v>
      </c>
      <c r="I678" s="630"/>
      <c r="J678" s="627"/>
      <c r="K678" s="631" t="str">
        <f>+IFERROR(VLOOKUP(J678,Listas!$A$108:$B$114,2,FALSE),"Alerta: Seleccione la celda en la comumna B con el nombre del proyecto")</f>
        <v>Alerta: Seleccione la celda en la comumna B con el nombre del proyecto</v>
      </c>
      <c r="L678" s="632"/>
      <c r="M678" s="633"/>
      <c r="N678" s="634" t="str">
        <f t="shared" si="212"/>
        <v xml:space="preserve">(Cód. ) </v>
      </c>
      <c r="O678" s="635"/>
      <c r="P678" s="636">
        <f>IFERROR(VLOOKUP(W678,'Estimación CRP'!$D$21:$E$30,2,FALSE),0)</f>
        <v>0</v>
      </c>
      <c r="Q678" s="637">
        <f>IF(O678="No aplica","No aplica",WORKDAY.INTL(O678,P678,1,'Estimación CRP'!A864:A880))</f>
        <v>0</v>
      </c>
      <c r="R678" s="636">
        <f t="shared" si="213"/>
        <v>1</v>
      </c>
      <c r="S678" s="636">
        <f t="shared" si="214"/>
        <v>1</v>
      </c>
      <c r="T678" s="636">
        <f t="shared" si="215"/>
        <v>1</v>
      </c>
      <c r="U678" s="638"/>
      <c r="V678" s="638"/>
      <c r="W678" s="639"/>
      <c r="X678" s="640" t="str">
        <f>IFERROR(VLOOKUP(W678,Listas!$A$60:$B$73,2,FALSE),"Alerta: Seleccione primero Modalidad de selección")</f>
        <v>Alerta: Seleccione primero Modalidad de selección</v>
      </c>
      <c r="Y678" s="641">
        <v>0</v>
      </c>
      <c r="Z678" s="641"/>
      <c r="AA678" s="641"/>
      <c r="AB678" s="642">
        <f t="shared" si="216"/>
        <v>0</v>
      </c>
      <c r="AC678" s="642">
        <f t="shared" si="217"/>
        <v>0</v>
      </c>
      <c r="AD678" s="641">
        <v>0</v>
      </c>
      <c r="AE678" s="643">
        <v>0</v>
      </c>
      <c r="AF678" s="639" t="s">
        <v>276</v>
      </c>
      <c r="AG678" s="639" t="s">
        <v>277</v>
      </c>
      <c r="AH678" s="639"/>
      <c r="AI678" s="626" t="str">
        <f>IFERROR(VLOOKUP(AH678,Listas!$A$77:$C$83,2,FALSE),"Alerta: Seleccione primero el responsable")</f>
        <v>Alerta: Seleccione primero el responsable</v>
      </c>
      <c r="AJ678" s="640" t="str">
        <f>IFERROR(VLOOKUP(AH678,Listas!$A$77:$C$83,3,FALSE),"Alerta: Seleccione primero el responsable")</f>
        <v>Alerta: Seleccione primero el responsable</v>
      </c>
      <c r="AK678" s="640" t="str">
        <f>IF(J678="Funcionamiento Gastos Generales","No aplica",IF(J678="Funcionamiento Servicios Personales indirectos","No aplica",IFERROR(VLOOKUP(J678,Listas!$A$127:$E$139,3,FALSE),"Alerta: Seleccione la celda en la comumna B con el nombre del proyecto")))</f>
        <v>Alerta: Seleccione la celda en la comumna B con el nombre del proyecto</v>
      </c>
      <c r="AL678" s="640" t="str">
        <f>IF(J678="Funcionamiento Gastos Generales","No aplica",IF(J678="Funcionamiento Servicios Personales","No aplica",IFERROR(VLOOKUP(J678,Listas!$A$220:$D$224,2,FALSE),"Alerta: Seleccione la celda en la comumna B con el nombre del proyecto")))</f>
        <v>Alerta: Seleccione la celda en la comumna B con el nombre del proyecto</v>
      </c>
      <c r="AM678" s="640" t="str">
        <f>IF(J678="Funcionamiento Gastos Generales","No aplica",IF(J678="Funcionamiento Servicios Personales","No aplica",IFERROR(VLOOKUP(J678,Listas!$A$220:$D$224,3,FALSE),"Alerta: Seleccione la celda en la comumna B con el nombre del proyecto")))</f>
        <v>Alerta: Seleccione la celda en la comumna B con el nombre del proyecto</v>
      </c>
      <c r="AN678" s="633"/>
      <c r="AO678" s="633"/>
      <c r="AP678" s="634" t="str">
        <f>IFERROR(VLOOKUP(J678,Listas!$A$182:$E$215,5,FALSE),"Alerta: Seleccione la celda en la comumna B con el nombre del proyecto")</f>
        <v>Alerta: Seleccione la celda en la comumna B con el nombre del proyecto</v>
      </c>
      <c r="AQ678" s="634" t="str">
        <f>IF(J678="Funcionamiento Gastos Generales","No aplica",IF(J678="Funcionamiento Servicios Personales","No aplica",IFERROR(VLOOKUP(J678,Listas!$A$220:$D$224,4,FALSE),"Alerta: Seleccione la celda en la comumna B con el nombre del proyecto")))</f>
        <v>Alerta: Seleccione la celda en la comumna B con el nombre del proyecto</v>
      </c>
      <c r="AR678" s="633"/>
      <c r="AS678" s="634" t="str">
        <f>IFERROR(VLOOKUP(AU678,Listas!$E$85:$L$105,7,FALSE),"Alerta: Seleccione la celda en la comumna AI con el concepto de gasto")</f>
        <v>Alerta: Seleccione la celda en la comumna AI con el concepto de gasto</v>
      </c>
      <c r="AT678" s="634" t="str">
        <f>IFERROR(VLOOKUP(AU678,Listas!$E$85:$L$105,8,FALSE),"Alerta: Seleccione la celda en la comumna AI con el concepto de gasto")</f>
        <v>Alerta: Seleccione la celda en la comumna AI con el concepto de gasto</v>
      </c>
      <c r="AU678" s="633"/>
      <c r="AV678" s="634" t="str">
        <f>IFERROR(VLOOKUP(AU678,Listas!$E$85:$F$105,2,FALSE),"Alerta: Seleccione el Concepto de Gasto primero")</f>
        <v>Alerta: Seleccione el Concepto de Gasto primero</v>
      </c>
      <c r="AW678" s="644"/>
      <c r="AX678" s="645"/>
      <c r="AY678" s="645"/>
      <c r="AZ678" s="645"/>
      <c r="BA678" s="646">
        <f t="shared" si="218"/>
        <v>0</v>
      </c>
      <c r="BB678" s="647"/>
      <c r="BC678" s="648"/>
      <c r="BD678" s="649"/>
      <c r="BE678" s="647"/>
      <c r="BF678" s="644"/>
      <c r="BG678" s="646">
        <f t="shared" si="219"/>
        <v>0</v>
      </c>
      <c r="BH678" s="650"/>
      <c r="BI678" s="647"/>
      <c r="BJ678" s="644"/>
      <c r="BK678" s="646">
        <f t="shared" si="220"/>
        <v>0</v>
      </c>
      <c r="BL678" s="651"/>
      <c r="BM678" s="652">
        <f t="shared" si="221"/>
        <v>1</v>
      </c>
      <c r="BN678" s="628"/>
      <c r="BO678" s="670"/>
      <c r="BP678" s="644"/>
      <c r="BQ678" s="644"/>
      <c r="BR678" s="644"/>
      <c r="BS678" s="644"/>
      <c r="BT678" s="644"/>
      <c r="BU678" s="644"/>
      <c r="BV678" s="644"/>
      <c r="BW678" s="644"/>
      <c r="BX678" s="644"/>
      <c r="BY678" s="644"/>
      <c r="BZ678" s="644"/>
      <c r="CA678" s="644"/>
      <c r="CB678" s="646">
        <f t="shared" si="222"/>
        <v>0</v>
      </c>
      <c r="CC678" s="646">
        <f t="shared" si="223"/>
        <v>0</v>
      </c>
      <c r="CD678" s="614"/>
    </row>
    <row r="679" spans="1:85" s="561" customFormat="1" ht="61.5" customHeight="1">
      <c r="A679" s="625" t="str">
        <f t="shared" si="205"/>
        <v>proyecto-Alerta: Seleccione la celda en la comumna B con el nombre del proyecto-Al-Al--</v>
      </c>
      <c r="B679" s="626" t="str">
        <f t="shared" si="206"/>
        <v>proyecto-Alerta: Seleccione la celda en la comumna B con el nombre del proyecto-Al-Al-</v>
      </c>
      <c r="C679" s="626" t="str">
        <f t="shared" si="207"/>
        <v>proyecto-Alerta: Seleccione la celda en la comumna B con el nombre del proyecto-</v>
      </c>
      <c r="D679" s="626" t="str">
        <f t="shared" si="208"/>
        <v>proyecto--Al-Al-</v>
      </c>
      <c r="E679" s="626" t="str">
        <f t="shared" si="209"/>
        <v>--</v>
      </c>
      <c r="F679" s="627"/>
      <c r="G679" s="628">
        <f t="shared" si="210"/>
        <v>0</v>
      </c>
      <c r="H679" s="629" t="b">
        <f t="shared" si="211"/>
        <v>1</v>
      </c>
      <c r="I679" s="630"/>
      <c r="J679" s="627"/>
      <c r="K679" s="631" t="str">
        <f>+IFERROR(VLOOKUP(J679,Listas!$A$108:$B$114,2,FALSE),"Alerta: Seleccione la celda en la comumna B con el nombre del proyecto")</f>
        <v>Alerta: Seleccione la celda en la comumna B con el nombre del proyecto</v>
      </c>
      <c r="L679" s="632"/>
      <c r="M679" s="633"/>
      <c r="N679" s="634" t="str">
        <f t="shared" si="212"/>
        <v xml:space="preserve">(Cód. ) </v>
      </c>
      <c r="O679" s="635"/>
      <c r="P679" s="636">
        <f>IFERROR(VLOOKUP(W679,'Estimación CRP'!$D$21:$E$30,2,FALSE),0)</f>
        <v>0</v>
      </c>
      <c r="Q679" s="637">
        <f>IF(O679="No aplica","No aplica",WORKDAY.INTL(O679,P679,1,'Estimación CRP'!A865:A881))</f>
        <v>0</v>
      </c>
      <c r="R679" s="636">
        <f t="shared" si="213"/>
        <v>1</v>
      </c>
      <c r="S679" s="636">
        <f t="shared" si="214"/>
        <v>1</v>
      </c>
      <c r="T679" s="636">
        <f t="shared" si="215"/>
        <v>1</v>
      </c>
      <c r="U679" s="638"/>
      <c r="V679" s="638"/>
      <c r="W679" s="639"/>
      <c r="X679" s="640" t="str">
        <f>IFERROR(VLOOKUP(W679,Listas!$A$60:$B$73,2,FALSE),"Alerta: Seleccione primero Modalidad de selección")</f>
        <v>Alerta: Seleccione primero Modalidad de selección</v>
      </c>
      <c r="Y679" s="641">
        <v>0</v>
      </c>
      <c r="Z679" s="641"/>
      <c r="AA679" s="641"/>
      <c r="AB679" s="642">
        <f t="shared" si="216"/>
        <v>0</v>
      </c>
      <c r="AC679" s="642">
        <f t="shared" si="217"/>
        <v>0</v>
      </c>
      <c r="AD679" s="641">
        <v>0</v>
      </c>
      <c r="AE679" s="643">
        <v>0</v>
      </c>
      <c r="AF679" s="639" t="s">
        <v>276</v>
      </c>
      <c r="AG679" s="639" t="s">
        <v>277</v>
      </c>
      <c r="AH679" s="639"/>
      <c r="AI679" s="626" t="str">
        <f>IFERROR(VLOOKUP(AH679,Listas!$A$77:$C$83,2,FALSE),"Alerta: Seleccione primero el responsable")</f>
        <v>Alerta: Seleccione primero el responsable</v>
      </c>
      <c r="AJ679" s="640" t="str">
        <f>IFERROR(VLOOKUP(AH679,Listas!$A$77:$C$83,3,FALSE),"Alerta: Seleccione primero el responsable")</f>
        <v>Alerta: Seleccione primero el responsable</v>
      </c>
      <c r="AK679" s="640" t="str">
        <f>IF(J679="Funcionamiento Gastos Generales","No aplica",IF(J679="Funcionamiento Servicios Personales indirectos","No aplica",IFERROR(VLOOKUP(J679,Listas!$A$127:$E$139,3,FALSE),"Alerta: Seleccione la celda en la comumna B con el nombre del proyecto")))</f>
        <v>Alerta: Seleccione la celda en la comumna B con el nombre del proyecto</v>
      </c>
      <c r="AL679" s="640" t="str">
        <f>IF(J679="Funcionamiento Gastos Generales","No aplica",IF(J679="Funcionamiento Servicios Personales","No aplica",IFERROR(VLOOKUP(J679,Listas!$A$220:$D$224,2,FALSE),"Alerta: Seleccione la celda en la comumna B con el nombre del proyecto")))</f>
        <v>Alerta: Seleccione la celda en la comumna B con el nombre del proyecto</v>
      </c>
      <c r="AM679" s="640" t="str">
        <f>IF(J679="Funcionamiento Gastos Generales","No aplica",IF(J679="Funcionamiento Servicios Personales","No aplica",IFERROR(VLOOKUP(J679,Listas!$A$220:$D$224,3,FALSE),"Alerta: Seleccione la celda en la comumna B con el nombre del proyecto")))</f>
        <v>Alerta: Seleccione la celda en la comumna B con el nombre del proyecto</v>
      </c>
      <c r="AN679" s="633"/>
      <c r="AO679" s="633"/>
      <c r="AP679" s="634" t="str">
        <f>IFERROR(VLOOKUP(J679,Listas!$A$182:$E$215,5,FALSE),"Alerta: Seleccione la celda en la comumna B con el nombre del proyecto")</f>
        <v>Alerta: Seleccione la celda en la comumna B con el nombre del proyecto</v>
      </c>
      <c r="AQ679" s="634" t="str">
        <f>IF(J679="Funcionamiento Gastos Generales","No aplica",IF(J679="Funcionamiento Servicios Personales","No aplica",IFERROR(VLOOKUP(J679,Listas!$A$220:$D$224,4,FALSE),"Alerta: Seleccione la celda en la comumna B con el nombre del proyecto")))</f>
        <v>Alerta: Seleccione la celda en la comumna B con el nombre del proyecto</v>
      </c>
      <c r="AR679" s="633"/>
      <c r="AS679" s="634" t="str">
        <f>IFERROR(VLOOKUP(AU679,Listas!$E$85:$L$105,7,FALSE),"Alerta: Seleccione la celda en la comumna AI con el concepto de gasto")</f>
        <v>Alerta: Seleccione la celda en la comumna AI con el concepto de gasto</v>
      </c>
      <c r="AT679" s="634" t="str">
        <f>IFERROR(VLOOKUP(AU679,Listas!$E$85:$L$105,8,FALSE),"Alerta: Seleccione la celda en la comumna AI con el concepto de gasto")</f>
        <v>Alerta: Seleccione la celda en la comumna AI con el concepto de gasto</v>
      </c>
      <c r="AU679" s="633"/>
      <c r="AV679" s="634" t="str">
        <f>IFERROR(VLOOKUP(AU679,Listas!$E$85:$F$105,2,FALSE),"Alerta: Seleccione el Concepto de Gasto primero")</f>
        <v>Alerta: Seleccione el Concepto de Gasto primero</v>
      </c>
      <c r="AW679" s="644"/>
      <c r="AX679" s="645"/>
      <c r="AY679" s="645"/>
      <c r="AZ679" s="645"/>
      <c r="BA679" s="646">
        <f t="shared" si="218"/>
        <v>0</v>
      </c>
      <c r="BB679" s="647"/>
      <c r="BC679" s="648"/>
      <c r="BD679" s="649"/>
      <c r="BE679" s="647"/>
      <c r="BF679" s="644"/>
      <c r="BG679" s="646">
        <f t="shared" si="219"/>
        <v>0</v>
      </c>
      <c r="BH679" s="650"/>
      <c r="BI679" s="647"/>
      <c r="BJ679" s="644"/>
      <c r="BK679" s="646">
        <f t="shared" si="220"/>
        <v>0</v>
      </c>
      <c r="BL679" s="651"/>
      <c r="BM679" s="652">
        <f t="shared" si="221"/>
        <v>1</v>
      </c>
      <c r="BN679" s="628"/>
      <c r="BO679" s="670"/>
      <c r="BP679" s="644"/>
      <c r="BQ679" s="644"/>
      <c r="BR679" s="644"/>
      <c r="BS679" s="644"/>
      <c r="BT679" s="644"/>
      <c r="BU679" s="644"/>
      <c r="BV679" s="644"/>
      <c r="BW679" s="644"/>
      <c r="BX679" s="644"/>
      <c r="BY679" s="644"/>
      <c r="BZ679" s="644"/>
      <c r="CA679" s="644"/>
      <c r="CB679" s="646">
        <f t="shared" si="222"/>
        <v>0</v>
      </c>
      <c r="CC679" s="646">
        <f t="shared" si="223"/>
        <v>0</v>
      </c>
      <c r="CD679" s="614"/>
    </row>
    <row r="680" spans="1:85" s="561" customFormat="1" ht="61.5" customHeight="1">
      <c r="A680" s="625" t="str">
        <f t="shared" si="205"/>
        <v>proyecto-Alerta: Seleccione la celda en la comumna B con el nombre del proyecto-Al-Al--</v>
      </c>
      <c r="B680" s="626" t="str">
        <f t="shared" si="206"/>
        <v>proyecto-Alerta: Seleccione la celda en la comumna B con el nombre del proyecto-Al-Al-</v>
      </c>
      <c r="C680" s="626" t="str">
        <f t="shared" si="207"/>
        <v>proyecto-Alerta: Seleccione la celda en la comumna B con el nombre del proyecto-</v>
      </c>
      <c r="D680" s="626" t="str">
        <f t="shared" si="208"/>
        <v>proyecto--Al-Al-</v>
      </c>
      <c r="E680" s="626" t="str">
        <f t="shared" si="209"/>
        <v>--</v>
      </c>
      <c r="F680" s="627"/>
      <c r="G680" s="628">
        <f t="shared" si="210"/>
        <v>0</v>
      </c>
      <c r="H680" s="629" t="b">
        <f t="shared" si="211"/>
        <v>1</v>
      </c>
      <c r="I680" s="630"/>
      <c r="J680" s="627"/>
      <c r="K680" s="631" t="str">
        <f>+IFERROR(VLOOKUP(J680,Listas!$A$108:$B$114,2,FALSE),"Alerta: Seleccione la celda en la comumna B con el nombre del proyecto")</f>
        <v>Alerta: Seleccione la celda en la comumna B con el nombre del proyecto</v>
      </c>
      <c r="L680" s="632"/>
      <c r="M680" s="633"/>
      <c r="N680" s="634" t="str">
        <f t="shared" si="212"/>
        <v xml:space="preserve">(Cód. ) </v>
      </c>
      <c r="O680" s="635"/>
      <c r="P680" s="636">
        <f>IFERROR(VLOOKUP(W680,'Estimación CRP'!$D$21:$E$30,2,FALSE),0)</f>
        <v>0</v>
      </c>
      <c r="Q680" s="637">
        <f>IF(O680="No aplica","No aplica",WORKDAY.INTL(O680,P680,1,'Estimación CRP'!A866:A882))</f>
        <v>0</v>
      </c>
      <c r="R680" s="636">
        <f t="shared" si="213"/>
        <v>1</v>
      </c>
      <c r="S680" s="636">
        <f t="shared" si="214"/>
        <v>1</v>
      </c>
      <c r="T680" s="636">
        <f t="shared" si="215"/>
        <v>1</v>
      </c>
      <c r="U680" s="638"/>
      <c r="V680" s="638"/>
      <c r="W680" s="639"/>
      <c r="X680" s="640" t="str">
        <f>IFERROR(VLOOKUP(W680,Listas!$A$60:$B$73,2,FALSE),"Alerta: Seleccione primero Modalidad de selección")</f>
        <v>Alerta: Seleccione primero Modalidad de selección</v>
      </c>
      <c r="Y680" s="641">
        <v>0</v>
      </c>
      <c r="Z680" s="641"/>
      <c r="AA680" s="641"/>
      <c r="AB680" s="642">
        <f t="shared" si="216"/>
        <v>0</v>
      </c>
      <c r="AC680" s="642">
        <f t="shared" si="217"/>
        <v>0</v>
      </c>
      <c r="AD680" s="641">
        <v>0</v>
      </c>
      <c r="AE680" s="643">
        <v>0</v>
      </c>
      <c r="AF680" s="639" t="s">
        <v>276</v>
      </c>
      <c r="AG680" s="639" t="s">
        <v>277</v>
      </c>
      <c r="AH680" s="639"/>
      <c r="AI680" s="626" t="str">
        <f>IFERROR(VLOOKUP(AH680,Listas!$A$77:$C$83,2,FALSE),"Alerta: Seleccione primero el responsable")</f>
        <v>Alerta: Seleccione primero el responsable</v>
      </c>
      <c r="AJ680" s="640" t="str">
        <f>IFERROR(VLOOKUP(AH680,Listas!$A$77:$C$83,3,FALSE),"Alerta: Seleccione primero el responsable")</f>
        <v>Alerta: Seleccione primero el responsable</v>
      </c>
      <c r="AK680" s="640" t="str">
        <f>IF(J680="Funcionamiento Gastos Generales","No aplica",IF(J680="Funcionamiento Servicios Personales indirectos","No aplica",IFERROR(VLOOKUP(J680,Listas!$A$127:$E$139,3,FALSE),"Alerta: Seleccione la celda en la comumna B con el nombre del proyecto")))</f>
        <v>Alerta: Seleccione la celda en la comumna B con el nombre del proyecto</v>
      </c>
      <c r="AL680" s="640" t="str">
        <f>IF(J680="Funcionamiento Gastos Generales","No aplica",IF(J680="Funcionamiento Servicios Personales","No aplica",IFERROR(VLOOKUP(J680,Listas!$A$220:$D$224,2,FALSE),"Alerta: Seleccione la celda en la comumna B con el nombre del proyecto")))</f>
        <v>Alerta: Seleccione la celda en la comumna B con el nombre del proyecto</v>
      </c>
      <c r="AM680" s="640" t="str">
        <f>IF(J680="Funcionamiento Gastos Generales","No aplica",IF(J680="Funcionamiento Servicios Personales","No aplica",IFERROR(VLOOKUP(J680,Listas!$A$220:$D$224,3,FALSE),"Alerta: Seleccione la celda en la comumna B con el nombre del proyecto")))</f>
        <v>Alerta: Seleccione la celda en la comumna B con el nombre del proyecto</v>
      </c>
      <c r="AN680" s="633"/>
      <c r="AO680" s="633"/>
      <c r="AP680" s="634" t="str">
        <f>IFERROR(VLOOKUP(J680,Listas!$A$182:$E$215,5,FALSE),"Alerta: Seleccione la celda en la comumna B con el nombre del proyecto")</f>
        <v>Alerta: Seleccione la celda en la comumna B con el nombre del proyecto</v>
      </c>
      <c r="AQ680" s="634" t="str">
        <f>IF(J680="Funcionamiento Gastos Generales","No aplica",IF(J680="Funcionamiento Servicios Personales","No aplica",IFERROR(VLOOKUP(J680,Listas!$A$220:$D$224,4,FALSE),"Alerta: Seleccione la celda en la comumna B con el nombre del proyecto")))</f>
        <v>Alerta: Seleccione la celda en la comumna B con el nombre del proyecto</v>
      </c>
      <c r="AR680" s="633"/>
      <c r="AS680" s="634" t="str">
        <f>IFERROR(VLOOKUP(AU680,Listas!$E$85:$L$105,7,FALSE),"Alerta: Seleccione la celda en la comumna AI con el concepto de gasto")</f>
        <v>Alerta: Seleccione la celda en la comumna AI con el concepto de gasto</v>
      </c>
      <c r="AT680" s="634" t="str">
        <f>IFERROR(VLOOKUP(AU680,Listas!$E$85:$L$105,8,FALSE),"Alerta: Seleccione la celda en la comumna AI con el concepto de gasto")</f>
        <v>Alerta: Seleccione la celda en la comumna AI con el concepto de gasto</v>
      </c>
      <c r="AU680" s="633"/>
      <c r="AV680" s="634" t="str">
        <f>IFERROR(VLOOKUP(AU680,Listas!$E$85:$F$105,2,FALSE),"Alerta: Seleccione el Concepto de Gasto primero")</f>
        <v>Alerta: Seleccione el Concepto de Gasto primero</v>
      </c>
      <c r="AW680" s="644"/>
      <c r="AX680" s="645"/>
      <c r="AY680" s="645"/>
      <c r="AZ680" s="645"/>
      <c r="BA680" s="646">
        <f t="shared" si="218"/>
        <v>0</v>
      </c>
      <c r="BB680" s="647"/>
      <c r="BC680" s="648"/>
      <c r="BD680" s="649"/>
      <c r="BE680" s="647"/>
      <c r="BF680" s="644"/>
      <c r="BG680" s="646">
        <f t="shared" si="219"/>
        <v>0</v>
      </c>
      <c r="BH680" s="650"/>
      <c r="BI680" s="647"/>
      <c r="BJ680" s="644"/>
      <c r="BK680" s="646">
        <f t="shared" si="220"/>
        <v>0</v>
      </c>
      <c r="BL680" s="651"/>
      <c r="BM680" s="652">
        <f t="shared" si="221"/>
        <v>1</v>
      </c>
      <c r="BN680" s="628"/>
      <c r="BO680" s="670"/>
      <c r="BP680" s="644"/>
      <c r="BQ680" s="644"/>
      <c r="BR680" s="644"/>
      <c r="BS680" s="644"/>
      <c r="BT680" s="644"/>
      <c r="BU680" s="644"/>
      <c r="BV680" s="644"/>
      <c r="BW680" s="644"/>
      <c r="BX680" s="644"/>
      <c r="BY680" s="644"/>
      <c r="BZ680" s="644"/>
      <c r="CA680" s="644"/>
      <c r="CB680" s="646">
        <f t="shared" si="222"/>
        <v>0</v>
      </c>
      <c r="CC680" s="646">
        <f t="shared" si="223"/>
        <v>0</v>
      </c>
      <c r="CD680" s="614"/>
      <c r="CG680" s="561" t="s">
        <v>589</v>
      </c>
    </row>
    <row r="681" spans="1:85" s="659" customFormat="1" ht="61.5" customHeight="1">
      <c r="A681" s="625" t="str">
        <f t="shared" si="205"/>
        <v>proyecto-Alerta: Seleccione la celda en la comumna B con el nombre del proyecto-Al-Al--</v>
      </c>
      <c r="B681" s="626" t="str">
        <f t="shared" si="206"/>
        <v>proyecto-Alerta: Seleccione la celda en la comumna B con el nombre del proyecto-Al-Al-</v>
      </c>
      <c r="C681" s="626" t="str">
        <f t="shared" si="207"/>
        <v>proyecto-Alerta: Seleccione la celda en la comumna B con el nombre del proyecto-</v>
      </c>
      <c r="D681" s="626" t="str">
        <f t="shared" si="208"/>
        <v>proyecto--Al-Al-</v>
      </c>
      <c r="E681" s="626" t="str">
        <f t="shared" si="209"/>
        <v>--</v>
      </c>
      <c r="F681" s="627"/>
      <c r="G681" s="628">
        <f t="shared" si="210"/>
        <v>0</v>
      </c>
      <c r="H681" s="629" t="b">
        <f t="shared" si="211"/>
        <v>1</v>
      </c>
      <c r="I681" s="630"/>
      <c r="J681" s="627"/>
      <c r="K681" s="631" t="str">
        <f>+IFERROR(VLOOKUP(J681,Listas!$A$108:$B$114,2,FALSE),"Alerta: Seleccione la celda en la comumna B con el nombre del proyecto")</f>
        <v>Alerta: Seleccione la celda en la comumna B con el nombre del proyecto</v>
      </c>
      <c r="L681" s="632"/>
      <c r="M681" s="633"/>
      <c r="N681" s="634" t="str">
        <f t="shared" si="212"/>
        <v xml:space="preserve">(Cód. ) </v>
      </c>
      <c r="O681" s="635"/>
      <c r="P681" s="636">
        <f>IFERROR(VLOOKUP(W681,'Estimación CRP'!$D$21:$E$30,2,FALSE),0)</f>
        <v>0</v>
      </c>
      <c r="Q681" s="637">
        <f>IF(O681="No aplica","No aplica",WORKDAY.INTL(O681,P681,1,'Estimación CRP'!A867:A883))</f>
        <v>0</v>
      </c>
      <c r="R681" s="636">
        <f t="shared" si="213"/>
        <v>1</v>
      </c>
      <c r="S681" s="636">
        <f t="shared" si="214"/>
        <v>1</v>
      </c>
      <c r="T681" s="636">
        <f t="shared" si="215"/>
        <v>1</v>
      </c>
      <c r="U681" s="638"/>
      <c r="V681" s="638"/>
      <c r="W681" s="639"/>
      <c r="X681" s="640" t="str">
        <f>IFERROR(VLOOKUP(W681,Listas!$A$60:$B$73,2,FALSE),"Alerta: Seleccione primero Modalidad de selección")</f>
        <v>Alerta: Seleccione primero Modalidad de selección</v>
      </c>
      <c r="Y681" s="641">
        <v>0</v>
      </c>
      <c r="Z681" s="641"/>
      <c r="AA681" s="641"/>
      <c r="AB681" s="642">
        <f t="shared" si="216"/>
        <v>0</v>
      </c>
      <c r="AC681" s="642">
        <f t="shared" si="217"/>
        <v>0</v>
      </c>
      <c r="AD681" s="641">
        <v>0</v>
      </c>
      <c r="AE681" s="643">
        <v>0</v>
      </c>
      <c r="AF681" s="639" t="s">
        <v>276</v>
      </c>
      <c r="AG681" s="639" t="s">
        <v>277</v>
      </c>
      <c r="AH681" s="639"/>
      <c r="AI681" s="626" t="str">
        <f>IFERROR(VLOOKUP(AH681,Listas!$A$77:$C$83,2,FALSE),"Alerta: Seleccione primero el responsable")</f>
        <v>Alerta: Seleccione primero el responsable</v>
      </c>
      <c r="AJ681" s="640" t="str">
        <f>IFERROR(VLOOKUP(AH681,Listas!$A$77:$C$83,3,FALSE),"Alerta: Seleccione primero el responsable")</f>
        <v>Alerta: Seleccione primero el responsable</v>
      </c>
      <c r="AK681" s="640" t="str">
        <f>IF(J681="Funcionamiento Gastos Generales","No aplica",IF(J681="Funcionamiento Servicios Personales indirectos","No aplica",IFERROR(VLOOKUP(J681,Listas!$A$127:$E$139,3,FALSE),"Alerta: Seleccione la celda en la comumna B con el nombre del proyecto")))</f>
        <v>Alerta: Seleccione la celda en la comumna B con el nombre del proyecto</v>
      </c>
      <c r="AL681" s="640" t="str">
        <f>IF(J681="Funcionamiento Gastos Generales","No aplica",IF(J681="Funcionamiento Servicios Personales","No aplica",IFERROR(VLOOKUP(J681,Listas!$A$220:$D$224,2,FALSE),"Alerta: Seleccione la celda en la comumna B con el nombre del proyecto")))</f>
        <v>Alerta: Seleccione la celda en la comumna B con el nombre del proyecto</v>
      </c>
      <c r="AM681" s="640" t="str">
        <f>IF(J681="Funcionamiento Gastos Generales","No aplica",IF(J681="Funcionamiento Servicios Personales","No aplica",IFERROR(VLOOKUP(J681,Listas!$A$220:$D$224,3,FALSE),"Alerta: Seleccione la celda en la comumna B con el nombre del proyecto")))</f>
        <v>Alerta: Seleccione la celda en la comumna B con el nombre del proyecto</v>
      </c>
      <c r="AN681" s="633"/>
      <c r="AO681" s="633"/>
      <c r="AP681" s="634" t="str">
        <f>IFERROR(VLOOKUP(J681,Listas!$A$182:$E$215,5,FALSE),"Alerta: Seleccione la celda en la comumna B con el nombre del proyecto")</f>
        <v>Alerta: Seleccione la celda en la comumna B con el nombre del proyecto</v>
      </c>
      <c r="AQ681" s="634" t="str">
        <f>IF(J681="Funcionamiento Gastos Generales","No aplica",IF(J681="Funcionamiento Servicios Personales","No aplica",IFERROR(VLOOKUP(J681,Listas!$A$220:$D$224,4,FALSE),"Alerta: Seleccione la celda en la comumna B con el nombre del proyecto")))</f>
        <v>Alerta: Seleccione la celda en la comumna B con el nombre del proyecto</v>
      </c>
      <c r="AR681" s="633"/>
      <c r="AS681" s="634" t="str">
        <f>IFERROR(VLOOKUP(AU681,Listas!$E$85:$L$105,7,FALSE),"Alerta: Seleccione la celda en la comumna AI con el concepto de gasto")</f>
        <v>Alerta: Seleccione la celda en la comumna AI con el concepto de gasto</v>
      </c>
      <c r="AT681" s="634" t="str">
        <f>IFERROR(VLOOKUP(AU681,Listas!$E$85:$L$105,8,FALSE),"Alerta: Seleccione la celda en la comumna AI con el concepto de gasto")</f>
        <v>Alerta: Seleccione la celda en la comumna AI con el concepto de gasto</v>
      </c>
      <c r="AU681" s="633"/>
      <c r="AV681" s="634" t="str">
        <f>IFERROR(VLOOKUP(AU681,Listas!$E$85:$F$105,2,FALSE),"Alerta: Seleccione el Concepto de Gasto primero")</f>
        <v>Alerta: Seleccione el Concepto de Gasto primero</v>
      </c>
      <c r="AW681" s="644"/>
      <c r="AX681" s="645"/>
      <c r="AY681" s="645"/>
      <c r="AZ681" s="645"/>
      <c r="BA681" s="646">
        <f t="shared" si="218"/>
        <v>0</v>
      </c>
      <c r="BB681" s="647"/>
      <c r="BC681" s="648"/>
      <c r="BD681" s="649"/>
      <c r="BE681" s="647"/>
      <c r="BF681" s="644"/>
      <c r="BG681" s="646">
        <f t="shared" si="219"/>
        <v>0</v>
      </c>
      <c r="BH681" s="650"/>
      <c r="BI681" s="647"/>
      <c r="BJ681" s="644"/>
      <c r="BK681" s="646">
        <f t="shared" si="220"/>
        <v>0</v>
      </c>
      <c r="BL681" s="651"/>
      <c r="BM681" s="652">
        <f t="shared" si="221"/>
        <v>1</v>
      </c>
      <c r="BN681" s="628"/>
      <c r="BO681" s="670"/>
      <c r="BP681" s="644"/>
      <c r="BQ681" s="644"/>
      <c r="BR681" s="644"/>
      <c r="BS681" s="644"/>
      <c r="BT681" s="644"/>
      <c r="BU681" s="644"/>
      <c r="BV681" s="644"/>
      <c r="BW681" s="644"/>
      <c r="BX681" s="644"/>
      <c r="BY681" s="644"/>
      <c r="BZ681" s="644"/>
      <c r="CA681" s="644"/>
      <c r="CB681" s="646">
        <f t="shared" si="222"/>
        <v>0</v>
      </c>
      <c r="CC681" s="646">
        <f t="shared" si="223"/>
        <v>0</v>
      </c>
      <c r="CD681" s="614"/>
      <c r="CG681" s="659" t="s">
        <v>589</v>
      </c>
    </row>
    <row r="682" spans="1:85" s="659" customFormat="1" ht="61.5" customHeight="1">
      <c r="A682" s="625" t="str">
        <f t="shared" si="205"/>
        <v>proyecto-Alerta: Seleccione la celda en la comumna B con el nombre del proyecto-Al-Al--</v>
      </c>
      <c r="B682" s="626" t="str">
        <f t="shared" si="206"/>
        <v>proyecto-Alerta: Seleccione la celda en la comumna B con el nombre del proyecto-Al-Al-</v>
      </c>
      <c r="C682" s="626" t="str">
        <f t="shared" si="207"/>
        <v>proyecto-Alerta: Seleccione la celda en la comumna B con el nombre del proyecto-</v>
      </c>
      <c r="D682" s="626" t="str">
        <f t="shared" si="208"/>
        <v>proyecto--Al-Al-</v>
      </c>
      <c r="E682" s="626" t="str">
        <f t="shared" si="209"/>
        <v>--</v>
      </c>
      <c r="F682" s="627"/>
      <c r="G682" s="628">
        <f t="shared" si="210"/>
        <v>0</v>
      </c>
      <c r="H682" s="629" t="b">
        <f t="shared" si="211"/>
        <v>1</v>
      </c>
      <c r="I682" s="630"/>
      <c r="J682" s="627"/>
      <c r="K682" s="631" t="str">
        <f>+IFERROR(VLOOKUP(J682,Listas!$A$108:$B$114,2,FALSE),"Alerta: Seleccione la celda en la comumna B con el nombre del proyecto")</f>
        <v>Alerta: Seleccione la celda en la comumna B con el nombre del proyecto</v>
      </c>
      <c r="L682" s="632"/>
      <c r="M682" s="633"/>
      <c r="N682" s="634" t="str">
        <f t="shared" si="212"/>
        <v xml:space="preserve">(Cód. ) </v>
      </c>
      <c r="O682" s="635"/>
      <c r="P682" s="636">
        <f>IFERROR(VLOOKUP(W682,'Estimación CRP'!$D$21:$E$30,2,FALSE),0)</f>
        <v>0</v>
      </c>
      <c r="Q682" s="637">
        <f>IF(O682="No aplica","No aplica",WORKDAY.INTL(O682,P682,1,'Estimación CRP'!A868:A884))</f>
        <v>0</v>
      </c>
      <c r="R682" s="636">
        <f t="shared" si="213"/>
        <v>1</v>
      </c>
      <c r="S682" s="636">
        <f t="shared" si="214"/>
        <v>1</v>
      </c>
      <c r="T682" s="636">
        <f t="shared" si="215"/>
        <v>1</v>
      </c>
      <c r="U682" s="638"/>
      <c r="V682" s="638"/>
      <c r="W682" s="639"/>
      <c r="X682" s="640" t="str">
        <f>IFERROR(VLOOKUP(W682,Listas!$A$60:$B$73,2,FALSE),"Alerta: Seleccione primero Modalidad de selección")</f>
        <v>Alerta: Seleccione primero Modalidad de selección</v>
      </c>
      <c r="Y682" s="641">
        <v>0</v>
      </c>
      <c r="Z682" s="641"/>
      <c r="AA682" s="641"/>
      <c r="AB682" s="642">
        <f t="shared" si="216"/>
        <v>0</v>
      </c>
      <c r="AC682" s="642">
        <f t="shared" si="217"/>
        <v>0</v>
      </c>
      <c r="AD682" s="641">
        <v>0</v>
      </c>
      <c r="AE682" s="643">
        <v>0</v>
      </c>
      <c r="AF682" s="639" t="s">
        <v>276</v>
      </c>
      <c r="AG682" s="639" t="s">
        <v>277</v>
      </c>
      <c r="AH682" s="639"/>
      <c r="AI682" s="626" t="str">
        <f>IFERROR(VLOOKUP(AH682,Listas!$A$77:$C$83,2,FALSE),"Alerta: Seleccione primero el responsable")</f>
        <v>Alerta: Seleccione primero el responsable</v>
      </c>
      <c r="AJ682" s="640" t="str">
        <f>IFERROR(VLOOKUP(AH682,Listas!$A$77:$C$83,3,FALSE),"Alerta: Seleccione primero el responsable")</f>
        <v>Alerta: Seleccione primero el responsable</v>
      </c>
      <c r="AK682" s="640" t="str">
        <f>IF(J682="Funcionamiento Gastos Generales","No aplica",IF(J682="Funcionamiento Servicios Personales indirectos","No aplica",IFERROR(VLOOKUP(J682,Listas!$A$127:$E$139,3,FALSE),"Alerta: Seleccione la celda en la comumna B con el nombre del proyecto")))</f>
        <v>Alerta: Seleccione la celda en la comumna B con el nombre del proyecto</v>
      </c>
      <c r="AL682" s="640" t="str">
        <f>IF(J682="Funcionamiento Gastos Generales","No aplica",IF(J682="Funcionamiento Servicios Personales","No aplica",IFERROR(VLOOKUP(J682,Listas!$A$220:$D$224,2,FALSE),"Alerta: Seleccione la celda en la comumna B con el nombre del proyecto")))</f>
        <v>Alerta: Seleccione la celda en la comumna B con el nombre del proyecto</v>
      </c>
      <c r="AM682" s="640" t="str">
        <f>IF(J682="Funcionamiento Gastos Generales","No aplica",IF(J682="Funcionamiento Servicios Personales","No aplica",IFERROR(VLOOKUP(J682,Listas!$A$220:$D$224,3,FALSE),"Alerta: Seleccione la celda en la comumna B con el nombre del proyecto")))</f>
        <v>Alerta: Seleccione la celda en la comumna B con el nombre del proyecto</v>
      </c>
      <c r="AN682" s="633"/>
      <c r="AO682" s="633"/>
      <c r="AP682" s="634" t="str">
        <f>IFERROR(VLOOKUP(J682,Listas!$A$182:$E$215,5,FALSE),"Alerta: Seleccione la celda en la comumna B con el nombre del proyecto")</f>
        <v>Alerta: Seleccione la celda en la comumna B con el nombre del proyecto</v>
      </c>
      <c r="AQ682" s="634" t="str">
        <f>IF(J682="Funcionamiento Gastos Generales","No aplica",IF(J682="Funcionamiento Servicios Personales","No aplica",IFERROR(VLOOKUP(J682,Listas!$A$220:$D$224,4,FALSE),"Alerta: Seleccione la celda en la comumna B con el nombre del proyecto")))</f>
        <v>Alerta: Seleccione la celda en la comumna B con el nombre del proyecto</v>
      </c>
      <c r="AR682" s="633"/>
      <c r="AS682" s="634" t="str">
        <f>IFERROR(VLOOKUP(AU682,Listas!$E$85:$L$105,7,FALSE),"Alerta: Seleccione la celda en la comumna AI con el concepto de gasto")</f>
        <v>Alerta: Seleccione la celda en la comumna AI con el concepto de gasto</v>
      </c>
      <c r="AT682" s="634" t="str">
        <f>IFERROR(VLOOKUP(AU682,Listas!$E$85:$L$105,8,FALSE),"Alerta: Seleccione la celda en la comumna AI con el concepto de gasto")</f>
        <v>Alerta: Seleccione la celda en la comumna AI con el concepto de gasto</v>
      </c>
      <c r="AU682" s="633"/>
      <c r="AV682" s="634" t="str">
        <f>IFERROR(VLOOKUP(AU682,Listas!$E$85:$F$105,2,FALSE),"Alerta: Seleccione el Concepto de Gasto primero")</f>
        <v>Alerta: Seleccione el Concepto de Gasto primero</v>
      </c>
      <c r="AW682" s="644"/>
      <c r="AX682" s="645"/>
      <c r="AY682" s="645"/>
      <c r="AZ682" s="645"/>
      <c r="BA682" s="646">
        <f t="shared" si="218"/>
        <v>0</v>
      </c>
      <c r="BB682" s="647"/>
      <c r="BC682" s="648"/>
      <c r="BD682" s="649"/>
      <c r="BE682" s="647"/>
      <c r="BF682" s="644"/>
      <c r="BG682" s="646">
        <f t="shared" si="219"/>
        <v>0</v>
      </c>
      <c r="BH682" s="650"/>
      <c r="BI682" s="647"/>
      <c r="BJ682" s="644"/>
      <c r="BK682" s="646">
        <f t="shared" si="220"/>
        <v>0</v>
      </c>
      <c r="BL682" s="651"/>
      <c r="BM682" s="652">
        <f t="shared" si="221"/>
        <v>1</v>
      </c>
      <c r="BN682" s="628"/>
      <c r="BO682" s="670"/>
      <c r="BP682" s="644"/>
      <c r="BQ682" s="644"/>
      <c r="BR682" s="644"/>
      <c r="BS682" s="644"/>
      <c r="BT682" s="644"/>
      <c r="BU682" s="644"/>
      <c r="BV682" s="644"/>
      <c r="BW682" s="644"/>
      <c r="BX682" s="644"/>
      <c r="BY682" s="644"/>
      <c r="BZ682" s="644"/>
      <c r="CA682" s="644"/>
      <c r="CB682" s="646">
        <f t="shared" si="222"/>
        <v>0</v>
      </c>
      <c r="CC682" s="646">
        <f t="shared" si="223"/>
        <v>0</v>
      </c>
      <c r="CD682" s="614"/>
      <c r="CG682" s="659" t="s">
        <v>589</v>
      </c>
    </row>
    <row r="683" spans="1:85" s="659" customFormat="1" ht="61.5" customHeight="1">
      <c r="A683" s="625" t="str">
        <f t="shared" si="205"/>
        <v>proyecto-Alerta: Seleccione la celda en la comumna B con el nombre del proyecto-Al-Al--</v>
      </c>
      <c r="B683" s="626" t="str">
        <f t="shared" si="206"/>
        <v>proyecto-Alerta: Seleccione la celda en la comumna B con el nombre del proyecto-Al-Al-</v>
      </c>
      <c r="C683" s="626" t="str">
        <f t="shared" si="207"/>
        <v>proyecto-Alerta: Seleccione la celda en la comumna B con el nombre del proyecto-</v>
      </c>
      <c r="D683" s="626" t="str">
        <f t="shared" si="208"/>
        <v>proyecto--Al-Al-</v>
      </c>
      <c r="E683" s="626" t="str">
        <f t="shared" si="209"/>
        <v>--</v>
      </c>
      <c r="F683" s="627"/>
      <c r="G683" s="628">
        <f t="shared" si="210"/>
        <v>0</v>
      </c>
      <c r="H683" s="629" t="b">
        <f t="shared" si="211"/>
        <v>1</v>
      </c>
      <c r="I683" s="630"/>
      <c r="J683" s="627"/>
      <c r="K683" s="631" t="str">
        <f>+IFERROR(VLOOKUP(J683,Listas!$A$108:$B$114,2,FALSE),"Alerta: Seleccione la celda en la comumna B con el nombre del proyecto")</f>
        <v>Alerta: Seleccione la celda en la comumna B con el nombre del proyecto</v>
      </c>
      <c r="L683" s="632"/>
      <c r="M683" s="633"/>
      <c r="N683" s="634" t="str">
        <f t="shared" si="212"/>
        <v xml:space="preserve">(Cód. ) </v>
      </c>
      <c r="O683" s="635"/>
      <c r="P683" s="636">
        <f>IFERROR(VLOOKUP(W683,'Estimación CRP'!$D$21:$E$30,2,FALSE),0)</f>
        <v>0</v>
      </c>
      <c r="Q683" s="637">
        <f>IF(O683="No aplica","No aplica",WORKDAY.INTL(O683,P683,1,'Estimación CRP'!A869:A885))</f>
        <v>0</v>
      </c>
      <c r="R683" s="636">
        <f t="shared" si="213"/>
        <v>1</v>
      </c>
      <c r="S683" s="636">
        <f t="shared" si="214"/>
        <v>1</v>
      </c>
      <c r="T683" s="636">
        <f t="shared" si="215"/>
        <v>1</v>
      </c>
      <c r="U683" s="638"/>
      <c r="V683" s="638"/>
      <c r="W683" s="639"/>
      <c r="X683" s="640" t="str">
        <f>IFERROR(VLOOKUP(W683,Listas!$A$60:$B$73,2,FALSE),"Alerta: Seleccione primero Modalidad de selección")</f>
        <v>Alerta: Seleccione primero Modalidad de selección</v>
      </c>
      <c r="Y683" s="641">
        <v>0</v>
      </c>
      <c r="Z683" s="641"/>
      <c r="AA683" s="641"/>
      <c r="AB683" s="642">
        <f t="shared" si="216"/>
        <v>0</v>
      </c>
      <c r="AC683" s="642">
        <f t="shared" si="217"/>
        <v>0</v>
      </c>
      <c r="AD683" s="641">
        <v>0</v>
      </c>
      <c r="AE683" s="643">
        <v>0</v>
      </c>
      <c r="AF683" s="639" t="s">
        <v>276</v>
      </c>
      <c r="AG683" s="639" t="s">
        <v>277</v>
      </c>
      <c r="AH683" s="639"/>
      <c r="AI683" s="626" t="str">
        <f>IFERROR(VLOOKUP(AH683,Listas!$A$77:$C$83,2,FALSE),"Alerta: Seleccione primero el responsable")</f>
        <v>Alerta: Seleccione primero el responsable</v>
      </c>
      <c r="AJ683" s="640" t="str">
        <f>IFERROR(VLOOKUP(AH683,Listas!$A$77:$C$83,3,FALSE),"Alerta: Seleccione primero el responsable")</f>
        <v>Alerta: Seleccione primero el responsable</v>
      </c>
      <c r="AK683" s="640" t="str">
        <f>IF(J683="Funcionamiento Gastos Generales","No aplica",IF(J683="Funcionamiento Servicios Personales indirectos","No aplica",IFERROR(VLOOKUP(J683,Listas!$A$127:$E$139,3,FALSE),"Alerta: Seleccione la celda en la comumna B con el nombre del proyecto")))</f>
        <v>Alerta: Seleccione la celda en la comumna B con el nombre del proyecto</v>
      </c>
      <c r="AL683" s="640" t="str">
        <f>IF(J683="Funcionamiento Gastos Generales","No aplica",IF(J683="Funcionamiento Servicios Personales","No aplica",IFERROR(VLOOKUP(J683,Listas!$A$220:$D$224,2,FALSE),"Alerta: Seleccione la celda en la comumna B con el nombre del proyecto")))</f>
        <v>Alerta: Seleccione la celda en la comumna B con el nombre del proyecto</v>
      </c>
      <c r="AM683" s="640" t="str">
        <f>IF(J683="Funcionamiento Gastos Generales","No aplica",IF(J683="Funcionamiento Servicios Personales","No aplica",IFERROR(VLOOKUP(J683,Listas!$A$220:$D$224,3,FALSE),"Alerta: Seleccione la celda en la comumna B con el nombre del proyecto")))</f>
        <v>Alerta: Seleccione la celda en la comumna B con el nombre del proyecto</v>
      </c>
      <c r="AN683" s="633"/>
      <c r="AO683" s="633"/>
      <c r="AP683" s="634" t="str">
        <f>IFERROR(VLOOKUP(J683,Listas!$A$182:$E$215,5,FALSE),"Alerta: Seleccione la celda en la comumna B con el nombre del proyecto")</f>
        <v>Alerta: Seleccione la celda en la comumna B con el nombre del proyecto</v>
      </c>
      <c r="AQ683" s="634" t="str">
        <f>IF(J683="Funcionamiento Gastos Generales","No aplica",IF(J683="Funcionamiento Servicios Personales","No aplica",IFERROR(VLOOKUP(J683,Listas!$A$220:$D$224,4,FALSE),"Alerta: Seleccione la celda en la comumna B con el nombre del proyecto")))</f>
        <v>Alerta: Seleccione la celda en la comumna B con el nombre del proyecto</v>
      </c>
      <c r="AR683" s="633"/>
      <c r="AS683" s="634" t="str">
        <f>IFERROR(VLOOKUP(AU683,Listas!$E$85:$L$105,7,FALSE),"Alerta: Seleccione la celda en la comumna AI con el concepto de gasto")</f>
        <v>Alerta: Seleccione la celda en la comumna AI con el concepto de gasto</v>
      </c>
      <c r="AT683" s="634" t="str">
        <f>IFERROR(VLOOKUP(AU683,Listas!$E$85:$L$105,8,FALSE),"Alerta: Seleccione la celda en la comumna AI con el concepto de gasto")</f>
        <v>Alerta: Seleccione la celda en la comumna AI con el concepto de gasto</v>
      </c>
      <c r="AU683" s="633"/>
      <c r="AV683" s="634" t="str">
        <f>IFERROR(VLOOKUP(AU683,Listas!$E$85:$F$105,2,FALSE),"Alerta: Seleccione el Concepto de Gasto primero")</f>
        <v>Alerta: Seleccione el Concepto de Gasto primero</v>
      </c>
      <c r="AW683" s="644"/>
      <c r="AX683" s="645"/>
      <c r="AY683" s="645"/>
      <c r="AZ683" s="645"/>
      <c r="BA683" s="646">
        <f t="shared" si="218"/>
        <v>0</v>
      </c>
      <c r="BB683" s="647"/>
      <c r="BC683" s="648"/>
      <c r="BD683" s="649"/>
      <c r="BE683" s="647"/>
      <c r="BF683" s="644"/>
      <c r="BG683" s="646">
        <f t="shared" si="219"/>
        <v>0</v>
      </c>
      <c r="BH683" s="650"/>
      <c r="BI683" s="647"/>
      <c r="BJ683" s="644"/>
      <c r="BK683" s="646">
        <f t="shared" si="220"/>
        <v>0</v>
      </c>
      <c r="BL683" s="651"/>
      <c r="BM683" s="652">
        <f t="shared" si="221"/>
        <v>1</v>
      </c>
      <c r="BN683" s="628"/>
      <c r="BO683" s="670"/>
      <c r="BP683" s="644"/>
      <c r="BQ683" s="644"/>
      <c r="BR683" s="644"/>
      <c r="BS683" s="644"/>
      <c r="BT683" s="644"/>
      <c r="BU683" s="644"/>
      <c r="BV683" s="644"/>
      <c r="BW683" s="644"/>
      <c r="BX683" s="644"/>
      <c r="BY683" s="644"/>
      <c r="BZ683" s="644"/>
      <c r="CA683" s="644"/>
      <c r="CB683" s="646">
        <f t="shared" si="222"/>
        <v>0</v>
      </c>
      <c r="CC683" s="646">
        <f t="shared" si="223"/>
        <v>0</v>
      </c>
      <c r="CD683" s="614"/>
      <c r="CG683" s="659" t="s">
        <v>589</v>
      </c>
    </row>
    <row r="684" spans="1:85" s="659" customFormat="1" ht="61.5" customHeight="1">
      <c r="A684" s="625" t="str">
        <f t="shared" si="205"/>
        <v>proyecto-Alerta: Seleccione la celda en la comumna B con el nombre del proyecto-Al-Al--</v>
      </c>
      <c r="B684" s="626" t="str">
        <f t="shared" si="206"/>
        <v>proyecto-Alerta: Seleccione la celda en la comumna B con el nombre del proyecto-Al-Al-</v>
      </c>
      <c r="C684" s="626" t="str">
        <f t="shared" si="207"/>
        <v>proyecto-Alerta: Seleccione la celda en la comumna B con el nombre del proyecto-</v>
      </c>
      <c r="D684" s="626" t="str">
        <f t="shared" si="208"/>
        <v>proyecto--Al-Al-</v>
      </c>
      <c r="E684" s="626" t="str">
        <f t="shared" si="209"/>
        <v>--</v>
      </c>
      <c r="F684" s="627"/>
      <c r="G684" s="628">
        <f t="shared" si="210"/>
        <v>0</v>
      </c>
      <c r="H684" s="629" t="b">
        <f t="shared" si="211"/>
        <v>1</v>
      </c>
      <c r="I684" s="630"/>
      <c r="J684" s="627"/>
      <c r="K684" s="631" t="str">
        <f>+IFERROR(VLOOKUP(J684,Listas!$A$108:$B$114,2,FALSE),"Alerta: Seleccione la celda en la comumna B con el nombre del proyecto")</f>
        <v>Alerta: Seleccione la celda en la comumna B con el nombre del proyecto</v>
      </c>
      <c r="L684" s="632"/>
      <c r="M684" s="633"/>
      <c r="N684" s="634" t="str">
        <f t="shared" si="212"/>
        <v xml:space="preserve">(Cód. ) </v>
      </c>
      <c r="O684" s="635"/>
      <c r="P684" s="636">
        <f>IFERROR(VLOOKUP(W684,'Estimación CRP'!$D$21:$E$30,2,FALSE),0)</f>
        <v>0</v>
      </c>
      <c r="Q684" s="637">
        <f>IF(O684="No aplica","No aplica",WORKDAY.INTL(O684,P684,1,'Estimación CRP'!A870:A886))</f>
        <v>0</v>
      </c>
      <c r="R684" s="636">
        <f t="shared" si="213"/>
        <v>1</v>
      </c>
      <c r="S684" s="636">
        <f t="shared" si="214"/>
        <v>1</v>
      </c>
      <c r="T684" s="636">
        <f t="shared" si="215"/>
        <v>1</v>
      </c>
      <c r="U684" s="638"/>
      <c r="V684" s="638"/>
      <c r="W684" s="639"/>
      <c r="X684" s="640" t="str">
        <f>IFERROR(VLOOKUP(W684,Listas!$A$60:$B$73,2,FALSE),"Alerta: Seleccione primero Modalidad de selección")</f>
        <v>Alerta: Seleccione primero Modalidad de selección</v>
      </c>
      <c r="Y684" s="641">
        <v>0</v>
      </c>
      <c r="Z684" s="641"/>
      <c r="AA684" s="641"/>
      <c r="AB684" s="642">
        <f t="shared" si="216"/>
        <v>0</v>
      </c>
      <c r="AC684" s="642">
        <f t="shared" si="217"/>
        <v>0</v>
      </c>
      <c r="AD684" s="641">
        <v>0</v>
      </c>
      <c r="AE684" s="643">
        <v>0</v>
      </c>
      <c r="AF684" s="639" t="s">
        <v>276</v>
      </c>
      <c r="AG684" s="639" t="s">
        <v>277</v>
      </c>
      <c r="AH684" s="639"/>
      <c r="AI684" s="626" t="str">
        <f>IFERROR(VLOOKUP(AH684,Listas!$A$77:$C$83,2,FALSE),"Alerta: Seleccione primero el responsable")</f>
        <v>Alerta: Seleccione primero el responsable</v>
      </c>
      <c r="AJ684" s="640" t="str">
        <f>IFERROR(VLOOKUP(AH684,Listas!$A$77:$C$83,3,FALSE),"Alerta: Seleccione primero el responsable")</f>
        <v>Alerta: Seleccione primero el responsable</v>
      </c>
      <c r="AK684" s="640" t="str">
        <f>IF(J684="Funcionamiento Gastos Generales","No aplica",IF(J684="Funcionamiento Servicios Personales indirectos","No aplica",IFERROR(VLOOKUP(J684,Listas!$A$127:$E$139,3,FALSE),"Alerta: Seleccione la celda en la comumna B con el nombre del proyecto")))</f>
        <v>Alerta: Seleccione la celda en la comumna B con el nombre del proyecto</v>
      </c>
      <c r="AL684" s="640" t="str">
        <f>IF(J684="Funcionamiento Gastos Generales","No aplica",IF(J684="Funcionamiento Servicios Personales","No aplica",IFERROR(VLOOKUP(J684,Listas!$A$220:$D$224,2,FALSE),"Alerta: Seleccione la celda en la comumna B con el nombre del proyecto")))</f>
        <v>Alerta: Seleccione la celda en la comumna B con el nombre del proyecto</v>
      </c>
      <c r="AM684" s="640" t="str">
        <f>IF(J684="Funcionamiento Gastos Generales","No aplica",IF(J684="Funcionamiento Servicios Personales","No aplica",IFERROR(VLOOKUP(J684,Listas!$A$220:$D$224,3,FALSE),"Alerta: Seleccione la celda en la comumna B con el nombre del proyecto")))</f>
        <v>Alerta: Seleccione la celda en la comumna B con el nombre del proyecto</v>
      </c>
      <c r="AN684" s="633"/>
      <c r="AO684" s="633"/>
      <c r="AP684" s="634" t="str">
        <f>IFERROR(VLOOKUP(J684,Listas!$A$182:$E$215,5,FALSE),"Alerta: Seleccione la celda en la comumna B con el nombre del proyecto")</f>
        <v>Alerta: Seleccione la celda en la comumna B con el nombre del proyecto</v>
      </c>
      <c r="AQ684" s="634" t="str">
        <f>IF(J684="Funcionamiento Gastos Generales","No aplica",IF(J684="Funcionamiento Servicios Personales","No aplica",IFERROR(VLOOKUP(J684,Listas!$A$220:$D$224,4,FALSE),"Alerta: Seleccione la celda en la comumna B con el nombre del proyecto")))</f>
        <v>Alerta: Seleccione la celda en la comumna B con el nombre del proyecto</v>
      </c>
      <c r="AR684" s="633"/>
      <c r="AS684" s="634" t="str">
        <f>IFERROR(VLOOKUP(AU684,Listas!$E$85:$L$105,7,FALSE),"Alerta: Seleccione la celda en la comumna AI con el concepto de gasto")</f>
        <v>Alerta: Seleccione la celda en la comumna AI con el concepto de gasto</v>
      </c>
      <c r="AT684" s="634" t="str">
        <f>IFERROR(VLOOKUP(AU684,Listas!$E$85:$L$105,8,FALSE),"Alerta: Seleccione la celda en la comumna AI con el concepto de gasto")</f>
        <v>Alerta: Seleccione la celda en la comumna AI con el concepto de gasto</v>
      </c>
      <c r="AU684" s="633"/>
      <c r="AV684" s="634" t="str">
        <f>IFERROR(VLOOKUP(AU684,Listas!$E$85:$F$105,2,FALSE),"Alerta: Seleccione el Concepto de Gasto primero")</f>
        <v>Alerta: Seleccione el Concepto de Gasto primero</v>
      </c>
      <c r="AW684" s="644"/>
      <c r="AX684" s="645"/>
      <c r="AY684" s="645"/>
      <c r="AZ684" s="645"/>
      <c r="BA684" s="646">
        <f t="shared" si="218"/>
        <v>0</v>
      </c>
      <c r="BB684" s="647"/>
      <c r="BC684" s="648"/>
      <c r="BD684" s="649"/>
      <c r="BE684" s="647"/>
      <c r="BF684" s="644"/>
      <c r="BG684" s="646">
        <f t="shared" si="219"/>
        <v>0</v>
      </c>
      <c r="BH684" s="650"/>
      <c r="BI684" s="647"/>
      <c r="BJ684" s="644"/>
      <c r="BK684" s="646">
        <f t="shared" si="220"/>
        <v>0</v>
      </c>
      <c r="BL684" s="651"/>
      <c r="BM684" s="652">
        <f t="shared" si="221"/>
        <v>1</v>
      </c>
      <c r="BN684" s="628"/>
      <c r="BO684" s="670"/>
      <c r="BP684" s="644"/>
      <c r="BQ684" s="644"/>
      <c r="BR684" s="644"/>
      <c r="BS684" s="644"/>
      <c r="BT684" s="644"/>
      <c r="BU684" s="644"/>
      <c r="BV684" s="644"/>
      <c r="BW684" s="644"/>
      <c r="BX684" s="644"/>
      <c r="BY684" s="644"/>
      <c r="BZ684" s="644"/>
      <c r="CA684" s="644"/>
      <c r="CB684" s="646">
        <f t="shared" si="222"/>
        <v>0</v>
      </c>
      <c r="CC684" s="646">
        <f t="shared" si="223"/>
        <v>0</v>
      </c>
      <c r="CD684" s="614"/>
      <c r="CG684" s="659" t="s">
        <v>589</v>
      </c>
    </row>
    <row r="685" spans="1:85" s="659" customFormat="1" ht="61.5" customHeight="1">
      <c r="A685" s="625" t="str">
        <f t="shared" si="205"/>
        <v>proyecto-Alerta: Seleccione la celda en la comumna B con el nombre del proyecto-Al-Al--</v>
      </c>
      <c r="B685" s="626" t="str">
        <f t="shared" si="206"/>
        <v>proyecto-Alerta: Seleccione la celda en la comumna B con el nombre del proyecto-Al-Al-</v>
      </c>
      <c r="C685" s="626" t="str">
        <f t="shared" si="207"/>
        <v>proyecto-Alerta: Seleccione la celda en la comumna B con el nombre del proyecto-</v>
      </c>
      <c r="D685" s="626" t="str">
        <f t="shared" si="208"/>
        <v>proyecto--Al-Al-</v>
      </c>
      <c r="E685" s="626" t="str">
        <f t="shared" si="209"/>
        <v>--</v>
      </c>
      <c r="F685" s="627"/>
      <c r="G685" s="628">
        <f t="shared" si="210"/>
        <v>0</v>
      </c>
      <c r="H685" s="629" t="b">
        <f t="shared" si="211"/>
        <v>1</v>
      </c>
      <c r="I685" s="630"/>
      <c r="J685" s="627"/>
      <c r="K685" s="631" t="str">
        <f>+IFERROR(VLOOKUP(J685,Listas!$A$108:$B$114,2,FALSE),"Alerta: Seleccione la celda en la comumna B con el nombre del proyecto")</f>
        <v>Alerta: Seleccione la celda en la comumna B con el nombre del proyecto</v>
      </c>
      <c r="L685" s="632"/>
      <c r="M685" s="633"/>
      <c r="N685" s="634" t="str">
        <f t="shared" si="212"/>
        <v xml:space="preserve">(Cód. ) </v>
      </c>
      <c r="O685" s="635"/>
      <c r="P685" s="636">
        <f>IFERROR(VLOOKUP(W685,'Estimación CRP'!$D$21:$E$30,2,FALSE),0)</f>
        <v>0</v>
      </c>
      <c r="Q685" s="637">
        <f>IF(O685="No aplica","No aplica",WORKDAY.INTL(O685,P685,1,'Estimación CRP'!A871:A887))</f>
        <v>0</v>
      </c>
      <c r="R685" s="636">
        <f t="shared" si="213"/>
        <v>1</v>
      </c>
      <c r="S685" s="636">
        <f t="shared" si="214"/>
        <v>1</v>
      </c>
      <c r="T685" s="636">
        <f t="shared" si="215"/>
        <v>1</v>
      </c>
      <c r="U685" s="638"/>
      <c r="V685" s="638"/>
      <c r="W685" s="639"/>
      <c r="X685" s="640" t="str">
        <f>IFERROR(VLOOKUP(W685,Listas!$A$60:$B$73,2,FALSE),"Alerta: Seleccione primero Modalidad de selección")</f>
        <v>Alerta: Seleccione primero Modalidad de selección</v>
      </c>
      <c r="Y685" s="641">
        <v>0</v>
      </c>
      <c r="Z685" s="641"/>
      <c r="AA685" s="641"/>
      <c r="AB685" s="642">
        <f t="shared" si="216"/>
        <v>0</v>
      </c>
      <c r="AC685" s="642">
        <f t="shared" si="217"/>
        <v>0</v>
      </c>
      <c r="AD685" s="641">
        <v>0</v>
      </c>
      <c r="AE685" s="643">
        <v>0</v>
      </c>
      <c r="AF685" s="639" t="s">
        <v>276</v>
      </c>
      <c r="AG685" s="639" t="s">
        <v>277</v>
      </c>
      <c r="AH685" s="639"/>
      <c r="AI685" s="626" t="str">
        <f>IFERROR(VLOOKUP(AH685,Listas!$A$77:$C$83,2,FALSE),"Alerta: Seleccione primero el responsable")</f>
        <v>Alerta: Seleccione primero el responsable</v>
      </c>
      <c r="AJ685" s="640" t="str">
        <f>IFERROR(VLOOKUP(AH685,Listas!$A$77:$C$83,3,FALSE),"Alerta: Seleccione primero el responsable")</f>
        <v>Alerta: Seleccione primero el responsable</v>
      </c>
      <c r="AK685" s="640" t="str">
        <f>IF(J685="Funcionamiento Gastos Generales","No aplica",IF(J685="Funcionamiento Servicios Personales indirectos","No aplica",IFERROR(VLOOKUP(J685,Listas!$A$127:$E$139,3,FALSE),"Alerta: Seleccione la celda en la comumna B con el nombre del proyecto")))</f>
        <v>Alerta: Seleccione la celda en la comumna B con el nombre del proyecto</v>
      </c>
      <c r="AL685" s="640" t="str">
        <f>IF(J685="Funcionamiento Gastos Generales","No aplica",IF(J685="Funcionamiento Servicios Personales","No aplica",IFERROR(VLOOKUP(J685,Listas!$A$220:$D$224,2,FALSE),"Alerta: Seleccione la celda en la comumna B con el nombre del proyecto")))</f>
        <v>Alerta: Seleccione la celda en la comumna B con el nombre del proyecto</v>
      </c>
      <c r="AM685" s="640" t="str">
        <f>IF(J685="Funcionamiento Gastos Generales","No aplica",IF(J685="Funcionamiento Servicios Personales","No aplica",IFERROR(VLOOKUP(J685,Listas!$A$220:$D$224,3,FALSE),"Alerta: Seleccione la celda en la comumna B con el nombre del proyecto")))</f>
        <v>Alerta: Seleccione la celda en la comumna B con el nombre del proyecto</v>
      </c>
      <c r="AN685" s="633"/>
      <c r="AO685" s="633"/>
      <c r="AP685" s="634" t="str">
        <f>IFERROR(VLOOKUP(J685,Listas!$A$182:$E$215,5,FALSE),"Alerta: Seleccione la celda en la comumna B con el nombre del proyecto")</f>
        <v>Alerta: Seleccione la celda en la comumna B con el nombre del proyecto</v>
      </c>
      <c r="AQ685" s="634" t="str">
        <f>IF(J685="Funcionamiento Gastos Generales","No aplica",IF(J685="Funcionamiento Servicios Personales","No aplica",IFERROR(VLOOKUP(J685,Listas!$A$220:$D$224,4,FALSE),"Alerta: Seleccione la celda en la comumna B con el nombre del proyecto")))</f>
        <v>Alerta: Seleccione la celda en la comumna B con el nombre del proyecto</v>
      </c>
      <c r="AR685" s="633"/>
      <c r="AS685" s="634" t="str">
        <f>IFERROR(VLOOKUP(AU685,Listas!$E$85:$L$105,7,FALSE),"Alerta: Seleccione la celda en la comumna AI con el concepto de gasto")</f>
        <v>Alerta: Seleccione la celda en la comumna AI con el concepto de gasto</v>
      </c>
      <c r="AT685" s="634" t="str">
        <f>IFERROR(VLOOKUP(AU685,Listas!$E$85:$L$105,8,FALSE),"Alerta: Seleccione la celda en la comumna AI con el concepto de gasto")</f>
        <v>Alerta: Seleccione la celda en la comumna AI con el concepto de gasto</v>
      </c>
      <c r="AU685" s="633"/>
      <c r="AV685" s="634" t="str">
        <f>IFERROR(VLOOKUP(AU685,Listas!$E$85:$F$105,2,FALSE),"Alerta: Seleccione el Concepto de Gasto primero")</f>
        <v>Alerta: Seleccione el Concepto de Gasto primero</v>
      </c>
      <c r="AW685" s="644"/>
      <c r="AX685" s="645"/>
      <c r="AY685" s="645"/>
      <c r="AZ685" s="645"/>
      <c r="BA685" s="646">
        <f t="shared" si="218"/>
        <v>0</v>
      </c>
      <c r="BB685" s="647"/>
      <c r="BC685" s="648"/>
      <c r="BD685" s="649"/>
      <c r="BE685" s="647"/>
      <c r="BF685" s="644"/>
      <c r="BG685" s="646">
        <f t="shared" si="219"/>
        <v>0</v>
      </c>
      <c r="BH685" s="650"/>
      <c r="BI685" s="647"/>
      <c r="BJ685" s="644"/>
      <c r="BK685" s="646">
        <f t="shared" si="220"/>
        <v>0</v>
      </c>
      <c r="BL685" s="651"/>
      <c r="BM685" s="652">
        <f t="shared" si="221"/>
        <v>1</v>
      </c>
      <c r="BN685" s="628"/>
      <c r="BO685" s="670"/>
      <c r="BP685" s="644"/>
      <c r="BQ685" s="644"/>
      <c r="BR685" s="644"/>
      <c r="BS685" s="644"/>
      <c r="BT685" s="644"/>
      <c r="BU685" s="644"/>
      <c r="BV685" s="644"/>
      <c r="BW685" s="644"/>
      <c r="BX685" s="644"/>
      <c r="BY685" s="644"/>
      <c r="BZ685" s="644"/>
      <c r="CA685" s="644"/>
      <c r="CB685" s="646">
        <f t="shared" si="222"/>
        <v>0</v>
      </c>
      <c r="CC685" s="646">
        <f t="shared" si="223"/>
        <v>0</v>
      </c>
      <c r="CD685" s="614"/>
      <c r="CG685" s="659" t="s">
        <v>589</v>
      </c>
    </row>
    <row r="686" spans="1:85" s="659" customFormat="1" ht="61.5" customHeight="1">
      <c r="A686" s="625" t="str">
        <f t="shared" si="205"/>
        <v>proyecto-Alerta: Seleccione la celda en la comumna B con el nombre del proyecto-Al-Al--</v>
      </c>
      <c r="B686" s="626" t="str">
        <f t="shared" si="206"/>
        <v>proyecto-Alerta: Seleccione la celda en la comumna B con el nombre del proyecto-Al-Al-</v>
      </c>
      <c r="C686" s="626" t="str">
        <f t="shared" si="207"/>
        <v>proyecto-Alerta: Seleccione la celda en la comumna B con el nombre del proyecto-</v>
      </c>
      <c r="D686" s="626" t="str">
        <f t="shared" si="208"/>
        <v>proyecto--Al-Al-</v>
      </c>
      <c r="E686" s="626" t="str">
        <f t="shared" si="209"/>
        <v>--</v>
      </c>
      <c r="F686" s="627"/>
      <c r="G686" s="628">
        <f t="shared" si="210"/>
        <v>0</v>
      </c>
      <c r="H686" s="629" t="b">
        <f t="shared" si="211"/>
        <v>1</v>
      </c>
      <c r="I686" s="630"/>
      <c r="J686" s="627"/>
      <c r="K686" s="631" t="str">
        <f>+IFERROR(VLOOKUP(J686,Listas!$A$108:$B$114,2,FALSE),"Alerta: Seleccione la celda en la comumna B con el nombre del proyecto")</f>
        <v>Alerta: Seleccione la celda en la comumna B con el nombre del proyecto</v>
      </c>
      <c r="L686" s="632"/>
      <c r="M686" s="633"/>
      <c r="N686" s="634" t="str">
        <f t="shared" si="212"/>
        <v xml:space="preserve">(Cód. ) </v>
      </c>
      <c r="O686" s="635"/>
      <c r="P686" s="636">
        <f>IFERROR(VLOOKUP(W686,'Estimación CRP'!$D$21:$E$30,2,FALSE),0)</f>
        <v>0</v>
      </c>
      <c r="Q686" s="637">
        <f>IF(O686="No aplica","No aplica",WORKDAY.INTL(O686,P686,1,'Estimación CRP'!A872:A888))</f>
        <v>0</v>
      </c>
      <c r="R686" s="636">
        <f t="shared" si="213"/>
        <v>1</v>
      </c>
      <c r="S686" s="636">
        <f t="shared" si="214"/>
        <v>1</v>
      </c>
      <c r="T686" s="636">
        <f t="shared" si="215"/>
        <v>1</v>
      </c>
      <c r="U686" s="638"/>
      <c r="V686" s="638"/>
      <c r="W686" s="639"/>
      <c r="X686" s="640" t="str">
        <f>IFERROR(VLOOKUP(W686,Listas!$A$60:$B$73,2,FALSE),"Alerta: Seleccione primero Modalidad de selección")</f>
        <v>Alerta: Seleccione primero Modalidad de selección</v>
      </c>
      <c r="Y686" s="641">
        <v>0</v>
      </c>
      <c r="Z686" s="641"/>
      <c r="AA686" s="641"/>
      <c r="AB686" s="642">
        <f t="shared" si="216"/>
        <v>0</v>
      </c>
      <c r="AC686" s="642">
        <f t="shared" si="217"/>
        <v>0</v>
      </c>
      <c r="AD686" s="641">
        <v>0</v>
      </c>
      <c r="AE686" s="643">
        <v>0</v>
      </c>
      <c r="AF686" s="639" t="s">
        <v>276</v>
      </c>
      <c r="AG686" s="639" t="s">
        <v>277</v>
      </c>
      <c r="AH686" s="639"/>
      <c r="AI686" s="626" t="str">
        <f>IFERROR(VLOOKUP(AH686,Listas!$A$77:$C$83,2,FALSE),"Alerta: Seleccione primero el responsable")</f>
        <v>Alerta: Seleccione primero el responsable</v>
      </c>
      <c r="AJ686" s="640" t="str">
        <f>IFERROR(VLOOKUP(AH686,Listas!$A$77:$C$83,3,FALSE),"Alerta: Seleccione primero el responsable")</f>
        <v>Alerta: Seleccione primero el responsable</v>
      </c>
      <c r="AK686" s="640" t="str">
        <f>IF(J686="Funcionamiento Gastos Generales","No aplica",IF(J686="Funcionamiento Servicios Personales indirectos","No aplica",IFERROR(VLOOKUP(J686,Listas!$A$127:$E$139,3,FALSE),"Alerta: Seleccione la celda en la comumna B con el nombre del proyecto")))</f>
        <v>Alerta: Seleccione la celda en la comumna B con el nombre del proyecto</v>
      </c>
      <c r="AL686" s="640" t="str">
        <f>IF(J686="Funcionamiento Gastos Generales","No aplica",IF(J686="Funcionamiento Servicios Personales","No aplica",IFERROR(VLOOKUP(J686,Listas!$A$220:$D$224,2,FALSE),"Alerta: Seleccione la celda en la comumna B con el nombre del proyecto")))</f>
        <v>Alerta: Seleccione la celda en la comumna B con el nombre del proyecto</v>
      </c>
      <c r="AM686" s="640" t="str">
        <f>IF(J686="Funcionamiento Gastos Generales","No aplica",IF(J686="Funcionamiento Servicios Personales","No aplica",IFERROR(VLOOKUP(J686,Listas!$A$220:$D$224,3,FALSE),"Alerta: Seleccione la celda en la comumna B con el nombre del proyecto")))</f>
        <v>Alerta: Seleccione la celda en la comumna B con el nombre del proyecto</v>
      </c>
      <c r="AN686" s="633"/>
      <c r="AO686" s="633"/>
      <c r="AP686" s="634" t="str">
        <f>IFERROR(VLOOKUP(J686,Listas!$A$182:$E$215,5,FALSE),"Alerta: Seleccione la celda en la comumna B con el nombre del proyecto")</f>
        <v>Alerta: Seleccione la celda en la comumna B con el nombre del proyecto</v>
      </c>
      <c r="AQ686" s="634" t="str">
        <f>IF(J686="Funcionamiento Gastos Generales","No aplica",IF(J686="Funcionamiento Servicios Personales","No aplica",IFERROR(VLOOKUP(J686,Listas!$A$220:$D$224,4,FALSE),"Alerta: Seleccione la celda en la comumna B con el nombre del proyecto")))</f>
        <v>Alerta: Seleccione la celda en la comumna B con el nombre del proyecto</v>
      </c>
      <c r="AR686" s="633"/>
      <c r="AS686" s="634" t="str">
        <f>IFERROR(VLOOKUP(AU686,Listas!$E$85:$L$105,7,FALSE),"Alerta: Seleccione la celda en la comumna AI con el concepto de gasto")</f>
        <v>Alerta: Seleccione la celda en la comumna AI con el concepto de gasto</v>
      </c>
      <c r="AT686" s="634" t="str">
        <f>IFERROR(VLOOKUP(AU686,Listas!$E$85:$L$105,8,FALSE),"Alerta: Seleccione la celda en la comumna AI con el concepto de gasto")</f>
        <v>Alerta: Seleccione la celda en la comumna AI con el concepto de gasto</v>
      </c>
      <c r="AU686" s="633"/>
      <c r="AV686" s="634" t="str">
        <f>IFERROR(VLOOKUP(AU686,Listas!$E$85:$F$105,2,FALSE),"Alerta: Seleccione el Concepto de Gasto primero")</f>
        <v>Alerta: Seleccione el Concepto de Gasto primero</v>
      </c>
      <c r="AW686" s="644"/>
      <c r="AX686" s="645"/>
      <c r="AY686" s="645"/>
      <c r="AZ686" s="645"/>
      <c r="BA686" s="646">
        <f t="shared" si="218"/>
        <v>0</v>
      </c>
      <c r="BB686" s="647"/>
      <c r="BC686" s="648"/>
      <c r="BD686" s="649"/>
      <c r="BE686" s="647"/>
      <c r="BF686" s="644"/>
      <c r="BG686" s="646">
        <f t="shared" si="219"/>
        <v>0</v>
      </c>
      <c r="BH686" s="650"/>
      <c r="BI686" s="647"/>
      <c r="BJ686" s="644"/>
      <c r="BK686" s="646">
        <f t="shared" si="220"/>
        <v>0</v>
      </c>
      <c r="BL686" s="651"/>
      <c r="BM686" s="652">
        <f t="shared" si="221"/>
        <v>1</v>
      </c>
      <c r="BN686" s="628"/>
      <c r="BO686" s="670"/>
      <c r="BP686" s="644"/>
      <c r="BQ686" s="644"/>
      <c r="BR686" s="644"/>
      <c r="BS686" s="644"/>
      <c r="BT686" s="644"/>
      <c r="BU686" s="644"/>
      <c r="BV686" s="644"/>
      <c r="BW686" s="644"/>
      <c r="BX686" s="644"/>
      <c r="BY686" s="644"/>
      <c r="BZ686" s="644"/>
      <c r="CA686" s="644"/>
      <c r="CB686" s="646">
        <f t="shared" si="222"/>
        <v>0</v>
      </c>
      <c r="CC686" s="646">
        <f t="shared" si="223"/>
        <v>0</v>
      </c>
      <c r="CD686" s="614"/>
      <c r="CG686" s="659" t="s">
        <v>589</v>
      </c>
    </row>
    <row r="687" spans="1:85" s="659" customFormat="1" ht="61.5" customHeight="1">
      <c r="A687" s="625" t="str">
        <f t="shared" si="205"/>
        <v>proyecto-Alerta: Seleccione la celda en la comumna B con el nombre del proyecto-Al-Al--</v>
      </c>
      <c r="B687" s="626" t="str">
        <f t="shared" si="206"/>
        <v>proyecto-Alerta: Seleccione la celda en la comumna B con el nombre del proyecto-Al-Al-</v>
      </c>
      <c r="C687" s="626" t="str">
        <f t="shared" si="207"/>
        <v>proyecto-Alerta: Seleccione la celda en la comumna B con el nombre del proyecto-</v>
      </c>
      <c r="D687" s="626" t="str">
        <f t="shared" si="208"/>
        <v>proyecto--Al-Al-</v>
      </c>
      <c r="E687" s="626" t="str">
        <f t="shared" si="209"/>
        <v>--</v>
      </c>
      <c r="F687" s="627"/>
      <c r="G687" s="628">
        <f t="shared" si="210"/>
        <v>0</v>
      </c>
      <c r="H687" s="629" t="b">
        <f t="shared" si="211"/>
        <v>1</v>
      </c>
      <c r="I687" s="630"/>
      <c r="J687" s="627"/>
      <c r="K687" s="631" t="str">
        <f>+IFERROR(VLOOKUP(J687,Listas!$A$108:$B$114,2,FALSE),"Alerta: Seleccione la celda en la comumna B con el nombre del proyecto")</f>
        <v>Alerta: Seleccione la celda en la comumna B con el nombre del proyecto</v>
      </c>
      <c r="L687" s="632"/>
      <c r="M687" s="633"/>
      <c r="N687" s="634" t="str">
        <f t="shared" si="212"/>
        <v xml:space="preserve">(Cód. ) </v>
      </c>
      <c r="O687" s="635"/>
      <c r="P687" s="636">
        <f>IFERROR(VLOOKUP(W687,'Estimación CRP'!$D$21:$E$30,2,FALSE),0)</f>
        <v>0</v>
      </c>
      <c r="Q687" s="637">
        <f>IF(O687="No aplica","No aplica",WORKDAY.INTL(O687,P687,1,'Estimación CRP'!A873:A889))</f>
        <v>0</v>
      </c>
      <c r="R687" s="636">
        <f t="shared" si="213"/>
        <v>1</v>
      </c>
      <c r="S687" s="636">
        <f t="shared" si="214"/>
        <v>1</v>
      </c>
      <c r="T687" s="636">
        <f t="shared" si="215"/>
        <v>1</v>
      </c>
      <c r="U687" s="638"/>
      <c r="V687" s="638"/>
      <c r="W687" s="639"/>
      <c r="X687" s="640" t="str">
        <f>IFERROR(VLOOKUP(W687,Listas!$A$60:$B$73,2,FALSE),"Alerta: Seleccione primero Modalidad de selección")</f>
        <v>Alerta: Seleccione primero Modalidad de selección</v>
      </c>
      <c r="Y687" s="641">
        <v>0</v>
      </c>
      <c r="Z687" s="641"/>
      <c r="AA687" s="641"/>
      <c r="AB687" s="642">
        <f t="shared" si="216"/>
        <v>0</v>
      </c>
      <c r="AC687" s="642">
        <f t="shared" si="217"/>
        <v>0</v>
      </c>
      <c r="AD687" s="641">
        <v>0</v>
      </c>
      <c r="AE687" s="643">
        <v>0</v>
      </c>
      <c r="AF687" s="639" t="s">
        <v>276</v>
      </c>
      <c r="AG687" s="639" t="s">
        <v>277</v>
      </c>
      <c r="AH687" s="639"/>
      <c r="AI687" s="626" t="str">
        <f>IFERROR(VLOOKUP(AH687,Listas!$A$77:$C$83,2,FALSE),"Alerta: Seleccione primero el responsable")</f>
        <v>Alerta: Seleccione primero el responsable</v>
      </c>
      <c r="AJ687" s="640" t="str">
        <f>IFERROR(VLOOKUP(AH687,Listas!$A$77:$C$83,3,FALSE),"Alerta: Seleccione primero el responsable")</f>
        <v>Alerta: Seleccione primero el responsable</v>
      </c>
      <c r="AK687" s="640" t="str">
        <f>IF(J687="Funcionamiento Gastos Generales","No aplica",IF(J687="Funcionamiento Servicios Personales indirectos","No aplica",IFERROR(VLOOKUP(J687,Listas!$A$127:$E$139,3,FALSE),"Alerta: Seleccione la celda en la comumna B con el nombre del proyecto")))</f>
        <v>Alerta: Seleccione la celda en la comumna B con el nombre del proyecto</v>
      </c>
      <c r="AL687" s="640" t="str">
        <f>IF(J687="Funcionamiento Gastos Generales","No aplica",IF(J687="Funcionamiento Servicios Personales","No aplica",IFERROR(VLOOKUP(J687,Listas!$A$220:$D$224,2,FALSE),"Alerta: Seleccione la celda en la comumna B con el nombre del proyecto")))</f>
        <v>Alerta: Seleccione la celda en la comumna B con el nombre del proyecto</v>
      </c>
      <c r="AM687" s="640" t="str">
        <f>IF(J687="Funcionamiento Gastos Generales","No aplica",IF(J687="Funcionamiento Servicios Personales","No aplica",IFERROR(VLOOKUP(J687,Listas!$A$220:$D$224,3,FALSE),"Alerta: Seleccione la celda en la comumna B con el nombre del proyecto")))</f>
        <v>Alerta: Seleccione la celda en la comumna B con el nombre del proyecto</v>
      </c>
      <c r="AN687" s="633"/>
      <c r="AO687" s="633"/>
      <c r="AP687" s="634" t="str">
        <f>IFERROR(VLOOKUP(J687,Listas!$A$182:$E$215,5,FALSE),"Alerta: Seleccione la celda en la comumna B con el nombre del proyecto")</f>
        <v>Alerta: Seleccione la celda en la comumna B con el nombre del proyecto</v>
      </c>
      <c r="AQ687" s="634" t="str">
        <f>IF(J687="Funcionamiento Gastos Generales","No aplica",IF(J687="Funcionamiento Servicios Personales","No aplica",IFERROR(VLOOKUP(J687,Listas!$A$220:$D$224,4,FALSE),"Alerta: Seleccione la celda en la comumna B con el nombre del proyecto")))</f>
        <v>Alerta: Seleccione la celda en la comumna B con el nombre del proyecto</v>
      </c>
      <c r="AR687" s="633"/>
      <c r="AS687" s="634" t="str">
        <f>IFERROR(VLOOKUP(AU687,Listas!$E$85:$L$105,7,FALSE),"Alerta: Seleccione la celda en la comumna AI con el concepto de gasto")</f>
        <v>Alerta: Seleccione la celda en la comumna AI con el concepto de gasto</v>
      </c>
      <c r="AT687" s="634" t="str">
        <f>IFERROR(VLOOKUP(AU687,Listas!$E$85:$L$105,8,FALSE),"Alerta: Seleccione la celda en la comumna AI con el concepto de gasto")</f>
        <v>Alerta: Seleccione la celda en la comumna AI con el concepto de gasto</v>
      </c>
      <c r="AU687" s="633"/>
      <c r="AV687" s="634" t="str">
        <f>IFERROR(VLOOKUP(AU687,Listas!$E$85:$F$105,2,FALSE),"Alerta: Seleccione el Concepto de Gasto primero")</f>
        <v>Alerta: Seleccione el Concepto de Gasto primero</v>
      </c>
      <c r="AW687" s="644"/>
      <c r="AX687" s="645"/>
      <c r="AY687" s="645"/>
      <c r="AZ687" s="645"/>
      <c r="BA687" s="646">
        <f t="shared" si="218"/>
        <v>0</v>
      </c>
      <c r="BB687" s="647"/>
      <c r="BC687" s="648"/>
      <c r="BD687" s="649"/>
      <c r="BE687" s="647"/>
      <c r="BF687" s="644"/>
      <c r="BG687" s="646">
        <f t="shared" si="219"/>
        <v>0</v>
      </c>
      <c r="BH687" s="650"/>
      <c r="BI687" s="647"/>
      <c r="BJ687" s="644"/>
      <c r="BK687" s="646">
        <f t="shared" si="220"/>
        <v>0</v>
      </c>
      <c r="BL687" s="651"/>
      <c r="BM687" s="652">
        <f t="shared" si="221"/>
        <v>1</v>
      </c>
      <c r="BN687" s="628"/>
      <c r="BO687" s="670"/>
      <c r="BP687" s="644"/>
      <c r="BQ687" s="644"/>
      <c r="BR687" s="644"/>
      <c r="BS687" s="644"/>
      <c r="BT687" s="644"/>
      <c r="BU687" s="644"/>
      <c r="BV687" s="644"/>
      <c r="BW687" s="644"/>
      <c r="BX687" s="644"/>
      <c r="BY687" s="644"/>
      <c r="BZ687" s="644"/>
      <c r="CA687" s="644"/>
      <c r="CB687" s="646">
        <f t="shared" si="222"/>
        <v>0</v>
      </c>
      <c r="CC687" s="646">
        <f t="shared" si="223"/>
        <v>0</v>
      </c>
      <c r="CD687" s="614"/>
      <c r="CG687" s="659" t="s">
        <v>589</v>
      </c>
    </row>
    <row r="688" spans="1:85" s="659" customFormat="1" ht="61.5" customHeight="1">
      <c r="A688" s="625" t="str">
        <f t="shared" si="205"/>
        <v>proyecto-Alerta: Seleccione la celda en la comumna B con el nombre del proyecto-Al-Al--</v>
      </c>
      <c r="B688" s="626" t="str">
        <f t="shared" si="206"/>
        <v>proyecto-Alerta: Seleccione la celda en la comumna B con el nombre del proyecto-Al-Al-</v>
      </c>
      <c r="C688" s="626" t="str">
        <f t="shared" si="207"/>
        <v>proyecto-Alerta: Seleccione la celda en la comumna B con el nombre del proyecto-</v>
      </c>
      <c r="D688" s="626" t="str">
        <f t="shared" si="208"/>
        <v>proyecto--Al-Al-</v>
      </c>
      <c r="E688" s="626" t="str">
        <f t="shared" si="209"/>
        <v>--</v>
      </c>
      <c r="F688" s="627"/>
      <c r="G688" s="628">
        <f t="shared" si="210"/>
        <v>0</v>
      </c>
      <c r="H688" s="629" t="b">
        <f t="shared" si="211"/>
        <v>1</v>
      </c>
      <c r="I688" s="630"/>
      <c r="J688" s="627"/>
      <c r="K688" s="631" t="str">
        <f>+IFERROR(VLOOKUP(J688,Listas!$A$108:$B$114,2,FALSE),"Alerta: Seleccione la celda en la comumna B con el nombre del proyecto")</f>
        <v>Alerta: Seleccione la celda en la comumna B con el nombre del proyecto</v>
      </c>
      <c r="L688" s="632"/>
      <c r="M688" s="633"/>
      <c r="N688" s="634" t="str">
        <f t="shared" si="212"/>
        <v xml:space="preserve">(Cód. ) </v>
      </c>
      <c r="O688" s="635"/>
      <c r="P688" s="636">
        <f>IFERROR(VLOOKUP(W688,'Estimación CRP'!$D$21:$E$30,2,FALSE),0)</f>
        <v>0</v>
      </c>
      <c r="Q688" s="637">
        <f>IF(O688="No aplica","No aplica",WORKDAY.INTL(O688,P688,1,'Estimación CRP'!A874:A890))</f>
        <v>0</v>
      </c>
      <c r="R688" s="636">
        <f t="shared" si="213"/>
        <v>1</v>
      </c>
      <c r="S688" s="636">
        <f t="shared" si="214"/>
        <v>1</v>
      </c>
      <c r="T688" s="636">
        <f t="shared" si="215"/>
        <v>1</v>
      </c>
      <c r="U688" s="638"/>
      <c r="V688" s="638"/>
      <c r="W688" s="639"/>
      <c r="X688" s="640" t="str">
        <f>IFERROR(VLOOKUP(W688,Listas!$A$60:$B$73,2,FALSE),"Alerta: Seleccione primero Modalidad de selección")</f>
        <v>Alerta: Seleccione primero Modalidad de selección</v>
      </c>
      <c r="Y688" s="641">
        <v>0</v>
      </c>
      <c r="Z688" s="641"/>
      <c r="AA688" s="641"/>
      <c r="AB688" s="642">
        <f t="shared" si="216"/>
        <v>0</v>
      </c>
      <c r="AC688" s="642">
        <f t="shared" si="217"/>
        <v>0</v>
      </c>
      <c r="AD688" s="641">
        <v>0</v>
      </c>
      <c r="AE688" s="643">
        <v>0</v>
      </c>
      <c r="AF688" s="639" t="s">
        <v>276</v>
      </c>
      <c r="AG688" s="639" t="s">
        <v>277</v>
      </c>
      <c r="AH688" s="639"/>
      <c r="AI688" s="626" t="str">
        <f>IFERROR(VLOOKUP(AH688,Listas!$A$77:$C$83,2,FALSE),"Alerta: Seleccione primero el responsable")</f>
        <v>Alerta: Seleccione primero el responsable</v>
      </c>
      <c r="AJ688" s="640" t="str">
        <f>IFERROR(VLOOKUP(AH688,Listas!$A$77:$C$83,3,FALSE),"Alerta: Seleccione primero el responsable")</f>
        <v>Alerta: Seleccione primero el responsable</v>
      </c>
      <c r="AK688" s="640" t="str">
        <f>IF(J688="Funcionamiento Gastos Generales","No aplica",IF(J688="Funcionamiento Servicios Personales indirectos","No aplica",IFERROR(VLOOKUP(J688,Listas!$A$127:$E$139,3,FALSE),"Alerta: Seleccione la celda en la comumna B con el nombre del proyecto")))</f>
        <v>Alerta: Seleccione la celda en la comumna B con el nombre del proyecto</v>
      </c>
      <c r="AL688" s="640" t="str">
        <f>IF(J688="Funcionamiento Gastos Generales","No aplica",IF(J688="Funcionamiento Servicios Personales","No aplica",IFERROR(VLOOKUP(J688,Listas!$A$220:$D$224,2,FALSE),"Alerta: Seleccione la celda en la comumna B con el nombre del proyecto")))</f>
        <v>Alerta: Seleccione la celda en la comumna B con el nombre del proyecto</v>
      </c>
      <c r="AM688" s="640" t="str">
        <f>IF(J688="Funcionamiento Gastos Generales","No aplica",IF(J688="Funcionamiento Servicios Personales","No aplica",IFERROR(VLOOKUP(J688,Listas!$A$220:$D$224,3,FALSE),"Alerta: Seleccione la celda en la comumna B con el nombre del proyecto")))</f>
        <v>Alerta: Seleccione la celda en la comumna B con el nombre del proyecto</v>
      </c>
      <c r="AN688" s="633"/>
      <c r="AO688" s="633"/>
      <c r="AP688" s="634" t="str">
        <f>IFERROR(VLOOKUP(J688,Listas!$A$182:$E$215,5,FALSE),"Alerta: Seleccione la celda en la comumna B con el nombre del proyecto")</f>
        <v>Alerta: Seleccione la celda en la comumna B con el nombre del proyecto</v>
      </c>
      <c r="AQ688" s="634" t="str">
        <f>IF(J688="Funcionamiento Gastos Generales","No aplica",IF(J688="Funcionamiento Servicios Personales","No aplica",IFERROR(VLOOKUP(J688,Listas!$A$220:$D$224,4,FALSE),"Alerta: Seleccione la celda en la comumna B con el nombre del proyecto")))</f>
        <v>Alerta: Seleccione la celda en la comumna B con el nombre del proyecto</v>
      </c>
      <c r="AR688" s="633"/>
      <c r="AS688" s="634" t="str">
        <f>IFERROR(VLOOKUP(AU688,Listas!$E$85:$L$105,7,FALSE),"Alerta: Seleccione la celda en la comumna AI con el concepto de gasto")</f>
        <v>Alerta: Seleccione la celda en la comumna AI con el concepto de gasto</v>
      </c>
      <c r="AT688" s="634" t="str">
        <f>IFERROR(VLOOKUP(AU688,Listas!$E$85:$L$105,8,FALSE),"Alerta: Seleccione la celda en la comumna AI con el concepto de gasto")</f>
        <v>Alerta: Seleccione la celda en la comumna AI con el concepto de gasto</v>
      </c>
      <c r="AU688" s="633"/>
      <c r="AV688" s="634" t="str">
        <f>IFERROR(VLOOKUP(AU688,Listas!$E$85:$F$105,2,FALSE),"Alerta: Seleccione el Concepto de Gasto primero")</f>
        <v>Alerta: Seleccione el Concepto de Gasto primero</v>
      </c>
      <c r="AW688" s="644"/>
      <c r="AX688" s="645"/>
      <c r="AY688" s="645"/>
      <c r="AZ688" s="645"/>
      <c r="BA688" s="646">
        <f t="shared" si="218"/>
        <v>0</v>
      </c>
      <c r="BB688" s="647"/>
      <c r="BC688" s="648"/>
      <c r="BD688" s="649"/>
      <c r="BE688" s="647"/>
      <c r="BF688" s="644"/>
      <c r="BG688" s="646">
        <f t="shared" si="219"/>
        <v>0</v>
      </c>
      <c r="BH688" s="650"/>
      <c r="BI688" s="647"/>
      <c r="BJ688" s="644"/>
      <c r="BK688" s="646">
        <f t="shared" si="220"/>
        <v>0</v>
      </c>
      <c r="BL688" s="651"/>
      <c r="BM688" s="652">
        <f t="shared" si="221"/>
        <v>1</v>
      </c>
      <c r="BN688" s="628"/>
      <c r="BO688" s="670"/>
      <c r="BP688" s="644"/>
      <c r="BQ688" s="644"/>
      <c r="BR688" s="644"/>
      <c r="BS688" s="644"/>
      <c r="BT688" s="644"/>
      <c r="BU688" s="644"/>
      <c r="BV688" s="644"/>
      <c r="BW688" s="644"/>
      <c r="BX688" s="644"/>
      <c r="BY688" s="644"/>
      <c r="BZ688" s="644"/>
      <c r="CA688" s="644"/>
      <c r="CB688" s="646">
        <f t="shared" si="222"/>
        <v>0</v>
      </c>
      <c r="CC688" s="646">
        <f t="shared" si="223"/>
        <v>0</v>
      </c>
      <c r="CD688" s="614"/>
      <c r="CG688" s="659" t="s">
        <v>589</v>
      </c>
    </row>
    <row r="689" spans="1:85" s="659" customFormat="1" ht="61.5" customHeight="1">
      <c r="A689" s="625" t="str">
        <f t="shared" si="205"/>
        <v>proyecto-Alerta: Seleccione la celda en la comumna B con el nombre del proyecto-Al-Al--</v>
      </c>
      <c r="B689" s="626" t="str">
        <f t="shared" si="206"/>
        <v>proyecto-Alerta: Seleccione la celda en la comumna B con el nombre del proyecto-Al-Al-</v>
      </c>
      <c r="C689" s="626" t="str">
        <f t="shared" si="207"/>
        <v>proyecto-Alerta: Seleccione la celda en la comumna B con el nombre del proyecto-</v>
      </c>
      <c r="D689" s="626" t="str">
        <f t="shared" si="208"/>
        <v>proyecto--Al-Al-</v>
      </c>
      <c r="E689" s="626" t="str">
        <f t="shared" si="209"/>
        <v>--</v>
      </c>
      <c r="F689" s="627"/>
      <c r="G689" s="628">
        <f t="shared" si="210"/>
        <v>0</v>
      </c>
      <c r="H689" s="629" t="b">
        <f t="shared" si="211"/>
        <v>1</v>
      </c>
      <c r="I689" s="630"/>
      <c r="J689" s="627"/>
      <c r="K689" s="631" t="str">
        <f>+IFERROR(VLOOKUP(J689,Listas!$A$108:$B$114,2,FALSE),"Alerta: Seleccione la celda en la comumna B con el nombre del proyecto")</f>
        <v>Alerta: Seleccione la celda en la comumna B con el nombre del proyecto</v>
      </c>
      <c r="L689" s="632"/>
      <c r="M689" s="633"/>
      <c r="N689" s="634" t="str">
        <f t="shared" si="212"/>
        <v xml:space="preserve">(Cód. ) </v>
      </c>
      <c r="O689" s="635"/>
      <c r="P689" s="636">
        <f>IFERROR(VLOOKUP(W689,'Estimación CRP'!$D$21:$E$30,2,FALSE),0)</f>
        <v>0</v>
      </c>
      <c r="Q689" s="637">
        <f>IF(O689="No aplica","No aplica",WORKDAY.INTL(O689,P689,1,'Estimación CRP'!A875:A891))</f>
        <v>0</v>
      </c>
      <c r="R689" s="636">
        <f t="shared" si="213"/>
        <v>1</v>
      </c>
      <c r="S689" s="636">
        <f t="shared" si="214"/>
        <v>1</v>
      </c>
      <c r="T689" s="636">
        <f t="shared" si="215"/>
        <v>1</v>
      </c>
      <c r="U689" s="638"/>
      <c r="V689" s="638"/>
      <c r="W689" s="639"/>
      <c r="X689" s="640" t="str">
        <f>IFERROR(VLOOKUP(W689,Listas!$A$60:$B$73,2,FALSE),"Alerta: Seleccione primero Modalidad de selección")</f>
        <v>Alerta: Seleccione primero Modalidad de selección</v>
      </c>
      <c r="Y689" s="641">
        <v>0</v>
      </c>
      <c r="Z689" s="641"/>
      <c r="AA689" s="641"/>
      <c r="AB689" s="642">
        <f t="shared" si="216"/>
        <v>0</v>
      </c>
      <c r="AC689" s="642">
        <f t="shared" si="217"/>
        <v>0</v>
      </c>
      <c r="AD689" s="641">
        <v>0</v>
      </c>
      <c r="AE689" s="643">
        <v>0</v>
      </c>
      <c r="AF689" s="639" t="s">
        <v>276</v>
      </c>
      <c r="AG689" s="639" t="s">
        <v>277</v>
      </c>
      <c r="AH689" s="639"/>
      <c r="AI689" s="626" t="str">
        <f>IFERROR(VLOOKUP(AH689,Listas!$A$77:$C$83,2,FALSE),"Alerta: Seleccione primero el responsable")</f>
        <v>Alerta: Seleccione primero el responsable</v>
      </c>
      <c r="AJ689" s="640" t="str">
        <f>IFERROR(VLOOKUP(AH689,Listas!$A$77:$C$83,3,FALSE),"Alerta: Seleccione primero el responsable")</f>
        <v>Alerta: Seleccione primero el responsable</v>
      </c>
      <c r="AK689" s="640" t="str">
        <f>IF(J689="Funcionamiento Gastos Generales","No aplica",IF(J689="Funcionamiento Servicios Personales indirectos","No aplica",IFERROR(VLOOKUP(J689,Listas!$A$127:$E$139,3,FALSE),"Alerta: Seleccione la celda en la comumna B con el nombre del proyecto")))</f>
        <v>Alerta: Seleccione la celda en la comumna B con el nombre del proyecto</v>
      </c>
      <c r="AL689" s="640" t="str">
        <f>IF(J689="Funcionamiento Gastos Generales","No aplica",IF(J689="Funcionamiento Servicios Personales","No aplica",IFERROR(VLOOKUP(J689,Listas!$A$220:$D$224,2,FALSE),"Alerta: Seleccione la celda en la comumna B con el nombre del proyecto")))</f>
        <v>Alerta: Seleccione la celda en la comumna B con el nombre del proyecto</v>
      </c>
      <c r="AM689" s="640" t="str">
        <f>IF(J689="Funcionamiento Gastos Generales","No aplica",IF(J689="Funcionamiento Servicios Personales","No aplica",IFERROR(VLOOKUP(J689,Listas!$A$220:$D$224,3,FALSE),"Alerta: Seleccione la celda en la comumna B con el nombre del proyecto")))</f>
        <v>Alerta: Seleccione la celda en la comumna B con el nombre del proyecto</v>
      </c>
      <c r="AN689" s="633"/>
      <c r="AO689" s="633"/>
      <c r="AP689" s="634" t="str">
        <f>IFERROR(VLOOKUP(J689,Listas!$A$182:$E$215,5,FALSE),"Alerta: Seleccione la celda en la comumna B con el nombre del proyecto")</f>
        <v>Alerta: Seleccione la celda en la comumna B con el nombre del proyecto</v>
      </c>
      <c r="AQ689" s="634" t="str">
        <f>IF(J689="Funcionamiento Gastos Generales","No aplica",IF(J689="Funcionamiento Servicios Personales","No aplica",IFERROR(VLOOKUP(J689,Listas!$A$220:$D$224,4,FALSE),"Alerta: Seleccione la celda en la comumna B con el nombre del proyecto")))</f>
        <v>Alerta: Seleccione la celda en la comumna B con el nombre del proyecto</v>
      </c>
      <c r="AR689" s="633"/>
      <c r="AS689" s="634" t="str">
        <f>IFERROR(VLOOKUP(AU689,Listas!$E$85:$L$105,7,FALSE),"Alerta: Seleccione la celda en la comumna AI con el concepto de gasto")</f>
        <v>Alerta: Seleccione la celda en la comumna AI con el concepto de gasto</v>
      </c>
      <c r="AT689" s="634" t="str">
        <f>IFERROR(VLOOKUP(AU689,Listas!$E$85:$L$105,8,FALSE),"Alerta: Seleccione la celda en la comumna AI con el concepto de gasto")</f>
        <v>Alerta: Seleccione la celda en la comumna AI con el concepto de gasto</v>
      </c>
      <c r="AU689" s="633"/>
      <c r="AV689" s="634" t="str">
        <f>IFERROR(VLOOKUP(AU689,Listas!$E$85:$F$105,2,FALSE),"Alerta: Seleccione el Concepto de Gasto primero")</f>
        <v>Alerta: Seleccione el Concepto de Gasto primero</v>
      </c>
      <c r="AW689" s="644"/>
      <c r="AX689" s="645"/>
      <c r="AY689" s="645"/>
      <c r="AZ689" s="645"/>
      <c r="BA689" s="646">
        <f t="shared" si="218"/>
        <v>0</v>
      </c>
      <c r="BB689" s="647"/>
      <c r="BC689" s="648"/>
      <c r="BD689" s="649"/>
      <c r="BE689" s="647"/>
      <c r="BF689" s="644"/>
      <c r="BG689" s="646">
        <f t="shared" si="219"/>
        <v>0</v>
      </c>
      <c r="BH689" s="650"/>
      <c r="BI689" s="647"/>
      <c r="BJ689" s="644"/>
      <c r="BK689" s="646">
        <f t="shared" si="220"/>
        <v>0</v>
      </c>
      <c r="BL689" s="651"/>
      <c r="BM689" s="652">
        <f t="shared" si="221"/>
        <v>1</v>
      </c>
      <c r="BN689" s="628"/>
      <c r="BO689" s="670"/>
      <c r="BP689" s="644"/>
      <c r="BQ689" s="644"/>
      <c r="BR689" s="644"/>
      <c r="BS689" s="644"/>
      <c r="BT689" s="644"/>
      <c r="BU689" s="644"/>
      <c r="BV689" s="644"/>
      <c r="BW689" s="644"/>
      <c r="BX689" s="644"/>
      <c r="BY689" s="644"/>
      <c r="BZ689" s="644"/>
      <c r="CA689" s="644"/>
      <c r="CB689" s="646">
        <f t="shared" si="222"/>
        <v>0</v>
      </c>
      <c r="CC689" s="646">
        <f t="shared" si="223"/>
        <v>0</v>
      </c>
      <c r="CD689" s="614"/>
      <c r="CG689" s="659" t="s">
        <v>589</v>
      </c>
    </row>
    <row r="690" spans="1:85" s="659" customFormat="1" ht="61.5" customHeight="1">
      <c r="A690" s="625" t="str">
        <f t="shared" si="205"/>
        <v>proyecto-Alerta: Seleccione la celda en la comumna B con el nombre del proyecto-Al-Al--</v>
      </c>
      <c r="B690" s="626" t="str">
        <f t="shared" si="206"/>
        <v>proyecto-Alerta: Seleccione la celda en la comumna B con el nombre del proyecto-Al-Al-</v>
      </c>
      <c r="C690" s="626" t="str">
        <f t="shared" si="207"/>
        <v>proyecto-Alerta: Seleccione la celda en la comumna B con el nombre del proyecto-</v>
      </c>
      <c r="D690" s="626" t="str">
        <f t="shared" si="208"/>
        <v>proyecto--Al-Al-</v>
      </c>
      <c r="E690" s="626" t="str">
        <f t="shared" si="209"/>
        <v>--</v>
      </c>
      <c r="F690" s="627"/>
      <c r="G690" s="628">
        <f t="shared" si="210"/>
        <v>0</v>
      </c>
      <c r="H690" s="629" t="b">
        <f t="shared" si="211"/>
        <v>1</v>
      </c>
      <c r="I690" s="630"/>
      <c r="J690" s="627"/>
      <c r="K690" s="631" t="str">
        <f>+IFERROR(VLOOKUP(J690,Listas!$A$108:$B$114,2,FALSE),"Alerta: Seleccione la celda en la comumna B con el nombre del proyecto")</f>
        <v>Alerta: Seleccione la celda en la comumna B con el nombre del proyecto</v>
      </c>
      <c r="L690" s="632"/>
      <c r="M690" s="633"/>
      <c r="N690" s="634" t="str">
        <f t="shared" si="212"/>
        <v xml:space="preserve">(Cód. ) </v>
      </c>
      <c r="O690" s="635"/>
      <c r="P690" s="636">
        <f>IFERROR(VLOOKUP(W690,'Estimación CRP'!$D$21:$E$30,2,FALSE),0)</f>
        <v>0</v>
      </c>
      <c r="Q690" s="637">
        <f>IF(O690="No aplica","No aplica",WORKDAY.INTL(O690,P690,1,'Estimación CRP'!A876:A892))</f>
        <v>0</v>
      </c>
      <c r="R690" s="636">
        <f t="shared" si="213"/>
        <v>1</v>
      </c>
      <c r="S690" s="636">
        <f t="shared" si="214"/>
        <v>1</v>
      </c>
      <c r="T690" s="636">
        <f t="shared" si="215"/>
        <v>1</v>
      </c>
      <c r="U690" s="638"/>
      <c r="V690" s="638"/>
      <c r="W690" s="639"/>
      <c r="X690" s="640" t="str">
        <f>IFERROR(VLOOKUP(W690,Listas!$A$60:$B$73,2,FALSE),"Alerta: Seleccione primero Modalidad de selección")</f>
        <v>Alerta: Seleccione primero Modalidad de selección</v>
      </c>
      <c r="Y690" s="641">
        <v>0</v>
      </c>
      <c r="Z690" s="641"/>
      <c r="AA690" s="641"/>
      <c r="AB690" s="642">
        <f t="shared" si="216"/>
        <v>0</v>
      </c>
      <c r="AC690" s="642">
        <f t="shared" si="217"/>
        <v>0</v>
      </c>
      <c r="AD690" s="641">
        <v>0</v>
      </c>
      <c r="AE690" s="643">
        <v>0</v>
      </c>
      <c r="AF690" s="639" t="s">
        <v>276</v>
      </c>
      <c r="AG690" s="639" t="s">
        <v>277</v>
      </c>
      <c r="AH690" s="639"/>
      <c r="AI690" s="626" t="str">
        <f>IFERROR(VLOOKUP(AH690,Listas!$A$77:$C$83,2,FALSE),"Alerta: Seleccione primero el responsable")</f>
        <v>Alerta: Seleccione primero el responsable</v>
      </c>
      <c r="AJ690" s="640" t="str">
        <f>IFERROR(VLOOKUP(AH690,Listas!$A$77:$C$83,3,FALSE),"Alerta: Seleccione primero el responsable")</f>
        <v>Alerta: Seleccione primero el responsable</v>
      </c>
      <c r="AK690" s="640" t="str">
        <f>IF(J690="Funcionamiento Gastos Generales","No aplica",IF(J690="Funcionamiento Servicios Personales indirectos","No aplica",IFERROR(VLOOKUP(J690,Listas!$A$127:$E$139,3,FALSE),"Alerta: Seleccione la celda en la comumna B con el nombre del proyecto")))</f>
        <v>Alerta: Seleccione la celda en la comumna B con el nombre del proyecto</v>
      </c>
      <c r="AL690" s="640" t="str">
        <f>IF(J690="Funcionamiento Gastos Generales","No aplica",IF(J690="Funcionamiento Servicios Personales","No aplica",IFERROR(VLOOKUP(J690,Listas!$A$220:$D$224,2,FALSE),"Alerta: Seleccione la celda en la comumna B con el nombre del proyecto")))</f>
        <v>Alerta: Seleccione la celda en la comumna B con el nombre del proyecto</v>
      </c>
      <c r="AM690" s="640" t="str">
        <f>IF(J690="Funcionamiento Gastos Generales","No aplica",IF(J690="Funcionamiento Servicios Personales","No aplica",IFERROR(VLOOKUP(J690,Listas!$A$220:$D$224,3,FALSE),"Alerta: Seleccione la celda en la comumna B con el nombre del proyecto")))</f>
        <v>Alerta: Seleccione la celda en la comumna B con el nombre del proyecto</v>
      </c>
      <c r="AN690" s="633"/>
      <c r="AO690" s="633"/>
      <c r="AP690" s="634" t="str">
        <f>IFERROR(VLOOKUP(J690,Listas!$A$182:$E$215,5,FALSE),"Alerta: Seleccione la celda en la comumna B con el nombre del proyecto")</f>
        <v>Alerta: Seleccione la celda en la comumna B con el nombre del proyecto</v>
      </c>
      <c r="AQ690" s="634" t="str">
        <f>IF(J690="Funcionamiento Gastos Generales","No aplica",IF(J690="Funcionamiento Servicios Personales","No aplica",IFERROR(VLOOKUP(J690,Listas!$A$220:$D$224,4,FALSE),"Alerta: Seleccione la celda en la comumna B con el nombre del proyecto")))</f>
        <v>Alerta: Seleccione la celda en la comumna B con el nombre del proyecto</v>
      </c>
      <c r="AR690" s="633"/>
      <c r="AS690" s="634" t="str">
        <f>IFERROR(VLOOKUP(AU690,Listas!$E$85:$L$105,7,FALSE),"Alerta: Seleccione la celda en la comumna AI con el concepto de gasto")</f>
        <v>Alerta: Seleccione la celda en la comumna AI con el concepto de gasto</v>
      </c>
      <c r="AT690" s="634" t="str">
        <f>IFERROR(VLOOKUP(AU690,Listas!$E$85:$L$105,8,FALSE),"Alerta: Seleccione la celda en la comumna AI con el concepto de gasto")</f>
        <v>Alerta: Seleccione la celda en la comumna AI con el concepto de gasto</v>
      </c>
      <c r="AU690" s="633"/>
      <c r="AV690" s="634" t="str">
        <f>IFERROR(VLOOKUP(AU690,Listas!$E$85:$F$105,2,FALSE),"Alerta: Seleccione el Concepto de Gasto primero")</f>
        <v>Alerta: Seleccione el Concepto de Gasto primero</v>
      </c>
      <c r="AW690" s="644"/>
      <c r="AX690" s="645"/>
      <c r="AY690" s="645"/>
      <c r="AZ690" s="645"/>
      <c r="BA690" s="646">
        <f t="shared" si="218"/>
        <v>0</v>
      </c>
      <c r="BB690" s="647"/>
      <c r="BC690" s="648"/>
      <c r="BD690" s="649"/>
      <c r="BE690" s="647"/>
      <c r="BF690" s="644"/>
      <c r="BG690" s="646">
        <f t="shared" si="219"/>
        <v>0</v>
      </c>
      <c r="BH690" s="650"/>
      <c r="BI690" s="647"/>
      <c r="BJ690" s="644"/>
      <c r="BK690" s="646">
        <f t="shared" si="220"/>
        <v>0</v>
      </c>
      <c r="BL690" s="651"/>
      <c r="BM690" s="652">
        <f t="shared" si="221"/>
        <v>1</v>
      </c>
      <c r="BN690" s="628"/>
      <c r="BO690" s="670"/>
      <c r="BP690" s="644"/>
      <c r="BQ690" s="644"/>
      <c r="BR690" s="644"/>
      <c r="BS690" s="644"/>
      <c r="BT690" s="644"/>
      <c r="BU690" s="644"/>
      <c r="BV690" s="644"/>
      <c r="BW690" s="644"/>
      <c r="BX690" s="644"/>
      <c r="BY690" s="644"/>
      <c r="BZ690" s="644"/>
      <c r="CA690" s="644"/>
      <c r="CB690" s="646">
        <f t="shared" si="222"/>
        <v>0</v>
      </c>
      <c r="CC690" s="646">
        <f t="shared" si="223"/>
        <v>0</v>
      </c>
      <c r="CD690" s="614"/>
      <c r="CG690" s="659" t="s">
        <v>589</v>
      </c>
    </row>
    <row r="691" spans="1:85" s="659" customFormat="1" ht="61.5" customHeight="1">
      <c r="A691" s="625" t="str">
        <f t="shared" si="205"/>
        <v>proyecto-Alerta: Seleccione la celda en la comumna B con el nombre del proyecto-Al-Al--</v>
      </c>
      <c r="B691" s="626" t="str">
        <f t="shared" si="206"/>
        <v>proyecto-Alerta: Seleccione la celda en la comumna B con el nombre del proyecto-Al-Al-</v>
      </c>
      <c r="C691" s="626" t="str">
        <f t="shared" si="207"/>
        <v>proyecto-Alerta: Seleccione la celda en la comumna B con el nombre del proyecto-</v>
      </c>
      <c r="D691" s="626" t="str">
        <f t="shared" si="208"/>
        <v>proyecto--Al-Al-</v>
      </c>
      <c r="E691" s="626" t="str">
        <f t="shared" si="209"/>
        <v>--</v>
      </c>
      <c r="F691" s="627"/>
      <c r="G691" s="628">
        <f t="shared" si="210"/>
        <v>0</v>
      </c>
      <c r="H691" s="629" t="b">
        <f t="shared" si="211"/>
        <v>1</v>
      </c>
      <c r="I691" s="630"/>
      <c r="J691" s="627"/>
      <c r="K691" s="631" t="str">
        <f>+IFERROR(VLOOKUP(J691,Listas!$A$108:$B$114,2,FALSE),"Alerta: Seleccione la celda en la comumna B con el nombre del proyecto")</f>
        <v>Alerta: Seleccione la celda en la comumna B con el nombre del proyecto</v>
      </c>
      <c r="L691" s="632"/>
      <c r="M691" s="633"/>
      <c r="N691" s="634" t="str">
        <f t="shared" si="212"/>
        <v xml:space="preserve">(Cód. ) </v>
      </c>
      <c r="O691" s="635"/>
      <c r="P691" s="636">
        <f>IFERROR(VLOOKUP(W691,'Estimación CRP'!$D$21:$E$30,2,FALSE),0)</f>
        <v>0</v>
      </c>
      <c r="Q691" s="637">
        <f>IF(O691="No aplica","No aplica",WORKDAY.INTL(O691,P691,1,'Estimación CRP'!A877:A893))</f>
        <v>0</v>
      </c>
      <c r="R691" s="636">
        <f t="shared" si="213"/>
        <v>1</v>
      </c>
      <c r="S691" s="636">
        <f t="shared" si="214"/>
        <v>1</v>
      </c>
      <c r="T691" s="636">
        <f t="shared" si="215"/>
        <v>1</v>
      </c>
      <c r="U691" s="638"/>
      <c r="V691" s="638"/>
      <c r="W691" s="639"/>
      <c r="X691" s="640" t="str">
        <f>IFERROR(VLOOKUP(W691,Listas!$A$60:$B$73,2,FALSE),"Alerta: Seleccione primero Modalidad de selección")</f>
        <v>Alerta: Seleccione primero Modalidad de selección</v>
      </c>
      <c r="Y691" s="641">
        <v>0</v>
      </c>
      <c r="Z691" s="641"/>
      <c r="AA691" s="641"/>
      <c r="AB691" s="642">
        <f t="shared" si="216"/>
        <v>0</v>
      </c>
      <c r="AC691" s="642">
        <f t="shared" si="217"/>
        <v>0</v>
      </c>
      <c r="AD691" s="641">
        <v>0</v>
      </c>
      <c r="AE691" s="643">
        <v>0</v>
      </c>
      <c r="AF691" s="639" t="s">
        <v>276</v>
      </c>
      <c r="AG691" s="639" t="s">
        <v>277</v>
      </c>
      <c r="AH691" s="639"/>
      <c r="AI691" s="626" t="str">
        <f>IFERROR(VLOOKUP(AH691,Listas!$A$77:$C$83,2,FALSE),"Alerta: Seleccione primero el responsable")</f>
        <v>Alerta: Seleccione primero el responsable</v>
      </c>
      <c r="AJ691" s="640" t="str">
        <f>IFERROR(VLOOKUP(AH691,Listas!$A$77:$C$83,3,FALSE),"Alerta: Seleccione primero el responsable")</f>
        <v>Alerta: Seleccione primero el responsable</v>
      </c>
      <c r="AK691" s="640" t="str">
        <f>IF(J691="Funcionamiento Gastos Generales","No aplica",IF(J691="Funcionamiento Servicios Personales indirectos","No aplica",IFERROR(VLOOKUP(J691,Listas!$A$127:$E$139,3,FALSE),"Alerta: Seleccione la celda en la comumna B con el nombre del proyecto")))</f>
        <v>Alerta: Seleccione la celda en la comumna B con el nombre del proyecto</v>
      </c>
      <c r="AL691" s="640" t="str">
        <f>IF(J691="Funcionamiento Gastos Generales","No aplica",IF(J691="Funcionamiento Servicios Personales","No aplica",IFERROR(VLOOKUP(J691,Listas!$A$220:$D$224,2,FALSE),"Alerta: Seleccione la celda en la comumna B con el nombre del proyecto")))</f>
        <v>Alerta: Seleccione la celda en la comumna B con el nombre del proyecto</v>
      </c>
      <c r="AM691" s="640" t="str">
        <f>IF(J691="Funcionamiento Gastos Generales","No aplica",IF(J691="Funcionamiento Servicios Personales","No aplica",IFERROR(VLOOKUP(J691,Listas!$A$220:$D$224,3,FALSE),"Alerta: Seleccione la celda en la comumna B con el nombre del proyecto")))</f>
        <v>Alerta: Seleccione la celda en la comumna B con el nombre del proyecto</v>
      </c>
      <c r="AN691" s="633"/>
      <c r="AO691" s="633"/>
      <c r="AP691" s="634" t="str">
        <f>IFERROR(VLOOKUP(J691,Listas!$A$182:$E$215,5,FALSE),"Alerta: Seleccione la celda en la comumna B con el nombre del proyecto")</f>
        <v>Alerta: Seleccione la celda en la comumna B con el nombre del proyecto</v>
      </c>
      <c r="AQ691" s="634" t="str">
        <f>IF(J691="Funcionamiento Gastos Generales","No aplica",IF(J691="Funcionamiento Servicios Personales","No aplica",IFERROR(VLOOKUP(J691,Listas!$A$220:$D$224,4,FALSE),"Alerta: Seleccione la celda en la comumna B con el nombre del proyecto")))</f>
        <v>Alerta: Seleccione la celda en la comumna B con el nombre del proyecto</v>
      </c>
      <c r="AR691" s="633"/>
      <c r="AS691" s="634" t="str">
        <f>IFERROR(VLOOKUP(AU691,Listas!$E$85:$L$105,7,FALSE),"Alerta: Seleccione la celda en la comumna AI con el concepto de gasto")</f>
        <v>Alerta: Seleccione la celda en la comumna AI con el concepto de gasto</v>
      </c>
      <c r="AT691" s="634" t="str">
        <f>IFERROR(VLOOKUP(AU691,Listas!$E$85:$L$105,8,FALSE),"Alerta: Seleccione la celda en la comumna AI con el concepto de gasto")</f>
        <v>Alerta: Seleccione la celda en la comumna AI con el concepto de gasto</v>
      </c>
      <c r="AU691" s="633"/>
      <c r="AV691" s="634" t="str">
        <f>IFERROR(VLOOKUP(AU691,Listas!$E$85:$F$105,2,FALSE),"Alerta: Seleccione el Concepto de Gasto primero")</f>
        <v>Alerta: Seleccione el Concepto de Gasto primero</v>
      </c>
      <c r="AW691" s="644"/>
      <c r="AX691" s="645"/>
      <c r="AY691" s="645"/>
      <c r="AZ691" s="645"/>
      <c r="BA691" s="646">
        <f t="shared" si="218"/>
        <v>0</v>
      </c>
      <c r="BB691" s="647"/>
      <c r="BC691" s="648"/>
      <c r="BD691" s="649"/>
      <c r="BE691" s="647"/>
      <c r="BF691" s="644"/>
      <c r="BG691" s="646">
        <f t="shared" si="219"/>
        <v>0</v>
      </c>
      <c r="BH691" s="650"/>
      <c r="BI691" s="647"/>
      <c r="BJ691" s="644"/>
      <c r="BK691" s="646">
        <f t="shared" si="220"/>
        <v>0</v>
      </c>
      <c r="BL691" s="651"/>
      <c r="BM691" s="652">
        <f t="shared" si="221"/>
        <v>1</v>
      </c>
      <c r="BN691" s="628"/>
      <c r="BO691" s="670"/>
      <c r="BP691" s="644"/>
      <c r="BQ691" s="644"/>
      <c r="BR691" s="644"/>
      <c r="BS691" s="644"/>
      <c r="BT691" s="644"/>
      <c r="BU691" s="644"/>
      <c r="BV691" s="644"/>
      <c r="BW691" s="644"/>
      <c r="BX691" s="644"/>
      <c r="BY691" s="644"/>
      <c r="BZ691" s="644"/>
      <c r="CA691" s="644"/>
      <c r="CB691" s="646">
        <f t="shared" si="222"/>
        <v>0</v>
      </c>
      <c r="CC691" s="646">
        <f t="shared" si="223"/>
        <v>0</v>
      </c>
      <c r="CD691" s="614"/>
      <c r="CG691" s="659" t="s">
        <v>589</v>
      </c>
    </row>
    <row r="692" spans="1:85" s="659" customFormat="1" ht="61.5" customHeight="1">
      <c r="A692" s="625" t="str">
        <f t="shared" si="205"/>
        <v>proyecto-Alerta: Seleccione la celda en la comumna B con el nombre del proyecto-Al-Al--</v>
      </c>
      <c r="B692" s="626" t="str">
        <f t="shared" si="206"/>
        <v>proyecto-Alerta: Seleccione la celda en la comumna B con el nombre del proyecto-Al-Al-</v>
      </c>
      <c r="C692" s="626" t="str">
        <f t="shared" si="207"/>
        <v>proyecto-Alerta: Seleccione la celda en la comumna B con el nombre del proyecto-</v>
      </c>
      <c r="D692" s="626" t="str">
        <f t="shared" si="208"/>
        <v>proyecto--Al-Al-</v>
      </c>
      <c r="E692" s="626" t="str">
        <f t="shared" si="209"/>
        <v>--</v>
      </c>
      <c r="F692" s="627"/>
      <c r="G692" s="628">
        <f t="shared" si="210"/>
        <v>0</v>
      </c>
      <c r="H692" s="629" t="b">
        <f t="shared" si="211"/>
        <v>1</v>
      </c>
      <c r="I692" s="630"/>
      <c r="J692" s="627"/>
      <c r="K692" s="631" t="str">
        <f>+IFERROR(VLOOKUP(J692,Listas!$A$108:$B$114,2,FALSE),"Alerta: Seleccione la celda en la comumna B con el nombre del proyecto")</f>
        <v>Alerta: Seleccione la celda en la comumna B con el nombre del proyecto</v>
      </c>
      <c r="L692" s="632"/>
      <c r="M692" s="633"/>
      <c r="N692" s="634" t="str">
        <f t="shared" si="212"/>
        <v xml:space="preserve">(Cód. ) </v>
      </c>
      <c r="O692" s="635"/>
      <c r="P692" s="636">
        <f>IFERROR(VLOOKUP(W692,'Estimación CRP'!$D$21:$E$30,2,FALSE),0)</f>
        <v>0</v>
      </c>
      <c r="Q692" s="637">
        <f>IF(O692="No aplica","No aplica",WORKDAY.INTL(O692,P692,1,'Estimación CRP'!A878:A894))</f>
        <v>0</v>
      </c>
      <c r="R692" s="636">
        <f t="shared" si="213"/>
        <v>1</v>
      </c>
      <c r="S692" s="636">
        <f t="shared" si="214"/>
        <v>1</v>
      </c>
      <c r="T692" s="636">
        <f t="shared" si="215"/>
        <v>1</v>
      </c>
      <c r="U692" s="638"/>
      <c r="V692" s="638"/>
      <c r="W692" s="639"/>
      <c r="X692" s="640" t="str">
        <f>IFERROR(VLOOKUP(W692,Listas!$A$60:$B$73,2,FALSE),"Alerta: Seleccione primero Modalidad de selección")</f>
        <v>Alerta: Seleccione primero Modalidad de selección</v>
      </c>
      <c r="Y692" s="641">
        <v>0</v>
      </c>
      <c r="Z692" s="641"/>
      <c r="AA692" s="641"/>
      <c r="AB692" s="642">
        <f t="shared" si="216"/>
        <v>0</v>
      </c>
      <c r="AC692" s="642">
        <f t="shared" si="217"/>
        <v>0</v>
      </c>
      <c r="AD692" s="641">
        <v>0</v>
      </c>
      <c r="AE692" s="643">
        <v>0</v>
      </c>
      <c r="AF692" s="639" t="s">
        <v>276</v>
      </c>
      <c r="AG692" s="639" t="s">
        <v>277</v>
      </c>
      <c r="AH692" s="639"/>
      <c r="AI692" s="626" t="str">
        <f>IFERROR(VLOOKUP(AH692,Listas!$A$77:$C$83,2,FALSE),"Alerta: Seleccione primero el responsable")</f>
        <v>Alerta: Seleccione primero el responsable</v>
      </c>
      <c r="AJ692" s="640" t="str">
        <f>IFERROR(VLOOKUP(AH692,Listas!$A$77:$C$83,3,FALSE),"Alerta: Seleccione primero el responsable")</f>
        <v>Alerta: Seleccione primero el responsable</v>
      </c>
      <c r="AK692" s="640" t="str">
        <f>IF(J692="Funcionamiento Gastos Generales","No aplica",IF(J692="Funcionamiento Servicios Personales indirectos","No aplica",IFERROR(VLOOKUP(J692,Listas!$A$127:$E$139,3,FALSE),"Alerta: Seleccione la celda en la comumna B con el nombre del proyecto")))</f>
        <v>Alerta: Seleccione la celda en la comumna B con el nombre del proyecto</v>
      </c>
      <c r="AL692" s="640" t="str">
        <f>IF(J692="Funcionamiento Gastos Generales","No aplica",IF(J692="Funcionamiento Servicios Personales","No aplica",IFERROR(VLOOKUP(J692,Listas!$A$220:$D$224,2,FALSE),"Alerta: Seleccione la celda en la comumna B con el nombre del proyecto")))</f>
        <v>Alerta: Seleccione la celda en la comumna B con el nombre del proyecto</v>
      </c>
      <c r="AM692" s="640" t="str">
        <f>IF(J692="Funcionamiento Gastos Generales","No aplica",IF(J692="Funcionamiento Servicios Personales","No aplica",IFERROR(VLOOKUP(J692,Listas!$A$220:$D$224,3,FALSE),"Alerta: Seleccione la celda en la comumna B con el nombre del proyecto")))</f>
        <v>Alerta: Seleccione la celda en la comumna B con el nombre del proyecto</v>
      </c>
      <c r="AN692" s="633"/>
      <c r="AO692" s="633"/>
      <c r="AP692" s="634" t="str">
        <f>IFERROR(VLOOKUP(J692,Listas!$A$182:$E$215,5,FALSE),"Alerta: Seleccione la celda en la comumna B con el nombre del proyecto")</f>
        <v>Alerta: Seleccione la celda en la comumna B con el nombre del proyecto</v>
      </c>
      <c r="AQ692" s="634" t="str">
        <f>IF(J692="Funcionamiento Gastos Generales","No aplica",IF(J692="Funcionamiento Servicios Personales","No aplica",IFERROR(VLOOKUP(J692,Listas!$A$220:$D$224,4,FALSE),"Alerta: Seleccione la celda en la comumna B con el nombre del proyecto")))</f>
        <v>Alerta: Seleccione la celda en la comumna B con el nombre del proyecto</v>
      </c>
      <c r="AR692" s="633"/>
      <c r="AS692" s="634" t="str">
        <f>IFERROR(VLOOKUP(AU692,Listas!$E$85:$L$105,7,FALSE),"Alerta: Seleccione la celda en la comumna AI con el concepto de gasto")</f>
        <v>Alerta: Seleccione la celda en la comumna AI con el concepto de gasto</v>
      </c>
      <c r="AT692" s="634" t="str">
        <f>IFERROR(VLOOKUP(AU692,Listas!$E$85:$L$105,8,FALSE),"Alerta: Seleccione la celda en la comumna AI con el concepto de gasto")</f>
        <v>Alerta: Seleccione la celda en la comumna AI con el concepto de gasto</v>
      </c>
      <c r="AU692" s="633"/>
      <c r="AV692" s="634" t="str">
        <f>IFERROR(VLOOKUP(AU692,Listas!$E$85:$F$105,2,FALSE),"Alerta: Seleccione el Concepto de Gasto primero")</f>
        <v>Alerta: Seleccione el Concepto de Gasto primero</v>
      </c>
      <c r="AW692" s="644"/>
      <c r="AX692" s="645"/>
      <c r="AY692" s="645"/>
      <c r="AZ692" s="645"/>
      <c r="BA692" s="646">
        <f t="shared" si="218"/>
        <v>0</v>
      </c>
      <c r="BB692" s="647"/>
      <c r="BC692" s="648"/>
      <c r="BD692" s="649"/>
      <c r="BE692" s="647"/>
      <c r="BF692" s="644"/>
      <c r="BG692" s="646">
        <f t="shared" si="219"/>
        <v>0</v>
      </c>
      <c r="BH692" s="650"/>
      <c r="BI692" s="647"/>
      <c r="BJ692" s="644"/>
      <c r="BK692" s="646">
        <f t="shared" si="220"/>
        <v>0</v>
      </c>
      <c r="BL692" s="651"/>
      <c r="BM692" s="652">
        <f t="shared" si="221"/>
        <v>1</v>
      </c>
      <c r="BN692" s="628"/>
      <c r="BO692" s="670"/>
      <c r="BP692" s="644"/>
      <c r="BQ692" s="644"/>
      <c r="BR692" s="644"/>
      <c r="BS692" s="644"/>
      <c r="BT692" s="644"/>
      <c r="BU692" s="644"/>
      <c r="BV692" s="644"/>
      <c r="BW692" s="644"/>
      <c r="BX692" s="644"/>
      <c r="BY692" s="644"/>
      <c r="BZ692" s="644"/>
      <c r="CA692" s="644"/>
      <c r="CB692" s="646">
        <f t="shared" si="222"/>
        <v>0</v>
      </c>
      <c r="CC692" s="646">
        <f t="shared" si="223"/>
        <v>0</v>
      </c>
      <c r="CD692" s="614"/>
      <c r="CG692" s="659" t="s">
        <v>589</v>
      </c>
    </row>
    <row r="693" spans="1:85" s="659" customFormat="1" ht="61.5" customHeight="1">
      <c r="A693" s="625" t="str">
        <f t="shared" si="205"/>
        <v>proyecto-Alerta: Seleccione la celda en la comumna B con el nombre del proyecto-Al-Al--</v>
      </c>
      <c r="B693" s="626" t="str">
        <f t="shared" si="206"/>
        <v>proyecto-Alerta: Seleccione la celda en la comumna B con el nombre del proyecto-Al-Al-</v>
      </c>
      <c r="C693" s="626" t="str">
        <f t="shared" si="207"/>
        <v>proyecto-Alerta: Seleccione la celda en la comumna B con el nombre del proyecto-</v>
      </c>
      <c r="D693" s="626" t="str">
        <f t="shared" si="208"/>
        <v>proyecto--Al-Al-</v>
      </c>
      <c r="E693" s="626" t="str">
        <f t="shared" si="209"/>
        <v>--</v>
      </c>
      <c r="F693" s="627"/>
      <c r="G693" s="628">
        <f t="shared" si="210"/>
        <v>0</v>
      </c>
      <c r="H693" s="629" t="b">
        <f t="shared" si="211"/>
        <v>1</v>
      </c>
      <c r="I693" s="630"/>
      <c r="J693" s="627"/>
      <c r="K693" s="631" t="str">
        <f>+IFERROR(VLOOKUP(J693,Listas!$A$108:$B$114,2,FALSE),"Alerta: Seleccione la celda en la comumna B con el nombre del proyecto")</f>
        <v>Alerta: Seleccione la celda en la comumna B con el nombre del proyecto</v>
      </c>
      <c r="L693" s="632"/>
      <c r="M693" s="633"/>
      <c r="N693" s="634" t="str">
        <f t="shared" si="212"/>
        <v xml:space="preserve">(Cód. ) </v>
      </c>
      <c r="O693" s="635"/>
      <c r="P693" s="636">
        <f>IFERROR(VLOOKUP(W693,'Estimación CRP'!$D$21:$E$30,2,FALSE),0)</f>
        <v>0</v>
      </c>
      <c r="Q693" s="637">
        <f>IF(O693="No aplica","No aplica",WORKDAY.INTL(O693,P693,1,'Estimación CRP'!A879:A895))</f>
        <v>0</v>
      </c>
      <c r="R693" s="636">
        <f t="shared" si="213"/>
        <v>1</v>
      </c>
      <c r="S693" s="636">
        <f t="shared" si="214"/>
        <v>1</v>
      </c>
      <c r="T693" s="636">
        <f t="shared" si="215"/>
        <v>1</v>
      </c>
      <c r="U693" s="638"/>
      <c r="V693" s="638"/>
      <c r="W693" s="639"/>
      <c r="X693" s="640" t="str">
        <f>IFERROR(VLOOKUP(W693,Listas!$A$60:$B$73,2,FALSE),"Alerta: Seleccione primero Modalidad de selección")</f>
        <v>Alerta: Seleccione primero Modalidad de selección</v>
      </c>
      <c r="Y693" s="641">
        <v>0</v>
      </c>
      <c r="Z693" s="641"/>
      <c r="AA693" s="641"/>
      <c r="AB693" s="642">
        <f t="shared" si="216"/>
        <v>0</v>
      </c>
      <c r="AC693" s="642">
        <f t="shared" si="217"/>
        <v>0</v>
      </c>
      <c r="AD693" s="641">
        <v>0</v>
      </c>
      <c r="AE693" s="643">
        <v>0</v>
      </c>
      <c r="AF693" s="639" t="s">
        <v>276</v>
      </c>
      <c r="AG693" s="639" t="s">
        <v>277</v>
      </c>
      <c r="AH693" s="639"/>
      <c r="AI693" s="626" t="str">
        <f>IFERROR(VLOOKUP(AH693,Listas!$A$77:$C$83,2,FALSE),"Alerta: Seleccione primero el responsable")</f>
        <v>Alerta: Seleccione primero el responsable</v>
      </c>
      <c r="AJ693" s="640" t="str">
        <f>IFERROR(VLOOKUP(AH693,Listas!$A$77:$C$83,3,FALSE),"Alerta: Seleccione primero el responsable")</f>
        <v>Alerta: Seleccione primero el responsable</v>
      </c>
      <c r="AK693" s="640" t="str">
        <f>IF(J693="Funcionamiento Gastos Generales","No aplica",IF(J693="Funcionamiento Servicios Personales indirectos","No aplica",IFERROR(VLOOKUP(J693,Listas!$A$127:$E$139,3,FALSE),"Alerta: Seleccione la celda en la comumna B con el nombre del proyecto")))</f>
        <v>Alerta: Seleccione la celda en la comumna B con el nombre del proyecto</v>
      </c>
      <c r="AL693" s="640" t="str">
        <f>IF(J693="Funcionamiento Gastos Generales","No aplica",IF(J693="Funcionamiento Servicios Personales","No aplica",IFERROR(VLOOKUP(J693,Listas!$A$220:$D$224,2,FALSE),"Alerta: Seleccione la celda en la comumna B con el nombre del proyecto")))</f>
        <v>Alerta: Seleccione la celda en la comumna B con el nombre del proyecto</v>
      </c>
      <c r="AM693" s="640" t="str">
        <f>IF(J693="Funcionamiento Gastos Generales","No aplica",IF(J693="Funcionamiento Servicios Personales","No aplica",IFERROR(VLOOKUP(J693,Listas!$A$220:$D$224,3,FALSE),"Alerta: Seleccione la celda en la comumna B con el nombre del proyecto")))</f>
        <v>Alerta: Seleccione la celda en la comumna B con el nombre del proyecto</v>
      </c>
      <c r="AN693" s="633"/>
      <c r="AO693" s="633"/>
      <c r="AP693" s="634" t="str">
        <f>IFERROR(VLOOKUP(J693,Listas!$A$182:$E$215,5,FALSE),"Alerta: Seleccione la celda en la comumna B con el nombre del proyecto")</f>
        <v>Alerta: Seleccione la celda en la comumna B con el nombre del proyecto</v>
      </c>
      <c r="AQ693" s="634" t="str">
        <f>IF(J693="Funcionamiento Gastos Generales","No aplica",IF(J693="Funcionamiento Servicios Personales","No aplica",IFERROR(VLOOKUP(J693,Listas!$A$220:$D$224,4,FALSE),"Alerta: Seleccione la celda en la comumna B con el nombre del proyecto")))</f>
        <v>Alerta: Seleccione la celda en la comumna B con el nombre del proyecto</v>
      </c>
      <c r="AR693" s="633"/>
      <c r="AS693" s="634" t="str">
        <f>IFERROR(VLOOKUP(AU693,Listas!$E$85:$L$105,7,FALSE),"Alerta: Seleccione la celda en la comumna AI con el concepto de gasto")</f>
        <v>Alerta: Seleccione la celda en la comumna AI con el concepto de gasto</v>
      </c>
      <c r="AT693" s="634" t="str">
        <f>IFERROR(VLOOKUP(AU693,Listas!$E$85:$L$105,8,FALSE),"Alerta: Seleccione la celda en la comumna AI con el concepto de gasto")</f>
        <v>Alerta: Seleccione la celda en la comumna AI con el concepto de gasto</v>
      </c>
      <c r="AU693" s="633"/>
      <c r="AV693" s="634" t="str">
        <f>IFERROR(VLOOKUP(AU693,Listas!$E$85:$F$105,2,FALSE),"Alerta: Seleccione el Concepto de Gasto primero")</f>
        <v>Alerta: Seleccione el Concepto de Gasto primero</v>
      </c>
      <c r="AW693" s="644"/>
      <c r="AX693" s="645"/>
      <c r="AY693" s="645"/>
      <c r="AZ693" s="645"/>
      <c r="BA693" s="646">
        <f t="shared" si="218"/>
        <v>0</v>
      </c>
      <c r="BB693" s="647"/>
      <c r="BC693" s="648"/>
      <c r="BD693" s="649"/>
      <c r="BE693" s="647"/>
      <c r="BF693" s="644"/>
      <c r="BG693" s="646">
        <f t="shared" si="219"/>
        <v>0</v>
      </c>
      <c r="BH693" s="650"/>
      <c r="BI693" s="647"/>
      <c r="BJ693" s="644"/>
      <c r="BK693" s="646">
        <f t="shared" si="220"/>
        <v>0</v>
      </c>
      <c r="BL693" s="651"/>
      <c r="BM693" s="652">
        <f t="shared" si="221"/>
        <v>1</v>
      </c>
      <c r="BN693" s="628"/>
      <c r="BO693" s="670"/>
      <c r="BP693" s="644"/>
      <c r="BQ693" s="644"/>
      <c r="BR693" s="644"/>
      <c r="BS693" s="644"/>
      <c r="BT693" s="644"/>
      <c r="BU693" s="644"/>
      <c r="BV693" s="644"/>
      <c r="BW693" s="644"/>
      <c r="BX693" s="644"/>
      <c r="BY693" s="644"/>
      <c r="BZ693" s="644"/>
      <c r="CA693" s="644"/>
      <c r="CB693" s="646">
        <f t="shared" si="222"/>
        <v>0</v>
      </c>
      <c r="CC693" s="646">
        <f t="shared" si="223"/>
        <v>0</v>
      </c>
      <c r="CD693" s="614"/>
      <c r="CG693" s="659" t="s">
        <v>589</v>
      </c>
    </row>
    <row r="694" spans="1:85" s="659" customFormat="1" ht="61.5" customHeight="1">
      <c r="A694" s="625" t="str">
        <f t="shared" si="205"/>
        <v>proyecto-Alerta: Seleccione la celda en la comumna B con el nombre del proyecto-Al-Al--</v>
      </c>
      <c r="B694" s="626" t="str">
        <f t="shared" si="206"/>
        <v>proyecto-Alerta: Seleccione la celda en la comumna B con el nombre del proyecto-Al-Al-</v>
      </c>
      <c r="C694" s="626" t="str">
        <f t="shared" si="207"/>
        <v>proyecto-Alerta: Seleccione la celda en la comumna B con el nombre del proyecto-</v>
      </c>
      <c r="D694" s="626" t="str">
        <f t="shared" si="208"/>
        <v>proyecto--Al-Al-</v>
      </c>
      <c r="E694" s="626" t="str">
        <f t="shared" si="209"/>
        <v>--</v>
      </c>
      <c r="F694" s="627"/>
      <c r="G694" s="628">
        <f t="shared" si="210"/>
        <v>0</v>
      </c>
      <c r="H694" s="629" t="b">
        <f t="shared" si="211"/>
        <v>1</v>
      </c>
      <c r="I694" s="630"/>
      <c r="J694" s="627"/>
      <c r="K694" s="631" t="str">
        <f>+IFERROR(VLOOKUP(J694,Listas!$A$108:$B$114,2,FALSE),"Alerta: Seleccione la celda en la comumna B con el nombre del proyecto")</f>
        <v>Alerta: Seleccione la celda en la comumna B con el nombre del proyecto</v>
      </c>
      <c r="L694" s="632"/>
      <c r="M694" s="633"/>
      <c r="N694" s="634" t="str">
        <f t="shared" si="212"/>
        <v xml:space="preserve">(Cód. ) </v>
      </c>
      <c r="O694" s="635"/>
      <c r="P694" s="636">
        <f>IFERROR(VLOOKUP(W694,'Estimación CRP'!$D$21:$E$30,2,FALSE),0)</f>
        <v>0</v>
      </c>
      <c r="Q694" s="637">
        <f>IF(O694="No aplica","No aplica",WORKDAY.INTL(O694,P694,1,'Estimación CRP'!A880:A896))</f>
        <v>0</v>
      </c>
      <c r="R694" s="636">
        <f t="shared" si="213"/>
        <v>1</v>
      </c>
      <c r="S694" s="636">
        <f t="shared" si="214"/>
        <v>1</v>
      </c>
      <c r="T694" s="636">
        <f t="shared" si="215"/>
        <v>1</v>
      </c>
      <c r="U694" s="638"/>
      <c r="V694" s="638"/>
      <c r="W694" s="639"/>
      <c r="X694" s="640" t="str">
        <f>IFERROR(VLOOKUP(W694,Listas!$A$60:$B$73,2,FALSE),"Alerta: Seleccione primero Modalidad de selección")</f>
        <v>Alerta: Seleccione primero Modalidad de selección</v>
      </c>
      <c r="Y694" s="641">
        <v>0</v>
      </c>
      <c r="Z694" s="641"/>
      <c r="AA694" s="641"/>
      <c r="AB694" s="642">
        <f t="shared" si="216"/>
        <v>0</v>
      </c>
      <c r="AC694" s="642">
        <f t="shared" si="217"/>
        <v>0</v>
      </c>
      <c r="AD694" s="641">
        <v>0</v>
      </c>
      <c r="AE694" s="643">
        <v>0</v>
      </c>
      <c r="AF694" s="639" t="s">
        <v>276</v>
      </c>
      <c r="AG694" s="639" t="s">
        <v>277</v>
      </c>
      <c r="AH694" s="639"/>
      <c r="AI694" s="626" t="str">
        <f>IFERROR(VLOOKUP(AH694,Listas!$A$77:$C$83,2,FALSE),"Alerta: Seleccione primero el responsable")</f>
        <v>Alerta: Seleccione primero el responsable</v>
      </c>
      <c r="AJ694" s="640" t="str">
        <f>IFERROR(VLOOKUP(AH694,Listas!$A$77:$C$83,3,FALSE),"Alerta: Seleccione primero el responsable")</f>
        <v>Alerta: Seleccione primero el responsable</v>
      </c>
      <c r="AK694" s="640" t="str">
        <f>IF(J694="Funcionamiento Gastos Generales","No aplica",IF(J694="Funcionamiento Servicios Personales indirectos","No aplica",IFERROR(VLOOKUP(J694,Listas!$A$127:$E$139,3,FALSE),"Alerta: Seleccione la celda en la comumna B con el nombre del proyecto")))</f>
        <v>Alerta: Seleccione la celda en la comumna B con el nombre del proyecto</v>
      </c>
      <c r="AL694" s="640" t="str">
        <f>IF(J694="Funcionamiento Gastos Generales","No aplica",IF(J694="Funcionamiento Servicios Personales","No aplica",IFERROR(VLOOKUP(J694,Listas!$A$220:$D$224,2,FALSE),"Alerta: Seleccione la celda en la comumna B con el nombre del proyecto")))</f>
        <v>Alerta: Seleccione la celda en la comumna B con el nombre del proyecto</v>
      </c>
      <c r="AM694" s="640" t="str">
        <f>IF(J694="Funcionamiento Gastos Generales","No aplica",IF(J694="Funcionamiento Servicios Personales","No aplica",IFERROR(VLOOKUP(J694,Listas!$A$220:$D$224,3,FALSE),"Alerta: Seleccione la celda en la comumna B con el nombre del proyecto")))</f>
        <v>Alerta: Seleccione la celda en la comumna B con el nombre del proyecto</v>
      </c>
      <c r="AN694" s="633"/>
      <c r="AO694" s="633"/>
      <c r="AP694" s="634" t="str">
        <f>IFERROR(VLOOKUP(J694,Listas!$A$182:$E$215,5,FALSE),"Alerta: Seleccione la celda en la comumna B con el nombre del proyecto")</f>
        <v>Alerta: Seleccione la celda en la comumna B con el nombre del proyecto</v>
      </c>
      <c r="AQ694" s="634" t="str">
        <f>IF(J694="Funcionamiento Gastos Generales","No aplica",IF(J694="Funcionamiento Servicios Personales","No aplica",IFERROR(VLOOKUP(J694,Listas!$A$220:$D$224,4,FALSE),"Alerta: Seleccione la celda en la comumna B con el nombre del proyecto")))</f>
        <v>Alerta: Seleccione la celda en la comumna B con el nombre del proyecto</v>
      </c>
      <c r="AR694" s="633"/>
      <c r="AS694" s="634" t="str">
        <f>IFERROR(VLOOKUP(AU694,Listas!$E$85:$L$105,7,FALSE),"Alerta: Seleccione la celda en la comumna AI con el concepto de gasto")</f>
        <v>Alerta: Seleccione la celda en la comumna AI con el concepto de gasto</v>
      </c>
      <c r="AT694" s="634" t="str">
        <f>IFERROR(VLOOKUP(AU694,Listas!$E$85:$L$105,8,FALSE),"Alerta: Seleccione la celda en la comumna AI con el concepto de gasto")</f>
        <v>Alerta: Seleccione la celda en la comumna AI con el concepto de gasto</v>
      </c>
      <c r="AU694" s="633"/>
      <c r="AV694" s="634" t="str">
        <f>IFERROR(VLOOKUP(AU694,Listas!$E$85:$F$105,2,FALSE),"Alerta: Seleccione el Concepto de Gasto primero")</f>
        <v>Alerta: Seleccione el Concepto de Gasto primero</v>
      </c>
      <c r="AW694" s="644"/>
      <c r="AX694" s="645"/>
      <c r="AY694" s="645"/>
      <c r="AZ694" s="645"/>
      <c r="BA694" s="646">
        <f t="shared" si="218"/>
        <v>0</v>
      </c>
      <c r="BB694" s="647"/>
      <c r="BC694" s="648"/>
      <c r="BD694" s="649"/>
      <c r="BE694" s="647"/>
      <c r="BF694" s="644"/>
      <c r="BG694" s="646">
        <f t="shared" si="219"/>
        <v>0</v>
      </c>
      <c r="BH694" s="650"/>
      <c r="BI694" s="647"/>
      <c r="BJ694" s="644"/>
      <c r="BK694" s="646">
        <f t="shared" si="220"/>
        <v>0</v>
      </c>
      <c r="BL694" s="651"/>
      <c r="BM694" s="652">
        <f t="shared" si="221"/>
        <v>1</v>
      </c>
      <c r="BN694" s="628"/>
      <c r="BO694" s="670"/>
      <c r="BP694" s="644"/>
      <c r="BQ694" s="644"/>
      <c r="BR694" s="644"/>
      <c r="BS694" s="644"/>
      <c r="BT694" s="644"/>
      <c r="BU694" s="644"/>
      <c r="BV694" s="644"/>
      <c r="BW694" s="644"/>
      <c r="BX694" s="644"/>
      <c r="BY694" s="644"/>
      <c r="BZ694" s="644"/>
      <c r="CA694" s="644"/>
      <c r="CB694" s="646">
        <f t="shared" si="222"/>
        <v>0</v>
      </c>
      <c r="CC694" s="646">
        <f t="shared" si="223"/>
        <v>0</v>
      </c>
      <c r="CD694" s="614"/>
      <c r="CG694" s="659" t="s">
        <v>589</v>
      </c>
    </row>
    <row r="695" spans="1:85" s="561" customFormat="1" ht="61.5" customHeight="1">
      <c r="A695" s="625" t="str">
        <f t="shared" si="205"/>
        <v>proyecto-Alerta: Seleccione la celda en la comumna B con el nombre del proyecto-Al-Al--</v>
      </c>
      <c r="B695" s="626" t="str">
        <f t="shared" si="206"/>
        <v>proyecto-Alerta: Seleccione la celda en la comumna B con el nombre del proyecto-Al-Al-</v>
      </c>
      <c r="C695" s="626" t="str">
        <f t="shared" si="207"/>
        <v>proyecto-Alerta: Seleccione la celda en la comumna B con el nombre del proyecto-</v>
      </c>
      <c r="D695" s="626" t="str">
        <f t="shared" si="208"/>
        <v>proyecto--Al-Al-</v>
      </c>
      <c r="E695" s="626" t="str">
        <f t="shared" si="209"/>
        <v>--</v>
      </c>
      <c r="F695" s="627"/>
      <c r="G695" s="628">
        <f t="shared" si="210"/>
        <v>0</v>
      </c>
      <c r="H695" s="629" t="b">
        <f t="shared" si="211"/>
        <v>1</v>
      </c>
      <c r="I695" s="630"/>
      <c r="J695" s="627"/>
      <c r="K695" s="631" t="str">
        <f>+IFERROR(VLOOKUP(J695,Listas!$A$108:$B$114,2,FALSE),"Alerta: Seleccione la celda en la comumna B con el nombre del proyecto")</f>
        <v>Alerta: Seleccione la celda en la comumna B con el nombre del proyecto</v>
      </c>
      <c r="L695" s="632"/>
      <c r="M695" s="633"/>
      <c r="N695" s="634" t="str">
        <f t="shared" si="212"/>
        <v xml:space="preserve">(Cód. ) </v>
      </c>
      <c r="O695" s="635"/>
      <c r="P695" s="636">
        <f>IFERROR(VLOOKUP(W695,'Estimación CRP'!$D$21:$E$30,2,FALSE),0)</f>
        <v>0</v>
      </c>
      <c r="Q695" s="637">
        <f>IF(O695="No aplica","No aplica",WORKDAY.INTL(O695,P695,1,'Estimación CRP'!A881:A897))</f>
        <v>0</v>
      </c>
      <c r="R695" s="636">
        <f t="shared" si="213"/>
        <v>1</v>
      </c>
      <c r="S695" s="636">
        <f t="shared" si="214"/>
        <v>1</v>
      </c>
      <c r="T695" s="636">
        <f t="shared" si="215"/>
        <v>1</v>
      </c>
      <c r="U695" s="638"/>
      <c r="V695" s="638"/>
      <c r="W695" s="639"/>
      <c r="X695" s="640" t="str">
        <f>IFERROR(VLOOKUP(W695,Listas!$A$60:$B$73,2,FALSE),"Alerta: Seleccione primero Modalidad de selección")</f>
        <v>Alerta: Seleccione primero Modalidad de selección</v>
      </c>
      <c r="Y695" s="641">
        <v>0</v>
      </c>
      <c r="Z695" s="641"/>
      <c r="AA695" s="641"/>
      <c r="AB695" s="642">
        <f t="shared" si="216"/>
        <v>0</v>
      </c>
      <c r="AC695" s="642">
        <f t="shared" si="217"/>
        <v>0</v>
      </c>
      <c r="AD695" s="641">
        <v>0</v>
      </c>
      <c r="AE695" s="643">
        <v>0</v>
      </c>
      <c r="AF695" s="639" t="s">
        <v>276</v>
      </c>
      <c r="AG695" s="639" t="s">
        <v>277</v>
      </c>
      <c r="AH695" s="639"/>
      <c r="AI695" s="626" t="str">
        <f>IFERROR(VLOOKUP(AH695,Listas!$A$77:$C$83,2,FALSE),"Alerta: Seleccione primero el responsable")</f>
        <v>Alerta: Seleccione primero el responsable</v>
      </c>
      <c r="AJ695" s="640" t="str">
        <f>IFERROR(VLOOKUP(AH695,Listas!$A$77:$C$83,3,FALSE),"Alerta: Seleccione primero el responsable")</f>
        <v>Alerta: Seleccione primero el responsable</v>
      </c>
      <c r="AK695" s="640" t="str">
        <f>IF(J695="Funcionamiento Gastos Generales","No aplica",IF(J695="Funcionamiento Servicios Personales indirectos","No aplica",IFERROR(VLOOKUP(J695,Listas!$A$127:$E$139,3,FALSE),"Alerta: Seleccione la celda en la comumna B con el nombre del proyecto")))</f>
        <v>Alerta: Seleccione la celda en la comumna B con el nombre del proyecto</v>
      </c>
      <c r="AL695" s="640" t="str">
        <f>IF(J695="Funcionamiento Gastos Generales","No aplica",IF(J695="Funcionamiento Servicios Personales","No aplica",IFERROR(VLOOKUP(J695,Listas!$A$220:$D$224,2,FALSE),"Alerta: Seleccione la celda en la comumna B con el nombre del proyecto")))</f>
        <v>Alerta: Seleccione la celda en la comumna B con el nombre del proyecto</v>
      </c>
      <c r="AM695" s="640" t="str">
        <f>IF(J695="Funcionamiento Gastos Generales","No aplica",IF(J695="Funcionamiento Servicios Personales","No aplica",IFERROR(VLOOKUP(J695,Listas!$A$220:$D$224,3,FALSE),"Alerta: Seleccione la celda en la comumna B con el nombre del proyecto")))</f>
        <v>Alerta: Seleccione la celda en la comumna B con el nombre del proyecto</v>
      </c>
      <c r="AN695" s="633"/>
      <c r="AO695" s="633"/>
      <c r="AP695" s="634" t="str">
        <f>IFERROR(VLOOKUP(J695,Listas!$A$182:$E$215,5,FALSE),"Alerta: Seleccione la celda en la comumna B con el nombre del proyecto")</f>
        <v>Alerta: Seleccione la celda en la comumna B con el nombre del proyecto</v>
      </c>
      <c r="AQ695" s="634" t="str">
        <f>IF(J695="Funcionamiento Gastos Generales","No aplica",IF(J695="Funcionamiento Servicios Personales","No aplica",IFERROR(VLOOKUP(J695,Listas!$A$220:$D$224,4,FALSE),"Alerta: Seleccione la celda en la comumna B con el nombre del proyecto")))</f>
        <v>Alerta: Seleccione la celda en la comumna B con el nombre del proyecto</v>
      </c>
      <c r="AR695" s="633"/>
      <c r="AS695" s="634" t="str">
        <f>IFERROR(VLOOKUP(AU695,Listas!$E$85:$L$105,7,FALSE),"Alerta: Seleccione la celda en la comumna AI con el concepto de gasto")</f>
        <v>Alerta: Seleccione la celda en la comumna AI con el concepto de gasto</v>
      </c>
      <c r="AT695" s="634" t="str">
        <f>IFERROR(VLOOKUP(AU695,Listas!$E$85:$L$105,8,FALSE),"Alerta: Seleccione la celda en la comumna AI con el concepto de gasto")</f>
        <v>Alerta: Seleccione la celda en la comumna AI con el concepto de gasto</v>
      </c>
      <c r="AU695" s="633"/>
      <c r="AV695" s="634" t="str">
        <f>IFERROR(VLOOKUP(AU695,Listas!$E$85:$F$105,2,FALSE),"Alerta: Seleccione el Concepto de Gasto primero")</f>
        <v>Alerta: Seleccione el Concepto de Gasto primero</v>
      </c>
      <c r="AW695" s="644"/>
      <c r="AX695" s="645"/>
      <c r="AY695" s="645"/>
      <c r="AZ695" s="645"/>
      <c r="BA695" s="646">
        <f t="shared" si="218"/>
        <v>0</v>
      </c>
      <c r="BB695" s="647"/>
      <c r="BC695" s="648"/>
      <c r="BD695" s="649"/>
      <c r="BE695" s="647"/>
      <c r="BF695" s="644"/>
      <c r="BG695" s="646">
        <f t="shared" si="219"/>
        <v>0</v>
      </c>
      <c r="BH695" s="650"/>
      <c r="BI695" s="647"/>
      <c r="BJ695" s="644"/>
      <c r="BK695" s="646">
        <f t="shared" si="220"/>
        <v>0</v>
      </c>
      <c r="BL695" s="651"/>
      <c r="BM695" s="652">
        <f t="shared" si="221"/>
        <v>1</v>
      </c>
      <c r="BN695" s="628"/>
      <c r="BO695" s="670"/>
      <c r="BP695" s="644"/>
      <c r="BQ695" s="644"/>
      <c r="BR695" s="644"/>
      <c r="BS695" s="644"/>
      <c r="BT695" s="644"/>
      <c r="BU695" s="644"/>
      <c r="BV695" s="644"/>
      <c r="BW695" s="644"/>
      <c r="BX695" s="644"/>
      <c r="BY695" s="644"/>
      <c r="BZ695" s="644"/>
      <c r="CA695" s="644"/>
      <c r="CB695" s="646">
        <f t="shared" si="222"/>
        <v>0</v>
      </c>
      <c r="CC695" s="646">
        <f t="shared" si="223"/>
        <v>0</v>
      </c>
      <c r="CD695" s="614"/>
    </row>
    <row r="696" spans="1:85" s="561" customFormat="1" ht="61.5" customHeight="1">
      <c r="A696" s="625" t="str">
        <f t="shared" si="205"/>
        <v>proyecto-Alerta: Seleccione la celda en la comumna B con el nombre del proyecto-Al-Al--</v>
      </c>
      <c r="B696" s="626" t="str">
        <f t="shared" si="206"/>
        <v>proyecto-Alerta: Seleccione la celda en la comumna B con el nombre del proyecto-Al-Al-</v>
      </c>
      <c r="C696" s="626" t="str">
        <f t="shared" si="207"/>
        <v>proyecto-Alerta: Seleccione la celda en la comumna B con el nombre del proyecto-</v>
      </c>
      <c r="D696" s="626" t="str">
        <f t="shared" si="208"/>
        <v>proyecto--Al-Al-</v>
      </c>
      <c r="E696" s="626" t="str">
        <f t="shared" si="209"/>
        <v>--</v>
      </c>
      <c r="F696" s="627"/>
      <c r="G696" s="628">
        <f t="shared" si="210"/>
        <v>0</v>
      </c>
      <c r="H696" s="629" t="b">
        <f t="shared" si="211"/>
        <v>1</v>
      </c>
      <c r="I696" s="630"/>
      <c r="J696" s="627"/>
      <c r="K696" s="631" t="str">
        <f>+IFERROR(VLOOKUP(J696,Listas!$A$108:$B$114,2,FALSE),"Alerta: Seleccione la celda en la comumna B con el nombre del proyecto")</f>
        <v>Alerta: Seleccione la celda en la comumna B con el nombre del proyecto</v>
      </c>
      <c r="L696" s="632"/>
      <c r="M696" s="633"/>
      <c r="N696" s="634" t="str">
        <f t="shared" si="212"/>
        <v xml:space="preserve">(Cód. ) </v>
      </c>
      <c r="O696" s="635"/>
      <c r="P696" s="636">
        <f>IFERROR(VLOOKUP(W696,'Estimación CRP'!$D$21:$E$30,2,FALSE),0)</f>
        <v>0</v>
      </c>
      <c r="Q696" s="637">
        <f>IF(O696="No aplica","No aplica",WORKDAY.INTL(O696,P696,1,'Estimación CRP'!A882:A898))</f>
        <v>0</v>
      </c>
      <c r="R696" s="636">
        <f t="shared" si="213"/>
        <v>1</v>
      </c>
      <c r="S696" s="636">
        <f t="shared" si="214"/>
        <v>1</v>
      </c>
      <c r="T696" s="636">
        <f t="shared" si="215"/>
        <v>1</v>
      </c>
      <c r="U696" s="638"/>
      <c r="V696" s="638"/>
      <c r="W696" s="639"/>
      <c r="X696" s="640" t="str">
        <f>IFERROR(VLOOKUP(W696,Listas!$A$60:$B$73,2,FALSE),"Alerta: Seleccione primero Modalidad de selección")</f>
        <v>Alerta: Seleccione primero Modalidad de selección</v>
      </c>
      <c r="Y696" s="641">
        <v>0</v>
      </c>
      <c r="Z696" s="641"/>
      <c r="AA696" s="641"/>
      <c r="AB696" s="642">
        <f t="shared" si="216"/>
        <v>0</v>
      </c>
      <c r="AC696" s="642">
        <f t="shared" si="217"/>
        <v>0</v>
      </c>
      <c r="AD696" s="641">
        <v>0</v>
      </c>
      <c r="AE696" s="643">
        <v>0</v>
      </c>
      <c r="AF696" s="639" t="s">
        <v>276</v>
      </c>
      <c r="AG696" s="639" t="s">
        <v>277</v>
      </c>
      <c r="AH696" s="639"/>
      <c r="AI696" s="626" t="str">
        <f>IFERROR(VLOOKUP(AH696,Listas!$A$77:$C$83,2,FALSE),"Alerta: Seleccione primero el responsable")</f>
        <v>Alerta: Seleccione primero el responsable</v>
      </c>
      <c r="AJ696" s="640" t="str">
        <f>IFERROR(VLOOKUP(AH696,Listas!$A$77:$C$83,3,FALSE),"Alerta: Seleccione primero el responsable")</f>
        <v>Alerta: Seleccione primero el responsable</v>
      </c>
      <c r="AK696" s="640" t="str">
        <f>IF(J696="Funcionamiento Gastos Generales","No aplica",IF(J696="Funcionamiento Servicios Personales indirectos","No aplica",IFERROR(VLOOKUP(J696,Listas!$A$127:$E$139,3,FALSE),"Alerta: Seleccione la celda en la comumna B con el nombre del proyecto")))</f>
        <v>Alerta: Seleccione la celda en la comumna B con el nombre del proyecto</v>
      </c>
      <c r="AL696" s="640" t="str">
        <f>IF(J696="Funcionamiento Gastos Generales","No aplica",IF(J696="Funcionamiento Servicios Personales","No aplica",IFERROR(VLOOKUP(J696,Listas!$A$220:$D$224,2,FALSE),"Alerta: Seleccione la celda en la comumna B con el nombre del proyecto")))</f>
        <v>Alerta: Seleccione la celda en la comumna B con el nombre del proyecto</v>
      </c>
      <c r="AM696" s="640" t="str">
        <f>IF(J696="Funcionamiento Gastos Generales","No aplica",IF(J696="Funcionamiento Servicios Personales","No aplica",IFERROR(VLOOKUP(J696,Listas!$A$220:$D$224,3,FALSE),"Alerta: Seleccione la celda en la comumna B con el nombre del proyecto")))</f>
        <v>Alerta: Seleccione la celda en la comumna B con el nombre del proyecto</v>
      </c>
      <c r="AN696" s="633"/>
      <c r="AO696" s="633"/>
      <c r="AP696" s="634" t="str">
        <f>IFERROR(VLOOKUP(J696,Listas!$A$182:$E$215,5,FALSE),"Alerta: Seleccione la celda en la comumna B con el nombre del proyecto")</f>
        <v>Alerta: Seleccione la celda en la comumna B con el nombre del proyecto</v>
      </c>
      <c r="AQ696" s="634" t="str">
        <f>IF(J696="Funcionamiento Gastos Generales","No aplica",IF(J696="Funcionamiento Servicios Personales","No aplica",IFERROR(VLOOKUP(J696,Listas!$A$220:$D$224,4,FALSE),"Alerta: Seleccione la celda en la comumna B con el nombre del proyecto")))</f>
        <v>Alerta: Seleccione la celda en la comumna B con el nombre del proyecto</v>
      </c>
      <c r="AR696" s="633"/>
      <c r="AS696" s="634" t="str">
        <f>IFERROR(VLOOKUP(AU696,Listas!$E$85:$L$105,7,FALSE),"Alerta: Seleccione la celda en la comumna AI con el concepto de gasto")</f>
        <v>Alerta: Seleccione la celda en la comumna AI con el concepto de gasto</v>
      </c>
      <c r="AT696" s="634" t="str">
        <f>IFERROR(VLOOKUP(AU696,Listas!$E$85:$L$105,8,FALSE),"Alerta: Seleccione la celda en la comumna AI con el concepto de gasto")</f>
        <v>Alerta: Seleccione la celda en la comumna AI con el concepto de gasto</v>
      </c>
      <c r="AU696" s="633"/>
      <c r="AV696" s="634" t="str">
        <f>IFERROR(VLOOKUP(AU696,Listas!$E$85:$F$105,2,FALSE),"Alerta: Seleccione el Concepto de Gasto primero")</f>
        <v>Alerta: Seleccione el Concepto de Gasto primero</v>
      </c>
      <c r="AW696" s="644"/>
      <c r="AX696" s="645"/>
      <c r="AY696" s="645"/>
      <c r="AZ696" s="645"/>
      <c r="BA696" s="646">
        <f t="shared" si="218"/>
        <v>0</v>
      </c>
      <c r="BB696" s="647"/>
      <c r="BC696" s="648"/>
      <c r="BD696" s="649"/>
      <c r="BE696" s="647"/>
      <c r="BF696" s="644"/>
      <c r="BG696" s="646">
        <f t="shared" si="219"/>
        <v>0</v>
      </c>
      <c r="BH696" s="650"/>
      <c r="BI696" s="647"/>
      <c r="BJ696" s="644"/>
      <c r="BK696" s="646">
        <f t="shared" si="220"/>
        <v>0</v>
      </c>
      <c r="BL696" s="651"/>
      <c r="BM696" s="652">
        <f t="shared" si="221"/>
        <v>1</v>
      </c>
      <c r="BN696" s="628"/>
      <c r="BO696" s="670"/>
      <c r="BP696" s="644"/>
      <c r="BQ696" s="644"/>
      <c r="BR696" s="644"/>
      <c r="BS696" s="644"/>
      <c r="BT696" s="644"/>
      <c r="BU696" s="644"/>
      <c r="BV696" s="644"/>
      <c r="BW696" s="644"/>
      <c r="BX696" s="644"/>
      <c r="BY696" s="644"/>
      <c r="BZ696" s="644"/>
      <c r="CA696" s="644"/>
      <c r="CB696" s="646">
        <f t="shared" si="222"/>
        <v>0</v>
      </c>
      <c r="CC696" s="646">
        <f t="shared" si="223"/>
        <v>0</v>
      </c>
      <c r="CD696" s="614"/>
    </row>
    <row r="697" spans="1:85" s="561" customFormat="1" ht="61.5" customHeight="1">
      <c r="A697" s="625" t="str">
        <f t="shared" si="205"/>
        <v>proyecto-Alerta: Seleccione la celda en la comumna B con el nombre del proyecto-Al-Al--</v>
      </c>
      <c r="B697" s="626" t="str">
        <f t="shared" si="206"/>
        <v>proyecto-Alerta: Seleccione la celda en la comumna B con el nombre del proyecto-Al-Al-</v>
      </c>
      <c r="C697" s="626" t="str">
        <f t="shared" si="207"/>
        <v>proyecto-Alerta: Seleccione la celda en la comumna B con el nombre del proyecto-</v>
      </c>
      <c r="D697" s="626" t="str">
        <f t="shared" si="208"/>
        <v>proyecto--Al-Al-</v>
      </c>
      <c r="E697" s="626" t="str">
        <f t="shared" si="209"/>
        <v>--</v>
      </c>
      <c r="F697" s="627"/>
      <c r="G697" s="628">
        <f t="shared" si="210"/>
        <v>0</v>
      </c>
      <c r="H697" s="629" t="b">
        <f t="shared" si="211"/>
        <v>1</v>
      </c>
      <c r="I697" s="630"/>
      <c r="J697" s="627"/>
      <c r="K697" s="631" t="str">
        <f>+IFERROR(VLOOKUP(J697,Listas!$A$108:$B$114,2,FALSE),"Alerta: Seleccione la celda en la comumna B con el nombre del proyecto")</f>
        <v>Alerta: Seleccione la celda en la comumna B con el nombre del proyecto</v>
      </c>
      <c r="L697" s="632"/>
      <c r="M697" s="633"/>
      <c r="N697" s="634" t="str">
        <f t="shared" si="212"/>
        <v xml:space="preserve">(Cód. ) </v>
      </c>
      <c r="O697" s="635"/>
      <c r="P697" s="636">
        <f>IFERROR(VLOOKUP(W697,'Estimación CRP'!$D$21:$E$30,2,FALSE),0)</f>
        <v>0</v>
      </c>
      <c r="Q697" s="637">
        <f>IF(O697="No aplica","No aplica",WORKDAY.INTL(O697,P697,1,'Estimación CRP'!A883:A899))</f>
        <v>0</v>
      </c>
      <c r="R697" s="636">
        <f t="shared" si="213"/>
        <v>1</v>
      </c>
      <c r="S697" s="636">
        <f t="shared" si="214"/>
        <v>1</v>
      </c>
      <c r="T697" s="636">
        <f t="shared" si="215"/>
        <v>1</v>
      </c>
      <c r="U697" s="638"/>
      <c r="V697" s="638"/>
      <c r="W697" s="639"/>
      <c r="X697" s="640" t="str">
        <f>IFERROR(VLOOKUP(W697,Listas!$A$60:$B$73,2,FALSE),"Alerta: Seleccione primero Modalidad de selección")</f>
        <v>Alerta: Seleccione primero Modalidad de selección</v>
      </c>
      <c r="Y697" s="641">
        <v>0</v>
      </c>
      <c r="Z697" s="641"/>
      <c r="AA697" s="641"/>
      <c r="AB697" s="642">
        <f t="shared" si="216"/>
        <v>0</v>
      </c>
      <c r="AC697" s="642">
        <f t="shared" si="217"/>
        <v>0</v>
      </c>
      <c r="AD697" s="641">
        <v>0</v>
      </c>
      <c r="AE697" s="643">
        <v>0</v>
      </c>
      <c r="AF697" s="639" t="s">
        <v>276</v>
      </c>
      <c r="AG697" s="639" t="s">
        <v>277</v>
      </c>
      <c r="AH697" s="639"/>
      <c r="AI697" s="626" t="str">
        <f>IFERROR(VLOOKUP(AH697,Listas!$A$77:$C$83,2,FALSE),"Alerta: Seleccione primero el responsable")</f>
        <v>Alerta: Seleccione primero el responsable</v>
      </c>
      <c r="AJ697" s="640" t="str">
        <f>IFERROR(VLOOKUP(AH697,Listas!$A$77:$C$83,3,FALSE),"Alerta: Seleccione primero el responsable")</f>
        <v>Alerta: Seleccione primero el responsable</v>
      </c>
      <c r="AK697" s="640" t="str">
        <f>IF(J697="Funcionamiento Gastos Generales","No aplica",IF(J697="Funcionamiento Servicios Personales indirectos","No aplica",IFERROR(VLOOKUP(J697,Listas!$A$127:$E$139,3,FALSE),"Alerta: Seleccione la celda en la comumna B con el nombre del proyecto")))</f>
        <v>Alerta: Seleccione la celda en la comumna B con el nombre del proyecto</v>
      </c>
      <c r="AL697" s="640" t="str">
        <f>IF(J697="Funcionamiento Gastos Generales","No aplica",IF(J697="Funcionamiento Servicios Personales","No aplica",IFERROR(VLOOKUP(J697,Listas!$A$220:$D$224,2,FALSE),"Alerta: Seleccione la celda en la comumna B con el nombre del proyecto")))</f>
        <v>Alerta: Seleccione la celda en la comumna B con el nombre del proyecto</v>
      </c>
      <c r="AM697" s="640" t="str">
        <f>IF(J697="Funcionamiento Gastos Generales","No aplica",IF(J697="Funcionamiento Servicios Personales","No aplica",IFERROR(VLOOKUP(J697,Listas!$A$220:$D$224,3,FALSE),"Alerta: Seleccione la celda en la comumna B con el nombre del proyecto")))</f>
        <v>Alerta: Seleccione la celda en la comumna B con el nombre del proyecto</v>
      </c>
      <c r="AN697" s="633"/>
      <c r="AO697" s="633"/>
      <c r="AP697" s="634" t="str">
        <f>IFERROR(VLOOKUP(J697,Listas!$A$182:$E$215,5,FALSE),"Alerta: Seleccione la celda en la comumna B con el nombre del proyecto")</f>
        <v>Alerta: Seleccione la celda en la comumna B con el nombre del proyecto</v>
      </c>
      <c r="AQ697" s="634" t="str">
        <f>IF(J697="Funcionamiento Gastos Generales","No aplica",IF(J697="Funcionamiento Servicios Personales","No aplica",IFERROR(VLOOKUP(J697,Listas!$A$220:$D$224,4,FALSE),"Alerta: Seleccione la celda en la comumna B con el nombre del proyecto")))</f>
        <v>Alerta: Seleccione la celda en la comumna B con el nombre del proyecto</v>
      </c>
      <c r="AR697" s="633"/>
      <c r="AS697" s="634" t="str">
        <f>IFERROR(VLOOKUP(AU697,Listas!$E$85:$L$105,7,FALSE),"Alerta: Seleccione la celda en la comumna AI con el concepto de gasto")</f>
        <v>Alerta: Seleccione la celda en la comumna AI con el concepto de gasto</v>
      </c>
      <c r="AT697" s="634" t="str">
        <f>IFERROR(VLOOKUP(AU697,Listas!$E$85:$L$105,8,FALSE),"Alerta: Seleccione la celda en la comumna AI con el concepto de gasto")</f>
        <v>Alerta: Seleccione la celda en la comumna AI con el concepto de gasto</v>
      </c>
      <c r="AU697" s="633"/>
      <c r="AV697" s="634" t="str">
        <f>IFERROR(VLOOKUP(AU697,Listas!$E$85:$F$105,2,FALSE),"Alerta: Seleccione el Concepto de Gasto primero")</f>
        <v>Alerta: Seleccione el Concepto de Gasto primero</v>
      </c>
      <c r="AW697" s="644"/>
      <c r="AX697" s="645"/>
      <c r="AY697" s="645"/>
      <c r="AZ697" s="645"/>
      <c r="BA697" s="646">
        <f t="shared" si="218"/>
        <v>0</v>
      </c>
      <c r="BB697" s="647"/>
      <c r="BC697" s="648"/>
      <c r="BD697" s="649"/>
      <c r="BE697" s="647"/>
      <c r="BF697" s="644"/>
      <c r="BG697" s="646">
        <f t="shared" si="219"/>
        <v>0</v>
      </c>
      <c r="BH697" s="650"/>
      <c r="BI697" s="647"/>
      <c r="BJ697" s="644"/>
      <c r="BK697" s="646">
        <f t="shared" si="220"/>
        <v>0</v>
      </c>
      <c r="BL697" s="651"/>
      <c r="BM697" s="652">
        <f t="shared" si="221"/>
        <v>1</v>
      </c>
      <c r="BN697" s="628"/>
      <c r="BO697" s="670"/>
      <c r="BP697" s="644"/>
      <c r="BQ697" s="644"/>
      <c r="BR697" s="644"/>
      <c r="BS697" s="644"/>
      <c r="BT697" s="644"/>
      <c r="BU697" s="644"/>
      <c r="BV697" s="644"/>
      <c r="BW697" s="644"/>
      <c r="BX697" s="644"/>
      <c r="BY697" s="644"/>
      <c r="BZ697" s="644"/>
      <c r="CA697" s="644"/>
      <c r="CB697" s="646">
        <f t="shared" si="222"/>
        <v>0</v>
      </c>
      <c r="CC697" s="646">
        <f t="shared" si="223"/>
        <v>0</v>
      </c>
      <c r="CD697" s="614"/>
    </row>
    <row r="698" spans="1:85" s="561" customFormat="1" ht="61.5" customHeight="1">
      <c r="A698" s="625" t="str">
        <f t="shared" si="205"/>
        <v>proyecto-Alerta: Seleccione la celda en la comumna B con el nombre del proyecto-Al-Al--</v>
      </c>
      <c r="B698" s="626" t="str">
        <f t="shared" si="206"/>
        <v>proyecto-Alerta: Seleccione la celda en la comumna B con el nombre del proyecto-Al-Al-</v>
      </c>
      <c r="C698" s="626" t="str">
        <f t="shared" si="207"/>
        <v>proyecto-Alerta: Seleccione la celda en la comumna B con el nombre del proyecto-</v>
      </c>
      <c r="D698" s="626" t="str">
        <f t="shared" si="208"/>
        <v>proyecto--Al-Al-</v>
      </c>
      <c r="E698" s="626" t="str">
        <f t="shared" si="209"/>
        <v>--</v>
      </c>
      <c r="F698" s="627"/>
      <c r="G698" s="628">
        <f t="shared" si="210"/>
        <v>0</v>
      </c>
      <c r="H698" s="629" t="b">
        <f t="shared" si="211"/>
        <v>1</v>
      </c>
      <c r="I698" s="630"/>
      <c r="J698" s="627"/>
      <c r="K698" s="631" t="str">
        <f>+IFERROR(VLOOKUP(J698,Listas!$A$108:$B$114,2,FALSE),"Alerta: Seleccione la celda en la comumna B con el nombre del proyecto")</f>
        <v>Alerta: Seleccione la celda en la comumna B con el nombre del proyecto</v>
      </c>
      <c r="L698" s="632"/>
      <c r="M698" s="633"/>
      <c r="N698" s="634" t="str">
        <f t="shared" si="212"/>
        <v xml:space="preserve">(Cód. ) </v>
      </c>
      <c r="O698" s="635"/>
      <c r="P698" s="636">
        <f>IFERROR(VLOOKUP(W698,'Estimación CRP'!$D$21:$E$30,2,FALSE),0)</f>
        <v>0</v>
      </c>
      <c r="Q698" s="637">
        <f>IF(O698="No aplica","No aplica",WORKDAY.INTL(O698,P698,1,'Estimación CRP'!A884:A900))</f>
        <v>0</v>
      </c>
      <c r="R698" s="636">
        <f t="shared" si="213"/>
        <v>1</v>
      </c>
      <c r="S698" s="636">
        <f t="shared" si="214"/>
        <v>1</v>
      </c>
      <c r="T698" s="636">
        <f t="shared" si="215"/>
        <v>1</v>
      </c>
      <c r="U698" s="638"/>
      <c r="V698" s="638"/>
      <c r="W698" s="639"/>
      <c r="X698" s="640" t="str">
        <f>IFERROR(VLOOKUP(W698,Listas!$A$60:$B$73,2,FALSE),"Alerta: Seleccione primero Modalidad de selección")</f>
        <v>Alerta: Seleccione primero Modalidad de selección</v>
      </c>
      <c r="Y698" s="641">
        <v>0</v>
      </c>
      <c r="Z698" s="641"/>
      <c r="AA698" s="641"/>
      <c r="AB698" s="642">
        <f t="shared" si="216"/>
        <v>0</v>
      </c>
      <c r="AC698" s="642">
        <f t="shared" si="217"/>
        <v>0</v>
      </c>
      <c r="AD698" s="641">
        <v>0</v>
      </c>
      <c r="AE698" s="643">
        <v>0</v>
      </c>
      <c r="AF698" s="639" t="s">
        <v>276</v>
      </c>
      <c r="AG698" s="639" t="s">
        <v>277</v>
      </c>
      <c r="AH698" s="639"/>
      <c r="AI698" s="626" t="str">
        <f>IFERROR(VLOOKUP(AH698,Listas!$A$77:$C$83,2,FALSE),"Alerta: Seleccione primero el responsable")</f>
        <v>Alerta: Seleccione primero el responsable</v>
      </c>
      <c r="AJ698" s="640" t="str">
        <f>IFERROR(VLOOKUP(AH698,Listas!$A$77:$C$83,3,FALSE),"Alerta: Seleccione primero el responsable")</f>
        <v>Alerta: Seleccione primero el responsable</v>
      </c>
      <c r="AK698" s="640" t="str">
        <f>IF(J698="Funcionamiento Gastos Generales","No aplica",IF(J698="Funcionamiento Servicios Personales indirectos","No aplica",IFERROR(VLOOKUP(J698,Listas!$A$127:$E$139,3,FALSE),"Alerta: Seleccione la celda en la comumna B con el nombre del proyecto")))</f>
        <v>Alerta: Seleccione la celda en la comumna B con el nombre del proyecto</v>
      </c>
      <c r="AL698" s="640" t="str">
        <f>IF(J698="Funcionamiento Gastos Generales","No aplica",IF(J698="Funcionamiento Servicios Personales","No aplica",IFERROR(VLOOKUP(J698,Listas!$A$220:$D$224,2,FALSE),"Alerta: Seleccione la celda en la comumna B con el nombre del proyecto")))</f>
        <v>Alerta: Seleccione la celda en la comumna B con el nombre del proyecto</v>
      </c>
      <c r="AM698" s="640" t="str">
        <f>IF(J698="Funcionamiento Gastos Generales","No aplica",IF(J698="Funcionamiento Servicios Personales","No aplica",IFERROR(VLOOKUP(J698,Listas!$A$220:$D$224,3,FALSE),"Alerta: Seleccione la celda en la comumna B con el nombre del proyecto")))</f>
        <v>Alerta: Seleccione la celda en la comumna B con el nombre del proyecto</v>
      </c>
      <c r="AN698" s="633"/>
      <c r="AO698" s="633"/>
      <c r="AP698" s="634" t="str">
        <f>IFERROR(VLOOKUP(J698,Listas!$A$182:$E$215,5,FALSE),"Alerta: Seleccione la celda en la comumna B con el nombre del proyecto")</f>
        <v>Alerta: Seleccione la celda en la comumna B con el nombre del proyecto</v>
      </c>
      <c r="AQ698" s="634" t="str">
        <f>IF(J698="Funcionamiento Gastos Generales","No aplica",IF(J698="Funcionamiento Servicios Personales","No aplica",IFERROR(VLOOKUP(J698,Listas!$A$220:$D$224,4,FALSE),"Alerta: Seleccione la celda en la comumna B con el nombre del proyecto")))</f>
        <v>Alerta: Seleccione la celda en la comumna B con el nombre del proyecto</v>
      </c>
      <c r="AR698" s="633"/>
      <c r="AS698" s="634" t="str">
        <f>IFERROR(VLOOKUP(AU698,Listas!$E$85:$L$105,7,FALSE),"Alerta: Seleccione la celda en la comumna AI con el concepto de gasto")</f>
        <v>Alerta: Seleccione la celda en la comumna AI con el concepto de gasto</v>
      </c>
      <c r="AT698" s="634" t="str">
        <f>IFERROR(VLOOKUP(AU698,Listas!$E$85:$L$105,8,FALSE),"Alerta: Seleccione la celda en la comumna AI con el concepto de gasto")</f>
        <v>Alerta: Seleccione la celda en la comumna AI con el concepto de gasto</v>
      </c>
      <c r="AU698" s="633"/>
      <c r="AV698" s="634" t="str">
        <f>IFERROR(VLOOKUP(AU698,Listas!$E$85:$F$105,2,FALSE),"Alerta: Seleccione el Concepto de Gasto primero")</f>
        <v>Alerta: Seleccione el Concepto de Gasto primero</v>
      </c>
      <c r="AW698" s="644"/>
      <c r="AX698" s="645"/>
      <c r="AY698" s="645"/>
      <c r="AZ698" s="645"/>
      <c r="BA698" s="646">
        <f t="shared" si="218"/>
        <v>0</v>
      </c>
      <c r="BB698" s="647"/>
      <c r="BC698" s="648"/>
      <c r="BD698" s="649"/>
      <c r="BE698" s="647"/>
      <c r="BF698" s="644"/>
      <c r="BG698" s="646">
        <f t="shared" si="219"/>
        <v>0</v>
      </c>
      <c r="BH698" s="650"/>
      <c r="BI698" s="647"/>
      <c r="BJ698" s="644"/>
      <c r="BK698" s="646">
        <f t="shared" si="220"/>
        <v>0</v>
      </c>
      <c r="BL698" s="651"/>
      <c r="BM698" s="652">
        <f t="shared" si="221"/>
        <v>1</v>
      </c>
      <c r="BN698" s="628"/>
      <c r="BO698" s="670"/>
      <c r="BP698" s="644"/>
      <c r="BQ698" s="644"/>
      <c r="BR698" s="644"/>
      <c r="BS698" s="644"/>
      <c r="BT698" s="644"/>
      <c r="BU698" s="644"/>
      <c r="BV698" s="644"/>
      <c r="BW698" s="644"/>
      <c r="BX698" s="644"/>
      <c r="BY698" s="644"/>
      <c r="BZ698" s="644"/>
      <c r="CA698" s="644"/>
      <c r="CB698" s="646">
        <f t="shared" si="222"/>
        <v>0</v>
      </c>
      <c r="CC698" s="646">
        <f t="shared" si="223"/>
        <v>0</v>
      </c>
      <c r="CD698" s="614"/>
    </row>
    <row r="699" spans="1:85" s="561" customFormat="1" ht="61.5" customHeight="1">
      <c r="A699" s="625" t="str">
        <f t="shared" si="205"/>
        <v>proyecto-Alerta: Seleccione la celda en la comumna B con el nombre del proyecto-Al-Al--</v>
      </c>
      <c r="B699" s="626" t="str">
        <f t="shared" si="206"/>
        <v>proyecto-Alerta: Seleccione la celda en la comumna B con el nombre del proyecto-Al-Al-</v>
      </c>
      <c r="C699" s="626" t="str">
        <f t="shared" si="207"/>
        <v>proyecto-Alerta: Seleccione la celda en la comumna B con el nombre del proyecto-</v>
      </c>
      <c r="D699" s="626" t="str">
        <f t="shared" si="208"/>
        <v>proyecto--Al-Al-</v>
      </c>
      <c r="E699" s="626" t="str">
        <f t="shared" si="209"/>
        <v>--</v>
      </c>
      <c r="F699" s="627"/>
      <c r="G699" s="628">
        <f t="shared" si="210"/>
        <v>0</v>
      </c>
      <c r="H699" s="629" t="b">
        <f t="shared" si="211"/>
        <v>1</v>
      </c>
      <c r="I699" s="630"/>
      <c r="J699" s="627"/>
      <c r="K699" s="631" t="str">
        <f>+IFERROR(VLOOKUP(J699,Listas!$A$108:$B$114,2,FALSE),"Alerta: Seleccione la celda en la comumna B con el nombre del proyecto")</f>
        <v>Alerta: Seleccione la celda en la comumna B con el nombre del proyecto</v>
      </c>
      <c r="L699" s="632"/>
      <c r="M699" s="633"/>
      <c r="N699" s="634" t="str">
        <f t="shared" si="212"/>
        <v xml:space="preserve">(Cód. ) </v>
      </c>
      <c r="O699" s="635"/>
      <c r="P699" s="636">
        <f>IFERROR(VLOOKUP(W699,'Estimación CRP'!$D$21:$E$30,2,FALSE),0)</f>
        <v>0</v>
      </c>
      <c r="Q699" s="637">
        <f>IF(O699="No aplica","No aplica",WORKDAY.INTL(O699,P699,1,'Estimación CRP'!A885:A901))</f>
        <v>0</v>
      </c>
      <c r="R699" s="636">
        <f t="shared" si="213"/>
        <v>1</v>
      </c>
      <c r="S699" s="636">
        <f t="shared" si="214"/>
        <v>1</v>
      </c>
      <c r="T699" s="636">
        <f t="shared" si="215"/>
        <v>1</v>
      </c>
      <c r="U699" s="638"/>
      <c r="V699" s="638"/>
      <c r="W699" s="639"/>
      <c r="X699" s="640" t="str">
        <f>IFERROR(VLOOKUP(W699,Listas!$A$60:$B$73,2,FALSE),"Alerta: Seleccione primero Modalidad de selección")</f>
        <v>Alerta: Seleccione primero Modalidad de selección</v>
      </c>
      <c r="Y699" s="641">
        <v>0</v>
      </c>
      <c r="Z699" s="641"/>
      <c r="AA699" s="641"/>
      <c r="AB699" s="642">
        <f t="shared" si="216"/>
        <v>0</v>
      </c>
      <c r="AC699" s="642">
        <f t="shared" si="217"/>
        <v>0</v>
      </c>
      <c r="AD699" s="641">
        <v>0</v>
      </c>
      <c r="AE699" s="643">
        <v>0</v>
      </c>
      <c r="AF699" s="639" t="s">
        <v>276</v>
      </c>
      <c r="AG699" s="639" t="s">
        <v>277</v>
      </c>
      <c r="AH699" s="639"/>
      <c r="AI699" s="626" t="str">
        <f>IFERROR(VLOOKUP(AH699,Listas!$A$77:$C$83,2,FALSE),"Alerta: Seleccione primero el responsable")</f>
        <v>Alerta: Seleccione primero el responsable</v>
      </c>
      <c r="AJ699" s="640" t="str">
        <f>IFERROR(VLOOKUP(AH699,Listas!$A$77:$C$83,3,FALSE),"Alerta: Seleccione primero el responsable")</f>
        <v>Alerta: Seleccione primero el responsable</v>
      </c>
      <c r="AK699" s="640" t="str">
        <f>IF(J699="Funcionamiento Gastos Generales","No aplica",IF(J699="Funcionamiento Servicios Personales indirectos","No aplica",IFERROR(VLOOKUP(J699,Listas!$A$127:$E$139,3,FALSE),"Alerta: Seleccione la celda en la comumna B con el nombre del proyecto")))</f>
        <v>Alerta: Seleccione la celda en la comumna B con el nombre del proyecto</v>
      </c>
      <c r="AL699" s="640" t="str">
        <f>IF(J699="Funcionamiento Gastos Generales","No aplica",IF(J699="Funcionamiento Servicios Personales","No aplica",IFERROR(VLOOKUP(J699,Listas!$A$220:$D$224,2,FALSE),"Alerta: Seleccione la celda en la comumna B con el nombre del proyecto")))</f>
        <v>Alerta: Seleccione la celda en la comumna B con el nombre del proyecto</v>
      </c>
      <c r="AM699" s="640" t="str">
        <f>IF(J699="Funcionamiento Gastos Generales","No aplica",IF(J699="Funcionamiento Servicios Personales","No aplica",IFERROR(VLOOKUP(J699,Listas!$A$220:$D$224,3,FALSE),"Alerta: Seleccione la celda en la comumna B con el nombre del proyecto")))</f>
        <v>Alerta: Seleccione la celda en la comumna B con el nombre del proyecto</v>
      </c>
      <c r="AN699" s="633"/>
      <c r="AO699" s="633"/>
      <c r="AP699" s="634" t="str">
        <f>IFERROR(VLOOKUP(J699,Listas!$A$182:$E$215,5,FALSE),"Alerta: Seleccione la celda en la comumna B con el nombre del proyecto")</f>
        <v>Alerta: Seleccione la celda en la comumna B con el nombre del proyecto</v>
      </c>
      <c r="AQ699" s="634" t="str">
        <f>IF(J699="Funcionamiento Gastos Generales","No aplica",IF(J699="Funcionamiento Servicios Personales","No aplica",IFERROR(VLOOKUP(J699,Listas!$A$220:$D$224,4,FALSE),"Alerta: Seleccione la celda en la comumna B con el nombre del proyecto")))</f>
        <v>Alerta: Seleccione la celda en la comumna B con el nombre del proyecto</v>
      </c>
      <c r="AR699" s="633"/>
      <c r="AS699" s="634" t="str">
        <f>IFERROR(VLOOKUP(AU699,Listas!$E$85:$L$105,7,FALSE),"Alerta: Seleccione la celda en la comumna AI con el concepto de gasto")</f>
        <v>Alerta: Seleccione la celda en la comumna AI con el concepto de gasto</v>
      </c>
      <c r="AT699" s="634" t="str">
        <f>IFERROR(VLOOKUP(AU699,Listas!$E$85:$L$105,8,FALSE),"Alerta: Seleccione la celda en la comumna AI con el concepto de gasto")</f>
        <v>Alerta: Seleccione la celda en la comumna AI con el concepto de gasto</v>
      </c>
      <c r="AU699" s="633"/>
      <c r="AV699" s="634" t="str">
        <f>IFERROR(VLOOKUP(AU699,Listas!$E$85:$F$105,2,FALSE),"Alerta: Seleccione el Concepto de Gasto primero")</f>
        <v>Alerta: Seleccione el Concepto de Gasto primero</v>
      </c>
      <c r="AW699" s="644"/>
      <c r="AX699" s="645"/>
      <c r="AY699" s="645"/>
      <c r="AZ699" s="645"/>
      <c r="BA699" s="646">
        <f t="shared" si="218"/>
        <v>0</v>
      </c>
      <c r="BB699" s="647"/>
      <c r="BC699" s="648"/>
      <c r="BD699" s="649"/>
      <c r="BE699" s="647"/>
      <c r="BF699" s="644"/>
      <c r="BG699" s="646">
        <f t="shared" si="219"/>
        <v>0</v>
      </c>
      <c r="BH699" s="650"/>
      <c r="BI699" s="647"/>
      <c r="BJ699" s="644"/>
      <c r="BK699" s="646">
        <f t="shared" si="220"/>
        <v>0</v>
      </c>
      <c r="BL699" s="651"/>
      <c r="BM699" s="652">
        <f t="shared" si="221"/>
        <v>1</v>
      </c>
      <c r="BN699" s="628"/>
      <c r="BO699" s="670"/>
      <c r="BP699" s="644"/>
      <c r="BQ699" s="644"/>
      <c r="BR699" s="644"/>
      <c r="BS699" s="644"/>
      <c r="BT699" s="644"/>
      <c r="BU699" s="644"/>
      <c r="BV699" s="644"/>
      <c r="BW699" s="644"/>
      <c r="BX699" s="644"/>
      <c r="BY699" s="644"/>
      <c r="BZ699" s="644"/>
      <c r="CA699" s="644"/>
      <c r="CB699" s="646">
        <f t="shared" si="222"/>
        <v>0</v>
      </c>
      <c r="CC699" s="646">
        <f t="shared" si="223"/>
        <v>0</v>
      </c>
      <c r="CD699" s="614"/>
    </row>
    <row r="700" spans="1:85" s="561" customFormat="1" ht="61.5" customHeight="1">
      <c r="A700" s="625" t="str">
        <f t="shared" si="205"/>
        <v>proyecto-Alerta: Seleccione la celda en la comumna B con el nombre del proyecto-Al-Al--</v>
      </c>
      <c r="B700" s="626" t="str">
        <f t="shared" si="206"/>
        <v>proyecto-Alerta: Seleccione la celda en la comumna B con el nombre del proyecto-Al-Al-</v>
      </c>
      <c r="C700" s="626" t="str">
        <f t="shared" si="207"/>
        <v>proyecto-Alerta: Seleccione la celda en la comumna B con el nombre del proyecto-</v>
      </c>
      <c r="D700" s="626" t="str">
        <f t="shared" si="208"/>
        <v>proyecto--Al-Al-</v>
      </c>
      <c r="E700" s="626" t="str">
        <f t="shared" si="209"/>
        <v>--</v>
      </c>
      <c r="F700" s="627"/>
      <c r="G700" s="628">
        <f t="shared" si="210"/>
        <v>0</v>
      </c>
      <c r="H700" s="629" t="b">
        <f t="shared" si="211"/>
        <v>1</v>
      </c>
      <c r="I700" s="630"/>
      <c r="J700" s="627"/>
      <c r="K700" s="631" t="str">
        <f>+IFERROR(VLOOKUP(J700,Listas!$A$108:$B$114,2,FALSE),"Alerta: Seleccione la celda en la comumna B con el nombre del proyecto")</f>
        <v>Alerta: Seleccione la celda en la comumna B con el nombre del proyecto</v>
      </c>
      <c r="L700" s="632"/>
      <c r="M700" s="633"/>
      <c r="N700" s="634" t="str">
        <f t="shared" si="212"/>
        <v xml:space="preserve">(Cód. ) </v>
      </c>
      <c r="O700" s="635"/>
      <c r="P700" s="636">
        <f>IFERROR(VLOOKUP(W700,'Estimación CRP'!$D$21:$E$30,2,FALSE),0)</f>
        <v>0</v>
      </c>
      <c r="Q700" s="637">
        <f>IF(O700="No aplica","No aplica",WORKDAY.INTL(O700,P700,1,'Estimación CRP'!A886:A902))</f>
        <v>0</v>
      </c>
      <c r="R700" s="636">
        <f t="shared" si="213"/>
        <v>1</v>
      </c>
      <c r="S700" s="636">
        <f t="shared" si="214"/>
        <v>1</v>
      </c>
      <c r="T700" s="636">
        <f t="shared" si="215"/>
        <v>1</v>
      </c>
      <c r="U700" s="638"/>
      <c r="V700" s="638"/>
      <c r="W700" s="639"/>
      <c r="X700" s="640" t="str">
        <f>IFERROR(VLOOKUP(W700,Listas!$A$60:$B$73,2,FALSE),"Alerta: Seleccione primero Modalidad de selección")</f>
        <v>Alerta: Seleccione primero Modalidad de selección</v>
      </c>
      <c r="Y700" s="641">
        <v>0</v>
      </c>
      <c r="Z700" s="641"/>
      <c r="AA700" s="641"/>
      <c r="AB700" s="642">
        <f t="shared" si="216"/>
        <v>0</v>
      </c>
      <c r="AC700" s="642">
        <f t="shared" si="217"/>
        <v>0</v>
      </c>
      <c r="AD700" s="641">
        <v>0</v>
      </c>
      <c r="AE700" s="643">
        <v>0</v>
      </c>
      <c r="AF700" s="639" t="s">
        <v>276</v>
      </c>
      <c r="AG700" s="639" t="s">
        <v>277</v>
      </c>
      <c r="AH700" s="639"/>
      <c r="AI700" s="626" t="str">
        <f>IFERROR(VLOOKUP(AH700,Listas!$A$77:$C$83,2,FALSE),"Alerta: Seleccione primero el responsable")</f>
        <v>Alerta: Seleccione primero el responsable</v>
      </c>
      <c r="AJ700" s="640" t="str">
        <f>IFERROR(VLOOKUP(AH700,Listas!$A$77:$C$83,3,FALSE),"Alerta: Seleccione primero el responsable")</f>
        <v>Alerta: Seleccione primero el responsable</v>
      </c>
      <c r="AK700" s="640" t="str">
        <f>IF(J700="Funcionamiento Gastos Generales","No aplica",IF(J700="Funcionamiento Servicios Personales indirectos","No aplica",IFERROR(VLOOKUP(J700,Listas!$A$127:$E$139,3,FALSE),"Alerta: Seleccione la celda en la comumna B con el nombre del proyecto")))</f>
        <v>Alerta: Seleccione la celda en la comumna B con el nombre del proyecto</v>
      </c>
      <c r="AL700" s="640" t="str">
        <f>IF(J700="Funcionamiento Gastos Generales","No aplica",IF(J700="Funcionamiento Servicios Personales","No aplica",IFERROR(VLOOKUP(J700,Listas!$A$220:$D$224,2,FALSE),"Alerta: Seleccione la celda en la comumna B con el nombre del proyecto")))</f>
        <v>Alerta: Seleccione la celda en la comumna B con el nombre del proyecto</v>
      </c>
      <c r="AM700" s="640" t="str">
        <f>IF(J700="Funcionamiento Gastos Generales","No aplica",IF(J700="Funcionamiento Servicios Personales","No aplica",IFERROR(VLOOKUP(J700,Listas!$A$220:$D$224,3,FALSE),"Alerta: Seleccione la celda en la comumna B con el nombre del proyecto")))</f>
        <v>Alerta: Seleccione la celda en la comumna B con el nombre del proyecto</v>
      </c>
      <c r="AN700" s="633"/>
      <c r="AO700" s="633"/>
      <c r="AP700" s="634" t="str">
        <f>IFERROR(VLOOKUP(J700,Listas!$A$182:$E$215,5,FALSE),"Alerta: Seleccione la celda en la comumna B con el nombre del proyecto")</f>
        <v>Alerta: Seleccione la celda en la comumna B con el nombre del proyecto</v>
      </c>
      <c r="AQ700" s="634" t="str">
        <f>IF(J700="Funcionamiento Gastos Generales","No aplica",IF(J700="Funcionamiento Servicios Personales","No aplica",IFERROR(VLOOKUP(J700,Listas!$A$220:$D$224,4,FALSE),"Alerta: Seleccione la celda en la comumna B con el nombre del proyecto")))</f>
        <v>Alerta: Seleccione la celda en la comumna B con el nombre del proyecto</v>
      </c>
      <c r="AR700" s="633"/>
      <c r="AS700" s="634" t="str">
        <f>IFERROR(VLOOKUP(AU700,Listas!$E$85:$L$105,7,FALSE),"Alerta: Seleccione la celda en la comumna AI con el concepto de gasto")</f>
        <v>Alerta: Seleccione la celda en la comumna AI con el concepto de gasto</v>
      </c>
      <c r="AT700" s="634" t="str">
        <f>IFERROR(VLOOKUP(AU700,Listas!$E$85:$L$105,8,FALSE),"Alerta: Seleccione la celda en la comumna AI con el concepto de gasto")</f>
        <v>Alerta: Seleccione la celda en la comumna AI con el concepto de gasto</v>
      </c>
      <c r="AU700" s="633"/>
      <c r="AV700" s="634" t="str">
        <f>IFERROR(VLOOKUP(AU700,Listas!$E$85:$F$105,2,FALSE),"Alerta: Seleccione el Concepto de Gasto primero")</f>
        <v>Alerta: Seleccione el Concepto de Gasto primero</v>
      </c>
      <c r="AW700" s="644"/>
      <c r="AX700" s="645"/>
      <c r="AY700" s="645"/>
      <c r="AZ700" s="645"/>
      <c r="BA700" s="646">
        <f t="shared" si="218"/>
        <v>0</v>
      </c>
      <c r="BB700" s="647"/>
      <c r="BC700" s="648"/>
      <c r="BD700" s="649"/>
      <c r="BE700" s="647"/>
      <c r="BF700" s="644"/>
      <c r="BG700" s="646">
        <f t="shared" si="219"/>
        <v>0</v>
      </c>
      <c r="BH700" s="650"/>
      <c r="BI700" s="647"/>
      <c r="BJ700" s="644"/>
      <c r="BK700" s="646">
        <f t="shared" si="220"/>
        <v>0</v>
      </c>
      <c r="BL700" s="651"/>
      <c r="BM700" s="652">
        <f t="shared" si="221"/>
        <v>1</v>
      </c>
      <c r="BN700" s="628"/>
      <c r="BO700" s="670"/>
      <c r="BP700" s="644"/>
      <c r="BQ700" s="644"/>
      <c r="BR700" s="644"/>
      <c r="BS700" s="644"/>
      <c r="BT700" s="644"/>
      <c r="BU700" s="644"/>
      <c r="BV700" s="644"/>
      <c r="BW700" s="644"/>
      <c r="BX700" s="644"/>
      <c r="BY700" s="644"/>
      <c r="BZ700" s="644"/>
      <c r="CA700" s="644"/>
      <c r="CB700" s="646">
        <f t="shared" si="222"/>
        <v>0</v>
      </c>
      <c r="CC700" s="646">
        <f t="shared" si="223"/>
        <v>0</v>
      </c>
      <c r="CD700" s="614"/>
    </row>
    <row r="701" spans="1:85" s="561" customFormat="1" ht="61.5" customHeight="1">
      <c r="A701" s="625" t="str">
        <f t="shared" si="205"/>
        <v>proyecto-Alerta: Seleccione la celda en la comumna B con el nombre del proyecto-Al-Al--</v>
      </c>
      <c r="B701" s="626" t="str">
        <f t="shared" si="206"/>
        <v>proyecto-Alerta: Seleccione la celda en la comumna B con el nombre del proyecto-Al-Al-</v>
      </c>
      <c r="C701" s="626" t="str">
        <f t="shared" si="207"/>
        <v>proyecto-Alerta: Seleccione la celda en la comumna B con el nombre del proyecto-</v>
      </c>
      <c r="D701" s="626" t="str">
        <f t="shared" si="208"/>
        <v>proyecto--Al-Al-</v>
      </c>
      <c r="E701" s="626" t="str">
        <f t="shared" si="209"/>
        <v>--</v>
      </c>
      <c r="F701" s="627"/>
      <c r="G701" s="628">
        <f t="shared" si="210"/>
        <v>0</v>
      </c>
      <c r="H701" s="629" t="b">
        <f t="shared" si="211"/>
        <v>1</v>
      </c>
      <c r="I701" s="630"/>
      <c r="J701" s="627"/>
      <c r="K701" s="631" t="str">
        <f>+IFERROR(VLOOKUP(J701,Listas!$A$108:$B$114,2,FALSE),"Alerta: Seleccione la celda en la comumna B con el nombre del proyecto")</f>
        <v>Alerta: Seleccione la celda en la comumna B con el nombre del proyecto</v>
      </c>
      <c r="L701" s="632"/>
      <c r="M701" s="633"/>
      <c r="N701" s="634" t="str">
        <f t="shared" si="212"/>
        <v xml:space="preserve">(Cód. ) </v>
      </c>
      <c r="O701" s="635"/>
      <c r="P701" s="636">
        <f>IFERROR(VLOOKUP(W701,'Estimación CRP'!$D$21:$E$30,2,FALSE),0)</f>
        <v>0</v>
      </c>
      <c r="Q701" s="637">
        <f>IF(O701="No aplica","No aplica",WORKDAY.INTL(O701,P701,1,'Estimación CRP'!A887:A903))</f>
        <v>0</v>
      </c>
      <c r="R701" s="636">
        <f t="shared" si="213"/>
        <v>1</v>
      </c>
      <c r="S701" s="636">
        <f t="shared" si="214"/>
        <v>1</v>
      </c>
      <c r="T701" s="636">
        <f t="shared" si="215"/>
        <v>1</v>
      </c>
      <c r="U701" s="638"/>
      <c r="V701" s="638"/>
      <c r="W701" s="639"/>
      <c r="X701" s="640" t="str">
        <f>IFERROR(VLOOKUP(W701,Listas!$A$60:$B$73,2,FALSE),"Alerta: Seleccione primero Modalidad de selección")</f>
        <v>Alerta: Seleccione primero Modalidad de selección</v>
      </c>
      <c r="Y701" s="641">
        <v>0</v>
      </c>
      <c r="Z701" s="641"/>
      <c r="AA701" s="641"/>
      <c r="AB701" s="642">
        <f t="shared" si="216"/>
        <v>0</v>
      </c>
      <c r="AC701" s="642">
        <f t="shared" si="217"/>
        <v>0</v>
      </c>
      <c r="AD701" s="641">
        <v>0</v>
      </c>
      <c r="AE701" s="643">
        <v>0</v>
      </c>
      <c r="AF701" s="639" t="s">
        <v>276</v>
      </c>
      <c r="AG701" s="639" t="s">
        <v>277</v>
      </c>
      <c r="AH701" s="639"/>
      <c r="AI701" s="626" t="str">
        <f>IFERROR(VLOOKUP(AH701,Listas!$A$77:$C$83,2,FALSE),"Alerta: Seleccione primero el responsable")</f>
        <v>Alerta: Seleccione primero el responsable</v>
      </c>
      <c r="AJ701" s="640" t="str">
        <f>IFERROR(VLOOKUP(AH701,Listas!$A$77:$C$83,3,FALSE),"Alerta: Seleccione primero el responsable")</f>
        <v>Alerta: Seleccione primero el responsable</v>
      </c>
      <c r="AK701" s="640" t="str">
        <f>IF(J701="Funcionamiento Gastos Generales","No aplica",IF(J701="Funcionamiento Servicios Personales indirectos","No aplica",IFERROR(VLOOKUP(J701,Listas!$A$127:$E$139,3,FALSE),"Alerta: Seleccione la celda en la comumna B con el nombre del proyecto")))</f>
        <v>Alerta: Seleccione la celda en la comumna B con el nombre del proyecto</v>
      </c>
      <c r="AL701" s="640" t="str">
        <f>IF(J701="Funcionamiento Gastos Generales","No aplica",IF(J701="Funcionamiento Servicios Personales","No aplica",IFERROR(VLOOKUP(J701,Listas!$A$220:$D$224,2,FALSE),"Alerta: Seleccione la celda en la comumna B con el nombre del proyecto")))</f>
        <v>Alerta: Seleccione la celda en la comumna B con el nombre del proyecto</v>
      </c>
      <c r="AM701" s="640" t="str">
        <f>IF(J701="Funcionamiento Gastos Generales","No aplica",IF(J701="Funcionamiento Servicios Personales","No aplica",IFERROR(VLOOKUP(J701,Listas!$A$220:$D$224,3,FALSE),"Alerta: Seleccione la celda en la comumna B con el nombre del proyecto")))</f>
        <v>Alerta: Seleccione la celda en la comumna B con el nombre del proyecto</v>
      </c>
      <c r="AN701" s="633"/>
      <c r="AO701" s="633"/>
      <c r="AP701" s="634" t="str">
        <f>IFERROR(VLOOKUP(J701,Listas!$A$182:$E$215,5,FALSE),"Alerta: Seleccione la celda en la comumna B con el nombre del proyecto")</f>
        <v>Alerta: Seleccione la celda en la comumna B con el nombre del proyecto</v>
      </c>
      <c r="AQ701" s="634" t="str">
        <f>IF(J701="Funcionamiento Gastos Generales","No aplica",IF(J701="Funcionamiento Servicios Personales","No aplica",IFERROR(VLOOKUP(J701,Listas!$A$220:$D$224,4,FALSE),"Alerta: Seleccione la celda en la comumna B con el nombre del proyecto")))</f>
        <v>Alerta: Seleccione la celda en la comumna B con el nombre del proyecto</v>
      </c>
      <c r="AR701" s="633"/>
      <c r="AS701" s="634" t="str">
        <f>IFERROR(VLOOKUP(AU701,Listas!$E$85:$L$105,7,FALSE),"Alerta: Seleccione la celda en la comumna AI con el concepto de gasto")</f>
        <v>Alerta: Seleccione la celda en la comumna AI con el concepto de gasto</v>
      </c>
      <c r="AT701" s="634" t="str">
        <f>IFERROR(VLOOKUP(AU701,Listas!$E$85:$L$105,8,FALSE),"Alerta: Seleccione la celda en la comumna AI con el concepto de gasto")</f>
        <v>Alerta: Seleccione la celda en la comumna AI con el concepto de gasto</v>
      </c>
      <c r="AU701" s="633"/>
      <c r="AV701" s="634" t="str">
        <f>IFERROR(VLOOKUP(AU701,Listas!$E$85:$F$105,2,FALSE),"Alerta: Seleccione el Concepto de Gasto primero")</f>
        <v>Alerta: Seleccione el Concepto de Gasto primero</v>
      </c>
      <c r="AW701" s="644"/>
      <c r="AX701" s="645"/>
      <c r="AY701" s="645"/>
      <c r="AZ701" s="645"/>
      <c r="BA701" s="646">
        <f t="shared" si="218"/>
        <v>0</v>
      </c>
      <c r="BB701" s="647"/>
      <c r="BC701" s="648"/>
      <c r="BD701" s="649"/>
      <c r="BE701" s="647"/>
      <c r="BF701" s="644"/>
      <c r="BG701" s="646">
        <f t="shared" si="219"/>
        <v>0</v>
      </c>
      <c r="BH701" s="650"/>
      <c r="BI701" s="647"/>
      <c r="BJ701" s="644"/>
      <c r="BK701" s="646">
        <f t="shared" si="220"/>
        <v>0</v>
      </c>
      <c r="BL701" s="651"/>
      <c r="BM701" s="652">
        <f t="shared" si="221"/>
        <v>1</v>
      </c>
      <c r="BN701" s="628"/>
      <c r="BO701" s="670"/>
      <c r="BP701" s="644"/>
      <c r="BQ701" s="644"/>
      <c r="BR701" s="644"/>
      <c r="BS701" s="644"/>
      <c r="BT701" s="644"/>
      <c r="BU701" s="644"/>
      <c r="BV701" s="644"/>
      <c r="BW701" s="644"/>
      <c r="BX701" s="644"/>
      <c r="BY701" s="644"/>
      <c r="BZ701" s="644"/>
      <c r="CA701" s="644"/>
      <c r="CB701" s="646">
        <f t="shared" si="222"/>
        <v>0</v>
      </c>
      <c r="CC701" s="646">
        <f t="shared" si="223"/>
        <v>0</v>
      </c>
      <c r="CD701" s="614"/>
    </row>
    <row r="702" spans="1:85" s="561" customFormat="1" ht="61.5" customHeight="1">
      <c r="A702" s="625" t="str">
        <f t="shared" si="205"/>
        <v>proyecto-Alerta: Seleccione la celda en la comumna B con el nombre del proyecto-Al-Al--</v>
      </c>
      <c r="B702" s="626" t="str">
        <f t="shared" si="206"/>
        <v>proyecto-Alerta: Seleccione la celda en la comumna B con el nombre del proyecto-Al-Al-</v>
      </c>
      <c r="C702" s="626" t="str">
        <f t="shared" si="207"/>
        <v>proyecto-Alerta: Seleccione la celda en la comumna B con el nombre del proyecto-</v>
      </c>
      <c r="D702" s="626" t="str">
        <f t="shared" si="208"/>
        <v>proyecto--Al-Al-</v>
      </c>
      <c r="E702" s="626" t="str">
        <f t="shared" si="209"/>
        <v>--</v>
      </c>
      <c r="F702" s="627"/>
      <c r="G702" s="628">
        <f t="shared" si="210"/>
        <v>0</v>
      </c>
      <c r="H702" s="629" t="b">
        <f t="shared" si="211"/>
        <v>1</v>
      </c>
      <c r="I702" s="630"/>
      <c r="J702" s="627"/>
      <c r="K702" s="631" t="str">
        <f>+IFERROR(VLOOKUP(J702,Listas!$A$108:$B$114,2,FALSE),"Alerta: Seleccione la celda en la comumna B con el nombre del proyecto")</f>
        <v>Alerta: Seleccione la celda en la comumna B con el nombre del proyecto</v>
      </c>
      <c r="L702" s="632"/>
      <c r="M702" s="633"/>
      <c r="N702" s="634" t="str">
        <f t="shared" si="212"/>
        <v xml:space="preserve">(Cód. ) </v>
      </c>
      <c r="O702" s="635"/>
      <c r="P702" s="636">
        <f>IFERROR(VLOOKUP(W702,'Estimación CRP'!$D$21:$E$30,2,FALSE),0)</f>
        <v>0</v>
      </c>
      <c r="Q702" s="637">
        <f>IF(O702="No aplica","No aplica",WORKDAY.INTL(O702,P702,1,'Estimación CRP'!A888:A904))</f>
        <v>0</v>
      </c>
      <c r="R702" s="636">
        <f t="shared" si="213"/>
        <v>1</v>
      </c>
      <c r="S702" s="636">
        <f t="shared" si="214"/>
        <v>1</v>
      </c>
      <c r="T702" s="636">
        <f t="shared" si="215"/>
        <v>1</v>
      </c>
      <c r="U702" s="638"/>
      <c r="V702" s="638"/>
      <c r="W702" s="639"/>
      <c r="X702" s="640" t="str">
        <f>IFERROR(VLOOKUP(W702,Listas!$A$60:$B$73,2,FALSE),"Alerta: Seleccione primero Modalidad de selección")</f>
        <v>Alerta: Seleccione primero Modalidad de selección</v>
      </c>
      <c r="Y702" s="641">
        <v>0</v>
      </c>
      <c r="Z702" s="641"/>
      <c r="AA702" s="641"/>
      <c r="AB702" s="642">
        <f t="shared" si="216"/>
        <v>0</v>
      </c>
      <c r="AC702" s="642">
        <f t="shared" si="217"/>
        <v>0</v>
      </c>
      <c r="AD702" s="641">
        <v>0</v>
      </c>
      <c r="AE702" s="643">
        <v>0</v>
      </c>
      <c r="AF702" s="639" t="s">
        <v>276</v>
      </c>
      <c r="AG702" s="639" t="s">
        <v>277</v>
      </c>
      <c r="AH702" s="639"/>
      <c r="AI702" s="626" t="str">
        <f>IFERROR(VLOOKUP(AH702,Listas!$A$77:$C$83,2,FALSE),"Alerta: Seleccione primero el responsable")</f>
        <v>Alerta: Seleccione primero el responsable</v>
      </c>
      <c r="AJ702" s="640" t="str">
        <f>IFERROR(VLOOKUP(AH702,Listas!$A$77:$C$83,3,FALSE),"Alerta: Seleccione primero el responsable")</f>
        <v>Alerta: Seleccione primero el responsable</v>
      </c>
      <c r="AK702" s="640" t="str">
        <f>IF(J702="Funcionamiento Gastos Generales","No aplica",IF(J702="Funcionamiento Servicios Personales indirectos","No aplica",IFERROR(VLOOKUP(J702,Listas!$A$127:$E$139,3,FALSE),"Alerta: Seleccione la celda en la comumna B con el nombre del proyecto")))</f>
        <v>Alerta: Seleccione la celda en la comumna B con el nombre del proyecto</v>
      </c>
      <c r="AL702" s="640" t="str">
        <f>IF(J702="Funcionamiento Gastos Generales","No aplica",IF(J702="Funcionamiento Servicios Personales","No aplica",IFERROR(VLOOKUP(J702,Listas!$A$220:$D$224,2,FALSE),"Alerta: Seleccione la celda en la comumna B con el nombre del proyecto")))</f>
        <v>Alerta: Seleccione la celda en la comumna B con el nombre del proyecto</v>
      </c>
      <c r="AM702" s="640" t="str">
        <f>IF(J702="Funcionamiento Gastos Generales","No aplica",IF(J702="Funcionamiento Servicios Personales","No aplica",IFERROR(VLOOKUP(J702,Listas!$A$220:$D$224,3,FALSE),"Alerta: Seleccione la celda en la comumna B con el nombre del proyecto")))</f>
        <v>Alerta: Seleccione la celda en la comumna B con el nombre del proyecto</v>
      </c>
      <c r="AN702" s="633"/>
      <c r="AO702" s="633"/>
      <c r="AP702" s="634" t="str">
        <f>IFERROR(VLOOKUP(J702,Listas!$A$182:$E$215,5,FALSE),"Alerta: Seleccione la celda en la comumna B con el nombre del proyecto")</f>
        <v>Alerta: Seleccione la celda en la comumna B con el nombre del proyecto</v>
      </c>
      <c r="AQ702" s="634" t="str">
        <f>IF(J702="Funcionamiento Gastos Generales","No aplica",IF(J702="Funcionamiento Servicios Personales","No aplica",IFERROR(VLOOKUP(J702,Listas!$A$220:$D$224,4,FALSE),"Alerta: Seleccione la celda en la comumna B con el nombre del proyecto")))</f>
        <v>Alerta: Seleccione la celda en la comumna B con el nombre del proyecto</v>
      </c>
      <c r="AR702" s="633"/>
      <c r="AS702" s="634" t="str">
        <f>IFERROR(VLOOKUP(AU702,Listas!$E$85:$L$105,7,FALSE),"Alerta: Seleccione la celda en la comumna AI con el concepto de gasto")</f>
        <v>Alerta: Seleccione la celda en la comumna AI con el concepto de gasto</v>
      </c>
      <c r="AT702" s="634" t="str">
        <f>IFERROR(VLOOKUP(AU702,Listas!$E$85:$L$105,8,FALSE),"Alerta: Seleccione la celda en la comumna AI con el concepto de gasto")</f>
        <v>Alerta: Seleccione la celda en la comumna AI con el concepto de gasto</v>
      </c>
      <c r="AU702" s="633"/>
      <c r="AV702" s="634" t="str">
        <f>IFERROR(VLOOKUP(AU702,Listas!$E$85:$F$105,2,FALSE),"Alerta: Seleccione el Concepto de Gasto primero")</f>
        <v>Alerta: Seleccione el Concepto de Gasto primero</v>
      </c>
      <c r="AW702" s="644"/>
      <c r="AX702" s="645"/>
      <c r="AY702" s="645"/>
      <c r="AZ702" s="645"/>
      <c r="BA702" s="646">
        <f t="shared" si="218"/>
        <v>0</v>
      </c>
      <c r="BB702" s="647"/>
      <c r="BC702" s="648"/>
      <c r="BD702" s="649"/>
      <c r="BE702" s="647"/>
      <c r="BF702" s="644"/>
      <c r="BG702" s="646">
        <f t="shared" si="219"/>
        <v>0</v>
      </c>
      <c r="BH702" s="650"/>
      <c r="BI702" s="647"/>
      <c r="BJ702" s="644"/>
      <c r="BK702" s="646">
        <f t="shared" si="220"/>
        <v>0</v>
      </c>
      <c r="BL702" s="651"/>
      <c r="BM702" s="652">
        <f t="shared" si="221"/>
        <v>1</v>
      </c>
      <c r="BN702" s="628"/>
      <c r="BO702" s="670"/>
      <c r="BP702" s="644"/>
      <c r="BQ702" s="644"/>
      <c r="BR702" s="644"/>
      <c r="BS702" s="644"/>
      <c r="BT702" s="644"/>
      <c r="BU702" s="644"/>
      <c r="BV702" s="644"/>
      <c r="BW702" s="644"/>
      <c r="BX702" s="644"/>
      <c r="BY702" s="644"/>
      <c r="BZ702" s="644"/>
      <c r="CA702" s="644"/>
      <c r="CB702" s="646">
        <f t="shared" si="222"/>
        <v>0</v>
      </c>
      <c r="CC702" s="646">
        <f t="shared" si="223"/>
        <v>0</v>
      </c>
      <c r="CD702" s="614"/>
    </row>
    <row r="703" spans="1:85" s="561" customFormat="1" ht="61.5" customHeight="1">
      <c r="A703" s="625" t="str">
        <f t="shared" si="205"/>
        <v>proyecto-Alerta: Seleccione la celda en la comumna B con el nombre del proyecto-Al-Al--</v>
      </c>
      <c r="B703" s="626" t="str">
        <f t="shared" si="206"/>
        <v>proyecto-Alerta: Seleccione la celda en la comumna B con el nombre del proyecto-Al-Al-</v>
      </c>
      <c r="C703" s="626" t="str">
        <f t="shared" si="207"/>
        <v>proyecto-Alerta: Seleccione la celda en la comumna B con el nombre del proyecto-</v>
      </c>
      <c r="D703" s="626" t="str">
        <f t="shared" si="208"/>
        <v>proyecto--Al-Al-</v>
      </c>
      <c r="E703" s="626" t="str">
        <f t="shared" si="209"/>
        <v>--</v>
      </c>
      <c r="F703" s="627"/>
      <c r="G703" s="628">
        <f t="shared" si="210"/>
        <v>0</v>
      </c>
      <c r="H703" s="629" t="b">
        <f t="shared" si="211"/>
        <v>1</v>
      </c>
      <c r="I703" s="630"/>
      <c r="J703" s="627"/>
      <c r="K703" s="631" t="str">
        <f>+IFERROR(VLOOKUP(J703,Listas!$A$108:$B$114,2,FALSE),"Alerta: Seleccione la celda en la comumna B con el nombre del proyecto")</f>
        <v>Alerta: Seleccione la celda en la comumna B con el nombre del proyecto</v>
      </c>
      <c r="L703" s="632"/>
      <c r="M703" s="633"/>
      <c r="N703" s="634" t="str">
        <f t="shared" si="212"/>
        <v xml:space="preserve">(Cód. ) </v>
      </c>
      <c r="O703" s="635"/>
      <c r="P703" s="636">
        <f>IFERROR(VLOOKUP(W703,'Estimación CRP'!$D$21:$E$30,2,FALSE),0)</f>
        <v>0</v>
      </c>
      <c r="Q703" s="637">
        <f>IF(O703="No aplica","No aplica",WORKDAY.INTL(O703,P703,1,'Estimación CRP'!A889:A905))</f>
        <v>0</v>
      </c>
      <c r="R703" s="636">
        <f t="shared" si="213"/>
        <v>1</v>
      </c>
      <c r="S703" s="636">
        <f t="shared" si="214"/>
        <v>1</v>
      </c>
      <c r="T703" s="636">
        <f t="shared" si="215"/>
        <v>1</v>
      </c>
      <c r="U703" s="638"/>
      <c r="V703" s="638"/>
      <c r="W703" s="639"/>
      <c r="X703" s="640" t="str">
        <f>IFERROR(VLOOKUP(W703,Listas!$A$60:$B$73,2,FALSE),"Alerta: Seleccione primero Modalidad de selección")</f>
        <v>Alerta: Seleccione primero Modalidad de selección</v>
      </c>
      <c r="Y703" s="641">
        <v>0</v>
      </c>
      <c r="Z703" s="641"/>
      <c r="AA703" s="641"/>
      <c r="AB703" s="642">
        <f t="shared" si="216"/>
        <v>0</v>
      </c>
      <c r="AC703" s="642">
        <f t="shared" si="217"/>
        <v>0</v>
      </c>
      <c r="AD703" s="641">
        <v>0</v>
      </c>
      <c r="AE703" s="643">
        <v>0</v>
      </c>
      <c r="AF703" s="639" t="s">
        <v>276</v>
      </c>
      <c r="AG703" s="639" t="s">
        <v>277</v>
      </c>
      <c r="AH703" s="639"/>
      <c r="AI703" s="626" t="str">
        <f>IFERROR(VLOOKUP(AH703,Listas!$A$77:$C$83,2,FALSE),"Alerta: Seleccione primero el responsable")</f>
        <v>Alerta: Seleccione primero el responsable</v>
      </c>
      <c r="AJ703" s="640" t="str">
        <f>IFERROR(VLOOKUP(AH703,Listas!$A$77:$C$83,3,FALSE),"Alerta: Seleccione primero el responsable")</f>
        <v>Alerta: Seleccione primero el responsable</v>
      </c>
      <c r="AK703" s="640" t="str">
        <f>IF(J703="Funcionamiento Gastos Generales","No aplica",IF(J703="Funcionamiento Servicios Personales indirectos","No aplica",IFERROR(VLOOKUP(J703,Listas!$A$127:$E$139,3,FALSE),"Alerta: Seleccione la celda en la comumna B con el nombre del proyecto")))</f>
        <v>Alerta: Seleccione la celda en la comumna B con el nombre del proyecto</v>
      </c>
      <c r="AL703" s="640" t="str">
        <f>IF(J703="Funcionamiento Gastos Generales","No aplica",IF(J703="Funcionamiento Servicios Personales","No aplica",IFERROR(VLOOKUP(J703,Listas!$A$220:$D$224,2,FALSE),"Alerta: Seleccione la celda en la comumna B con el nombre del proyecto")))</f>
        <v>Alerta: Seleccione la celda en la comumna B con el nombre del proyecto</v>
      </c>
      <c r="AM703" s="640" t="str">
        <f>IF(J703="Funcionamiento Gastos Generales","No aplica",IF(J703="Funcionamiento Servicios Personales","No aplica",IFERROR(VLOOKUP(J703,Listas!$A$220:$D$224,3,FALSE),"Alerta: Seleccione la celda en la comumna B con el nombre del proyecto")))</f>
        <v>Alerta: Seleccione la celda en la comumna B con el nombre del proyecto</v>
      </c>
      <c r="AN703" s="633"/>
      <c r="AO703" s="633"/>
      <c r="AP703" s="634" t="str">
        <f>IFERROR(VLOOKUP(J703,Listas!$A$182:$E$215,5,FALSE),"Alerta: Seleccione la celda en la comumna B con el nombre del proyecto")</f>
        <v>Alerta: Seleccione la celda en la comumna B con el nombre del proyecto</v>
      </c>
      <c r="AQ703" s="634" t="str">
        <f>IF(J703="Funcionamiento Gastos Generales","No aplica",IF(J703="Funcionamiento Servicios Personales","No aplica",IFERROR(VLOOKUP(J703,Listas!$A$220:$D$224,4,FALSE),"Alerta: Seleccione la celda en la comumna B con el nombre del proyecto")))</f>
        <v>Alerta: Seleccione la celda en la comumna B con el nombre del proyecto</v>
      </c>
      <c r="AR703" s="633"/>
      <c r="AS703" s="634" t="str">
        <f>IFERROR(VLOOKUP(AU703,Listas!$E$85:$L$105,7,FALSE),"Alerta: Seleccione la celda en la comumna AI con el concepto de gasto")</f>
        <v>Alerta: Seleccione la celda en la comumna AI con el concepto de gasto</v>
      </c>
      <c r="AT703" s="634" t="str">
        <f>IFERROR(VLOOKUP(AU703,Listas!$E$85:$L$105,8,FALSE),"Alerta: Seleccione la celda en la comumna AI con el concepto de gasto")</f>
        <v>Alerta: Seleccione la celda en la comumna AI con el concepto de gasto</v>
      </c>
      <c r="AU703" s="633"/>
      <c r="AV703" s="634" t="str">
        <f>IFERROR(VLOOKUP(AU703,Listas!$E$85:$F$105,2,FALSE),"Alerta: Seleccione el Concepto de Gasto primero")</f>
        <v>Alerta: Seleccione el Concepto de Gasto primero</v>
      </c>
      <c r="AW703" s="644"/>
      <c r="AX703" s="645"/>
      <c r="AY703" s="645"/>
      <c r="AZ703" s="645"/>
      <c r="BA703" s="646">
        <f t="shared" si="218"/>
        <v>0</v>
      </c>
      <c r="BB703" s="647"/>
      <c r="BC703" s="648"/>
      <c r="BD703" s="649"/>
      <c r="BE703" s="647"/>
      <c r="BF703" s="644"/>
      <c r="BG703" s="646">
        <f t="shared" si="219"/>
        <v>0</v>
      </c>
      <c r="BH703" s="650"/>
      <c r="BI703" s="647"/>
      <c r="BJ703" s="644"/>
      <c r="BK703" s="646">
        <f t="shared" si="220"/>
        <v>0</v>
      </c>
      <c r="BL703" s="651"/>
      <c r="BM703" s="652">
        <f t="shared" si="221"/>
        <v>1</v>
      </c>
      <c r="BN703" s="628"/>
      <c r="BO703" s="670"/>
      <c r="BP703" s="644"/>
      <c r="BQ703" s="644"/>
      <c r="BR703" s="644"/>
      <c r="BS703" s="644"/>
      <c r="BT703" s="644"/>
      <c r="BU703" s="644"/>
      <c r="BV703" s="644"/>
      <c r="BW703" s="644"/>
      <c r="BX703" s="644"/>
      <c r="BY703" s="644"/>
      <c r="BZ703" s="644"/>
      <c r="CA703" s="644"/>
      <c r="CB703" s="646">
        <f t="shared" si="222"/>
        <v>0</v>
      </c>
      <c r="CC703" s="646">
        <f t="shared" si="223"/>
        <v>0</v>
      </c>
      <c r="CD703" s="614"/>
    </row>
    <row r="704" spans="1:85" s="561" customFormat="1" ht="61.5" customHeight="1">
      <c r="A704" s="625" t="str">
        <f t="shared" si="205"/>
        <v>proyecto-Alerta: Seleccione la celda en la comumna B con el nombre del proyecto-Al-Al--</v>
      </c>
      <c r="B704" s="626" t="str">
        <f t="shared" si="206"/>
        <v>proyecto-Alerta: Seleccione la celda en la comumna B con el nombre del proyecto-Al-Al-</v>
      </c>
      <c r="C704" s="626" t="str">
        <f t="shared" si="207"/>
        <v>proyecto-Alerta: Seleccione la celda en la comumna B con el nombre del proyecto-</v>
      </c>
      <c r="D704" s="626" t="str">
        <f t="shared" si="208"/>
        <v>proyecto--Al-Al-</v>
      </c>
      <c r="E704" s="626" t="str">
        <f t="shared" si="209"/>
        <v>--</v>
      </c>
      <c r="F704" s="627"/>
      <c r="G704" s="628">
        <f t="shared" si="210"/>
        <v>0</v>
      </c>
      <c r="H704" s="629" t="b">
        <f t="shared" si="211"/>
        <v>1</v>
      </c>
      <c r="I704" s="630"/>
      <c r="J704" s="627"/>
      <c r="K704" s="631" t="str">
        <f>+IFERROR(VLOOKUP(J704,Listas!$A$108:$B$114,2,FALSE),"Alerta: Seleccione la celda en la comumna B con el nombre del proyecto")</f>
        <v>Alerta: Seleccione la celda en la comumna B con el nombre del proyecto</v>
      </c>
      <c r="L704" s="632"/>
      <c r="M704" s="633"/>
      <c r="N704" s="634" t="str">
        <f t="shared" si="212"/>
        <v xml:space="preserve">(Cód. ) </v>
      </c>
      <c r="O704" s="635"/>
      <c r="P704" s="636">
        <f>IFERROR(VLOOKUP(W704,'Estimación CRP'!$D$21:$E$30,2,FALSE),0)</f>
        <v>0</v>
      </c>
      <c r="Q704" s="637">
        <f>IF(O704="No aplica","No aplica",WORKDAY.INTL(O704,P704,1,'Estimación CRP'!A890:A906))</f>
        <v>0</v>
      </c>
      <c r="R704" s="636">
        <f t="shared" si="213"/>
        <v>1</v>
      </c>
      <c r="S704" s="636">
        <f t="shared" si="214"/>
        <v>1</v>
      </c>
      <c r="T704" s="636">
        <f t="shared" si="215"/>
        <v>1</v>
      </c>
      <c r="U704" s="638"/>
      <c r="V704" s="638"/>
      <c r="W704" s="639"/>
      <c r="X704" s="640" t="str">
        <f>IFERROR(VLOOKUP(W704,Listas!$A$60:$B$73,2,FALSE),"Alerta: Seleccione primero Modalidad de selección")</f>
        <v>Alerta: Seleccione primero Modalidad de selección</v>
      </c>
      <c r="Y704" s="641">
        <v>0</v>
      </c>
      <c r="Z704" s="641"/>
      <c r="AA704" s="641"/>
      <c r="AB704" s="642">
        <f t="shared" si="216"/>
        <v>0</v>
      </c>
      <c r="AC704" s="642">
        <f t="shared" si="217"/>
        <v>0</v>
      </c>
      <c r="AD704" s="641">
        <v>0</v>
      </c>
      <c r="AE704" s="643">
        <v>0</v>
      </c>
      <c r="AF704" s="639" t="s">
        <v>276</v>
      </c>
      <c r="AG704" s="639" t="s">
        <v>277</v>
      </c>
      <c r="AH704" s="639"/>
      <c r="AI704" s="626" t="str">
        <f>IFERROR(VLOOKUP(AH704,Listas!$A$77:$C$83,2,FALSE),"Alerta: Seleccione primero el responsable")</f>
        <v>Alerta: Seleccione primero el responsable</v>
      </c>
      <c r="AJ704" s="640" t="str">
        <f>IFERROR(VLOOKUP(AH704,Listas!$A$77:$C$83,3,FALSE),"Alerta: Seleccione primero el responsable")</f>
        <v>Alerta: Seleccione primero el responsable</v>
      </c>
      <c r="AK704" s="640" t="str">
        <f>IF(J704="Funcionamiento Gastos Generales","No aplica",IF(J704="Funcionamiento Servicios Personales indirectos","No aplica",IFERROR(VLOOKUP(J704,Listas!$A$127:$E$139,3,FALSE),"Alerta: Seleccione la celda en la comumna B con el nombre del proyecto")))</f>
        <v>Alerta: Seleccione la celda en la comumna B con el nombre del proyecto</v>
      </c>
      <c r="AL704" s="640" t="str">
        <f>IF(J704="Funcionamiento Gastos Generales","No aplica",IF(J704="Funcionamiento Servicios Personales","No aplica",IFERROR(VLOOKUP(J704,Listas!$A$220:$D$224,2,FALSE),"Alerta: Seleccione la celda en la comumna B con el nombre del proyecto")))</f>
        <v>Alerta: Seleccione la celda en la comumna B con el nombre del proyecto</v>
      </c>
      <c r="AM704" s="640" t="str">
        <f>IF(J704="Funcionamiento Gastos Generales","No aplica",IF(J704="Funcionamiento Servicios Personales","No aplica",IFERROR(VLOOKUP(J704,Listas!$A$220:$D$224,3,FALSE),"Alerta: Seleccione la celda en la comumna B con el nombre del proyecto")))</f>
        <v>Alerta: Seleccione la celda en la comumna B con el nombre del proyecto</v>
      </c>
      <c r="AN704" s="633"/>
      <c r="AO704" s="633"/>
      <c r="AP704" s="634" t="str">
        <f>IFERROR(VLOOKUP(J704,Listas!$A$182:$E$215,5,FALSE),"Alerta: Seleccione la celda en la comumna B con el nombre del proyecto")</f>
        <v>Alerta: Seleccione la celda en la comumna B con el nombre del proyecto</v>
      </c>
      <c r="AQ704" s="634" t="str">
        <f>IF(J704="Funcionamiento Gastos Generales","No aplica",IF(J704="Funcionamiento Servicios Personales","No aplica",IFERROR(VLOOKUP(J704,Listas!$A$220:$D$224,4,FALSE),"Alerta: Seleccione la celda en la comumna B con el nombre del proyecto")))</f>
        <v>Alerta: Seleccione la celda en la comumna B con el nombre del proyecto</v>
      </c>
      <c r="AR704" s="633"/>
      <c r="AS704" s="634" t="str">
        <f>IFERROR(VLOOKUP(AU704,Listas!$E$85:$L$105,7,FALSE),"Alerta: Seleccione la celda en la comumna AI con el concepto de gasto")</f>
        <v>Alerta: Seleccione la celda en la comumna AI con el concepto de gasto</v>
      </c>
      <c r="AT704" s="634" t="str">
        <f>IFERROR(VLOOKUP(AU704,Listas!$E$85:$L$105,8,FALSE),"Alerta: Seleccione la celda en la comumna AI con el concepto de gasto")</f>
        <v>Alerta: Seleccione la celda en la comumna AI con el concepto de gasto</v>
      </c>
      <c r="AU704" s="633"/>
      <c r="AV704" s="634" t="str">
        <f>IFERROR(VLOOKUP(AU704,Listas!$E$85:$F$105,2,FALSE),"Alerta: Seleccione el Concepto de Gasto primero")</f>
        <v>Alerta: Seleccione el Concepto de Gasto primero</v>
      </c>
      <c r="AW704" s="644"/>
      <c r="AX704" s="645"/>
      <c r="AY704" s="645"/>
      <c r="AZ704" s="645"/>
      <c r="BA704" s="646">
        <f t="shared" si="218"/>
        <v>0</v>
      </c>
      <c r="BB704" s="647"/>
      <c r="BC704" s="648"/>
      <c r="BD704" s="649"/>
      <c r="BE704" s="647"/>
      <c r="BF704" s="644"/>
      <c r="BG704" s="646">
        <f t="shared" si="219"/>
        <v>0</v>
      </c>
      <c r="BH704" s="650"/>
      <c r="BI704" s="647"/>
      <c r="BJ704" s="644"/>
      <c r="BK704" s="646">
        <f t="shared" si="220"/>
        <v>0</v>
      </c>
      <c r="BL704" s="651"/>
      <c r="BM704" s="652">
        <f t="shared" si="221"/>
        <v>1</v>
      </c>
      <c r="BN704" s="628"/>
      <c r="BO704" s="670"/>
      <c r="BP704" s="644"/>
      <c r="BQ704" s="644"/>
      <c r="BR704" s="644"/>
      <c r="BS704" s="644"/>
      <c r="BT704" s="644"/>
      <c r="BU704" s="644"/>
      <c r="BV704" s="644"/>
      <c r="BW704" s="644"/>
      <c r="BX704" s="644"/>
      <c r="BY704" s="644"/>
      <c r="BZ704" s="644"/>
      <c r="CA704" s="644"/>
      <c r="CB704" s="646">
        <f t="shared" si="222"/>
        <v>0</v>
      </c>
      <c r="CC704" s="646">
        <f t="shared" si="223"/>
        <v>0</v>
      </c>
      <c r="CD704" s="614"/>
    </row>
    <row r="705" spans="1:82" s="561" customFormat="1" ht="61.5" customHeight="1">
      <c r="A705" s="625" t="str">
        <f t="shared" si="205"/>
        <v>proyecto-Alerta: Seleccione la celda en la comumna B con el nombre del proyecto-Al-Al--</v>
      </c>
      <c r="B705" s="626" t="str">
        <f t="shared" si="206"/>
        <v>proyecto-Alerta: Seleccione la celda en la comumna B con el nombre del proyecto-Al-Al-</v>
      </c>
      <c r="C705" s="626" t="str">
        <f t="shared" si="207"/>
        <v>proyecto-Alerta: Seleccione la celda en la comumna B con el nombre del proyecto-</v>
      </c>
      <c r="D705" s="626" t="str">
        <f t="shared" si="208"/>
        <v>proyecto--Al-Al-</v>
      </c>
      <c r="E705" s="626" t="str">
        <f t="shared" si="209"/>
        <v>--</v>
      </c>
      <c r="F705" s="627"/>
      <c r="G705" s="628">
        <f t="shared" si="210"/>
        <v>0</v>
      </c>
      <c r="H705" s="629" t="b">
        <f t="shared" si="211"/>
        <v>1</v>
      </c>
      <c r="I705" s="630"/>
      <c r="J705" s="627"/>
      <c r="K705" s="631" t="str">
        <f>+IFERROR(VLOOKUP(J705,Listas!$A$108:$B$114,2,FALSE),"Alerta: Seleccione la celda en la comumna B con el nombre del proyecto")</f>
        <v>Alerta: Seleccione la celda en la comumna B con el nombre del proyecto</v>
      </c>
      <c r="L705" s="632"/>
      <c r="M705" s="633"/>
      <c r="N705" s="634" t="str">
        <f t="shared" si="212"/>
        <v xml:space="preserve">(Cód. ) </v>
      </c>
      <c r="O705" s="635"/>
      <c r="P705" s="636">
        <f>IFERROR(VLOOKUP(W705,'Estimación CRP'!$D$21:$E$30,2,FALSE),0)</f>
        <v>0</v>
      </c>
      <c r="Q705" s="637">
        <f>IF(O705="No aplica","No aplica",WORKDAY.INTL(O705,P705,1,'Estimación CRP'!A891:A907))</f>
        <v>0</v>
      </c>
      <c r="R705" s="636">
        <f t="shared" si="213"/>
        <v>1</v>
      </c>
      <c r="S705" s="636">
        <f t="shared" si="214"/>
        <v>1</v>
      </c>
      <c r="T705" s="636">
        <f t="shared" si="215"/>
        <v>1</v>
      </c>
      <c r="U705" s="638"/>
      <c r="V705" s="638"/>
      <c r="W705" s="639"/>
      <c r="X705" s="640" t="str">
        <f>IFERROR(VLOOKUP(W705,Listas!$A$60:$B$73,2,FALSE),"Alerta: Seleccione primero Modalidad de selección")</f>
        <v>Alerta: Seleccione primero Modalidad de selección</v>
      </c>
      <c r="Y705" s="641">
        <v>0</v>
      </c>
      <c r="Z705" s="641"/>
      <c r="AA705" s="641"/>
      <c r="AB705" s="642">
        <f t="shared" si="216"/>
        <v>0</v>
      </c>
      <c r="AC705" s="642">
        <f t="shared" si="217"/>
        <v>0</v>
      </c>
      <c r="AD705" s="641">
        <v>0</v>
      </c>
      <c r="AE705" s="643">
        <v>0</v>
      </c>
      <c r="AF705" s="639" t="s">
        <v>276</v>
      </c>
      <c r="AG705" s="639" t="s">
        <v>277</v>
      </c>
      <c r="AH705" s="639"/>
      <c r="AI705" s="626" t="str">
        <f>IFERROR(VLOOKUP(AH705,Listas!$A$77:$C$83,2,FALSE),"Alerta: Seleccione primero el responsable")</f>
        <v>Alerta: Seleccione primero el responsable</v>
      </c>
      <c r="AJ705" s="640" t="str">
        <f>IFERROR(VLOOKUP(AH705,Listas!$A$77:$C$83,3,FALSE),"Alerta: Seleccione primero el responsable")</f>
        <v>Alerta: Seleccione primero el responsable</v>
      </c>
      <c r="AK705" s="640" t="str">
        <f>IF(J705="Funcionamiento Gastos Generales","No aplica",IF(J705="Funcionamiento Servicios Personales indirectos","No aplica",IFERROR(VLOOKUP(J705,Listas!$A$127:$E$139,3,FALSE),"Alerta: Seleccione la celda en la comumna B con el nombre del proyecto")))</f>
        <v>Alerta: Seleccione la celda en la comumna B con el nombre del proyecto</v>
      </c>
      <c r="AL705" s="640" t="str">
        <f>IF(J705="Funcionamiento Gastos Generales","No aplica",IF(J705="Funcionamiento Servicios Personales","No aplica",IFERROR(VLOOKUP(J705,Listas!$A$220:$D$224,2,FALSE),"Alerta: Seleccione la celda en la comumna B con el nombre del proyecto")))</f>
        <v>Alerta: Seleccione la celda en la comumna B con el nombre del proyecto</v>
      </c>
      <c r="AM705" s="640" t="str">
        <f>IF(J705="Funcionamiento Gastos Generales","No aplica",IF(J705="Funcionamiento Servicios Personales","No aplica",IFERROR(VLOOKUP(J705,Listas!$A$220:$D$224,3,FALSE),"Alerta: Seleccione la celda en la comumna B con el nombre del proyecto")))</f>
        <v>Alerta: Seleccione la celda en la comumna B con el nombre del proyecto</v>
      </c>
      <c r="AN705" s="633"/>
      <c r="AO705" s="633"/>
      <c r="AP705" s="634" t="str">
        <f>IFERROR(VLOOKUP(J705,Listas!$A$182:$E$215,5,FALSE),"Alerta: Seleccione la celda en la comumna B con el nombre del proyecto")</f>
        <v>Alerta: Seleccione la celda en la comumna B con el nombre del proyecto</v>
      </c>
      <c r="AQ705" s="634" t="str">
        <f>IF(J705="Funcionamiento Gastos Generales","No aplica",IF(J705="Funcionamiento Servicios Personales","No aplica",IFERROR(VLOOKUP(J705,Listas!$A$220:$D$224,4,FALSE),"Alerta: Seleccione la celda en la comumna B con el nombre del proyecto")))</f>
        <v>Alerta: Seleccione la celda en la comumna B con el nombre del proyecto</v>
      </c>
      <c r="AR705" s="633"/>
      <c r="AS705" s="634" t="str">
        <f>IFERROR(VLOOKUP(AU705,Listas!$E$85:$L$105,7,FALSE),"Alerta: Seleccione la celda en la comumna AI con el concepto de gasto")</f>
        <v>Alerta: Seleccione la celda en la comumna AI con el concepto de gasto</v>
      </c>
      <c r="AT705" s="634" t="str">
        <f>IFERROR(VLOOKUP(AU705,Listas!$E$85:$L$105,8,FALSE),"Alerta: Seleccione la celda en la comumna AI con el concepto de gasto")</f>
        <v>Alerta: Seleccione la celda en la comumna AI con el concepto de gasto</v>
      </c>
      <c r="AU705" s="633"/>
      <c r="AV705" s="634" t="str">
        <f>IFERROR(VLOOKUP(AU705,Listas!$E$85:$F$105,2,FALSE),"Alerta: Seleccione el Concepto de Gasto primero")</f>
        <v>Alerta: Seleccione el Concepto de Gasto primero</v>
      </c>
      <c r="AW705" s="644"/>
      <c r="AX705" s="645"/>
      <c r="AY705" s="645"/>
      <c r="AZ705" s="645"/>
      <c r="BA705" s="646">
        <f t="shared" si="218"/>
        <v>0</v>
      </c>
      <c r="BB705" s="647"/>
      <c r="BC705" s="648"/>
      <c r="BD705" s="649"/>
      <c r="BE705" s="647"/>
      <c r="BF705" s="644"/>
      <c r="BG705" s="646">
        <f t="shared" si="219"/>
        <v>0</v>
      </c>
      <c r="BH705" s="650"/>
      <c r="BI705" s="647"/>
      <c r="BJ705" s="644"/>
      <c r="BK705" s="646">
        <f t="shared" si="220"/>
        <v>0</v>
      </c>
      <c r="BL705" s="651"/>
      <c r="BM705" s="652">
        <f t="shared" si="221"/>
        <v>1</v>
      </c>
      <c r="BN705" s="628"/>
      <c r="BO705" s="670"/>
      <c r="BP705" s="644"/>
      <c r="BQ705" s="644"/>
      <c r="BR705" s="644"/>
      <c r="BS705" s="644"/>
      <c r="BT705" s="644"/>
      <c r="BU705" s="644"/>
      <c r="BV705" s="644"/>
      <c r="BW705" s="644"/>
      <c r="BX705" s="644"/>
      <c r="BY705" s="644"/>
      <c r="BZ705" s="644"/>
      <c r="CA705" s="644"/>
      <c r="CB705" s="646">
        <f t="shared" si="222"/>
        <v>0</v>
      </c>
      <c r="CC705" s="646">
        <f t="shared" si="223"/>
        <v>0</v>
      </c>
      <c r="CD705" s="614"/>
    </row>
    <row r="706" spans="1:82" s="659" customFormat="1" ht="61.5" customHeight="1">
      <c r="A706" s="625" t="str">
        <f t="shared" si="205"/>
        <v>proyecto-Alerta: Seleccione la celda en la comumna B con el nombre del proyecto-Al-Al--</v>
      </c>
      <c r="B706" s="626" t="str">
        <f t="shared" si="206"/>
        <v>proyecto-Alerta: Seleccione la celda en la comumna B con el nombre del proyecto-Al-Al-</v>
      </c>
      <c r="C706" s="626" t="str">
        <f t="shared" si="207"/>
        <v>proyecto-Alerta: Seleccione la celda en la comumna B con el nombre del proyecto-</v>
      </c>
      <c r="D706" s="626" t="str">
        <f t="shared" si="208"/>
        <v>proyecto--Al-Al-</v>
      </c>
      <c r="E706" s="626" t="str">
        <f t="shared" si="209"/>
        <v>--</v>
      </c>
      <c r="F706" s="627"/>
      <c r="G706" s="628">
        <f t="shared" si="210"/>
        <v>0</v>
      </c>
      <c r="H706" s="629" t="b">
        <f t="shared" si="211"/>
        <v>1</v>
      </c>
      <c r="I706" s="630"/>
      <c r="J706" s="627"/>
      <c r="K706" s="631" t="str">
        <f>+IFERROR(VLOOKUP(J706,Listas!$A$108:$B$114,2,FALSE),"Alerta: Seleccione la celda en la comumna B con el nombre del proyecto")</f>
        <v>Alerta: Seleccione la celda en la comumna B con el nombre del proyecto</v>
      </c>
      <c r="L706" s="632"/>
      <c r="M706" s="633"/>
      <c r="N706" s="634" t="str">
        <f t="shared" si="212"/>
        <v xml:space="preserve">(Cód. ) </v>
      </c>
      <c r="O706" s="635"/>
      <c r="P706" s="636">
        <f>IFERROR(VLOOKUP(W706,'Estimación CRP'!$D$21:$E$30,2,FALSE),0)</f>
        <v>0</v>
      </c>
      <c r="Q706" s="637">
        <f>IF(O706="No aplica","No aplica",WORKDAY.INTL(O706,P706,1,'Estimación CRP'!A892:A908))</f>
        <v>0</v>
      </c>
      <c r="R706" s="636">
        <f t="shared" si="213"/>
        <v>1</v>
      </c>
      <c r="S706" s="636">
        <f t="shared" si="214"/>
        <v>1</v>
      </c>
      <c r="T706" s="636">
        <f t="shared" si="215"/>
        <v>1</v>
      </c>
      <c r="U706" s="638"/>
      <c r="V706" s="638"/>
      <c r="W706" s="639"/>
      <c r="X706" s="640" t="str">
        <f>IFERROR(VLOOKUP(W706,Listas!$A$60:$B$73,2,FALSE),"Alerta: Seleccione primero Modalidad de selección")</f>
        <v>Alerta: Seleccione primero Modalidad de selección</v>
      </c>
      <c r="Y706" s="641">
        <v>0</v>
      </c>
      <c r="Z706" s="641"/>
      <c r="AA706" s="641"/>
      <c r="AB706" s="642">
        <f t="shared" si="216"/>
        <v>0</v>
      </c>
      <c r="AC706" s="642">
        <f t="shared" si="217"/>
        <v>0</v>
      </c>
      <c r="AD706" s="641">
        <v>0</v>
      </c>
      <c r="AE706" s="643">
        <v>0</v>
      </c>
      <c r="AF706" s="639" t="s">
        <v>276</v>
      </c>
      <c r="AG706" s="639" t="s">
        <v>277</v>
      </c>
      <c r="AH706" s="639"/>
      <c r="AI706" s="626" t="str">
        <f>IFERROR(VLOOKUP(AH706,Listas!$A$77:$C$83,2,FALSE),"Alerta: Seleccione primero el responsable")</f>
        <v>Alerta: Seleccione primero el responsable</v>
      </c>
      <c r="AJ706" s="640" t="str">
        <f>IFERROR(VLOOKUP(AH706,Listas!$A$77:$C$83,3,FALSE),"Alerta: Seleccione primero el responsable")</f>
        <v>Alerta: Seleccione primero el responsable</v>
      </c>
      <c r="AK706" s="640" t="str">
        <f>IF(J706="Funcionamiento Gastos Generales","No aplica",IF(J706="Funcionamiento Servicios Personales indirectos","No aplica",IFERROR(VLOOKUP(J706,Listas!$A$127:$E$139,3,FALSE),"Alerta: Seleccione la celda en la comumna B con el nombre del proyecto")))</f>
        <v>Alerta: Seleccione la celda en la comumna B con el nombre del proyecto</v>
      </c>
      <c r="AL706" s="640" t="str">
        <f>IF(J706="Funcionamiento Gastos Generales","No aplica",IF(J706="Funcionamiento Servicios Personales","No aplica",IFERROR(VLOOKUP(J706,Listas!$A$220:$D$224,2,FALSE),"Alerta: Seleccione la celda en la comumna B con el nombre del proyecto")))</f>
        <v>Alerta: Seleccione la celda en la comumna B con el nombre del proyecto</v>
      </c>
      <c r="AM706" s="640" t="str">
        <f>IF(J706="Funcionamiento Gastos Generales","No aplica",IF(J706="Funcionamiento Servicios Personales","No aplica",IFERROR(VLOOKUP(J706,Listas!$A$220:$D$224,3,FALSE),"Alerta: Seleccione la celda en la comumna B con el nombre del proyecto")))</f>
        <v>Alerta: Seleccione la celda en la comumna B con el nombre del proyecto</v>
      </c>
      <c r="AN706" s="633"/>
      <c r="AO706" s="633"/>
      <c r="AP706" s="634" t="str">
        <f>IFERROR(VLOOKUP(J706,Listas!$A$182:$E$215,5,FALSE),"Alerta: Seleccione la celda en la comumna B con el nombre del proyecto")</f>
        <v>Alerta: Seleccione la celda en la comumna B con el nombre del proyecto</v>
      </c>
      <c r="AQ706" s="634" t="str">
        <f>IF(J706="Funcionamiento Gastos Generales","No aplica",IF(J706="Funcionamiento Servicios Personales","No aplica",IFERROR(VLOOKUP(J706,Listas!$A$220:$D$224,4,FALSE),"Alerta: Seleccione la celda en la comumna B con el nombre del proyecto")))</f>
        <v>Alerta: Seleccione la celda en la comumna B con el nombre del proyecto</v>
      </c>
      <c r="AR706" s="633"/>
      <c r="AS706" s="634" t="str">
        <f>IFERROR(VLOOKUP(AU706,Listas!$E$85:$L$105,7,FALSE),"Alerta: Seleccione la celda en la comumna AI con el concepto de gasto")</f>
        <v>Alerta: Seleccione la celda en la comumna AI con el concepto de gasto</v>
      </c>
      <c r="AT706" s="634" t="str">
        <f>IFERROR(VLOOKUP(AU706,Listas!$E$85:$L$105,8,FALSE),"Alerta: Seleccione la celda en la comumna AI con el concepto de gasto")</f>
        <v>Alerta: Seleccione la celda en la comumna AI con el concepto de gasto</v>
      </c>
      <c r="AU706" s="633"/>
      <c r="AV706" s="634" t="str">
        <f>IFERROR(VLOOKUP(AU706,Listas!$E$85:$F$105,2,FALSE),"Alerta: Seleccione el Concepto de Gasto primero")</f>
        <v>Alerta: Seleccione el Concepto de Gasto primero</v>
      </c>
      <c r="AW706" s="644"/>
      <c r="AX706" s="645"/>
      <c r="AY706" s="645"/>
      <c r="AZ706" s="645"/>
      <c r="BA706" s="646">
        <f t="shared" si="218"/>
        <v>0</v>
      </c>
      <c r="BB706" s="647"/>
      <c r="BC706" s="648"/>
      <c r="BD706" s="649"/>
      <c r="BE706" s="647"/>
      <c r="BF706" s="644"/>
      <c r="BG706" s="646">
        <f t="shared" si="219"/>
        <v>0</v>
      </c>
      <c r="BH706" s="650"/>
      <c r="BI706" s="647"/>
      <c r="BJ706" s="644"/>
      <c r="BK706" s="646">
        <f t="shared" si="220"/>
        <v>0</v>
      </c>
      <c r="BL706" s="651"/>
      <c r="BM706" s="652">
        <f t="shared" si="221"/>
        <v>1</v>
      </c>
      <c r="BN706" s="628"/>
      <c r="BO706" s="670"/>
      <c r="BP706" s="644"/>
      <c r="BQ706" s="644"/>
      <c r="BR706" s="644"/>
      <c r="BS706" s="644"/>
      <c r="BT706" s="644"/>
      <c r="BU706" s="644"/>
      <c r="BV706" s="644"/>
      <c r="BW706" s="644"/>
      <c r="BX706" s="644"/>
      <c r="BY706" s="644"/>
      <c r="BZ706" s="644"/>
      <c r="CA706" s="644"/>
      <c r="CB706" s="646">
        <f t="shared" si="222"/>
        <v>0</v>
      </c>
      <c r="CC706" s="646">
        <f t="shared" si="223"/>
        <v>0</v>
      </c>
      <c r="CD706" s="614"/>
    </row>
    <row r="707" spans="1:82" s="561" customFormat="1" ht="61.5" customHeight="1">
      <c r="A707" s="625" t="str">
        <f t="shared" si="205"/>
        <v>proyecto-Alerta: Seleccione la celda en la comumna B con el nombre del proyecto-Al-Al--</v>
      </c>
      <c r="B707" s="626" t="str">
        <f t="shared" si="206"/>
        <v>proyecto-Alerta: Seleccione la celda en la comumna B con el nombre del proyecto-Al-Al-</v>
      </c>
      <c r="C707" s="626" t="str">
        <f t="shared" si="207"/>
        <v>proyecto-Alerta: Seleccione la celda en la comumna B con el nombre del proyecto-</v>
      </c>
      <c r="D707" s="626" t="str">
        <f t="shared" si="208"/>
        <v>proyecto--Al-Al-</v>
      </c>
      <c r="E707" s="626" t="str">
        <f t="shared" si="209"/>
        <v>--</v>
      </c>
      <c r="F707" s="627"/>
      <c r="G707" s="628">
        <f t="shared" si="210"/>
        <v>0</v>
      </c>
      <c r="H707" s="629" t="b">
        <f t="shared" si="211"/>
        <v>1</v>
      </c>
      <c r="I707" s="630"/>
      <c r="J707" s="627"/>
      <c r="K707" s="631" t="str">
        <f>+IFERROR(VLOOKUP(J707,Listas!$A$108:$B$114,2,FALSE),"Alerta: Seleccione la celda en la comumna B con el nombre del proyecto")</f>
        <v>Alerta: Seleccione la celda en la comumna B con el nombre del proyecto</v>
      </c>
      <c r="L707" s="632"/>
      <c r="M707" s="633"/>
      <c r="N707" s="634" t="str">
        <f t="shared" si="212"/>
        <v xml:space="preserve">(Cód. ) </v>
      </c>
      <c r="O707" s="635"/>
      <c r="P707" s="636">
        <f>IFERROR(VLOOKUP(W707,'Estimación CRP'!$D$21:$E$30,2,FALSE),0)</f>
        <v>0</v>
      </c>
      <c r="Q707" s="637">
        <f>IF(O707="No aplica","No aplica",WORKDAY.INTL(O707,P707,1,'Estimación CRP'!A893:A909))</f>
        <v>0</v>
      </c>
      <c r="R707" s="636">
        <f t="shared" si="213"/>
        <v>1</v>
      </c>
      <c r="S707" s="636">
        <f t="shared" si="214"/>
        <v>1</v>
      </c>
      <c r="T707" s="636">
        <f t="shared" si="215"/>
        <v>1</v>
      </c>
      <c r="U707" s="638"/>
      <c r="V707" s="638"/>
      <c r="W707" s="639"/>
      <c r="X707" s="640" t="str">
        <f>IFERROR(VLOOKUP(W707,Listas!$A$60:$B$73,2,FALSE),"Alerta: Seleccione primero Modalidad de selección")</f>
        <v>Alerta: Seleccione primero Modalidad de selección</v>
      </c>
      <c r="Y707" s="641">
        <v>0</v>
      </c>
      <c r="Z707" s="641"/>
      <c r="AA707" s="641"/>
      <c r="AB707" s="642">
        <f t="shared" si="216"/>
        <v>0</v>
      </c>
      <c r="AC707" s="642">
        <f t="shared" si="217"/>
        <v>0</v>
      </c>
      <c r="AD707" s="641">
        <v>0</v>
      </c>
      <c r="AE707" s="643">
        <v>0</v>
      </c>
      <c r="AF707" s="639" t="s">
        <v>276</v>
      </c>
      <c r="AG707" s="639" t="s">
        <v>277</v>
      </c>
      <c r="AH707" s="639"/>
      <c r="AI707" s="626" t="str">
        <f>IFERROR(VLOOKUP(AH707,Listas!$A$77:$C$83,2,FALSE),"Alerta: Seleccione primero el responsable")</f>
        <v>Alerta: Seleccione primero el responsable</v>
      </c>
      <c r="AJ707" s="640" t="str">
        <f>IFERROR(VLOOKUP(AH707,Listas!$A$77:$C$83,3,FALSE),"Alerta: Seleccione primero el responsable")</f>
        <v>Alerta: Seleccione primero el responsable</v>
      </c>
      <c r="AK707" s="640" t="str">
        <f>IF(J707="Funcionamiento Gastos Generales","No aplica",IF(J707="Funcionamiento Servicios Personales indirectos","No aplica",IFERROR(VLOOKUP(J707,Listas!$A$127:$E$139,3,FALSE),"Alerta: Seleccione la celda en la comumna B con el nombre del proyecto")))</f>
        <v>Alerta: Seleccione la celda en la comumna B con el nombre del proyecto</v>
      </c>
      <c r="AL707" s="640" t="str">
        <f>IF(J707="Funcionamiento Gastos Generales","No aplica",IF(J707="Funcionamiento Servicios Personales","No aplica",IFERROR(VLOOKUP(J707,Listas!$A$220:$D$224,2,FALSE),"Alerta: Seleccione la celda en la comumna B con el nombre del proyecto")))</f>
        <v>Alerta: Seleccione la celda en la comumna B con el nombre del proyecto</v>
      </c>
      <c r="AM707" s="640" t="str">
        <f>IF(J707="Funcionamiento Gastos Generales","No aplica",IF(J707="Funcionamiento Servicios Personales","No aplica",IFERROR(VLOOKUP(J707,Listas!$A$220:$D$224,3,FALSE),"Alerta: Seleccione la celda en la comumna B con el nombre del proyecto")))</f>
        <v>Alerta: Seleccione la celda en la comumna B con el nombre del proyecto</v>
      </c>
      <c r="AN707" s="633"/>
      <c r="AO707" s="633"/>
      <c r="AP707" s="634" t="str">
        <f>IFERROR(VLOOKUP(J707,Listas!$A$182:$E$215,5,FALSE),"Alerta: Seleccione la celda en la comumna B con el nombre del proyecto")</f>
        <v>Alerta: Seleccione la celda en la comumna B con el nombre del proyecto</v>
      </c>
      <c r="AQ707" s="634" t="str">
        <f>IF(J707="Funcionamiento Gastos Generales","No aplica",IF(J707="Funcionamiento Servicios Personales","No aplica",IFERROR(VLOOKUP(J707,Listas!$A$220:$D$224,4,FALSE),"Alerta: Seleccione la celda en la comumna B con el nombre del proyecto")))</f>
        <v>Alerta: Seleccione la celda en la comumna B con el nombre del proyecto</v>
      </c>
      <c r="AR707" s="633"/>
      <c r="AS707" s="634" t="str">
        <f>IFERROR(VLOOKUP(AU707,Listas!$E$85:$L$105,7,FALSE),"Alerta: Seleccione la celda en la comumna AI con el concepto de gasto")</f>
        <v>Alerta: Seleccione la celda en la comumna AI con el concepto de gasto</v>
      </c>
      <c r="AT707" s="634" t="str">
        <f>IFERROR(VLOOKUP(AU707,Listas!$E$85:$L$105,8,FALSE),"Alerta: Seleccione la celda en la comumna AI con el concepto de gasto")</f>
        <v>Alerta: Seleccione la celda en la comumna AI con el concepto de gasto</v>
      </c>
      <c r="AU707" s="633"/>
      <c r="AV707" s="634" t="str">
        <f>IFERROR(VLOOKUP(AU707,Listas!$E$85:$F$105,2,FALSE),"Alerta: Seleccione el Concepto de Gasto primero")</f>
        <v>Alerta: Seleccione el Concepto de Gasto primero</v>
      </c>
      <c r="AW707" s="644"/>
      <c r="AX707" s="645"/>
      <c r="AY707" s="645"/>
      <c r="AZ707" s="645"/>
      <c r="BA707" s="646">
        <f t="shared" si="218"/>
        <v>0</v>
      </c>
      <c r="BB707" s="647"/>
      <c r="BC707" s="648"/>
      <c r="BD707" s="649"/>
      <c r="BE707" s="647"/>
      <c r="BF707" s="644"/>
      <c r="BG707" s="646">
        <f t="shared" si="219"/>
        <v>0</v>
      </c>
      <c r="BH707" s="650"/>
      <c r="BI707" s="647"/>
      <c r="BJ707" s="644"/>
      <c r="BK707" s="646">
        <f t="shared" si="220"/>
        <v>0</v>
      </c>
      <c r="BL707" s="651"/>
      <c r="BM707" s="652">
        <f t="shared" si="221"/>
        <v>1</v>
      </c>
      <c r="BN707" s="628"/>
      <c r="BO707" s="670"/>
      <c r="BP707" s="644"/>
      <c r="BQ707" s="644"/>
      <c r="BR707" s="644"/>
      <c r="BS707" s="644"/>
      <c r="BT707" s="644"/>
      <c r="BU707" s="644"/>
      <c r="BV707" s="644"/>
      <c r="BW707" s="644"/>
      <c r="BX707" s="644"/>
      <c r="BY707" s="644"/>
      <c r="BZ707" s="644"/>
      <c r="CA707" s="644"/>
      <c r="CB707" s="646">
        <f t="shared" si="222"/>
        <v>0</v>
      </c>
      <c r="CC707" s="646">
        <f t="shared" si="223"/>
        <v>0</v>
      </c>
      <c r="CD707" s="614"/>
    </row>
    <row r="708" spans="1:82" s="561" customFormat="1" ht="61.5" customHeight="1">
      <c r="A708" s="625" t="str">
        <f t="shared" si="205"/>
        <v>proyecto-Alerta: Seleccione la celda en la comumna B con el nombre del proyecto-Al-Al--</v>
      </c>
      <c r="B708" s="626" t="str">
        <f t="shared" si="206"/>
        <v>proyecto-Alerta: Seleccione la celda en la comumna B con el nombre del proyecto-Al-Al-</v>
      </c>
      <c r="C708" s="626" t="str">
        <f t="shared" si="207"/>
        <v>proyecto-Alerta: Seleccione la celda en la comumna B con el nombre del proyecto-</v>
      </c>
      <c r="D708" s="626" t="str">
        <f t="shared" si="208"/>
        <v>proyecto--Al-Al-</v>
      </c>
      <c r="E708" s="626" t="str">
        <f t="shared" si="209"/>
        <v>--</v>
      </c>
      <c r="F708" s="627"/>
      <c r="G708" s="628">
        <f t="shared" si="210"/>
        <v>0</v>
      </c>
      <c r="H708" s="629" t="b">
        <f t="shared" si="211"/>
        <v>1</v>
      </c>
      <c r="I708" s="630"/>
      <c r="J708" s="627"/>
      <c r="K708" s="631" t="str">
        <f>+IFERROR(VLOOKUP(J708,Listas!$A$108:$B$114,2,FALSE),"Alerta: Seleccione la celda en la comumna B con el nombre del proyecto")</f>
        <v>Alerta: Seleccione la celda en la comumna B con el nombre del proyecto</v>
      </c>
      <c r="L708" s="632"/>
      <c r="M708" s="633"/>
      <c r="N708" s="634" t="str">
        <f t="shared" si="212"/>
        <v xml:space="preserve">(Cód. ) </v>
      </c>
      <c r="O708" s="635"/>
      <c r="P708" s="636">
        <f>IFERROR(VLOOKUP(W708,'Estimación CRP'!$D$21:$E$30,2,FALSE),0)</f>
        <v>0</v>
      </c>
      <c r="Q708" s="637">
        <f>IF(O708="No aplica","No aplica",WORKDAY.INTL(O708,P708,1,'Estimación CRP'!A894:A910))</f>
        <v>0</v>
      </c>
      <c r="R708" s="636">
        <f t="shared" si="213"/>
        <v>1</v>
      </c>
      <c r="S708" s="636">
        <f t="shared" si="214"/>
        <v>1</v>
      </c>
      <c r="T708" s="636">
        <f t="shared" si="215"/>
        <v>1</v>
      </c>
      <c r="U708" s="638"/>
      <c r="V708" s="638"/>
      <c r="W708" s="639"/>
      <c r="X708" s="640" t="str">
        <f>IFERROR(VLOOKUP(W708,Listas!$A$60:$B$73,2,FALSE),"Alerta: Seleccione primero Modalidad de selección")</f>
        <v>Alerta: Seleccione primero Modalidad de selección</v>
      </c>
      <c r="Y708" s="641">
        <v>0</v>
      </c>
      <c r="Z708" s="641"/>
      <c r="AA708" s="641"/>
      <c r="AB708" s="642">
        <f t="shared" si="216"/>
        <v>0</v>
      </c>
      <c r="AC708" s="642">
        <f t="shared" si="217"/>
        <v>0</v>
      </c>
      <c r="AD708" s="641">
        <v>0</v>
      </c>
      <c r="AE708" s="643">
        <v>0</v>
      </c>
      <c r="AF708" s="639" t="s">
        <v>276</v>
      </c>
      <c r="AG708" s="639" t="s">
        <v>277</v>
      </c>
      <c r="AH708" s="639"/>
      <c r="AI708" s="626" t="str">
        <f>IFERROR(VLOOKUP(AH708,Listas!$A$77:$C$83,2,FALSE),"Alerta: Seleccione primero el responsable")</f>
        <v>Alerta: Seleccione primero el responsable</v>
      </c>
      <c r="AJ708" s="640" t="str">
        <f>IFERROR(VLOOKUP(AH708,Listas!$A$77:$C$83,3,FALSE),"Alerta: Seleccione primero el responsable")</f>
        <v>Alerta: Seleccione primero el responsable</v>
      </c>
      <c r="AK708" s="640" t="str">
        <f>IF(J708="Funcionamiento Gastos Generales","No aplica",IF(J708="Funcionamiento Servicios Personales indirectos","No aplica",IFERROR(VLOOKUP(J708,Listas!$A$127:$E$139,3,FALSE),"Alerta: Seleccione la celda en la comumna B con el nombre del proyecto")))</f>
        <v>Alerta: Seleccione la celda en la comumna B con el nombre del proyecto</v>
      </c>
      <c r="AL708" s="640" t="str">
        <f>IF(J708="Funcionamiento Gastos Generales","No aplica",IF(J708="Funcionamiento Servicios Personales","No aplica",IFERROR(VLOOKUP(J708,Listas!$A$220:$D$224,2,FALSE),"Alerta: Seleccione la celda en la comumna B con el nombre del proyecto")))</f>
        <v>Alerta: Seleccione la celda en la comumna B con el nombre del proyecto</v>
      </c>
      <c r="AM708" s="640" t="str">
        <f>IF(J708="Funcionamiento Gastos Generales","No aplica",IF(J708="Funcionamiento Servicios Personales","No aplica",IFERROR(VLOOKUP(J708,Listas!$A$220:$D$224,3,FALSE),"Alerta: Seleccione la celda en la comumna B con el nombre del proyecto")))</f>
        <v>Alerta: Seleccione la celda en la comumna B con el nombre del proyecto</v>
      </c>
      <c r="AN708" s="633"/>
      <c r="AO708" s="633"/>
      <c r="AP708" s="634" t="str">
        <f>IFERROR(VLOOKUP(J708,Listas!$A$182:$E$215,5,FALSE),"Alerta: Seleccione la celda en la comumna B con el nombre del proyecto")</f>
        <v>Alerta: Seleccione la celda en la comumna B con el nombre del proyecto</v>
      </c>
      <c r="AQ708" s="634" t="str">
        <f>IF(J708="Funcionamiento Gastos Generales","No aplica",IF(J708="Funcionamiento Servicios Personales","No aplica",IFERROR(VLOOKUP(J708,Listas!$A$220:$D$224,4,FALSE),"Alerta: Seleccione la celda en la comumna B con el nombre del proyecto")))</f>
        <v>Alerta: Seleccione la celda en la comumna B con el nombre del proyecto</v>
      </c>
      <c r="AR708" s="633"/>
      <c r="AS708" s="634" t="str">
        <f>IFERROR(VLOOKUP(AU708,Listas!$E$85:$L$105,7,FALSE),"Alerta: Seleccione la celda en la comumna AI con el concepto de gasto")</f>
        <v>Alerta: Seleccione la celda en la comumna AI con el concepto de gasto</v>
      </c>
      <c r="AT708" s="634" t="str">
        <f>IFERROR(VLOOKUP(AU708,Listas!$E$85:$L$105,8,FALSE),"Alerta: Seleccione la celda en la comumna AI con el concepto de gasto")</f>
        <v>Alerta: Seleccione la celda en la comumna AI con el concepto de gasto</v>
      </c>
      <c r="AU708" s="633"/>
      <c r="AV708" s="634" t="str">
        <f>IFERROR(VLOOKUP(AU708,Listas!$E$85:$F$105,2,FALSE),"Alerta: Seleccione el Concepto de Gasto primero")</f>
        <v>Alerta: Seleccione el Concepto de Gasto primero</v>
      </c>
      <c r="AW708" s="644"/>
      <c r="AX708" s="645"/>
      <c r="AY708" s="645"/>
      <c r="AZ708" s="645"/>
      <c r="BA708" s="646">
        <f t="shared" si="218"/>
        <v>0</v>
      </c>
      <c r="BB708" s="647"/>
      <c r="BC708" s="648"/>
      <c r="BD708" s="649"/>
      <c r="BE708" s="647"/>
      <c r="BF708" s="644"/>
      <c r="BG708" s="646">
        <f t="shared" si="219"/>
        <v>0</v>
      </c>
      <c r="BH708" s="650"/>
      <c r="BI708" s="647"/>
      <c r="BJ708" s="644"/>
      <c r="BK708" s="646">
        <f t="shared" si="220"/>
        <v>0</v>
      </c>
      <c r="BL708" s="651"/>
      <c r="BM708" s="652">
        <f t="shared" si="221"/>
        <v>1</v>
      </c>
      <c r="BN708" s="628"/>
      <c r="BO708" s="670"/>
      <c r="BP708" s="644"/>
      <c r="BQ708" s="644"/>
      <c r="BR708" s="644"/>
      <c r="BS708" s="644"/>
      <c r="BT708" s="644"/>
      <c r="BU708" s="644"/>
      <c r="BV708" s="644"/>
      <c r="BW708" s="644"/>
      <c r="BX708" s="644"/>
      <c r="BY708" s="644"/>
      <c r="BZ708" s="644"/>
      <c r="CA708" s="644"/>
      <c r="CB708" s="646">
        <f t="shared" si="222"/>
        <v>0</v>
      </c>
      <c r="CC708" s="646">
        <f t="shared" si="223"/>
        <v>0</v>
      </c>
      <c r="CD708" s="614"/>
    </row>
    <row r="709" spans="1:82" s="561" customFormat="1" ht="61.5" customHeight="1">
      <c r="A709" s="625" t="str">
        <f t="shared" si="205"/>
        <v>proyecto-Alerta: Seleccione la celda en la comumna B con el nombre del proyecto-Al-Al--</v>
      </c>
      <c r="B709" s="626" t="str">
        <f t="shared" si="206"/>
        <v>proyecto-Alerta: Seleccione la celda en la comumna B con el nombre del proyecto-Al-Al-</v>
      </c>
      <c r="C709" s="626" t="str">
        <f t="shared" si="207"/>
        <v>proyecto-Alerta: Seleccione la celda en la comumna B con el nombre del proyecto-</v>
      </c>
      <c r="D709" s="626" t="str">
        <f t="shared" si="208"/>
        <v>proyecto--Al-Al-</v>
      </c>
      <c r="E709" s="626" t="str">
        <f t="shared" si="209"/>
        <v>--</v>
      </c>
      <c r="F709" s="627"/>
      <c r="G709" s="628">
        <f t="shared" si="210"/>
        <v>0</v>
      </c>
      <c r="H709" s="629" t="b">
        <f t="shared" si="211"/>
        <v>1</v>
      </c>
      <c r="I709" s="630"/>
      <c r="J709" s="627"/>
      <c r="K709" s="631" t="str">
        <f>+IFERROR(VLOOKUP(J709,Listas!$A$108:$B$114,2,FALSE),"Alerta: Seleccione la celda en la comumna B con el nombre del proyecto")</f>
        <v>Alerta: Seleccione la celda en la comumna B con el nombre del proyecto</v>
      </c>
      <c r="L709" s="632"/>
      <c r="M709" s="633"/>
      <c r="N709" s="634" t="str">
        <f t="shared" si="212"/>
        <v xml:space="preserve">(Cód. ) </v>
      </c>
      <c r="O709" s="635"/>
      <c r="P709" s="636">
        <f>IFERROR(VLOOKUP(W709,'Estimación CRP'!$D$21:$E$30,2,FALSE),0)</f>
        <v>0</v>
      </c>
      <c r="Q709" s="637">
        <f>IF(O709="No aplica","No aplica",WORKDAY.INTL(O709,P709,1,'Estimación CRP'!A895:A911))</f>
        <v>0</v>
      </c>
      <c r="R709" s="636">
        <f t="shared" si="213"/>
        <v>1</v>
      </c>
      <c r="S709" s="636">
        <f t="shared" si="214"/>
        <v>1</v>
      </c>
      <c r="T709" s="636">
        <f t="shared" si="215"/>
        <v>1</v>
      </c>
      <c r="U709" s="638"/>
      <c r="V709" s="638"/>
      <c r="W709" s="639"/>
      <c r="X709" s="640" t="str">
        <f>IFERROR(VLOOKUP(W709,Listas!$A$60:$B$73,2,FALSE),"Alerta: Seleccione primero Modalidad de selección")</f>
        <v>Alerta: Seleccione primero Modalidad de selección</v>
      </c>
      <c r="Y709" s="641">
        <v>0</v>
      </c>
      <c r="Z709" s="641"/>
      <c r="AA709" s="641"/>
      <c r="AB709" s="642">
        <f t="shared" si="216"/>
        <v>0</v>
      </c>
      <c r="AC709" s="642">
        <f t="shared" si="217"/>
        <v>0</v>
      </c>
      <c r="AD709" s="641">
        <v>0</v>
      </c>
      <c r="AE709" s="643">
        <v>0</v>
      </c>
      <c r="AF709" s="639" t="s">
        <v>276</v>
      </c>
      <c r="AG709" s="639" t="s">
        <v>277</v>
      </c>
      <c r="AH709" s="639"/>
      <c r="AI709" s="626" t="str">
        <f>IFERROR(VLOOKUP(AH709,Listas!$A$77:$C$83,2,FALSE),"Alerta: Seleccione primero el responsable")</f>
        <v>Alerta: Seleccione primero el responsable</v>
      </c>
      <c r="AJ709" s="640" t="str">
        <f>IFERROR(VLOOKUP(AH709,Listas!$A$77:$C$83,3,FALSE),"Alerta: Seleccione primero el responsable")</f>
        <v>Alerta: Seleccione primero el responsable</v>
      </c>
      <c r="AK709" s="640" t="str">
        <f>IF(J709="Funcionamiento Gastos Generales","No aplica",IF(J709="Funcionamiento Servicios Personales indirectos","No aplica",IFERROR(VLOOKUP(J709,Listas!$A$127:$E$139,3,FALSE),"Alerta: Seleccione la celda en la comumna B con el nombre del proyecto")))</f>
        <v>Alerta: Seleccione la celda en la comumna B con el nombre del proyecto</v>
      </c>
      <c r="AL709" s="640" t="str">
        <f>IF(J709="Funcionamiento Gastos Generales","No aplica",IF(J709="Funcionamiento Servicios Personales","No aplica",IFERROR(VLOOKUP(J709,Listas!$A$220:$D$224,2,FALSE),"Alerta: Seleccione la celda en la comumna B con el nombre del proyecto")))</f>
        <v>Alerta: Seleccione la celda en la comumna B con el nombre del proyecto</v>
      </c>
      <c r="AM709" s="640" t="str">
        <f>IF(J709="Funcionamiento Gastos Generales","No aplica",IF(J709="Funcionamiento Servicios Personales","No aplica",IFERROR(VLOOKUP(J709,Listas!$A$220:$D$224,3,FALSE),"Alerta: Seleccione la celda en la comumna B con el nombre del proyecto")))</f>
        <v>Alerta: Seleccione la celda en la comumna B con el nombre del proyecto</v>
      </c>
      <c r="AN709" s="633"/>
      <c r="AO709" s="633"/>
      <c r="AP709" s="634" t="str">
        <f>IFERROR(VLOOKUP(J709,Listas!$A$182:$E$215,5,FALSE),"Alerta: Seleccione la celda en la comumna B con el nombre del proyecto")</f>
        <v>Alerta: Seleccione la celda en la comumna B con el nombre del proyecto</v>
      </c>
      <c r="AQ709" s="634" t="str">
        <f>IF(J709="Funcionamiento Gastos Generales","No aplica",IF(J709="Funcionamiento Servicios Personales","No aplica",IFERROR(VLOOKUP(J709,Listas!$A$220:$D$224,4,FALSE),"Alerta: Seleccione la celda en la comumna B con el nombre del proyecto")))</f>
        <v>Alerta: Seleccione la celda en la comumna B con el nombre del proyecto</v>
      </c>
      <c r="AR709" s="633"/>
      <c r="AS709" s="634" t="str">
        <f>IFERROR(VLOOKUP(AU709,Listas!$E$85:$L$105,7,FALSE),"Alerta: Seleccione la celda en la comumna AI con el concepto de gasto")</f>
        <v>Alerta: Seleccione la celda en la comumna AI con el concepto de gasto</v>
      </c>
      <c r="AT709" s="634" t="str">
        <f>IFERROR(VLOOKUP(AU709,Listas!$E$85:$L$105,8,FALSE),"Alerta: Seleccione la celda en la comumna AI con el concepto de gasto")</f>
        <v>Alerta: Seleccione la celda en la comumna AI con el concepto de gasto</v>
      </c>
      <c r="AU709" s="633"/>
      <c r="AV709" s="634" t="str">
        <f>IFERROR(VLOOKUP(AU709,Listas!$E$85:$F$105,2,FALSE),"Alerta: Seleccione el Concepto de Gasto primero")</f>
        <v>Alerta: Seleccione el Concepto de Gasto primero</v>
      </c>
      <c r="AW709" s="644"/>
      <c r="AX709" s="645"/>
      <c r="AY709" s="645"/>
      <c r="AZ709" s="645"/>
      <c r="BA709" s="646">
        <f t="shared" si="218"/>
        <v>0</v>
      </c>
      <c r="BB709" s="647"/>
      <c r="BC709" s="648"/>
      <c r="BD709" s="649"/>
      <c r="BE709" s="647"/>
      <c r="BF709" s="644"/>
      <c r="BG709" s="646">
        <f t="shared" si="219"/>
        <v>0</v>
      </c>
      <c r="BH709" s="650"/>
      <c r="BI709" s="647"/>
      <c r="BJ709" s="644"/>
      <c r="BK709" s="646">
        <f t="shared" si="220"/>
        <v>0</v>
      </c>
      <c r="BL709" s="651"/>
      <c r="BM709" s="652">
        <f t="shared" si="221"/>
        <v>1</v>
      </c>
      <c r="BN709" s="628"/>
      <c r="BO709" s="670"/>
      <c r="BP709" s="644"/>
      <c r="BQ709" s="644"/>
      <c r="BR709" s="644"/>
      <c r="BS709" s="644"/>
      <c r="BT709" s="644"/>
      <c r="BU709" s="644"/>
      <c r="BV709" s="644"/>
      <c r="BW709" s="644"/>
      <c r="BX709" s="644"/>
      <c r="BY709" s="644"/>
      <c r="BZ709" s="644"/>
      <c r="CA709" s="644"/>
      <c r="CB709" s="646">
        <f t="shared" si="222"/>
        <v>0</v>
      </c>
      <c r="CC709" s="646">
        <f t="shared" si="223"/>
        <v>0</v>
      </c>
      <c r="CD709" s="614"/>
    </row>
    <row r="710" spans="1:82" s="561" customFormat="1" ht="61.5" customHeight="1">
      <c r="A710" s="625" t="str">
        <f t="shared" si="205"/>
        <v>proyecto-Alerta: Seleccione la celda en la comumna B con el nombre del proyecto-Al-Al--</v>
      </c>
      <c r="B710" s="626" t="str">
        <f t="shared" si="206"/>
        <v>proyecto-Alerta: Seleccione la celda en la comumna B con el nombre del proyecto-Al-Al-</v>
      </c>
      <c r="C710" s="626" t="str">
        <f t="shared" si="207"/>
        <v>proyecto-Alerta: Seleccione la celda en la comumna B con el nombre del proyecto-</v>
      </c>
      <c r="D710" s="626" t="str">
        <f t="shared" si="208"/>
        <v>proyecto--Al-Al-</v>
      </c>
      <c r="E710" s="626" t="str">
        <f t="shared" si="209"/>
        <v>--</v>
      </c>
      <c r="F710" s="627"/>
      <c r="G710" s="628">
        <f t="shared" si="210"/>
        <v>0</v>
      </c>
      <c r="H710" s="629" t="b">
        <f t="shared" si="211"/>
        <v>1</v>
      </c>
      <c r="I710" s="630"/>
      <c r="J710" s="627"/>
      <c r="K710" s="631" t="str">
        <f>+IFERROR(VLOOKUP(J710,Listas!$A$108:$B$114,2,FALSE),"Alerta: Seleccione la celda en la comumna B con el nombre del proyecto")</f>
        <v>Alerta: Seleccione la celda en la comumna B con el nombre del proyecto</v>
      </c>
      <c r="L710" s="632"/>
      <c r="M710" s="633"/>
      <c r="N710" s="634" t="str">
        <f t="shared" si="212"/>
        <v xml:space="preserve">(Cód. ) </v>
      </c>
      <c r="O710" s="635"/>
      <c r="P710" s="636">
        <f>IFERROR(VLOOKUP(W710,'Estimación CRP'!$D$21:$E$30,2,FALSE),0)</f>
        <v>0</v>
      </c>
      <c r="Q710" s="637">
        <f>IF(O710="No aplica","No aplica",WORKDAY.INTL(O710,P710,1,'Estimación CRP'!A896:A912))</f>
        <v>0</v>
      </c>
      <c r="R710" s="636">
        <f t="shared" si="213"/>
        <v>1</v>
      </c>
      <c r="S710" s="636">
        <f t="shared" si="214"/>
        <v>1</v>
      </c>
      <c r="T710" s="636">
        <f t="shared" si="215"/>
        <v>1</v>
      </c>
      <c r="U710" s="638"/>
      <c r="V710" s="638"/>
      <c r="W710" s="639"/>
      <c r="X710" s="640" t="str">
        <f>IFERROR(VLOOKUP(W710,Listas!$A$60:$B$73,2,FALSE),"Alerta: Seleccione primero Modalidad de selección")</f>
        <v>Alerta: Seleccione primero Modalidad de selección</v>
      </c>
      <c r="Y710" s="641">
        <v>0</v>
      </c>
      <c r="Z710" s="641"/>
      <c r="AA710" s="641"/>
      <c r="AB710" s="642">
        <f t="shared" si="216"/>
        <v>0</v>
      </c>
      <c r="AC710" s="642">
        <f t="shared" si="217"/>
        <v>0</v>
      </c>
      <c r="AD710" s="641">
        <v>0</v>
      </c>
      <c r="AE710" s="643">
        <v>0</v>
      </c>
      <c r="AF710" s="639" t="s">
        <v>276</v>
      </c>
      <c r="AG710" s="639" t="s">
        <v>277</v>
      </c>
      <c r="AH710" s="639"/>
      <c r="AI710" s="626" t="str">
        <f>IFERROR(VLOOKUP(AH710,Listas!$A$77:$C$83,2,FALSE),"Alerta: Seleccione primero el responsable")</f>
        <v>Alerta: Seleccione primero el responsable</v>
      </c>
      <c r="AJ710" s="640" t="str">
        <f>IFERROR(VLOOKUP(AH710,Listas!$A$77:$C$83,3,FALSE),"Alerta: Seleccione primero el responsable")</f>
        <v>Alerta: Seleccione primero el responsable</v>
      </c>
      <c r="AK710" s="640" t="str">
        <f>IF(J710="Funcionamiento Gastos Generales","No aplica",IF(J710="Funcionamiento Servicios Personales indirectos","No aplica",IFERROR(VLOOKUP(J710,Listas!$A$127:$E$139,3,FALSE),"Alerta: Seleccione la celda en la comumna B con el nombre del proyecto")))</f>
        <v>Alerta: Seleccione la celda en la comumna B con el nombre del proyecto</v>
      </c>
      <c r="AL710" s="640" t="str">
        <f>IF(J710="Funcionamiento Gastos Generales","No aplica",IF(J710="Funcionamiento Servicios Personales","No aplica",IFERROR(VLOOKUP(J710,Listas!$A$220:$D$224,2,FALSE),"Alerta: Seleccione la celda en la comumna B con el nombre del proyecto")))</f>
        <v>Alerta: Seleccione la celda en la comumna B con el nombre del proyecto</v>
      </c>
      <c r="AM710" s="640" t="str">
        <f>IF(J710="Funcionamiento Gastos Generales","No aplica",IF(J710="Funcionamiento Servicios Personales","No aplica",IFERROR(VLOOKUP(J710,Listas!$A$220:$D$224,3,FALSE),"Alerta: Seleccione la celda en la comumna B con el nombre del proyecto")))</f>
        <v>Alerta: Seleccione la celda en la comumna B con el nombre del proyecto</v>
      </c>
      <c r="AN710" s="633"/>
      <c r="AO710" s="633"/>
      <c r="AP710" s="634" t="str">
        <f>IFERROR(VLOOKUP(J710,Listas!$A$182:$E$215,5,FALSE),"Alerta: Seleccione la celda en la comumna B con el nombre del proyecto")</f>
        <v>Alerta: Seleccione la celda en la comumna B con el nombre del proyecto</v>
      </c>
      <c r="AQ710" s="634" t="str">
        <f>IF(J710="Funcionamiento Gastos Generales","No aplica",IF(J710="Funcionamiento Servicios Personales","No aplica",IFERROR(VLOOKUP(J710,Listas!$A$220:$D$224,4,FALSE),"Alerta: Seleccione la celda en la comumna B con el nombre del proyecto")))</f>
        <v>Alerta: Seleccione la celda en la comumna B con el nombre del proyecto</v>
      </c>
      <c r="AR710" s="633"/>
      <c r="AS710" s="634" t="str">
        <f>IFERROR(VLOOKUP(AU710,Listas!$E$85:$L$105,7,FALSE),"Alerta: Seleccione la celda en la comumna AI con el concepto de gasto")</f>
        <v>Alerta: Seleccione la celda en la comumna AI con el concepto de gasto</v>
      </c>
      <c r="AT710" s="634" t="str">
        <f>IFERROR(VLOOKUP(AU710,Listas!$E$85:$L$105,8,FALSE),"Alerta: Seleccione la celda en la comumna AI con el concepto de gasto")</f>
        <v>Alerta: Seleccione la celda en la comumna AI con el concepto de gasto</v>
      </c>
      <c r="AU710" s="633"/>
      <c r="AV710" s="634" t="str">
        <f>IFERROR(VLOOKUP(AU710,Listas!$E$85:$F$105,2,FALSE),"Alerta: Seleccione el Concepto de Gasto primero")</f>
        <v>Alerta: Seleccione el Concepto de Gasto primero</v>
      </c>
      <c r="AW710" s="644"/>
      <c r="AX710" s="645"/>
      <c r="AY710" s="645"/>
      <c r="AZ710" s="645"/>
      <c r="BA710" s="646">
        <f t="shared" si="218"/>
        <v>0</v>
      </c>
      <c r="BB710" s="647"/>
      <c r="BC710" s="648"/>
      <c r="BD710" s="649"/>
      <c r="BE710" s="647"/>
      <c r="BF710" s="644"/>
      <c r="BG710" s="646">
        <f t="shared" si="219"/>
        <v>0</v>
      </c>
      <c r="BH710" s="650"/>
      <c r="BI710" s="647"/>
      <c r="BJ710" s="644"/>
      <c r="BK710" s="646">
        <f t="shared" si="220"/>
        <v>0</v>
      </c>
      <c r="BL710" s="651"/>
      <c r="BM710" s="652">
        <f t="shared" si="221"/>
        <v>1</v>
      </c>
      <c r="BN710" s="628"/>
      <c r="BO710" s="670"/>
      <c r="BP710" s="644"/>
      <c r="BQ710" s="644"/>
      <c r="BR710" s="644"/>
      <c r="BS710" s="644"/>
      <c r="BT710" s="644"/>
      <c r="BU710" s="644"/>
      <c r="BV710" s="644"/>
      <c r="BW710" s="644"/>
      <c r="BX710" s="644"/>
      <c r="BY710" s="644"/>
      <c r="BZ710" s="644"/>
      <c r="CA710" s="644"/>
      <c r="CB710" s="646">
        <f t="shared" si="222"/>
        <v>0</v>
      </c>
      <c r="CC710" s="646">
        <f t="shared" si="223"/>
        <v>0</v>
      </c>
      <c r="CD710" s="614"/>
    </row>
    <row r="711" spans="1:82" s="561" customFormat="1" ht="61.5" customHeight="1">
      <c r="A711" s="625" t="str">
        <f t="shared" si="205"/>
        <v>proyecto-Alerta: Seleccione la celda en la comumna B con el nombre del proyecto-Al-Al--</v>
      </c>
      <c r="B711" s="626" t="str">
        <f t="shared" si="206"/>
        <v>proyecto-Alerta: Seleccione la celda en la comumna B con el nombre del proyecto-Al-Al-</v>
      </c>
      <c r="C711" s="626" t="str">
        <f t="shared" si="207"/>
        <v>proyecto-Alerta: Seleccione la celda en la comumna B con el nombre del proyecto-</v>
      </c>
      <c r="D711" s="626" t="str">
        <f t="shared" si="208"/>
        <v>proyecto--Al-Al-</v>
      </c>
      <c r="E711" s="626" t="str">
        <f t="shared" si="209"/>
        <v>--</v>
      </c>
      <c r="F711" s="627"/>
      <c r="G711" s="628">
        <f t="shared" si="210"/>
        <v>0</v>
      </c>
      <c r="H711" s="629" t="b">
        <f t="shared" si="211"/>
        <v>1</v>
      </c>
      <c r="I711" s="630"/>
      <c r="J711" s="627"/>
      <c r="K711" s="631" t="str">
        <f>+IFERROR(VLOOKUP(J711,Listas!$A$108:$B$114,2,FALSE),"Alerta: Seleccione la celda en la comumna B con el nombre del proyecto")</f>
        <v>Alerta: Seleccione la celda en la comumna B con el nombre del proyecto</v>
      </c>
      <c r="L711" s="632"/>
      <c r="M711" s="633"/>
      <c r="N711" s="634" t="str">
        <f t="shared" si="212"/>
        <v xml:space="preserve">(Cód. ) </v>
      </c>
      <c r="O711" s="635"/>
      <c r="P711" s="636">
        <f>IFERROR(VLOOKUP(W711,'Estimación CRP'!$D$21:$E$30,2,FALSE),0)</f>
        <v>0</v>
      </c>
      <c r="Q711" s="637">
        <f>IF(O711="No aplica","No aplica",WORKDAY.INTL(O711,P711,1,'Estimación CRP'!A897:A913))</f>
        <v>0</v>
      </c>
      <c r="R711" s="636">
        <f t="shared" si="213"/>
        <v>1</v>
      </c>
      <c r="S711" s="636">
        <f t="shared" si="214"/>
        <v>1</v>
      </c>
      <c r="T711" s="636">
        <f t="shared" si="215"/>
        <v>1</v>
      </c>
      <c r="U711" s="638"/>
      <c r="V711" s="638"/>
      <c r="W711" s="639"/>
      <c r="X711" s="640" t="str">
        <f>IFERROR(VLOOKUP(W711,Listas!$A$60:$B$73,2,FALSE),"Alerta: Seleccione primero Modalidad de selección")</f>
        <v>Alerta: Seleccione primero Modalidad de selección</v>
      </c>
      <c r="Y711" s="641">
        <v>0</v>
      </c>
      <c r="Z711" s="641"/>
      <c r="AA711" s="641"/>
      <c r="AB711" s="642">
        <f t="shared" si="216"/>
        <v>0</v>
      </c>
      <c r="AC711" s="642">
        <f t="shared" si="217"/>
        <v>0</v>
      </c>
      <c r="AD711" s="641">
        <v>0</v>
      </c>
      <c r="AE711" s="643">
        <v>0</v>
      </c>
      <c r="AF711" s="639" t="s">
        <v>276</v>
      </c>
      <c r="AG711" s="639" t="s">
        <v>277</v>
      </c>
      <c r="AH711" s="639"/>
      <c r="AI711" s="626" t="str">
        <f>IFERROR(VLOOKUP(AH711,Listas!$A$77:$C$83,2,FALSE),"Alerta: Seleccione primero el responsable")</f>
        <v>Alerta: Seleccione primero el responsable</v>
      </c>
      <c r="AJ711" s="640" t="str">
        <f>IFERROR(VLOOKUP(AH711,Listas!$A$77:$C$83,3,FALSE),"Alerta: Seleccione primero el responsable")</f>
        <v>Alerta: Seleccione primero el responsable</v>
      </c>
      <c r="AK711" s="640" t="str">
        <f>IF(J711="Funcionamiento Gastos Generales","No aplica",IF(J711="Funcionamiento Servicios Personales indirectos","No aplica",IFERROR(VLOOKUP(J711,Listas!$A$127:$E$139,3,FALSE),"Alerta: Seleccione la celda en la comumna B con el nombre del proyecto")))</f>
        <v>Alerta: Seleccione la celda en la comumna B con el nombre del proyecto</v>
      </c>
      <c r="AL711" s="640" t="str">
        <f>IF(J711="Funcionamiento Gastos Generales","No aplica",IF(J711="Funcionamiento Servicios Personales","No aplica",IFERROR(VLOOKUP(J711,Listas!$A$220:$D$224,2,FALSE),"Alerta: Seleccione la celda en la comumna B con el nombre del proyecto")))</f>
        <v>Alerta: Seleccione la celda en la comumna B con el nombre del proyecto</v>
      </c>
      <c r="AM711" s="640" t="str">
        <f>IF(J711="Funcionamiento Gastos Generales","No aplica",IF(J711="Funcionamiento Servicios Personales","No aplica",IFERROR(VLOOKUP(J711,Listas!$A$220:$D$224,3,FALSE),"Alerta: Seleccione la celda en la comumna B con el nombre del proyecto")))</f>
        <v>Alerta: Seleccione la celda en la comumna B con el nombre del proyecto</v>
      </c>
      <c r="AN711" s="633"/>
      <c r="AO711" s="633"/>
      <c r="AP711" s="634" t="str">
        <f>IFERROR(VLOOKUP(J711,Listas!$A$182:$E$215,5,FALSE),"Alerta: Seleccione la celda en la comumna B con el nombre del proyecto")</f>
        <v>Alerta: Seleccione la celda en la comumna B con el nombre del proyecto</v>
      </c>
      <c r="AQ711" s="634" t="str">
        <f>IF(J711="Funcionamiento Gastos Generales","No aplica",IF(J711="Funcionamiento Servicios Personales","No aplica",IFERROR(VLOOKUP(J711,Listas!$A$220:$D$224,4,FALSE),"Alerta: Seleccione la celda en la comumna B con el nombre del proyecto")))</f>
        <v>Alerta: Seleccione la celda en la comumna B con el nombre del proyecto</v>
      </c>
      <c r="AR711" s="633"/>
      <c r="AS711" s="634" t="str">
        <f>IFERROR(VLOOKUP(AU711,Listas!$E$85:$L$105,7,FALSE),"Alerta: Seleccione la celda en la comumna AI con el concepto de gasto")</f>
        <v>Alerta: Seleccione la celda en la comumna AI con el concepto de gasto</v>
      </c>
      <c r="AT711" s="634" t="str">
        <f>IFERROR(VLOOKUP(AU711,Listas!$E$85:$L$105,8,FALSE),"Alerta: Seleccione la celda en la comumna AI con el concepto de gasto")</f>
        <v>Alerta: Seleccione la celda en la comumna AI con el concepto de gasto</v>
      </c>
      <c r="AU711" s="633"/>
      <c r="AV711" s="634" t="str">
        <f>IFERROR(VLOOKUP(AU711,Listas!$E$85:$F$105,2,FALSE),"Alerta: Seleccione el Concepto de Gasto primero")</f>
        <v>Alerta: Seleccione el Concepto de Gasto primero</v>
      </c>
      <c r="AW711" s="644"/>
      <c r="AX711" s="645"/>
      <c r="AY711" s="645"/>
      <c r="AZ711" s="645"/>
      <c r="BA711" s="646">
        <f t="shared" si="218"/>
        <v>0</v>
      </c>
      <c r="BB711" s="647"/>
      <c r="BC711" s="648"/>
      <c r="BD711" s="649"/>
      <c r="BE711" s="647"/>
      <c r="BF711" s="644"/>
      <c r="BG711" s="646">
        <f t="shared" si="219"/>
        <v>0</v>
      </c>
      <c r="BH711" s="650"/>
      <c r="BI711" s="647"/>
      <c r="BJ711" s="644"/>
      <c r="BK711" s="646">
        <f t="shared" si="220"/>
        <v>0</v>
      </c>
      <c r="BL711" s="651"/>
      <c r="BM711" s="652">
        <f t="shared" si="221"/>
        <v>1</v>
      </c>
      <c r="BN711" s="628"/>
      <c r="BO711" s="670"/>
      <c r="BP711" s="644"/>
      <c r="BQ711" s="644"/>
      <c r="BR711" s="644"/>
      <c r="BS711" s="644"/>
      <c r="BT711" s="644"/>
      <c r="BU711" s="644"/>
      <c r="BV711" s="644"/>
      <c r="BW711" s="644"/>
      <c r="BX711" s="644"/>
      <c r="BY711" s="644"/>
      <c r="BZ711" s="644"/>
      <c r="CA711" s="644"/>
      <c r="CB711" s="646">
        <f t="shared" si="222"/>
        <v>0</v>
      </c>
      <c r="CC711" s="646">
        <f t="shared" si="223"/>
        <v>0</v>
      </c>
      <c r="CD711" s="614"/>
    </row>
    <row r="712" spans="1:82" s="561" customFormat="1" ht="61.5" customHeight="1">
      <c r="A712" s="625" t="str">
        <f t="shared" si="205"/>
        <v>proyecto-Alerta: Seleccione la celda en la comumna B con el nombre del proyecto-Al-Al--</v>
      </c>
      <c r="B712" s="626" t="str">
        <f t="shared" si="206"/>
        <v>proyecto-Alerta: Seleccione la celda en la comumna B con el nombre del proyecto-Al-Al-</v>
      </c>
      <c r="C712" s="626" t="str">
        <f t="shared" si="207"/>
        <v>proyecto-Alerta: Seleccione la celda en la comumna B con el nombre del proyecto-</v>
      </c>
      <c r="D712" s="626" t="str">
        <f t="shared" si="208"/>
        <v>proyecto--Al-Al-</v>
      </c>
      <c r="E712" s="626" t="str">
        <f t="shared" si="209"/>
        <v>--</v>
      </c>
      <c r="F712" s="627"/>
      <c r="G712" s="628">
        <f t="shared" si="210"/>
        <v>0</v>
      </c>
      <c r="H712" s="629" t="b">
        <f t="shared" si="211"/>
        <v>1</v>
      </c>
      <c r="I712" s="630"/>
      <c r="J712" s="627"/>
      <c r="K712" s="631" t="str">
        <f>+IFERROR(VLOOKUP(J712,Listas!$A$108:$B$114,2,FALSE),"Alerta: Seleccione la celda en la comumna B con el nombre del proyecto")</f>
        <v>Alerta: Seleccione la celda en la comumna B con el nombre del proyecto</v>
      </c>
      <c r="L712" s="632"/>
      <c r="M712" s="633"/>
      <c r="N712" s="634" t="str">
        <f t="shared" si="212"/>
        <v xml:space="preserve">(Cód. ) </v>
      </c>
      <c r="O712" s="635"/>
      <c r="P712" s="636">
        <f>IFERROR(VLOOKUP(W712,'Estimación CRP'!$D$21:$E$30,2,FALSE),0)</f>
        <v>0</v>
      </c>
      <c r="Q712" s="637">
        <f>IF(O712="No aplica","No aplica",WORKDAY.INTL(O712,P712,1,'Estimación CRP'!A898:A914))</f>
        <v>0</v>
      </c>
      <c r="R712" s="636">
        <f t="shared" si="213"/>
        <v>1</v>
      </c>
      <c r="S712" s="636">
        <f t="shared" si="214"/>
        <v>1</v>
      </c>
      <c r="T712" s="636">
        <f t="shared" si="215"/>
        <v>1</v>
      </c>
      <c r="U712" s="638"/>
      <c r="V712" s="638"/>
      <c r="W712" s="639"/>
      <c r="X712" s="640" t="str">
        <f>IFERROR(VLOOKUP(W712,Listas!$A$60:$B$73,2,FALSE),"Alerta: Seleccione primero Modalidad de selección")</f>
        <v>Alerta: Seleccione primero Modalidad de selección</v>
      </c>
      <c r="Y712" s="641">
        <v>0</v>
      </c>
      <c r="Z712" s="641"/>
      <c r="AA712" s="641"/>
      <c r="AB712" s="642">
        <f t="shared" si="216"/>
        <v>0</v>
      </c>
      <c r="AC712" s="642">
        <f t="shared" si="217"/>
        <v>0</v>
      </c>
      <c r="AD712" s="641">
        <v>0</v>
      </c>
      <c r="AE712" s="643">
        <v>0</v>
      </c>
      <c r="AF712" s="639" t="s">
        <v>276</v>
      </c>
      <c r="AG712" s="639" t="s">
        <v>277</v>
      </c>
      <c r="AH712" s="639"/>
      <c r="AI712" s="626" t="str">
        <f>IFERROR(VLOOKUP(AH712,Listas!$A$77:$C$83,2,FALSE),"Alerta: Seleccione primero el responsable")</f>
        <v>Alerta: Seleccione primero el responsable</v>
      </c>
      <c r="AJ712" s="640" t="str">
        <f>IFERROR(VLOOKUP(AH712,Listas!$A$77:$C$83,3,FALSE),"Alerta: Seleccione primero el responsable")</f>
        <v>Alerta: Seleccione primero el responsable</v>
      </c>
      <c r="AK712" s="640" t="str">
        <f>IF(J712="Funcionamiento Gastos Generales","No aplica",IF(J712="Funcionamiento Servicios Personales indirectos","No aplica",IFERROR(VLOOKUP(J712,Listas!$A$127:$E$139,3,FALSE),"Alerta: Seleccione la celda en la comumna B con el nombre del proyecto")))</f>
        <v>Alerta: Seleccione la celda en la comumna B con el nombre del proyecto</v>
      </c>
      <c r="AL712" s="640" t="str">
        <f>IF(J712="Funcionamiento Gastos Generales","No aplica",IF(J712="Funcionamiento Servicios Personales","No aplica",IFERROR(VLOOKUP(J712,Listas!$A$220:$D$224,2,FALSE),"Alerta: Seleccione la celda en la comumna B con el nombre del proyecto")))</f>
        <v>Alerta: Seleccione la celda en la comumna B con el nombre del proyecto</v>
      </c>
      <c r="AM712" s="640" t="str">
        <f>IF(J712="Funcionamiento Gastos Generales","No aplica",IF(J712="Funcionamiento Servicios Personales","No aplica",IFERROR(VLOOKUP(J712,Listas!$A$220:$D$224,3,FALSE),"Alerta: Seleccione la celda en la comumna B con el nombre del proyecto")))</f>
        <v>Alerta: Seleccione la celda en la comumna B con el nombre del proyecto</v>
      </c>
      <c r="AN712" s="633"/>
      <c r="AO712" s="633"/>
      <c r="AP712" s="634" t="str">
        <f>IFERROR(VLOOKUP(J712,Listas!$A$182:$E$215,5,FALSE),"Alerta: Seleccione la celda en la comumna B con el nombre del proyecto")</f>
        <v>Alerta: Seleccione la celda en la comumna B con el nombre del proyecto</v>
      </c>
      <c r="AQ712" s="634" t="str">
        <f>IF(J712="Funcionamiento Gastos Generales","No aplica",IF(J712="Funcionamiento Servicios Personales","No aplica",IFERROR(VLOOKUP(J712,Listas!$A$220:$D$224,4,FALSE),"Alerta: Seleccione la celda en la comumna B con el nombre del proyecto")))</f>
        <v>Alerta: Seleccione la celda en la comumna B con el nombre del proyecto</v>
      </c>
      <c r="AR712" s="633"/>
      <c r="AS712" s="634" t="str">
        <f>IFERROR(VLOOKUP(AU712,Listas!$E$85:$L$105,7,FALSE),"Alerta: Seleccione la celda en la comumna AI con el concepto de gasto")</f>
        <v>Alerta: Seleccione la celda en la comumna AI con el concepto de gasto</v>
      </c>
      <c r="AT712" s="634" t="str">
        <f>IFERROR(VLOOKUP(AU712,Listas!$E$85:$L$105,8,FALSE),"Alerta: Seleccione la celda en la comumna AI con el concepto de gasto")</f>
        <v>Alerta: Seleccione la celda en la comumna AI con el concepto de gasto</v>
      </c>
      <c r="AU712" s="633"/>
      <c r="AV712" s="634" t="str">
        <f>IFERROR(VLOOKUP(AU712,Listas!$E$85:$F$105,2,FALSE),"Alerta: Seleccione el Concepto de Gasto primero")</f>
        <v>Alerta: Seleccione el Concepto de Gasto primero</v>
      </c>
      <c r="AW712" s="644"/>
      <c r="AX712" s="645"/>
      <c r="AY712" s="645"/>
      <c r="AZ712" s="645"/>
      <c r="BA712" s="646">
        <f t="shared" si="218"/>
        <v>0</v>
      </c>
      <c r="BB712" s="647"/>
      <c r="BC712" s="648"/>
      <c r="BD712" s="649"/>
      <c r="BE712" s="647"/>
      <c r="BF712" s="644"/>
      <c r="BG712" s="646">
        <f t="shared" si="219"/>
        <v>0</v>
      </c>
      <c r="BH712" s="650"/>
      <c r="BI712" s="647"/>
      <c r="BJ712" s="644"/>
      <c r="BK712" s="646">
        <f t="shared" si="220"/>
        <v>0</v>
      </c>
      <c r="BL712" s="651"/>
      <c r="BM712" s="652">
        <f t="shared" si="221"/>
        <v>1</v>
      </c>
      <c r="BN712" s="628"/>
      <c r="BO712" s="670"/>
      <c r="BP712" s="644"/>
      <c r="BQ712" s="644"/>
      <c r="BR712" s="644"/>
      <c r="BS712" s="644"/>
      <c r="BT712" s="644"/>
      <c r="BU712" s="644"/>
      <c r="BV712" s="644"/>
      <c r="BW712" s="644"/>
      <c r="BX712" s="644"/>
      <c r="BY712" s="644"/>
      <c r="BZ712" s="644"/>
      <c r="CA712" s="644"/>
      <c r="CB712" s="646">
        <f t="shared" si="222"/>
        <v>0</v>
      </c>
      <c r="CC712" s="646">
        <f t="shared" si="223"/>
        <v>0</v>
      </c>
      <c r="CD712" s="614"/>
    </row>
    <row r="713" spans="1:82" s="561" customFormat="1" ht="61.5" customHeight="1">
      <c r="A713" s="625" t="str">
        <f t="shared" si="205"/>
        <v>proyecto-Alerta: Seleccione la celda en la comumna B con el nombre del proyecto-Al-Al--</v>
      </c>
      <c r="B713" s="626" t="str">
        <f t="shared" si="206"/>
        <v>proyecto-Alerta: Seleccione la celda en la comumna B con el nombre del proyecto-Al-Al-</v>
      </c>
      <c r="C713" s="626" t="str">
        <f t="shared" si="207"/>
        <v>proyecto-Alerta: Seleccione la celda en la comumna B con el nombre del proyecto-</v>
      </c>
      <c r="D713" s="626" t="str">
        <f t="shared" si="208"/>
        <v>proyecto--Al-Al-</v>
      </c>
      <c r="E713" s="626" t="str">
        <f t="shared" si="209"/>
        <v>--</v>
      </c>
      <c r="F713" s="627"/>
      <c r="G713" s="628">
        <f t="shared" si="210"/>
        <v>0</v>
      </c>
      <c r="H713" s="629" t="b">
        <f t="shared" si="211"/>
        <v>1</v>
      </c>
      <c r="I713" s="630"/>
      <c r="J713" s="627"/>
      <c r="K713" s="631" t="str">
        <f>+IFERROR(VLOOKUP(J713,Listas!$A$108:$B$114,2,FALSE),"Alerta: Seleccione la celda en la comumna B con el nombre del proyecto")</f>
        <v>Alerta: Seleccione la celda en la comumna B con el nombre del proyecto</v>
      </c>
      <c r="L713" s="632"/>
      <c r="M713" s="633"/>
      <c r="N713" s="634" t="str">
        <f t="shared" si="212"/>
        <v xml:space="preserve">(Cód. ) </v>
      </c>
      <c r="O713" s="635"/>
      <c r="P713" s="636">
        <f>IFERROR(VLOOKUP(W713,'Estimación CRP'!$D$21:$E$30,2,FALSE),0)</f>
        <v>0</v>
      </c>
      <c r="Q713" s="637">
        <f>IF(O713="No aplica","No aplica",WORKDAY.INTL(O713,P713,1,'Estimación CRP'!A899:A915))</f>
        <v>0</v>
      </c>
      <c r="R713" s="636">
        <f t="shared" si="213"/>
        <v>1</v>
      </c>
      <c r="S713" s="636">
        <f t="shared" si="214"/>
        <v>1</v>
      </c>
      <c r="T713" s="636">
        <f t="shared" si="215"/>
        <v>1</v>
      </c>
      <c r="U713" s="638"/>
      <c r="V713" s="638"/>
      <c r="W713" s="639"/>
      <c r="X713" s="640" t="str">
        <f>IFERROR(VLOOKUP(W713,Listas!$A$60:$B$73,2,FALSE),"Alerta: Seleccione primero Modalidad de selección")</f>
        <v>Alerta: Seleccione primero Modalidad de selección</v>
      </c>
      <c r="Y713" s="641">
        <v>0</v>
      </c>
      <c r="Z713" s="641"/>
      <c r="AA713" s="641"/>
      <c r="AB713" s="642">
        <f t="shared" si="216"/>
        <v>0</v>
      </c>
      <c r="AC713" s="642">
        <f t="shared" si="217"/>
        <v>0</v>
      </c>
      <c r="AD713" s="641">
        <v>0</v>
      </c>
      <c r="AE713" s="643">
        <v>0</v>
      </c>
      <c r="AF713" s="639" t="s">
        <v>276</v>
      </c>
      <c r="AG713" s="639" t="s">
        <v>277</v>
      </c>
      <c r="AH713" s="639"/>
      <c r="AI713" s="626" t="str">
        <f>IFERROR(VLOOKUP(AH713,Listas!$A$77:$C$83,2,FALSE),"Alerta: Seleccione primero el responsable")</f>
        <v>Alerta: Seleccione primero el responsable</v>
      </c>
      <c r="AJ713" s="640" t="str">
        <f>IFERROR(VLOOKUP(AH713,Listas!$A$77:$C$83,3,FALSE),"Alerta: Seleccione primero el responsable")</f>
        <v>Alerta: Seleccione primero el responsable</v>
      </c>
      <c r="AK713" s="640" t="str">
        <f>IF(J713="Funcionamiento Gastos Generales","No aplica",IF(J713="Funcionamiento Servicios Personales indirectos","No aplica",IFERROR(VLOOKUP(J713,Listas!$A$127:$E$139,3,FALSE),"Alerta: Seleccione la celda en la comumna B con el nombre del proyecto")))</f>
        <v>Alerta: Seleccione la celda en la comumna B con el nombre del proyecto</v>
      </c>
      <c r="AL713" s="640" t="str">
        <f>IF(J713="Funcionamiento Gastos Generales","No aplica",IF(J713="Funcionamiento Servicios Personales","No aplica",IFERROR(VLOOKUP(J713,Listas!$A$220:$D$224,2,FALSE),"Alerta: Seleccione la celda en la comumna B con el nombre del proyecto")))</f>
        <v>Alerta: Seleccione la celda en la comumna B con el nombre del proyecto</v>
      </c>
      <c r="AM713" s="640" t="str">
        <f>IF(J713="Funcionamiento Gastos Generales","No aplica",IF(J713="Funcionamiento Servicios Personales","No aplica",IFERROR(VLOOKUP(J713,Listas!$A$220:$D$224,3,FALSE),"Alerta: Seleccione la celda en la comumna B con el nombre del proyecto")))</f>
        <v>Alerta: Seleccione la celda en la comumna B con el nombre del proyecto</v>
      </c>
      <c r="AN713" s="633"/>
      <c r="AO713" s="633"/>
      <c r="AP713" s="634" t="str">
        <f>IFERROR(VLOOKUP(J713,Listas!$A$182:$E$215,5,FALSE),"Alerta: Seleccione la celda en la comumna B con el nombre del proyecto")</f>
        <v>Alerta: Seleccione la celda en la comumna B con el nombre del proyecto</v>
      </c>
      <c r="AQ713" s="634" t="str">
        <f>IF(J713="Funcionamiento Gastos Generales","No aplica",IF(J713="Funcionamiento Servicios Personales","No aplica",IFERROR(VLOOKUP(J713,Listas!$A$220:$D$224,4,FALSE),"Alerta: Seleccione la celda en la comumna B con el nombre del proyecto")))</f>
        <v>Alerta: Seleccione la celda en la comumna B con el nombre del proyecto</v>
      </c>
      <c r="AR713" s="633"/>
      <c r="AS713" s="634" t="str">
        <f>IFERROR(VLOOKUP(AU713,Listas!$E$85:$L$105,7,FALSE),"Alerta: Seleccione la celda en la comumna AI con el concepto de gasto")</f>
        <v>Alerta: Seleccione la celda en la comumna AI con el concepto de gasto</v>
      </c>
      <c r="AT713" s="634" t="str">
        <f>IFERROR(VLOOKUP(AU713,Listas!$E$85:$L$105,8,FALSE),"Alerta: Seleccione la celda en la comumna AI con el concepto de gasto")</f>
        <v>Alerta: Seleccione la celda en la comumna AI con el concepto de gasto</v>
      </c>
      <c r="AU713" s="633"/>
      <c r="AV713" s="634" t="str">
        <f>IFERROR(VLOOKUP(AU713,Listas!$E$85:$F$105,2,FALSE),"Alerta: Seleccione el Concepto de Gasto primero")</f>
        <v>Alerta: Seleccione el Concepto de Gasto primero</v>
      </c>
      <c r="AW713" s="644"/>
      <c r="AX713" s="645"/>
      <c r="AY713" s="645"/>
      <c r="AZ713" s="645"/>
      <c r="BA713" s="646">
        <f t="shared" si="218"/>
        <v>0</v>
      </c>
      <c r="BB713" s="647"/>
      <c r="BC713" s="648"/>
      <c r="BD713" s="649"/>
      <c r="BE713" s="647"/>
      <c r="BF713" s="644"/>
      <c r="BG713" s="646">
        <f t="shared" si="219"/>
        <v>0</v>
      </c>
      <c r="BH713" s="650"/>
      <c r="BI713" s="647"/>
      <c r="BJ713" s="644"/>
      <c r="BK713" s="646">
        <f t="shared" si="220"/>
        <v>0</v>
      </c>
      <c r="BL713" s="651"/>
      <c r="BM713" s="652">
        <f t="shared" si="221"/>
        <v>1</v>
      </c>
      <c r="BN713" s="628"/>
      <c r="BO713" s="670"/>
      <c r="BP713" s="644"/>
      <c r="BQ713" s="644"/>
      <c r="BR713" s="644"/>
      <c r="BS713" s="644"/>
      <c r="BT713" s="644"/>
      <c r="BU713" s="644"/>
      <c r="BV713" s="644"/>
      <c r="BW713" s="644"/>
      <c r="BX713" s="644"/>
      <c r="BY713" s="644"/>
      <c r="BZ713" s="644"/>
      <c r="CA713" s="644"/>
      <c r="CB713" s="646">
        <f t="shared" si="222"/>
        <v>0</v>
      </c>
      <c r="CC713" s="646">
        <f t="shared" si="223"/>
        <v>0</v>
      </c>
      <c r="CD713" s="614"/>
    </row>
    <row r="714" spans="1:82" s="561" customFormat="1" ht="61.5" customHeight="1">
      <c r="A714" s="625" t="str">
        <f t="shared" si="205"/>
        <v>proyecto-Alerta: Seleccione la celda en la comumna B con el nombre del proyecto-Al-Al--</v>
      </c>
      <c r="B714" s="626" t="str">
        <f t="shared" si="206"/>
        <v>proyecto-Alerta: Seleccione la celda en la comumna B con el nombre del proyecto-Al-Al-</v>
      </c>
      <c r="C714" s="626" t="str">
        <f t="shared" si="207"/>
        <v>proyecto-Alerta: Seleccione la celda en la comumna B con el nombre del proyecto-</v>
      </c>
      <c r="D714" s="626" t="str">
        <f t="shared" si="208"/>
        <v>proyecto--Al-Al-</v>
      </c>
      <c r="E714" s="626" t="str">
        <f t="shared" si="209"/>
        <v>--</v>
      </c>
      <c r="F714" s="627"/>
      <c r="G714" s="628">
        <f t="shared" si="210"/>
        <v>0</v>
      </c>
      <c r="H714" s="629" t="b">
        <f t="shared" si="211"/>
        <v>1</v>
      </c>
      <c r="I714" s="630"/>
      <c r="J714" s="627"/>
      <c r="K714" s="631" t="str">
        <f>+IFERROR(VLOOKUP(J714,Listas!$A$108:$B$114,2,FALSE),"Alerta: Seleccione la celda en la comumna B con el nombre del proyecto")</f>
        <v>Alerta: Seleccione la celda en la comumna B con el nombre del proyecto</v>
      </c>
      <c r="L714" s="632"/>
      <c r="M714" s="633"/>
      <c r="N714" s="634" t="str">
        <f t="shared" si="212"/>
        <v xml:space="preserve">(Cód. ) </v>
      </c>
      <c r="O714" s="635"/>
      <c r="P714" s="636">
        <f>IFERROR(VLOOKUP(W714,'Estimación CRP'!$D$21:$E$30,2,FALSE),0)</f>
        <v>0</v>
      </c>
      <c r="Q714" s="637">
        <f>IF(O714="No aplica","No aplica",WORKDAY.INTL(O714,P714,1,'Estimación CRP'!A900:A916))</f>
        <v>0</v>
      </c>
      <c r="R714" s="636">
        <f t="shared" si="213"/>
        <v>1</v>
      </c>
      <c r="S714" s="636">
        <f t="shared" si="214"/>
        <v>1</v>
      </c>
      <c r="T714" s="636">
        <f t="shared" si="215"/>
        <v>1</v>
      </c>
      <c r="U714" s="638"/>
      <c r="V714" s="638"/>
      <c r="W714" s="639"/>
      <c r="X714" s="640" t="str">
        <f>IFERROR(VLOOKUP(W714,Listas!$A$60:$B$73,2,FALSE),"Alerta: Seleccione primero Modalidad de selección")</f>
        <v>Alerta: Seleccione primero Modalidad de selección</v>
      </c>
      <c r="Y714" s="641">
        <v>0</v>
      </c>
      <c r="Z714" s="641"/>
      <c r="AA714" s="641"/>
      <c r="AB714" s="642">
        <f t="shared" si="216"/>
        <v>0</v>
      </c>
      <c r="AC714" s="642">
        <f t="shared" si="217"/>
        <v>0</v>
      </c>
      <c r="AD714" s="641">
        <v>0</v>
      </c>
      <c r="AE714" s="643">
        <v>0</v>
      </c>
      <c r="AF714" s="639" t="s">
        <v>276</v>
      </c>
      <c r="AG714" s="639" t="s">
        <v>277</v>
      </c>
      <c r="AH714" s="639"/>
      <c r="AI714" s="626" t="str">
        <f>IFERROR(VLOOKUP(AH714,Listas!$A$77:$C$83,2,FALSE),"Alerta: Seleccione primero el responsable")</f>
        <v>Alerta: Seleccione primero el responsable</v>
      </c>
      <c r="AJ714" s="640" t="str">
        <f>IFERROR(VLOOKUP(AH714,Listas!$A$77:$C$83,3,FALSE),"Alerta: Seleccione primero el responsable")</f>
        <v>Alerta: Seleccione primero el responsable</v>
      </c>
      <c r="AK714" s="640" t="str">
        <f>IF(J714="Funcionamiento Gastos Generales","No aplica",IF(J714="Funcionamiento Servicios Personales indirectos","No aplica",IFERROR(VLOOKUP(J714,Listas!$A$127:$E$139,3,FALSE),"Alerta: Seleccione la celda en la comumna B con el nombre del proyecto")))</f>
        <v>Alerta: Seleccione la celda en la comumna B con el nombre del proyecto</v>
      </c>
      <c r="AL714" s="640" t="str">
        <f>IF(J714="Funcionamiento Gastos Generales","No aplica",IF(J714="Funcionamiento Servicios Personales","No aplica",IFERROR(VLOOKUP(J714,Listas!$A$220:$D$224,2,FALSE),"Alerta: Seleccione la celda en la comumna B con el nombre del proyecto")))</f>
        <v>Alerta: Seleccione la celda en la comumna B con el nombre del proyecto</v>
      </c>
      <c r="AM714" s="640" t="str">
        <f>IF(J714="Funcionamiento Gastos Generales","No aplica",IF(J714="Funcionamiento Servicios Personales","No aplica",IFERROR(VLOOKUP(J714,Listas!$A$220:$D$224,3,FALSE),"Alerta: Seleccione la celda en la comumna B con el nombre del proyecto")))</f>
        <v>Alerta: Seleccione la celda en la comumna B con el nombre del proyecto</v>
      </c>
      <c r="AN714" s="633"/>
      <c r="AO714" s="633"/>
      <c r="AP714" s="634" t="str">
        <f>IFERROR(VLOOKUP(J714,Listas!$A$182:$E$215,5,FALSE),"Alerta: Seleccione la celda en la comumna B con el nombre del proyecto")</f>
        <v>Alerta: Seleccione la celda en la comumna B con el nombre del proyecto</v>
      </c>
      <c r="AQ714" s="634" t="str">
        <f>IF(J714="Funcionamiento Gastos Generales","No aplica",IF(J714="Funcionamiento Servicios Personales","No aplica",IFERROR(VLOOKUP(J714,Listas!$A$220:$D$224,4,FALSE),"Alerta: Seleccione la celda en la comumna B con el nombre del proyecto")))</f>
        <v>Alerta: Seleccione la celda en la comumna B con el nombre del proyecto</v>
      </c>
      <c r="AR714" s="633"/>
      <c r="AS714" s="634" t="str">
        <f>IFERROR(VLOOKUP(AU714,Listas!$E$85:$L$105,7,FALSE),"Alerta: Seleccione la celda en la comumna AI con el concepto de gasto")</f>
        <v>Alerta: Seleccione la celda en la comumna AI con el concepto de gasto</v>
      </c>
      <c r="AT714" s="634" t="str">
        <f>IFERROR(VLOOKUP(AU714,Listas!$E$85:$L$105,8,FALSE),"Alerta: Seleccione la celda en la comumna AI con el concepto de gasto")</f>
        <v>Alerta: Seleccione la celda en la comumna AI con el concepto de gasto</v>
      </c>
      <c r="AU714" s="633"/>
      <c r="AV714" s="634" t="str">
        <f>IFERROR(VLOOKUP(AU714,Listas!$E$85:$F$105,2,FALSE),"Alerta: Seleccione el Concepto de Gasto primero")</f>
        <v>Alerta: Seleccione el Concepto de Gasto primero</v>
      </c>
      <c r="AW714" s="644"/>
      <c r="AX714" s="645"/>
      <c r="AY714" s="645"/>
      <c r="AZ714" s="645"/>
      <c r="BA714" s="646">
        <f t="shared" si="218"/>
        <v>0</v>
      </c>
      <c r="BB714" s="647"/>
      <c r="BC714" s="648"/>
      <c r="BD714" s="649"/>
      <c r="BE714" s="647"/>
      <c r="BF714" s="644"/>
      <c r="BG714" s="646">
        <f t="shared" si="219"/>
        <v>0</v>
      </c>
      <c r="BH714" s="650"/>
      <c r="BI714" s="647"/>
      <c r="BJ714" s="644"/>
      <c r="BK714" s="646">
        <f t="shared" si="220"/>
        <v>0</v>
      </c>
      <c r="BL714" s="651"/>
      <c r="BM714" s="652">
        <f t="shared" si="221"/>
        <v>1</v>
      </c>
      <c r="BN714" s="628"/>
      <c r="BO714" s="670"/>
      <c r="BP714" s="644"/>
      <c r="BQ714" s="644"/>
      <c r="BR714" s="644"/>
      <c r="BS714" s="644"/>
      <c r="BT714" s="644"/>
      <c r="BU714" s="644"/>
      <c r="BV714" s="644"/>
      <c r="BW714" s="644"/>
      <c r="BX714" s="644"/>
      <c r="BY714" s="644"/>
      <c r="BZ714" s="644"/>
      <c r="CA714" s="644"/>
      <c r="CB714" s="646">
        <f t="shared" si="222"/>
        <v>0</v>
      </c>
      <c r="CC714" s="646">
        <f t="shared" si="223"/>
        <v>0</v>
      </c>
      <c r="CD714" s="614"/>
    </row>
    <row r="715" spans="1:82" s="561" customFormat="1" ht="61.5" customHeight="1">
      <c r="A715" s="625" t="str">
        <f t="shared" si="205"/>
        <v>proyecto-Alerta: Seleccione la celda en la comumna B con el nombre del proyecto-Al-Al--</v>
      </c>
      <c r="B715" s="626" t="str">
        <f t="shared" si="206"/>
        <v>proyecto-Alerta: Seleccione la celda en la comumna B con el nombre del proyecto-Al-Al-</v>
      </c>
      <c r="C715" s="626" t="str">
        <f t="shared" si="207"/>
        <v>proyecto-Alerta: Seleccione la celda en la comumna B con el nombre del proyecto-</v>
      </c>
      <c r="D715" s="626" t="str">
        <f t="shared" si="208"/>
        <v>proyecto--Al-Al-</v>
      </c>
      <c r="E715" s="626" t="str">
        <f t="shared" si="209"/>
        <v>--</v>
      </c>
      <c r="F715" s="627"/>
      <c r="G715" s="628">
        <f t="shared" si="210"/>
        <v>0</v>
      </c>
      <c r="H715" s="629" t="b">
        <f t="shared" si="211"/>
        <v>1</v>
      </c>
      <c r="I715" s="630"/>
      <c r="J715" s="627"/>
      <c r="K715" s="631" t="str">
        <f>+IFERROR(VLOOKUP(J715,Listas!$A$108:$B$114,2,FALSE),"Alerta: Seleccione la celda en la comumna B con el nombre del proyecto")</f>
        <v>Alerta: Seleccione la celda en la comumna B con el nombre del proyecto</v>
      </c>
      <c r="L715" s="632"/>
      <c r="M715" s="633"/>
      <c r="N715" s="634" t="str">
        <f t="shared" si="212"/>
        <v xml:space="preserve">(Cód. ) </v>
      </c>
      <c r="O715" s="635"/>
      <c r="P715" s="636">
        <f>IFERROR(VLOOKUP(W715,'Estimación CRP'!$D$21:$E$30,2,FALSE),0)</f>
        <v>0</v>
      </c>
      <c r="Q715" s="637">
        <f>IF(O715="No aplica","No aplica",WORKDAY.INTL(O715,P715,1,'Estimación CRP'!A901:A917))</f>
        <v>0</v>
      </c>
      <c r="R715" s="636">
        <f t="shared" si="213"/>
        <v>1</v>
      </c>
      <c r="S715" s="636">
        <f t="shared" si="214"/>
        <v>1</v>
      </c>
      <c r="T715" s="636">
        <f t="shared" si="215"/>
        <v>1</v>
      </c>
      <c r="U715" s="638"/>
      <c r="V715" s="638"/>
      <c r="W715" s="639"/>
      <c r="X715" s="640" t="str">
        <f>IFERROR(VLOOKUP(W715,Listas!$A$60:$B$73,2,FALSE),"Alerta: Seleccione primero Modalidad de selección")</f>
        <v>Alerta: Seleccione primero Modalidad de selección</v>
      </c>
      <c r="Y715" s="641">
        <v>0</v>
      </c>
      <c r="Z715" s="641"/>
      <c r="AA715" s="641"/>
      <c r="AB715" s="642">
        <f t="shared" si="216"/>
        <v>0</v>
      </c>
      <c r="AC715" s="642">
        <f t="shared" si="217"/>
        <v>0</v>
      </c>
      <c r="AD715" s="641">
        <v>0</v>
      </c>
      <c r="AE715" s="643">
        <v>0</v>
      </c>
      <c r="AF715" s="639" t="s">
        <v>276</v>
      </c>
      <c r="AG715" s="639" t="s">
        <v>277</v>
      </c>
      <c r="AH715" s="639"/>
      <c r="AI715" s="626" t="str">
        <f>IFERROR(VLOOKUP(AH715,Listas!$A$77:$C$83,2,FALSE),"Alerta: Seleccione primero el responsable")</f>
        <v>Alerta: Seleccione primero el responsable</v>
      </c>
      <c r="AJ715" s="640" t="str">
        <f>IFERROR(VLOOKUP(AH715,Listas!$A$77:$C$83,3,FALSE),"Alerta: Seleccione primero el responsable")</f>
        <v>Alerta: Seleccione primero el responsable</v>
      </c>
      <c r="AK715" s="640" t="str">
        <f>IF(J715="Funcionamiento Gastos Generales","No aplica",IF(J715="Funcionamiento Servicios Personales indirectos","No aplica",IFERROR(VLOOKUP(J715,Listas!$A$127:$E$139,3,FALSE),"Alerta: Seleccione la celda en la comumna B con el nombre del proyecto")))</f>
        <v>Alerta: Seleccione la celda en la comumna B con el nombre del proyecto</v>
      </c>
      <c r="AL715" s="640" t="str">
        <f>IF(J715="Funcionamiento Gastos Generales","No aplica",IF(J715="Funcionamiento Servicios Personales","No aplica",IFERROR(VLOOKUP(J715,Listas!$A$220:$D$224,2,FALSE),"Alerta: Seleccione la celda en la comumna B con el nombre del proyecto")))</f>
        <v>Alerta: Seleccione la celda en la comumna B con el nombre del proyecto</v>
      </c>
      <c r="AM715" s="640" t="str">
        <f>IF(J715="Funcionamiento Gastos Generales","No aplica",IF(J715="Funcionamiento Servicios Personales","No aplica",IFERROR(VLOOKUP(J715,Listas!$A$220:$D$224,3,FALSE),"Alerta: Seleccione la celda en la comumna B con el nombre del proyecto")))</f>
        <v>Alerta: Seleccione la celda en la comumna B con el nombre del proyecto</v>
      </c>
      <c r="AN715" s="633"/>
      <c r="AO715" s="633"/>
      <c r="AP715" s="634" t="str">
        <f>IFERROR(VLOOKUP(J715,Listas!$A$182:$E$215,5,FALSE),"Alerta: Seleccione la celda en la comumna B con el nombre del proyecto")</f>
        <v>Alerta: Seleccione la celda en la comumna B con el nombre del proyecto</v>
      </c>
      <c r="AQ715" s="634" t="str">
        <f>IF(J715="Funcionamiento Gastos Generales","No aplica",IF(J715="Funcionamiento Servicios Personales","No aplica",IFERROR(VLOOKUP(J715,Listas!$A$220:$D$224,4,FALSE),"Alerta: Seleccione la celda en la comumna B con el nombre del proyecto")))</f>
        <v>Alerta: Seleccione la celda en la comumna B con el nombre del proyecto</v>
      </c>
      <c r="AR715" s="633"/>
      <c r="AS715" s="634" t="str">
        <f>IFERROR(VLOOKUP(AU715,Listas!$E$85:$L$105,7,FALSE),"Alerta: Seleccione la celda en la comumna AI con el concepto de gasto")</f>
        <v>Alerta: Seleccione la celda en la comumna AI con el concepto de gasto</v>
      </c>
      <c r="AT715" s="634" t="str">
        <f>IFERROR(VLOOKUP(AU715,Listas!$E$85:$L$105,8,FALSE),"Alerta: Seleccione la celda en la comumna AI con el concepto de gasto")</f>
        <v>Alerta: Seleccione la celda en la comumna AI con el concepto de gasto</v>
      </c>
      <c r="AU715" s="633"/>
      <c r="AV715" s="634" t="str">
        <f>IFERROR(VLOOKUP(AU715,Listas!$E$85:$F$105,2,FALSE),"Alerta: Seleccione el Concepto de Gasto primero")</f>
        <v>Alerta: Seleccione el Concepto de Gasto primero</v>
      </c>
      <c r="AW715" s="644"/>
      <c r="AX715" s="645"/>
      <c r="AY715" s="645"/>
      <c r="AZ715" s="645"/>
      <c r="BA715" s="646">
        <f t="shared" si="218"/>
        <v>0</v>
      </c>
      <c r="BB715" s="647"/>
      <c r="BC715" s="648"/>
      <c r="BD715" s="649"/>
      <c r="BE715" s="647"/>
      <c r="BF715" s="644"/>
      <c r="BG715" s="646">
        <f t="shared" si="219"/>
        <v>0</v>
      </c>
      <c r="BH715" s="650"/>
      <c r="BI715" s="647"/>
      <c r="BJ715" s="644"/>
      <c r="BK715" s="646">
        <f t="shared" si="220"/>
        <v>0</v>
      </c>
      <c r="BL715" s="651"/>
      <c r="BM715" s="652">
        <f t="shared" si="221"/>
        <v>1</v>
      </c>
      <c r="BN715" s="628"/>
      <c r="BO715" s="670"/>
      <c r="BP715" s="644"/>
      <c r="BQ715" s="644"/>
      <c r="BR715" s="644"/>
      <c r="BS715" s="644"/>
      <c r="BT715" s="644"/>
      <c r="BU715" s="644"/>
      <c r="BV715" s="644"/>
      <c r="BW715" s="644"/>
      <c r="BX715" s="644"/>
      <c r="BY715" s="644"/>
      <c r="BZ715" s="644"/>
      <c r="CA715" s="644"/>
      <c r="CB715" s="646">
        <f t="shared" si="222"/>
        <v>0</v>
      </c>
      <c r="CC715" s="646">
        <f t="shared" si="223"/>
        <v>0</v>
      </c>
      <c r="CD715" s="614"/>
    </row>
    <row r="716" spans="1:82" s="561" customFormat="1" ht="61.5" customHeight="1">
      <c r="A716" s="625" t="str">
        <f t="shared" si="205"/>
        <v>proyecto-Alerta: Seleccione la celda en la comumna B con el nombre del proyecto-Al-Al--</v>
      </c>
      <c r="B716" s="626" t="str">
        <f t="shared" si="206"/>
        <v>proyecto-Alerta: Seleccione la celda en la comumna B con el nombre del proyecto-Al-Al-</v>
      </c>
      <c r="C716" s="626" t="str">
        <f t="shared" si="207"/>
        <v>proyecto-Alerta: Seleccione la celda en la comumna B con el nombre del proyecto-</v>
      </c>
      <c r="D716" s="626" t="str">
        <f t="shared" si="208"/>
        <v>proyecto--Al-Al-</v>
      </c>
      <c r="E716" s="626" t="str">
        <f t="shared" si="209"/>
        <v>--</v>
      </c>
      <c r="F716" s="627"/>
      <c r="G716" s="628">
        <f t="shared" si="210"/>
        <v>0</v>
      </c>
      <c r="H716" s="629" t="b">
        <f t="shared" si="211"/>
        <v>1</v>
      </c>
      <c r="I716" s="630"/>
      <c r="J716" s="627"/>
      <c r="K716" s="631" t="str">
        <f>+IFERROR(VLOOKUP(J716,Listas!$A$108:$B$114,2,FALSE),"Alerta: Seleccione la celda en la comumna B con el nombre del proyecto")</f>
        <v>Alerta: Seleccione la celda en la comumna B con el nombre del proyecto</v>
      </c>
      <c r="L716" s="632"/>
      <c r="M716" s="633"/>
      <c r="N716" s="634" t="str">
        <f t="shared" si="212"/>
        <v xml:space="preserve">(Cód. ) </v>
      </c>
      <c r="O716" s="635"/>
      <c r="P716" s="636">
        <f>IFERROR(VLOOKUP(W716,'Estimación CRP'!$D$21:$E$30,2,FALSE),0)</f>
        <v>0</v>
      </c>
      <c r="Q716" s="637">
        <f>IF(O716="No aplica","No aplica",WORKDAY.INTL(O716,P716,1,'Estimación CRP'!A902:A918))</f>
        <v>0</v>
      </c>
      <c r="R716" s="636">
        <f t="shared" si="213"/>
        <v>1</v>
      </c>
      <c r="S716" s="636">
        <f t="shared" si="214"/>
        <v>1</v>
      </c>
      <c r="T716" s="636">
        <f t="shared" si="215"/>
        <v>1</v>
      </c>
      <c r="U716" s="638"/>
      <c r="V716" s="638"/>
      <c r="W716" s="639"/>
      <c r="X716" s="640" t="str">
        <f>IFERROR(VLOOKUP(W716,Listas!$A$60:$B$73,2,FALSE),"Alerta: Seleccione primero Modalidad de selección")</f>
        <v>Alerta: Seleccione primero Modalidad de selección</v>
      </c>
      <c r="Y716" s="641">
        <v>0</v>
      </c>
      <c r="Z716" s="641"/>
      <c r="AA716" s="641"/>
      <c r="AB716" s="642">
        <f t="shared" si="216"/>
        <v>0</v>
      </c>
      <c r="AC716" s="642">
        <f t="shared" si="217"/>
        <v>0</v>
      </c>
      <c r="AD716" s="641">
        <v>0</v>
      </c>
      <c r="AE716" s="643">
        <v>0</v>
      </c>
      <c r="AF716" s="639" t="s">
        <v>276</v>
      </c>
      <c r="AG716" s="639" t="s">
        <v>277</v>
      </c>
      <c r="AH716" s="639"/>
      <c r="AI716" s="626" t="str">
        <f>IFERROR(VLOOKUP(AH716,Listas!$A$77:$C$83,2,FALSE),"Alerta: Seleccione primero el responsable")</f>
        <v>Alerta: Seleccione primero el responsable</v>
      </c>
      <c r="AJ716" s="640" t="str">
        <f>IFERROR(VLOOKUP(AH716,Listas!$A$77:$C$83,3,FALSE),"Alerta: Seleccione primero el responsable")</f>
        <v>Alerta: Seleccione primero el responsable</v>
      </c>
      <c r="AK716" s="640" t="str">
        <f>IF(J716="Funcionamiento Gastos Generales","No aplica",IF(J716="Funcionamiento Servicios Personales indirectos","No aplica",IFERROR(VLOOKUP(J716,Listas!$A$127:$E$139,3,FALSE),"Alerta: Seleccione la celda en la comumna B con el nombre del proyecto")))</f>
        <v>Alerta: Seleccione la celda en la comumna B con el nombre del proyecto</v>
      </c>
      <c r="AL716" s="640" t="str">
        <f>IF(J716="Funcionamiento Gastos Generales","No aplica",IF(J716="Funcionamiento Servicios Personales","No aplica",IFERROR(VLOOKUP(J716,Listas!$A$220:$D$224,2,FALSE),"Alerta: Seleccione la celda en la comumna B con el nombre del proyecto")))</f>
        <v>Alerta: Seleccione la celda en la comumna B con el nombre del proyecto</v>
      </c>
      <c r="AM716" s="640" t="str">
        <f>IF(J716="Funcionamiento Gastos Generales","No aplica",IF(J716="Funcionamiento Servicios Personales","No aplica",IFERROR(VLOOKUP(J716,Listas!$A$220:$D$224,3,FALSE),"Alerta: Seleccione la celda en la comumna B con el nombre del proyecto")))</f>
        <v>Alerta: Seleccione la celda en la comumna B con el nombre del proyecto</v>
      </c>
      <c r="AN716" s="633"/>
      <c r="AO716" s="633"/>
      <c r="AP716" s="634" t="str">
        <f>IFERROR(VLOOKUP(J716,Listas!$A$182:$E$215,5,FALSE),"Alerta: Seleccione la celda en la comumna B con el nombre del proyecto")</f>
        <v>Alerta: Seleccione la celda en la comumna B con el nombre del proyecto</v>
      </c>
      <c r="AQ716" s="634" t="str">
        <f>IF(J716="Funcionamiento Gastos Generales","No aplica",IF(J716="Funcionamiento Servicios Personales","No aplica",IFERROR(VLOOKUP(J716,Listas!$A$220:$D$224,4,FALSE),"Alerta: Seleccione la celda en la comumna B con el nombre del proyecto")))</f>
        <v>Alerta: Seleccione la celda en la comumna B con el nombre del proyecto</v>
      </c>
      <c r="AR716" s="633"/>
      <c r="AS716" s="634" t="str">
        <f>IFERROR(VLOOKUP(AU716,Listas!$E$85:$L$105,7,FALSE),"Alerta: Seleccione la celda en la comumna AI con el concepto de gasto")</f>
        <v>Alerta: Seleccione la celda en la comumna AI con el concepto de gasto</v>
      </c>
      <c r="AT716" s="634" t="str">
        <f>IFERROR(VLOOKUP(AU716,Listas!$E$85:$L$105,8,FALSE),"Alerta: Seleccione la celda en la comumna AI con el concepto de gasto")</f>
        <v>Alerta: Seleccione la celda en la comumna AI con el concepto de gasto</v>
      </c>
      <c r="AU716" s="633"/>
      <c r="AV716" s="634" t="str">
        <f>IFERROR(VLOOKUP(AU716,Listas!$E$85:$F$105,2,FALSE),"Alerta: Seleccione el Concepto de Gasto primero")</f>
        <v>Alerta: Seleccione el Concepto de Gasto primero</v>
      </c>
      <c r="AW716" s="644"/>
      <c r="AX716" s="645"/>
      <c r="AY716" s="645"/>
      <c r="AZ716" s="645"/>
      <c r="BA716" s="646">
        <f t="shared" si="218"/>
        <v>0</v>
      </c>
      <c r="BB716" s="647"/>
      <c r="BC716" s="648"/>
      <c r="BD716" s="649"/>
      <c r="BE716" s="647"/>
      <c r="BF716" s="644"/>
      <c r="BG716" s="646">
        <f t="shared" si="219"/>
        <v>0</v>
      </c>
      <c r="BH716" s="650"/>
      <c r="BI716" s="647"/>
      <c r="BJ716" s="644"/>
      <c r="BK716" s="646">
        <f t="shared" si="220"/>
        <v>0</v>
      </c>
      <c r="BL716" s="651"/>
      <c r="BM716" s="652">
        <f t="shared" si="221"/>
        <v>1</v>
      </c>
      <c r="BN716" s="628"/>
      <c r="BO716" s="670"/>
      <c r="BP716" s="644"/>
      <c r="BQ716" s="644"/>
      <c r="BR716" s="644"/>
      <c r="BS716" s="644"/>
      <c r="BT716" s="644"/>
      <c r="BU716" s="644"/>
      <c r="BV716" s="644"/>
      <c r="BW716" s="644"/>
      <c r="BX716" s="644"/>
      <c r="BY716" s="644"/>
      <c r="BZ716" s="644"/>
      <c r="CA716" s="644"/>
      <c r="CB716" s="646">
        <f t="shared" si="222"/>
        <v>0</v>
      </c>
      <c r="CC716" s="646">
        <f t="shared" si="223"/>
        <v>0</v>
      </c>
      <c r="CD716" s="614"/>
    </row>
    <row r="717" spans="1:82" s="561" customFormat="1" ht="61.5" customHeight="1">
      <c r="A717" s="625" t="str">
        <f t="shared" si="205"/>
        <v>proyecto-Alerta: Seleccione la celda en la comumna B con el nombre del proyecto-Al-Al--</v>
      </c>
      <c r="B717" s="626" t="str">
        <f t="shared" si="206"/>
        <v>proyecto-Alerta: Seleccione la celda en la comumna B con el nombre del proyecto-Al-Al-</v>
      </c>
      <c r="C717" s="626" t="str">
        <f t="shared" si="207"/>
        <v>proyecto-Alerta: Seleccione la celda en la comumna B con el nombre del proyecto-</v>
      </c>
      <c r="D717" s="626" t="str">
        <f t="shared" si="208"/>
        <v>proyecto--Al-Al-</v>
      </c>
      <c r="E717" s="626" t="str">
        <f t="shared" si="209"/>
        <v>--</v>
      </c>
      <c r="F717" s="627"/>
      <c r="G717" s="628">
        <f t="shared" si="210"/>
        <v>0</v>
      </c>
      <c r="H717" s="629" t="b">
        <f t="shared" si="211"/>
        <v>1</v>
      </c>
      <c r="I717" s="630"/>
      <c r="J717" s="627"/>
      <c r="K717" s="631" t="str">
        <f>+IFERROR(VLOOKUP(J717,Listas!$A$108:$B$114,2,FALSE),"Alerta: Seleccione la celda en la comumna B con el nombre del proyecto")</f>
        <v>Alerta: Seleccione la celda en la comumna B con el nombre del proyecto</v>
      </c>
      <c r="L717" s="632"/>
      <c r="M717" s="633"/>
      <c r="N717" s="634" t="str">
        <f t="shared" si="212"/>
        <v xml:space="preserve">(Cód. ) </v>
      </c>
      <c r="O717" s="635"/>
      <c r="P717" s="636">
        <f>IFERROR(VLOOKUP(W717,'Estimación CRP'!$D$21:$E$30,2,FALSE),0)</f>
        <v>0</v>
      </c>
      <c r="Q717" s="637">
        <f>IF(O717="No aplica","No aplica",WORKDAY.INTL(O717,P717,1,'Estimación CRP'!A903:A919))</f>
        <v>0</v>
      </c>
      <c r="R717" s="636">
        <f t="shared" si="213"/>
        <v>1</v>
      </c>
      <c r="S717" s="636">
        <f t="shared" si="214"/>
        <v>1</v>
      </c>
      <c r="T717" s="636">
        <f t="shared" si="215"/>
        <v>1</v>
      </c>
      <c r="U717" s="638"/>
      <c r="V717" s="638"/>
      <c r="W717" s="639"/>
      <c r="X717" s="640" t="str">
        <f>IFERROR(VLOOKUP(W717,Listas!$A$60:$B$73,2,FALSE),"Alerta: Seleccione primero Modalidad de selección")</f>
        <v>Alerta: Seleccione primero Modalidad de selección</v>
      </c>
      <c r="Y717" s="641">
        <v>0</v>
      </c>
      <c r="Z717" s="641"/>
      <c r="AA717" s="641"/>
      <c r="AB717" s="642">
        <f t="shared" si="216"/>
        <v>0</v>
      </c>
      <c r="AC717" s="642">
        <f t="shared" si="217"/>
        <v>0</v>
      </c>
      <c r="AD717" s="641">
        <v>0</v>
      </c>
      <c r="AE717" s="643">
        <v>0</v>
      </c>
      <c r="AF717" s="639" t="s">
        <v>276</v>
      </c>
      <c r="AG717" s="639" t="s">
        <v>277</v>
      </c>
      <c r="AH717" s="639"/>
      <c r="AI717" s="626" t="str">
        <f>IFERROR(VLOOKUP(AH717,Listas!$A$77:$C$83,2,FALSE),"Alerta: Seleccione primero el responsable")</f>
        <v>Alerta: Seleccione primero el responsable</v>
      </c>
      <c r="AJ717" s="640" t="str">
        <f>IFERROR(VLOOKUP(AH717,Listas!$A$77:$C$83,3,FALSE),"Alerta: Seleccione primero el responsable")</f>
        <v>Alerta: Seleccione primero el responsable</v>
      </c>
      <c r="AK717" s="640" t="str">
        <f>IF(J717="Funcionamiento Gastos Generales","No aplica",IF(J717="Funcionamiento Servicios Personales indirectos","No aplica",IFERROR(VLOOKUP(J717,Listas!$A$127:$E$139,3,FALSE),"Alerta: Seleccione la celda en la comumna B con el nombre del proyecto")))</f>
        <v>Alerta: Seleccione la celda en la comumna B con el nombre del proyecto</v>
      </c>
      <c r="AL717" s="640" t="str">
        <f>IF(J717="Funcionamiento Gastos Generales","No aplica",IF(J717="Funcionamiento Servicios Personales","No aplica",IFERROR(VLOOKUP(J717,Listas!$A$220:$D$224,2,FALSE),"Alerta: Seleccione la celda en la comumna B con el nombre del proyecto")))</f>
        <v>Alerta: Seleccione la celda en la comumna B con el nombre del proyecto</v>
      </c>
      <c r="AM717" s="640" t="str">
        <f>IF(J717="Funcionamiento Gastos Generales","No aplica",IF(J717="Funcionamiento Servicios Personales","No aplica",IFERROR(VLOOKUP(J717,Listas!$A$220:$D$224,3,FALSE),"Alerta: Seleccione la celda en la comumna B con el nombre del proyecto")))</f>
        <v>Alerta: Seleccione la celda en la comumna B con el nombre del proyecto</v>
      </c>
      <c r="AN717" s="633"/>
      <c r="AO717" s="633"/>
      <c r="AP717" s="634" t="str">
        <f>IFERROR(VLOOKUP(J717,Listas!$A$182:$E$215,5,FALSE),"Alerta: Seleccione la celda en la comumna B con el nombre del proyecto")</f>
        <v>Alerta: Seleccione la celda en la comumna B con el nombre del proyecto</v>
      </c>
      <c r="AQ717" s="634" t="str">
        <f>IF(J717="Funcionamiento Gastos Generales","No aplica",IF(J717="Funcionamiento Servicios Personales","No aplica",IFERROR(VLOOKUP(J717,Listas!$A$220:$D$224,4,FALSE),"Alerta: Seleccione la celda en la comumna B con el nombre del proyecto")))</f>
        <v>Alerta: Seleccione la celda en la comumna B con el nombre del proyecto</v>
      </c>
      <c r="AR717" s="633"/>
      <c r="AS717" s="634" t="str">
        <f>IFERROR(VLOOKUP(AU717,Listas!$E$85:$L$105,7,FALSE),"Alerta: Seleccione la celda en la comumna AI con el concepto de gasto")</f>
        <v>Alerta: Seleccione la celda en la comumna AI con el concepto de gasto</v>
      </c>
      <c r="AT717" s="634" t="str">
        <f>IFERROR(VLOOKUP(AU717,Listas!$E$85:$L$105,8,FALSE),"Alerta: Seleccione la celda en la comumna AI con el concepto de gasto")</f>
        <v>Alerta: Seleccione la celda en la comumna AI con el concepto de gasto</v>
      </c>
      <c r="AU717" s="633"/>
      <c r="AV717" s="634" t="str">
        <f>IFERROR(VLOOKUP(AU717,Listas!$E$85:$F$105,2,FALSE),"Alerta: Seleccione el Concepto de Gasto primero")</f>
        <v>Alerta: Seleccione el Concepto de Gasto primero</v>
      </c>
      <c r="AW717" s="644"/>
      <c r="AX717" s="645"/>
      <c r="AY717" s="645"/>
      <c r="AZ717" s="645"/>
      <c r="BA717" s="646">
        <f t="shared" si="218"/>
        <v>0</v>
      </c>
      <c r="BB717" s="647"/>
      <c r="BC717" s="648"/>
      <c r="BD717" s="649"/>
      <c r="BE717" s="647"/>
      <c r="BF717" s="644"/>
      <c r="BG717" s="646">
        <f t="shared" si="219"/>
        <v>0</v>
      </c>
      <c r="BH717" s="650"/>
      <c r="BI717" s="647"/>
      <c r="BJ717" s="644"/>
      <c r="BK717" s="646">
        <f t="shared" si="220"/>
        <v>0</v>
      </c>
      <c r="BL717" s="651"/>
      <c r="BM717" s="652">
        <f t="shared" si="221"/>
        <v>1</v>
      </c>
      <c r="BN717" s="628"/>
      <c r="BO717" s="670"/>
      <c r="BP717" s="644"/>
      <c r="BQ717" s="644"/>
      <c r="BR717" s="644"/>
      <c r="BS717" s="644"/>
      <c r="BT717" s="644"/>
      <c r="BU717" s="644"/>
      <c r="BV717" s="644"/>
      <c r="BW717" s="644"/>
      <c r="BX717" s="644"/>
      <c r="BY717" s="644"/>
      <c r="BZ717" s="644"/>
      <c r="CA717" s="644"/>
      <c r="CB717" s="646">
        <f t="shared" si="222"/>
        <v>0</v>
      </c>
      <c r="CC717" s="646">
        <f t="shared" si="223"/>
        <v>0</v>
      </c>
      <c r="CD717" s="614"/>
    </row>
    <row r="718" spans="1:82" s="561" customFormat="1" ht="61.5" customHeight="1">
      <c r="A718" s="625" t="str">
        <f t="shared" si="205"/>
        <v>proyecto-Alerta: Seleccione la celda en la comumna B con el nombre del proyecto-Al-Al--</v>
      </c>
      <c r="B718" s="626" t="str">
        <f t="shared" si="206"/>
        <v>proyecto-Alerta: Seleccione la celda en la comumna B con el nombre del proyecto-Al-Al-</v>
      </c>
      <c r="C718" s="626" t="str">
        <f t="shared" si="207"/>
        <v>proyecto-Alerta: Seleccione la celda en la comumna B con el nombre del proyecto-</v>
      </c>
      <c r="D718" s="626" t="str">
        <f t="shared" si="208"/>
        <v>proyecto--Al-Al-</v>
      </c>
      <c r="E718" s="626" t="str">
        <f t="shared" si="209"/>
        <v>--</v>
      </c>
      <c r="F718" s="627"/>
      <c r="G718" s="628">
        <f t="shared" si="210"/>
        <v>0</v>
      </c>
      <c r="H718" s="629" t="b">
        <f t="shared" si="211"/>
        <v>1</v>
      </c>
      <c r="I718" s="630"/>
      <c r="J718" s="627"/>
      <c r="K718" s="631" t="str">
        <f>+IFERROR(VLOOKUP(J718,Listas!$A$108:$B$114,2,FALSE),"Alerta: Seleccione la celda en la comumna B con el nombre del proyecto")</f>
        <v>Alerta: Seleccione la celda en la comumna B con el nombre del proyecto</v>
      </c>
      <c r="L718" s="632"/>
      <c r="M718" s="633"/>
      <c r="N718" s="634" t="str">
        <f t="shared" si="212"/>
        <v xml:space="preserve">(Cód. ) </v>
      </c>
      <c r="O718" s="635"/>
      <c r="P718" s="636">
        <f>IFERROR(VLOOKUP(W718,'Estimación CRP'!$D$21:$E$30,2,FALSE),0)</f>
        <v>0</v>
      </c>
      <c r="Q718" s="637">
        <f>IF(O718="No aplica","No aplica",WORKDAY.INTL(O718,P718,1,'Estimación CRP'!A904:A920))</f>
        <v>0</v>
      </c>
      <c r="R718" s="636">
        <f t="shared" si="213"/>
        <v>1</v>
      </c>
      <c r="S718" s="636">
        <f t="shared" si="214"/>
        <v>1</v>
      </c>
      <c r="T718" s="636">
        <f t="shared" si="215"/>
        <v>1</v>
      </c>
      <c r="U718" s="638"/>
      <c r="V718" s="638"/>
      <c r="W718" s="639"/>
      <c r="X718" s="640" t="str">
        <f>IFERROR(VLOOKUP(W718,Listas!$A$60:$B$73,2,FALSE),"Alerta: Seleccione primero Modalidad de selección")</f>
        <v>Alerta: Seleccione primero Modalidad de selección</v>
      </c>
      <c r="Y718" s="641">
        <v>0</v>
      </c>
      <c r="Z718" s="641"/>
      <c r="AA718" s="641"/>
      <c r="AB718" s="642">
        <f t="shared" si="216"/>
        <v>0</v>
      </c>
      <c r="AC718" s="642">
        <f t="shared" si="217"/>
        <v>0</v>
      </c>
      <c r="AD718" s="641">
        <v>0</v>
      </c>
      <c r="AE718" s="643">
        <v>0</v>
      </c>
      <c r="AF718" s="639" t="s">
        <v>276</v>
      </c>
      <c r="AG718" s="639" t="s">
        <v>277</v>
      </c>
      <c r="AH718" s="639"/>
      <c r="AI718" s="626" t="str">
        <f>IFERROR(VLOOKUP(AH718,Listas!$A$77:$C$83,2,FALSE),"Alerta: Seleccione primero el responsable")</f>
        <v>Alerta: Seleccione primero el responsable</v>
      </c>
      <c r="AJ718" s="640" t="str">
        <f>IFERROR(VLOOKUP(AH718,Listas!$A$77:$C$83,3,FALSE),"Alerta: Seleccione primero el responsable")</f>
        <v>Alerta: Seleccione primero el responsable</v>
      </c>
      <c r="AK718" s="640" t="str">
        <f>IF(J718="Funcionamiento Gastos Generales","No aplica",IF(J718="Funcionamiento Servicios Personales indirectos","No aplica",IFERROR(VLOOKUP(J718,Listas!$A$127:$E$139,3,FALSE),"Alerta: Seleccione la celda en la comumna B con el nombre del proyecto")))</f>
        <v>Alerta: Seleccione la celda en la comumna B con el nombre del proyecto</v>
      </c>
      <c r="AL718" s="640" t="str">
        <f>IF(J718="Funcionamiento Gastos Generales","No aplica",IF(J718="Funcionamiento Servicios Personales","No aplica",IFERROR(VLOOKUP(J718,Listas!$A$220:$D$224,2,FALSE),"Alerta: Seleccione la celda en la comumna B con el nombre del proyecto")))</f>
        <v>Alerta: Seleccione la celda en la comumna B con el nombre del proyecto</v>
      </c>
      <c r="AM718" s="640" t="str">
        <f>IF(J718="Funcionamiento Gastos Generales","No aplica",IF(J718="Funcionamiento Servicios Personales","No aplica",IFERROR(VLOOKUP(J718,Listas!$A$220:$D$224,3,FALSE),"Alerta: Seleccione la celda en la comumna B con el nombre del proyecto")))</f>
        <v>Alerta: Seleccione la celda en la comumna B con el nombre del proyecto</v>
      </c>
      <c r="AN718" s="633"/>
      <c r="AO718" s="633"/>
      <c r="AP718" s="634" t="str">
        <f>IFERROR(VLOOKUP(J718,Listas!$A$182:$E$215,5,FALSE),"Alerta: Seleccione la celda en la comumna B con el nombre del proyecto")</f>
        <v>Alerta: Seleccione la celda en la comumna B con el nombre del proyecto</v>
      </c>
      <c r="AQ718" s="634" t="str">
        <f>IF(J718="Funcionamiento Gastos Generales","No aplica",IF(J718="Funcionamiento Servicios Personales","No aplica",IFERROR(VLOOKUP(J718,Listas!$A$220:$D$224,4,FALSE),"Alerta: Seleccione la celda en la comumna B con el nombre del proyecto")))</f>
        <v>Alerta: Seleccione la celda en la comumna B con el nombre del proyecto</v>
      </c>
      <c r="AR718" s="633"/>
      <c r="AS718" s="634" t="str">
        <f>IFERROR(VLOOKUP(AU718,Listas!$E$85:$L$105,7,FALSE),"Alerta: Seleccione la celda en la comumna AI con el concepto de gasto")</f>
        <v>Alerta: Seleccione la celda en la comumna AI con el concepto de gasto</v>
      </c>
      <c r="AT718" s="634" t="str">
        <f>IFERROR(VLOOKUP(AU718,Listas!$E$85:$L$105,8,FALSE),"Alerta: Seleccione la celda en la comumna AI con el concepto de gasto")</f>
        <v>Alerta: Seleccione la celda en la comumna AI con el concepto de gasto</v>
      </c>
      <c r="AU718" s="633"/>
      <c r="AV718" s="634" t="str">
        <f>IFERROR(VLOOKUP(AU718,Listas!$E$85:$F$105,2,FALSE),"Alerta: Seleccione el Concepto de Gasto primero")</f>
        <v>Alerta: Seleccione el Concepto de Gasto primero</v>
      </c>
      <c r="AW718" s="644"/>
      <c r="AX718" s="645"/>
      <c r="AY718" s="645"/>
      <c r="AZ718" s="645"/>
      <c r="BA718" s="646">
        <f t="shared" si="218"/>
        <v>0</v>
      </c>
      <c r="BB718" s="647"/>
      <c r="BC718" s="648"/>
      <c r="BD718" s="649"/>
      <c r="BE718" s="647"/>
      <c r="BF718" s="644"/>
      <c r="BG718" s="646">
        <f t="shared" si="219"/>
        <v>0</v>
      </c>
      <c r="BH718" s="650"/>
      <c r="BI718" s="647"/>
      <c r="BJ718" s="644"/>
      <c r="BK718" s="646">
        <f t="shared" si="220"/>
        <v>0</v>
      </c>
      <c r="BL718" s="651"/>
      <c r="BM718" s="652">
        <f t="shared" si="221"/>
        <v>1</v>
      </c>
      <c r="BN718" s="628"/>
      <c r="BO718" s="670"/>
      <c r="BP718" s="644"/>
      <c r="BQ718" s="644"/>
      <c r="BR718" s="644"/>
      <c r="BS718" s="644"/>
      <c r="BT718" s="644"/>
      <c r="BU718" s="644"/>
      <c r="BV718" s="644"/>
      <c r="BW718" s="644"/>
      <c r="BX718" s="644"/>
      <c r="BY718" s="644"/>
      <c r="BZ718" s="644"/>
      <c r="CA718" s="644"/>
      <c r="CB718" s="646">
        <f t="shared" si="222"/>
        <v>0</v>
      </c>
      <c r="CC718" s="646">
        <f t="shared" si="223"/>
        <v>0</v>
      </c>
      <c r="CD718" s="614"/>
    </row>
    <row r="719" spans="1:82" s="561" customFormat="1" ht="61.5" customHeight="1">
      <c r="A719" s="625" t="str">
        <f t="shared" si="205"/>
        <v>proyecto-Alerta: Seleccione la celda en la comumna B con el nombre del proyecto-Al-Al--</v>
      </c>
      <c r="B719" s="626" t="str">
        <f t="shared" si="206"/>
        <v>proyecto-Alerta: Seleccione la celda en la comumna B con el nombre del proyecto-Al-Al-</v>
      </c>
      <c r="C719" s="626" t="str">
        <f t="shared" si="207"/>
        <v>proyecto-Alerta: Seleccione la celda en la comumna B con el nombre del proyecto-</v>
      </c>
      <c r="D719" s="626" t="str">
        <f t="shared" si="208"/>
        <v>proyecto--Al-Al-</v>
      </c>
      <c r="E719" s="626" t="str">
        <f t="shared" si="209"/>
        <v>--</v>
      </c>
      <c r="F719" s="627"/>
      <c r="G719" s="628">
        <f t="shared" si="210"/>
        <v>0</v>
      </c>
      <c r="H719" s="629" t="b">
        <f t="shared" si="211"/>
        <v>1</v>
      </c>
      <c r="I719" s="630"/>
      <c r="J719" s="627"/>
      <c r="K719" s="631" t="str">
        <f>+IFERROR(VLOOKUP(J719,Listas!$A$108:$B$114,2,FALSE),"Alerta: Seleccione la celda en la comumna B con el nombre del proyecto")</f>
        <v>Alerta: Seleccione la celda en la comumna B con el nombre del proyecto</v>
      </c>
      <c r="L719" s="632"/>
      <c r="M719" s="633"/>
      <c r="N719" s="634" t="str">
        <f t="shared" si="212"/>
        <v xml:space="preserve">(Cód. ) </v>
      </c>
      <c r="O719" s="635"/>
      <c r="P719" s="636">
        <f>IFERROR(VLOOKUP(W719,'Estimación CRP'!$D$21:$E$30,2,FALSE),0)</f>
        <v>0</v>
      </c>
      <c r="Q719" s="637">
        <f>IF(O719="No aplica","No aplica",WORKDAY.INTL(O719,P719,1,'Estimación CRP'!A905:A921))</f>
        <v>0</v>
      </c>
      <c r="R719" s="636">
        <f t="shared" si="213"/>
        <v>1</v>
      </c>
      <c r="S719" s="636">
        <f t="shared" si="214"/>
        <v>1</v>
      </c>
      <c r="T719" s="636">
        <f t="shared" si="215"/>
        <v>1</v>
      </c>
      <c r="U719" s="638"/>
      <c r="V719" s="638"/>
      <c r="W719" s="639"/>
      <c r="X719" s="640" t="str">
        <f>IFERROR(VLOOKUP(W719,Listas!$A$60:$B$73,2,FALSE),"Alerta: Seleccione primero Modalidad de selección")</f>
        <v>Alerta: Seleccione primero Modalidad de selección</v>
      </c>
      <c r="Y719" s="641">
        <v>0</v>
      </c>
      <c r="Z719" s="641"/>
      <c r="AA719" s="641"/>
      <c r="AB719" s="642">
        <f t="shared" si="216"/>
        <v>0</v>
      </c>
      <c r="AC719" s="642">
        <f t="shared" si="217"/>
        <v>0</v>
      </c>
      <c r="AD719" s="641">
        <v>0</v>
      </c>
      <c r="AE719" s="643">
        <v>0</v>
      </c>
      <c r="AF719" s="639" t="s">
        <v>276</v>
      </c>
      <c r="AG719" s="639" t="s">
        <v>277</v>
      </c>
      <c r="AH719" s="639"/>
      <c r="AI719" s="626" t="str">
        <f>IFERROR(VLOOKUP(AH719,Listas!$A$77:$C$83,2,FALSE),"Alerta: Seleccione primero el responsable")</f>
        <v>Alerta: Seleccione primero el responsable</v>
      </c>
      <c r="AJ719" s="640" t="str">
        <f>IFERROR(VLOOKUP(AH719,Listas!$A$77:$C$83,3,FALSE),"Alerta: Seleccione primero el responsable")</f>
        <v>Alerta: Seleccione primero el responsable</v>
      </c>
      <c r="AK719" s="640" t="str">
        <f>IF(J719="Funcionamiento Gastos Generales","No aplica",IF(J719="Funcionamiento Servicios Personales indirectos","No aplica",IFERROR(VLOOKUP(J719,Listas!$A$127:$E$139,3,FALSE),"Alerta: Seleccione la celda en la comumna B con el nombre del proyecto")))</f>
        <v>Alerta: Seleccione la celda en la comumna B con el nombre del proyecto</v>
      </c>
      <c r="AL719" s="640" t="str">
        <f>IF(J719="Funcionamiento Gastos Generales","No aplica",IF(J719="Funcionamiento Servicios Personales","No aplica",IFERROR(VLOOKUP(J719,Listas!$A$220:$D$224,2,FALSE),"Alerta: Seleccione la celda en la comumna B con el nombre del proyecto")))</f>
        <v>Alerta: Seleccione la celda en la comumna B con el nombre del proyecto</v>
      </c>
      <c r="AM719" s="640" t="str">
        <f>IF(J719="Funcionamiento Gastos Generales","No aplica",IF(J719="Funcionamiento Servicios Personales","No aplica",IFERROR(VLOOKUP(J719,Listas!$A$220:$D$224,3,FALSE),"Alerta: Seleccione la celda en la comumna B con el nombre del proyecto")))</f>
        <v>Alerta: Seleccione la celda en la comumna B con el nombre del proyecto</v>
      </c>
      <c r="AN719" s="633"/>
      <c r="AO719" s="633"/>
      <c r="AP719" s="634" t="str">
        <f>IFERROR(VLOOKUP(J719,Listas!$A$182:$E$215,5,FALSE),"Alerta: Seleccione la celda en la comumna B con el nombre del proyecto")</f>
        <v>Alerta: Seleccione la celda en la comumna B con el nombre del proyecto</v>
      </c>
      <c r="AQ719" s="634" t="str">
        <f>IF(J719="Funcionamiento Gastos Generales","No aplica",IF(J719="Funcionamiento Servicios Personales","No aplica",IFERROR(VLOOKUP(J719,Listas!$A$220:$D$224,4,FALSE),"Alerta: Seleccione la celda en la comumna B con el nombre del proyecto")))</f>
        <v>Alerta: Seleccione la celda en la comumna B con el nombre del proyecto</v>
      </c>
      <c r="AR719" s="633"/>
      <c r="AS719" s="634" t="str">
        <f>IFERROR(VLOOKUP(AU719,Listas!$E$85:$L$105,7,FALSE),"Alerta: Seleccione la celda en la comumna AI con el concepto de gasto")</f>
        <v>Alerta: Seleccione la celda en la comumna AI con el concepto de gasto</v>
      </c>
      <c r="AT719" s="634" t="str">
        <f>IFERROR(VLOOKUP(AU719,Listas!$E$85:$L$105,8,FALSE),"Alerta: Seleccione la celda en la comumna AI con el concepto de gasto")</f>
        <v>Alerta: Seleccione la celda en la comumna AI con el concepto de gasto</v>
      </c>
      <c r="AU719" s="633"/>
      <c r="AV719" s="634" t="str">
        <f>IFERROR(VLOOKUP(AU719,Listas!$E$85:$F$105,2,FALSE),"Alerta: Seleccione el Concepto de Gasto primero")</f>
        <v>Alerta: Seleccione el Concepto de Gasto primero</v>
      </c>
      <c r="AW719" s="644"/>
      <c r="AX719" s="645"/>
      <c r="AY719" s="645"/>
      <c r="AZ719" s="645"/>
      <c r="BA719" s="646">
        <f t="shared" si="218"/>
        <v>0</v>
      </c>
      <c r="BB719" s="647"/>
      <c r="BC719" s="648"/>
      <c r="BD719" s="649"/>
      <c r="BE719" s="647"/>
      <c r="BF719" s="644"/>
      <c r="BG719" s="646">
        <f t="shared" si="219"/>
        <v>0</v>
      </c>
      <c r="BH719" s="650"/>
      <c r="BI719" s="647"/>
      <c r="BJ719" s="644"/>
      <c r="BK719" s="646">
        <f t="shared" si="220"/>
        <v>0</v>
      </c>
      <c r="BL719" s="651"/>
      <c r="BM719" s="652">
        <f t="shared" si="221"/>
        <v>1</v>
      </c>
      <c r="BN719" s="628"/>
      <c r="BO719" s="670"/>
      <c r="BP719" s="644"/>
      <c r="BQ719" s="644"/>
      <c r="BR719" s="644"/>
      <c r="BS719" s="644"/>
      <c r="BT719" s="644"/>
      <c r="BU719" s="644"/>
      <c r="BV719" s="644"/>
      <c r="BW719" s="644"/>
      <c r="BX719" s="644"/>
      <c r="BY719" s="644"/>
      <c r="BZ719" s="644"/>
      <c r="CA719" s="644"/>
      <c r="CB719" s="646">
        <f t="shared" si="222"/>
        <v>0</v>
      </c>
      <c r="CC719" s="646">
        <f t="shared" si="223"/>
        <v>0</v>
      </c>
      <c r="CD719" s="614"/>
    </row>
    <row r="720" spans="1:82" s="561" customFormat="1" ht="61.5" customHeight="1">
      <c r="A720" s="625" t="str">
        <f t="shared" si="205"/>
        <v>proyecto-Alerta: Seleccione la celda en la comumna B con el nombre del proyecto-Al-Al--</v>
      </c>
      <c r="B720" s="626" t="str">
        <f t="shared" si="206"/>
        <v>proyecto-Alerta: Seleccione la celda en la comumna B con el nombre del proyecto-Al-Al-</v>
      </c>
      <c r="C720" s="626" t="str">
        <f t="shared" si="207"/>
        <v>proyecto-Alerta: Seleccione la celda en la comumna B con el nombre del proyecto-</v>
      </c>
      <c r="D720" s="626" t="str">
        <f t="shared" si="208"/>
        <v>proyecto--Al-Al-</v>
      </c>
      <c r="E720" s="626" t="str">
        <f t="shared" si="209"/>
        <v>--</v>
      </c>
      <c r="F720" s="627"/>
      <c r="G720" s="628">
        <f t="shared" si="210"/>
        <v>0</v>
      </c>
      <c r="H720" s="629" t="b">
        <f t="shared" si="211"/>
        <v>1</v>
      </c>
      <c r="I720" s="630"/>
      <c r="J720" s="627"/>
      <c r="K720" s="631" t="str">
        <f>+IFERROR(VLOOKUP(J720,Listas!$A$108:$B$114,2,FALSE),"Alerta: Seleccione la celda en la comumna B con el nombre del proyecto")</f>
        <v>Alerta: Seleccione la celda en la comumna B con el nombre del proyecto</v>
      </c>
      <c r="L720" s="632"/>
      <c r="M720" s="633"/>
      <c r="N720" s="634" t="str">
        <f t="shared" si="212"/>
        <v xml:space="preserve">(Cód. ) </v>
      </c>
      <c r="O720" s="635"/>
      <c r="P720" s="636">
        <f>IFERROR(VLOOKUP(W720,'Estimación CRP'!$D$21:$E$30,2,FALSE),0)</f>
        <v>0</v>
      </c>
      <c r="Q720" s="637">
        <f>IF(O720="No aplica","No aplica",WORKDAY.INTL(O720,P720,1,'Estimación CRP'!A906:A922))</f>
        <v>0</v>
      </c>
      <c r="R720" s="636">
        <f t="shared" si="213"/>
        <v>1</v>
      </c>
      <c r="S720" s="636">
        <f t="shared" si="214"/>
        <v>1</v>
      </c>
      <c r="T720" s="636">
        <f t="shared" si="215"/>
        <v>1</v>
      </c>
      <c r="U720" s="638"/>
      <c r="V720" s="638"/>
      <c r="W720" s="639"/>
      <c r="X720" s="640" t="str">
        <f>IFERROR(VLOOKUP(W720,Listas!$A$60:$B$73,2,FALSE),"Alerta: Seleccione primero Modalidad de selección")</f>
        <v>Alerta: Seleccione primero Modalidad de selección</v>
      </c>
      <c r="Y720" s="641">
        <v>0</v>
      </c>
      <c r="Z720" s="641"/>
      <c r="AA720" s="641"/>
      <c r="AB720" s="642">
        <f t="shared" si="216"/>
        <v>0</v>
      </c>
      <c r="AC720" s="642">
        <f t="shared" si="217"/>
        <v>0</v>
      </c>
      <c r="AD720" s="641">
        <v>0</v>
      </c>
      <c r="AE720" s="643">
        <v>0</v>
      </c>
      <c r="AF720" s="639" t="s">
        <v>276</v>
      </c>
      <c r="AG720" s="639" t="s">
        <v>277</v>
      </c>
      <c r="AH720" s="639"/>
      <c r="AI720" s="626" t="str">
        <f>IFERROR(VLOOKUP(AH720,Listas!$A$77:$C$83,2,FALSE),"Alerta: Seleccione primero el responsable")</f>
        <v>Alerta: Seleccione primero el responsable</v>
      </c>
      <c r="AJ720" s="640" t="str">
        <f>IFERROR(VLOOKUP(AH720,Listas!$A$77:$C$83,3,FALSE),"Alerta: Seleccione primero el responsable")</f>
        <v>Alerta: Seleccione primero el responsable</v>
      </c>
      <c r="AK720" s="640" t="str">
        <f>IF(J720="Funcionamiento Gastos Generales","No aplica",IF(J720="Funcionamiento Servicios Personales indirectos","No aplica",IFERROR(VLOOKUP(J720,Listas!$A$127:$E$139,3,FALSE),"Alerta: Seleccione la celda en la comumna B con el nombre del proyecto")))</f>
        <v>Alerta: Seleccione la celda en la comumna B con el nombre del proyecto</v>
      </c>
      <c r="AL720" s="640" t="str">
        <f>IF(J720="Funcionamiento Gastos Generales","No aplica",IF(J720="Funcionamiento Servicios Personales","No aplica",IFERROR(VLOOKUP(J720,Listas!$A$220:$D$224,2,FALSE),"Alerta: Seleccione la celda en la comumna B con el nombre del proyecto")))</f>
        <v>Alerta: Seleccione la celda en la comumna B con el nombre del proyecto</v>
      </c>
      <c r="AM720" s="640" t="str">
        <f>IF(J720="Funcionamiento Gastos Generales","No aplica",IF(J720="Funcionamiento Servicios Personales","No aplica",IFERROR(VLOOKUP(J720,Listas!$A$220:$D$224,3,FALSE),"Alerta: Seleccione la celda en la comumna B con el nombre del proyecto")))</f>
        <v>Alerta: Seleccione la celda en la comumna B con el nombre del proyecto</v>
      </c>
      <c r="AN720" s="633"/>
      <c r="AO720" s="633"/>
      <c r="AP720" s="634" t="str">
        <f>IFERROR(VLOOKUP(J720,Listas!$A$182:$E$215,5,FALSE),"Alerta: Seleccione la celda en la comumna B con el nombre del proyecto")</f>
        <v>Alerta: Seleccione la celda en la comumna B con el nombre del proyecto</v>
      </c>
      <c r="AQ720" s="634" t="str">
        <f>IF(J720="Funcionamiento Gastos Generales","No aplica",IF(J720="Funcionamiento Servicios Personales","No aplica",IFERROR(VLOOKUP(J720,Listas!$A$220:$D$224,4,FALSE),"Alerta: Seleccione la celda en la comumna B con el nombre del proyecto")))</f>
        <v>Alerta: Seleccione la celda en la comumna B con el nombre del proyecto</v>
      </c>
      <c r="AR720" s="633"/>
      <c r="AS720" s="634" t="str">
        <f>IFERROR(VLOOKUP(AU720,Listas!$E$85:$L$105,7,FALSE),"Alerta: Seleccione la celda en la comumna AI con el concepto de gasto")</f>
        <v>Alerta: Seleccione la celda en la comumna AI con el concepto de gasto</v>
      </c>
      <c r="AT720" s="634" t="str">
        <f>IFERROR(VLOOKUP(AU720,Listas!$E$85:$L$105,8,FALSE),"Alerta: Seleccione la celda en la comumna AI con el concepto de gasto")</f>
        <v>Alerta: Seleccione la celda en la comumna AI con el concepto de gasto</v>
      </c>
      <c r="AU720" s="633"/>
      <c r="AV720" s="634" t="str">
        <f>IFERROR(VLOOKUP(AU720,Listas!$E$85:$F$105,2,FALSE),"Alerta: Seleccione el Concepto de Gasto primero")</f>
        <v>Alerta: Seleccione el Concepto de Gasto primero</v>
      </c>
      <c r="AW720" s="644"/>
      <c r="AX720" s="645"/>
      <c r="AY720" s="645"/>
      <c r="AZ720" s="645"/>
      <c r="BA720" s="646">
        <f t="shared" si="218"/>
        <v>0</v>
      </c>
      <c r="BB720" s="647"/>
      <c r="BC720" s="648"/>
      <c r="BD720" s="649"/>
      <c r="BE720" s="647"/>
      <c r="BF720" s="644"/>
      <c r="BG720" s="646">
        <f t="shared" si="219"/>
        <v>0</v>
      </c>
      <c r="BH720" s="650"/>
      <c r="BI720" s="647"/>
      <c r="BJ720" s="644"/>
      <c r="BK720" s="646">
        <f t="shared" si="220"/>
        <v>0</v>
      </c>
      <c r="BL720" s="651"/>
      <c r="BM720" s="652">
        <f t="shared" si="221"/>
        <v>1</v>
      </c>
      <c r="BN720" s="628"/>
      <c r="BO720" s="670"/>
      <c r="BP720" s="644"/>
      <c r="BQ720" s="644"/>
      <c r="BR720" s="644"/>
      <c r="BS720" s="644"/>
      <c r="BT720" s="644"/>
      <c r="BU720" s="644"/>
      <c r="BV720" s="644"/>
      <c r="BW720" s="644"/>
      <c r="BX720" s="644"/>
      <c r="BY720" s="644"/>
      <c r="BZ720" s="644"/>
      <c r="CA720" s="644"/>
      <c r="CB720" s="646">
        <f t="shared" si="222"/>
        <v>0</v>
      </c>
      <c r="CC720" s="646">
        <f t="shared" si="223"/>
        <v>0</v>
      </c>
      <c r="CD720" s="614"/>
    </row>
    <row r="721" spans="1:85" s="561" customFormat="1" ht="61.5" customHeight="1">
      <c r="A721" s="625" t="str">
        <f t="shared" si="205"/>
        <v>proyecto-Alerta: Seleccione la celda en la comumna B con el nombre del proyecto-Al-Al--</v>
      </c>
      <c r="B721" s="626" t="str">
        <f t="shared" si="206"/>
        <v>proyecto-Alerta: Seleccione la celda en la comumna B con el nombre del proyecto-Al-Al-</v>
      </c>
      <c r="C721" s="626" t="str">
        <f t="shared" si="207"/>
        <v>proyecto-Alerta: Seleccione la celda en la comumna B con el nombre del proyecto-</v>
      </c>
      <c r="D721" s="626" t="str">
        <f t="shared" si="208"/>
        <v>proyecto--Al-Al-</v>
      </c>
      <c r="E721" s="626" t="str">
        <f t="shared" si="209"/>
        <v>--</v>
      </c>
      <c r="F721" s="627"/>
      <c r="G721" s="628">
        <f t="shared" si="210"/>
        <v>0</v>
      </c>
      <c r="H721" s="629" t="b">
        <f t="shared" si="211"/>
        <v>1</v>
      </c>
      <c r="I721" s="630"/>
      <c r="J721" s="627"/>
      <c r="K721" s="631" t="str">
        <f>+IFERROR(VLOOKUP(J721,Listas!$A$108:$B$114,2,FALSE),"Alerta: Seleccione la celda en la comumna B con el nombre del proyecto")</f>
        <v>Alerta: Seleccione la celda en la comumna B con el nombre del proyecto</v>
      </c>
      <c r="L721" s="632"/>
      <c r="M721" s="633"/>
      <c r="N721" s="634" t="str">
        <f t="shared" si="212"/>
        <v xml:space="preserve">(Cód. ) </v>
      </c>
      <c r="O721" s="635"/>
      <c r="P721" s="636">
        <f>IFERROR(VLOOKUP(W721,'Estimación CRP'!$D$21:$E$30,2,FALSE),0)</f>
        <v>0</v>
      </c>
      <c r="Q721" s="637">
        <f>IF(O721="No aplica","No aplica",WORKDAY.INTL(O721,P721,1,'Estimación CRP'!A907:A923))</f>
        <v>0</v>
      </c>
      <c r="R721" s="636">
        <f t="shared" si="213"/>
        <v>1</v>
      </c>
      <c r="S721" s="636">
        <f t="shared" si="214"/>
        <v>1</v>
      </c>
      <c r="T721" s="636">
        <f t="shared" si="215"/>
        <v>1</v>
      </c>
      <c r="U721" s="638"/>
      <c r="V721" s="638"/>
      <c r="W721" s="639"/>
      <c r="X721" s="640" t="str">
        <f>IFERROR(VLOOKUP(W721,Listas!$A$60:$B$73,2,FALSE),"Alerta: Seleccione primero Modalidad de selección")</f>
        <v>Alerta: Seleccione primero Modalidad de selección</v>
      </c>
      <c r="Y721" s="641">
        <v>0</v>
      </c>
      <c r="Z721" s="641"/>
      <c r="AA721" s="641"/>
      <c r="AB721" s="642">
        <f t="shared" si="216"/>
        <v>0</v>
      </c>
      <c r="AC721" s="642">
        <f t="shared" si="217"/>
        <v>0</v>
      </c>
      <c r="AD721" s="641">
        <v>0</v>
      </c>
      <c r="AE721" s="643">
        <v>0</v>
      </c>
      <c r="AF721" s="639" t="s">
        <v>276</v>
      </c>
      <c r="AG721" s="639" t="s">
        <v>277</v>
      </c>
      <c r="AH721" s="639"/>
      <c r="AI721" s="626" t="str">
        <f>IFERROR(VLOOKUP(AH721,Listas!$A$77:$C$83,2,FALSE),"Alerta: Seleccione primero el responsable")</f>
        <v>Alerta: Seleccione primero el responsable</v>
      </c>
      <c r="AJ721" s="640" t="str">
        <f>IFERROR(VLOOKUP(AH721,Listas!$A$77:$C$83,3,FALSE),"Alerta: Seleccione primero el responsable")</f>
        <v>Alerta: Seleccione primero el responsable</v>
      </c>
      <c r="AK721" s="640" t="str">
        <f>IF(J721="Funcionamiento Gastos Generales","No aplica",IF(J721="Funcionamiento Servicios Personales indirectos","No aplica",IFERROR(VLOOKUP(J721,Listas!$A$127:$E$139,3,FALSE),"Alerta: Seleccione la celda en la comumna B con el nombre del proyecto")))</f>
        <v>Alerta: Seleccione la celda en la comumna B con el nombre del proyecto</v>
      </c>
      <c r="AL721" s="640" t="str">
        <f>IF(J721="Funcionamiento Gastos Generales","No aplica",IF(J721="Funcionamiento Servicios Personales","No aplica",IFERROR(VLOOKUP(J721,Listas!$A$220:$D$224,2,FALSE),"Alerta: Seleccione la celda en la comumna B con el nombre del proyecto")))</f>
        <v>Alerta: Seleccione la celda en la comumna B con el nombre del proyecto</v>
      </c>
      <c r="AM721" s="640" t="str">
        <f>IF(J721="Funcionamiento Gastos Generales","No aplica",IF(J721="Funcionamiento Servicios Personales","No aplica",IFERROR(VLOOKUP(J721,Listas!$A$220:$D$224,3,FALSE),"Alerta: Seleccione la celda en la comumna B con el nombre del proyecto")))</f>
        <v>Alerta: Seleccione la celda en la comumna B con el nombre del proyecto</v>
      </c>
      <c r="AN721" s="633"/>
      <c r="AO721" s="633"/>
      <c r="AP721" s="634" t="str">
        <f>IFERROR(VLOOKUP(J721,Listas!$A$182:$E$215,5,FALSE),"Alerta: Seleccione la celda en la comumna B con el nombre del proyecto")</f>
        <v>Alerta: Seleccione la celda en la comumna B con el nombre del proyecto</v>
      </c>
      <c r="AQ721" s="634" t="str">
        <f>IF(J721="Funcionamiento Gastos Generales","No aplica",IF(J721="Funcionamiento Servicios Personales","No aplica",IFERROR(VLOOKUP(J721,Listas!$A$220:$D$224,4,FALSE),"Alerta: Seleccione la celda en la comumna B con el nombre del proyecto")))</f>
        <v>Alerta: Seleccione la celda en la comumna B con el nombre del proyecto</v>
      </c>
      <c r="AR721" s="633"/>
      <c r="AS721" s="634" t="str">
        <f>IFERROR(VLOOKUP(AU721,Listas!$E$85:$L$105,7,FALSE),"Alerta: Seleccione la celda en la comumna AI con el concepto de gasto")</f>
        <v>Alerta: Seleccione la celda en la comumna AI con el concepto de gasto</v>
      </c>
      <c r="AT721" s="634" t="str">
        <f>IFERROR(VLOOKUP(AU721,Listas!$E$85:$L$105,8,FALSE),"Alerta: Seleccione la celda en la comumna AI con el concepto de gasto")</f>
        <v>Alerta: Seleccione la celda en la comumna AI con el concepto de gasto</v>
      </c>
      <c r="AU721" s="633"/>
      <c r="AV721" s="634" t="str">
        <f>IFERROR(VLOOKUP(AU721,Listas!$E$85:$F$105,2,FALSE),"Alerta: Seleccione el Concepto de Gasto primero")</f>
        <v>Alerta: Seleccione el Concepto de Gasto primero</v>
      </c>
      <c r="AW721" s="644"/>
      <c r="AX721" s="645"/>
      <c r="AY721" s="645"/>
      <c r="AZ721" s="645"/>
      <c r="BA721" s="646">
        <f t="shared" si="218"/>
        <v>0</v>
      </c>
      <c r="BB721" s="647"/>
      <c r="BC721" s="648"/>
      <c r="BD721" s="649"/>
      <c r="BE721" s="647"/>
      <c r="BF721" s="644"/>
      <c r="BG721" s="646">
        <f t="shared" si="219"/>
        <v>0</v>
      </c>
      <c r="BH721" s="650"/>
      <c r="BI721" s="647"/>
      <c r="BJ721" s="644"/>
      <c r="BK721" s="646">
        <f t="shared" si="220"/>
        <v>0</v>
      </c>
      <c r="BL721" s="651"/>
      <c r="BM721" s="652">
        <f t="shared" si="221"/>
        <v>1</v>
      </c>
      <c r="BN721" s="628"/>
      <c r="BO721" s="670"/>
      <c r="BP721" s="644"/>
      <c r="BQ721" s="644"/>
      <c r="BR721" s="644"/>
      <c r="BS721" s="644"/>
      <c r="BT721" s="644"/>
      <c r="BU721" s="644"/>
      <c r="BV721" s="644"/>
      <c r="BW721" s="644"/>
      <c r="BX721" s="644"/>
      <c r="BY721" s="644"/>
      <c r="BZ721" s="644"/>
      <c r="CA721" s="644"/>
      <c r="CB721" s="646">
        <f t="shared" si="222"/>
        <v>0</v>
      </c>
      <c r="CC721" s="646">
        <f t="shared" si="223"/>
        <v>0</v>
      </c>
      <c r="CD721" s="614"/>
      <c r="CG721" s="561" t="s">
        <v>589</v>
      </c>
    </row>
    <row r="722" spans="1:85" s="561" customFormat="1" ht="61.5" customHeight="1">
      <c r="A722" s="625" t="str">
        <f t="shared" si="205"/>
        <v>proyecto-Alerta: Seleccione la celda en la comumna B con el nombre del proyecto-Al-Al--</v>
      </c>
      <c r="B722" s="626" t="str">
        <f t="shared" si="206"/>
        <v>proyecto-Alerta: Seleccione la celda en la comumna B con el nombre del proyecto-Al-Al-</v>
      </c>
      <c r="C722" s="626" t="str">
        <f t="shared" si="207"/>
        <v>proyecto-Alerta: Seleccione la celda en la comumna B con el nombre del proyecto-</v>
      </c>
      <c r="D722" s="626" t="str">
        <f t="shared" si="208"/>
        <v>proyecto--Al-Al-</v>
      </c>
      <c r="E722" s="626" t="str">
        <f t="shared" si="209"/>
        <v>--</v>
      </c>
      <c r="F722" s="627"/>
      <c r="G722" s="628">
        <f t="shared" si="210"/>
        <v>0</v>
      </c>
      <c r="H722" s="629" t="b">
        <f t="shared" si="211"/>
        <v>1</v>
      </c>
      <c r="I722" s="630"/>
      <c r="J722" s="627"/>
      <c r="K722" s="631" t="str">
        <f>+IFERROR(VLOOKUP(J722,Listas!$A$108:$B$114,2,FALSE),"Alerta: Seleccione la celda en la comumna B con el nombre del proyecto")</f>
        <v>Alerta: Seleccione la celda en la comumna B con el nombre del proyecto</v>
      </c>
      <c r="L722" s="632"/>
      <c r="M722" s="633"/>
      <c r="N722" s="634" t="str">
        <f t="shared" si="212"/>
        <v xml:space="preserve">(Cód. ) </v>
      </c>
      <c r="O722" s="635"/>
      <c r="P722" s="636">
        <f>IFERROR(VLOOKUP(W722,'Estimación CRP'!$D$21:$E$30,2,FALSE),0)</f>
        <v>0</v>
      </c>
      <c r="Q722" s="637">
        <f>IF(O722="No aplica","No aplica",WORKDAY.INTL(O722,P722,1,'Estimación CRP'!A908:A924))</f>
        <v>0</v>
      </c>
      <c r="R722" s="636">
        <f t="shared" si="213"/>
        <v>1</v>
      </c>
      <c r="S722" s="636">
        <f t="shared" si="214"/>
        <v>1</v>
      </c>
      <c r="T722" s="636">
        <f t="shared" si="215"/>
        <v>1</v>
      </c>
      <c r="U722" s="638"/>
      <c r="V722" s="638"/>
      <c r="W722" s="639"/>
      <c r="X722" s="640" t="str">
        <f>IFERROR(VLOOKUP(W722,Listas!$A$60:$B$73,2,FALSE),"Alerta: Seleccione primero Modalidad de selección")</f>
        <v>Alerta: Seleccione primero Modalidad de selección</v>
      </c>
      <c r="Y722" s="641">
        <v>0</v>
      </c>
      <c r="Z722" s="641"/>
      <c r="AA722" s="641"/>
      <c r="AB722" s="642">
        <f t="shared" si="216"/>
        <v>0</v>
      </c>
      <c r="AC722" s="642">
        <f t="shared" si="217"/>
        <v>0</v>
      </c>
      <c r="AD722" s="641">
        <v>0</v>
      </c>
      <c r="AE722" s="643">
        <v>0</v>
      </c>
      <c r="AF722" s="639" t="s">
        <v>276</v>
      </c>
      <c r="AG722" s="639" t="s">
        <v>277</v>
      </c>
      <c r="AH722" s="639"/>
      <c r="AI722" s="626" t="str">
        <f>IFERROR(VLOOKUP(AH722,Listas!$A$77:$C$83,2,FALSE),"Alerta: Seleccione primero el responsable")</f>
        <v>Alerta: Seleccione primero el responsable</v>
      </c>
      <c r="AJ722" s="640" t="str">
        <f>IFERROR(VLOOKUP(AH722,Listas!$A$77:$C$83,3,FALSE),"Alerta: Seleccione primero el responsable")</f>
        <v>Alerta: Seleccione primero el responsable</v>
      </c>
      <c r="AK722" s="640" t="str">
        <f>IF(J722="Funcionamiento Gastos Generales","No aplica",IF(J722="Funcionamiento Servicios Personales indirectos","No aplica",IFERROR(VLOOKUP(J722,Listas!$A$127:$E$139,3,FALSE),"Alerta: Seleccione la celda en la comumna B con el nombre del proyecto")))</f>
        <v>Alerta: Seleccione la celda en la comumna B con el nombre del proyecto</v>
      </c>
      <c r="AL722" s="640" t="str">
        <f>IF(J722="Funcionamiento Gastos Generales","No aplica",IF(J722="Funcionamiento Servicios Personales","No aplica",IFERROR(VLOOKUP(J722,Listas!$A$220:$D$224,2,FALSE),"Alerta: Seleccione la celda en la comumna B con el nombre del proyecto")))</f>
        <v>Alerta: Seleccione la celda en la comumna B con el nombre del proyecto</v>
      </c>
      <c r="AM722" s="640" t="str">
        <f>IF(J722="Funcionamiento Gastos Generales","No aplica",IF(J722="Funcionamiento Servicios Personales","No aplica",IFERROR(VLOOKUP(J722,Listas!$A$220:$D$224,3,FALSE),"Alerta: Seleccione la celda en la comumna B con el nombre del proyecto")))</f>
        <v>Alerta: Seleccione la celda en la comumna B con el nombre del proyecto</v>
      </c>
      <c r="AN722" s="633"/>
      <c r="AO722" s="633"/>
      <c r="AP722" s="634" t="str">
        <f>IFERROR(VLOOKUP(J722,Listas!$A$182:$E$215,5,FALSE),"Alerta: Seleccione la celda en la comumna B con el nombre del proyecto")</f>
        <v>Alerta: Seleccione la celda en la comumna B con el nombre del proyecto</v>
      </c>
      <c r="AQ722" s="634" t="str">
        <f>IF(J722="Funcionamiento Gastos Generales","No aplica",IF(J722="Funcionamiento Servicios Personales","No aplica",IFERROR(VLOOKUP(J722,Listas!$A$220:$D$224,4,FALSE),"Alerta: Seleccione la celda en la comumna B con el nombre del proyecto")))</f>
        <v>Alerta: Seleccione la celda en la comumna B con el nombre del proyecto</v>
      </c>
      <c r="AR722" s="633"/>
      <c r="AS722" s="634" t="str">
        <f>IFERROR(VLOOKUP(AU722,Listas!$E$85:$L$105,7,FALSE),"Alerta: Seleccione la celda en la comumna AI con el concepto de gasto")</f>
        <v>Alerta: Seleccione la celda en la comumna AI con el concepto de gasto</v>
      </c>
      <c r="AT722" s="634" t="str">
        <f>IFERROR(VLOOKUP(AU722,Listas!$E$85:$L$105,8,FALSE),"Alerta: Seleccione la celda en la comumna AI con el concepto de gasto")</f>
        <v>Alerta: Seleccione la celda en la comumna AI con el concepto de gasto</v>
      </c>
      <c r="AU722" s="633"/>
      <c r="AV722" s="634" t="str">
        <f>IFERROR(VLOOKUP(AU722,Listas!$E$85:$F$105,2,FALSE),"Alerta: Seleccione el Concepto de Gasto primero")</f>
        <v>Alerta: Seleccione el Concepto de Gasto primero</v>
      </c>
      <c r="AW722" s="644"/>
      <c r="AX722" s="645"/>
      <c r="AY722" s="645"/>
      <c r="AZ722" s="645"/>
      <c r="BA722" s="646">
        <f t="shared" si="218"/>
        <v>0</v>
      </c>
      <c r="BB722" s="647"/>
      <c r="BC722" s="648"/>
      <c r="BD722" s="649"/>
      <c r="BE722" s="647"/>
      <c r="BF722" s="644"/>
      <c r="BG722" s="646">
        <f t="shared" si="219"/>
        <v>0</v>
      </c>
      <c r="BH722" s="650"/>
      <c r="BI722" s="647"/>
      <c r="BJ722" s="644"/>
      <c r="BK722" s="646">
        <f t="shared" si="220"/>
        <v>0</v>
      </c>
      <c r="BL722" s="651"/>
      <c r="BM722" s="652">
        <f t="shared" si="221"/>
        <v>1</v>
      </c>
      <c r="BN722" s="628"/>
      <c r="BO722" s="670"/>
      <c r="BP722" s="644"/>
      <c r="BQ722" s="644"/>
      <c r="BR722" s="644"/>
      <c r="BS722" s="644"/>
      <c r="BT722" s="644"/>
      <c r="BU722" s="644"/>
      <c r="BV722" s="644"/>
      <c r="BW722" s="644"/>
      <c r="BX722" s="644"/>
      <c r="BY722" s="644"/>
      <c r="BZ722" s="644"/>
      <c r="CA722" s="644"/>
      <c r="CB722" s="646">
        <f t="shared" si="222"/>
        <v>0</v>
      </c>
      <c r="CC722" s="646">
        <f t="shared" si="223"/>
        <v>0</v>
      </c>
      <c r="CD722" s="614"/>
    </row>
    <row r="723" spans="1:85" s="561" customFormat="1" ht="61.5" customHeight="1">
      <c r="A723" s="625" t="str">
        <f t="shared" si="205"/>
        <v>proyecto-Alerta: Seleccione la celda en la comumna B con el nombre del proyecto-Al-Al--</v>
      </c>
      <c r="B723" s="626" t="str">
        <f t="shared" si="206"/>
        <v>proyecto-Alerta: Seleccione la celda en la comumna B con el nombre del proyecto-Al-Al-</v>
      </c>
      <c r="C723" s="626" t="str">
        <f t="shared" si="207"/>
        <v>proyecto-Alerta: Seleccione la celda en la comumna B con el nombre del proyecto-</v>
      </c>
      <c r="D723" s="626" t="str">
        <f t="shared" si="208"/>
        <v>proyecto--Al-Al-</v>
      </c>
      <c r="E723" s="626" t="str">
        <f t="shared" si="209"/>
        <v>--</v>
      </c>
      <c r="F723" s="627"/>
      <c r="G723" s="628">
        <f t="shared" si="210"/>
        <v>0</v>
      </c>
      <c r="H723" s="629" t="b">
        <f t="shared" si="211"/>
        <v>1</v>
      </c>
      <c r="I723" s="630"/>
      <c r="J723" s="627"/>
      <c r="K723" s="631" t="str">
        <f>+IFERROR(VLOOKUP(J723,Listas!$A$108:$B$114,2,FALSE),"Alerta: Seleccione la celda en la comumna B con el nombre del proyecto")</f>
        <v>Alerta: Seleccione la celda en la comumna B con el nombre del proyecto</v>
      </c>
      <c r="L723" s="632"/>
      <c r="M723" s="633"/>
      <c r="N723" s="634" t="str">
        <f t="shared" si="212"/>
        <v xml:space="preserve">(Cód. ) </v>
      </c>
      <c r="O723" s="635"/>
      <c r="P723" s="636">
        <f>IFERROR(VLOOKUP(W723,'Estimación CRP'!$D$21:$E$30,2,FALSE),0)</f>
        <v>0</v>
      </c>
      <c r="Q723" s="637">
        <f>IF(O723="No aplica","No aplica",WORKDAY.INTL(O723,P723,1,'Estimación CRP'!A909:A925))</f>
        <v>0</v>
      </c>
      <c r="R723" s="636">
        <f t="shared" si="213"/>
        <v>1</v>
      </c>
      <c r="S723" s="636">
        <f t="shared" si="214"/>
        <v>1</v>
      </c>
      <c r="T723" s="636">
        <f t="shared" si="215"/>
        <v>1</v>
      </c>
      <c r="U723" s="638"/>
      <c r="V723" s="638"/>
      <c r="W723" s="639"/>
      <c r="X723" s="640" t="str">
        <f>IFERROR(VLOOKUP(W723,Listas!$A$60:$B$73,2,FALSE),"Alerta: Seleccione primero Modalidad de selección")</f>
        <v>Alerta: Seleccione primero Modalidad de selección</v>
      </c>
      <c r="Y723" s="641">
        <v>0</v>
      </c>
      <c r="Z723" s="641"/>
      <c r="AA723" s="641"/>
      <c r="AB723" s="642">
        <f t="shared" si="216"/>
        <v>0</v>
      </c>
      <c r="AC723" s="642">
        <f t="shared" si="217"/>
        <v>0</v>
      </c>
      <c r="AD723" s="641">
        <v>0</v>
      </c>
      <c r="AE723" s="643">
        <v>0</v>
      </c>
      <c r="AF723" s="639" t="s">
        <v>276</v>
      </c>
      <c r="AG723" s="639" t="s">
        <v>277</v>
      </c>
      <c r="AH723" s="639"/>
      <c r="AI723" s="626" t="str">
        <f>IFERROR(VLOOKUP(AH723,Listas!$A$77:$C$83,2,FALSE),"Alerta: Seleccione primero el responsable")</f>
        <v>Alerta: Seleccione primero el responsable</v>
      </c>
      <c r="AJ723" s="640" t="str">
        <f>IFERROR(VLOOKUP(AH723,Listas!$A$77:$C$83,3,FALSE),"Alerta: Seleccione primero el responsable")</f>
        <v>Alerta: Seleccione primero el responsable</v>
      </c>
      <c r="AK723" s="640" t="str">
        <f>IF(J723="Funcionamiento Gastos Generales","No aplica",IF(J723="Funcionamiento Servicios Personales indirectos","No aplica",IFERROR(VLOOKUP(J723,Listas!$A$127:$E$139,3,FALSE),"Alerta: Seleccione la celda en la comumna B con el nombre del proyecto")))</f>
        <v>Alerta: Seleccione la celda en la comumna B con el nombre del proyecto</v>
      </c>
      <c r="AL723" s="640" t="str">
        <f>IF(J723="Funcionamiento Gastos Generales","No aplica",IF(J723="Funcionamiento Servicios Personales","No aplica",IFERROR(VLOOKUP(J723,Listas!$A$220:$D$224,2,FALSE),"Alerta: Seleccione la celda en la comumna B con el nombre del proyecto")))</f>
        <v>Alerta: Seleccione la celda en la comumna B con el nombre del proyecto</v>
      </c>
      <c r="AM723" s="640" t="str">
        <f>IF(J723="Funcionamiento Gastos Generales","No aplica",IF(J723="Funcionamiento Servicios Personales","No aplica",IFERROR(VLOOKUP(J723,Listas!$A$220:$D$224,3,FALSE),"Alerta: Seleccione la celda en la comumna B con el nombre del proyecto")))</f>
        <v>Alerta: Seleccione la celda en la comumna B con el nombre del proyecto</v>
      </c>
      <c r="AN723" s="633"/>
      <c r="AO723" s="633"/>
      <c r="AP723" s="634" t="str">
        <f>IFERROR(VLOOKUP(J723,Listas!$A$182:$E$215,5,FALSE),"Alerta: Seleccione la celda en la comumna B con el nombre del proyecto")</f>
        <v>Alerta: Seleccione la celda en la comumna B con el nombre del proyecto</v>
      </c>
      <c r="AQ723" s="634" t="str">
        <f>IF(J723="Funcionamiento Gastos Generales","No aplica",IF(J723="Funcionamiento Servicios Personales","No aplica",IFERROR(VLOOKUP(J723,Listas!$A$220:$D$224,4,FALSE),"Alerta: Seleccione la celda en la comumna B con el nombre del proyecto")))</f>
        <v>Alerta: Seleccione la celda en la comumna B con el nombre del proyecto</v>
      </c>
      <c r="AR723" s="633"/>
      <c r="AS723" s="634" t="str">
        <f>IFERROR(VLOOKUP(AU723,Listas!$E$85:$L$105,7,FALSE),"Alerta: Seleccione la celda en la comumna AI con el concepto de gasto")</f>
        <v>Alerta: Seleccione la celda en la comumna AI con el concepto de gasto</v>
      </c>
      <c r="AT723" s="634" t="str">
        <f>IFERROR(VLOOKUP(AU723,Listas!$E$85:$L$105,8,FALSE),"Alerta: Seleccione la celda en la comumna AI con el concepto de gasto")</f>
        <v>Alerta: Seleccione la celda en la comumna AI con el concepto de gasto</v>
      </c>
      <c r="AU723" s="633"/>
      <c r="AV723" s="634" t="str">
        <f>IFERROR(VLOOKUP(AU723,Listas!$E$85:$F$105,2,FALSE),"Alerta: Seleccione el Concepto de Gasto primero")</f>
        <v>Alerta: Seleccione el Concepto de Gasto primero</v>
      </c>
      <c r="AW723" s="644"/>
      <c r="AX723" s="645"/>
      <c r="AY723" s="645"/>
      <c r="AZ723" s="645"/>
      <c r="BA723" s="646">
        <f t="shared" si="218"/>
        <v>0</v>
      </c>
      <c r="BB723" s="647"/>
      <c r="BC723" s="648"/>
      <c r="BD723" s="649"/>
      <c r="BE723" s="647"/>
      <c r="BF723" s="644"/>
      <c r="BG723" s="646">
        <f t="shared" si="219"/>
        <v>0</v>
      </c>
      <c r="BH723" s="650"/>
      <c r="BI723" s="647"/>
      <c r="BJ723" s="644"/>
      <c r="BK723" s="646">
        <f t="shared" si="220"/>
        <v>0</v>
      </c>
      <c r="BL723" s="651"/>
      <c r="BM723" s="652">
        <f t="shared" si="221"/>
        <v>1</v>
      </c>
      <c r="BN723" s="628"/>
      <c r="BO723" s="670"/>
      <c r="BP723" s="644"/>
      <c r="BQ723" s="644"/>
      <c r="BR723" s="644"/>
      <c r="BS723" s="644"/>
      <c r="BT723" s="644"/>
      <c r="BU723" s="644"/>
      <c r="BV723" s="644"/>
      <c r="BW723" s="644"/>
      <c r="BX723" s="644"/>
      <c r="BY723" s="644"/>
      <c r="BZ723" s="644"/>
      <c r="CA723" s="644"/>
      <c r="CB723" s="646">
        <f t="shared" si="222"/>
        <v>0</v>
      </c>
      <c r="CC723" s="646">
        <f t="shared" si="223"/>
        <v>0</v>
      </c>
      <c r="CD723" s="614"/>
    </row>
    <row r="724" spans="1:85" s="561" customFormat="1" ht="61.5" customHeight="1">
      <c r="A724" s="625" t="str">
        <f t="shared" si="205"/>
        <v>proyecto-Alerta: Seleccione la celda en la comumna B con el nombre del proyecto-Al-Al--</v>
      </c>
      <c r="B724" s="626" t="str">
        <f t="shared" si="206"/>
        <v>proyecto-Alerta: Seleccione la celda en la comumna B con el nombre del proyecto-Al-Al-</v>
      </c>
      <c r="C724" s="626" t="str">
        <f t="shared" si="207"/>
        <v>proyecto-Alerta: Seleccione la celda en la comumna B con el nombre del proyecto-</v>
      </c>
      <c r="D724" s="626" t="str">
        <f t="shared" si="208"/>
        <v>proyecto--Al-Al-</v>
      </c>
      <c r="E724" s="626" t="str">
        <f t="shared" si="209"/>
        <v>--</v>
      </c>
      <c r="F724" s="627"/>
      <c r="G724" s="628">
        <f t="shared" si="210"/>
        <v>0</v>
      </c>
      <c r="H724" s="629" t="b">
        <f t="shared" si="211"/>
        <v>1</v>
      </c>
      <c r="I724" s="630"/>
      <c r="J724" s="627"/>
      <c r="K724" s="631" t="str">
        <f>+IFERROR(VLOOKUP(J724,Listas!$A$108:$B$114,2,FALSE),"Alerta: Seleccione la celda en la comumna B con el nombre del proyecto")</f>
        <v>Alerta: Seleccione la celda en la comumna B con el nombre del proyecto</v>
      </c>
      <c r="L724" s="632"/>
      <c r="M724" s="633"/>
      <c r="N724" s="634" t="str">
        <f t="shared" si="212"/>
        <v xml:space="preserve">(Cód. ) </v>
      </c>
      <c r="O724" s="635"/>
      <c r="P724" s="636">
        <f>IFERROR(VLOOKUP(W724,'Estimación CRP'!$D$21:$E$30,2,FALSE),0)</f>
        <v>0</v>
      </c>
      <c r="Q724" s="637">
        <f>IF(O724="No aplica","No aplica",WORKDAY.INTL(O724,P724,1,'Estimación CRP'!A910:A926))</f>
        <v>0</v>
      </c>
      <c r="R724" s="636">
        <f t="shared" si="213"/>
        <v>1</v>
      </c>
      <c r="S724" s="636">
        <f t="shared" si="214"/>
        <v>1</v>
      </c>
      <c r="T724" s="636">
        <f t="shared" si="215"/>
        <v>1</v>
      </c>
      <c r="U724" s="638"/>
      <c r="V724" s="638"/>
      <c r="W724" s="639"/>
      <c r="X724" s="640" t="str">
        <f>IFERROR(VLOOKUP(W724,Listas!$A$60:$B$73,2,FALSE),"Alerta: Seleccione primero Modalidad de selección")</f>
        <v>Alerta: Seleccione primero Modalidad de selección</v>
      </c>
      <c r="Y724" s="641">
        <v>0</v>
      </c>
      <c r="Z724" s="641"/>
      <c r="AA724" s="641"/>
      <c r="AB724" s="642">
        <f t="shared" si="216"/>
        <v>0</v>
      </c>
      <c r="AC724" s="642">
        <f t="shared" si="217"/>
        <v>0</v>
      </c>
      <c r="AD724" s="641">
        <v>0</v>
      </c>
      <c r="AE724" s="643">
        <v>0</v>
      </c>
      <c r="AF724" s="639" t="s">
        <v>276</v>
      </c>
      <c r="AG724" s="639" t="s">
        <v>277</v>
      </c>
      <c r="AH724" s="639"/>
      <c r="AI724" s="626" t="str">
        <f>IFERROR(VLOOKUP(AH724,Listas!$A$77:$C$83,2,FALSE),"Alerta: Seleccione primero el responsable")</f>
        <v>Alerta: Seleccione primero el responsable</v>
      </c>
      <c r="AJ724" s="640" t="str">
        <f>IFERROR(VLOOKUP(AH724,Listas!$A$77:$C$83,3,FALSE),"Alerta: Seleccione primero el responsable")</f>
        <v>Alerta: Seleccione primero el responsable</v>
      </c>
      <c r="AK724" s="640" t="str">
        <f>IF(J724="Funcionamiento Gastos Generales","No aplica",IF(J724="Funcionamiento Servicios Personales indirectos","No aplica",IFERROR(VLOOKUP(J724,Listas!$A$127:$E$139,3,FALSE),"Alerta: Seleccione la celda en la comumna B con el nombre del proyecto")))</f>
        <v>Alerta: Seleccione la celda en la comumna B con el nombre del proyecto</v>
      </c>
      <c r="AL724" s="640" t="str">
        <f>IF(J724="Funcionamiento Gastos Generales","No aplica",IF(J724="Funcionamiento Servicios Personales","No aplica",IFERROR(VLOOKUP(J724,Listas!$A$220:$D$224,2,FALSE),"Alerta: Seleccione la celda en la comumna B con el nombre del proyecto")))</f>
        <v>Alerta: Seleccione la celda en la comumna B con el nombre del proyecto</v>
      </c>
      <c r="AM724" s="640" t="str">
        <f>IF(J724="Funcionamiento Gastos Generales","No aplica",IF(J724="Funcionamiento Servicios Personales","No aplica",IFERROR(VLOOKUP(J724,Listas!$A$220:$D$224,3,FALSE),"Alerta: Seleccione la celda en la comumna B con el nombre del proyecto")))</f>
        <v>Alerta: Seleccione la celda en la comumna B con el nombre del proyecto</v>
      </c>
      <c r="AN724" s="633"/>
      <c r="AO724" s="633"/>
      <c r="AP724" s="634" t="str">
        <f>IFERROR(VLOOKUP(J724,Listas!$A$182:$E$215,5,FALSE),"Alerta: Seleccione la celda en la comumna B con el nombre del proyecto")</f>
        <v>Alerta: Seleccione la celda en la comumna B con el nombre del proyecto</v>
      </c>
      <c r="AQ724" s="634" t="str">
        <f>IF(J724="Funcionamiento Gastos Generales","No aplica",IF(J724="Funcionamiento Servicios Personales","No aplica",IFERROR(VLOOKUP(J724,Listas!$A$220:$D$224,4,FALSE),"Alerta: Seleccione la celda en la comumna B con el nombre del proyecto")))</f>
        <v>Alerta: Seleccione la celda en la comumna B con el nombre del proyecto</v>
      </c>
      <c r="AR724" s="633"/>
      <c r="AS724" s="634" t="str">
        <f>IFERROR(VLOOKUP(AU724,Listas!$E$85:$L$105,7,FALSE),"Alerta: Seleccione la celda en la comumna AI con el concepto de gasto")</f>
        <v>Alerta: Seleccione la celda en la comumna AI con el concepto de gasto</v>
      </c>
      <c r="AT724" s="634" t="str">
        <f>IFERROR(VLOOKUP(AU724,Listas!$E$85:$L$105,8,FALSE),"Alerta: Seleccione la celda en la comumna AI con el concepto de gasto")</f>
        <v>Alerta: Seleccione la celda en la comumna AI con el concepto de gasto</v>
      </c>
      <c r="AU724" s="633"/>
      <c r="AV724" s="634" t="str">
        <f>IFERROR(VLOOKUP(AU724,Listas!$E$85:$F$105,2,FALSE),"Alerta: Seleccione el Concepto de Gasto primero")</f>
        <v>Alerta: Seleccione el Concepto de Gasto primero</v>
      </c>
      <c r="AW724" s="644"/>
      <c r="AX724" s="645"/>
      <c r="AY724" s="645"/>
      <c r="AZ724" s="645"/>
      <c r="BA724" s="646">
        <f t="shared" si="218"/>
        <v>0</v>
      </c>
      <c r="BB724" s="647"/>
      <c r="BC724" s="648"/>
      <c r="BD724" s="649"/>
      <c r="BE724" s="647"/>
      <c r="BF724" s="644"/>
      <c r="BG724" s="646">
        <f t="shared" si="219"/>
        <v>0</v>
      </c>
      <c r="BH724" s="650"/>
      <c r="BI724" s="647"/>
      <c r="BJ724" s="644"/>
      <c r="BK724" s="646">
        <f t="shared" si="220"/>
        <v>0</v>
      </c>
      <c r="BL724" s="651"/>
      <c r="BM724" s="652">
        <f t="shared" si="221"/>
        <v>1</v>
      </c>
      <c r="BN724" s="628"/>
      <c r="BO724" s="670"/>
      <c r="BP724" s="644"/>
      <c r="BQ724" s="644"/>
      <c r="BR724" s="644"/>
      <c r="BS724" s="644"/>
      <c r="BT724" s="644"/>
      <c r="BU724" s="644"/>
      <c r="BV724" s="644"/>
      <c r="BW724" s="644"/>
      <c r="BX724" s="644"/>
      <c r="BY724" s="644"/>
      <c r="BZ724" s="644"/>
      <c r="CA724" s="644"/>
      <c r="CB724" s="646">
        <f t="shared" si="222"/>
        <v>0</v>
      </c>
      <c r="CC724" s="646">
        <f t="shared" si="223"/>
        <v>0</v>
      </c>
      <c r="CD724" s="614"/>
    </row>
    <row r="725" spans="1:85" s="561" customFormat="1" ht="61.5" customHeight="1">
      <c r="A725" s="625" t="str">
        <f t="shared" si="205"/>
        <v>proyecto-Alerta: Seleccione la celda en la comumna B con el nombre del proyecto-Al-Al--</v>
      </c>
      <c r="B725" s="626" t="str">
        <f t="shared" si="206"/>
        <v>proyecto-Alerta: Seleccione la celda en la comumna B con el nombre del proyecto-Al-Al-</v>
      </c>
      <c r="C725" s="626" t="str">
        <f t="shared" si="207"/>
        <v>proyecto-Alerta: Seleccione la celda en la comumna B con el nombre del proyecto-</v>
      </c>
      <c r="D725" s="626" t="str">
        <f t="shared" si="208"/>
        <v>proyecto--Al-Al-</v>
      </c>
      <c r="E725" s="626" t="str">
        <f t="shared" si="209"/>
        <v>--</v>
      </c>
      <c r="F725" s="627"/>
      <c r="G725" s="628">
        <f t="shared" si="210"/>
        <v>0</v>
      </c>
      <c r="H725" s="629" t="b">
        <f t="shared" si="211"/>
        <v>1</v>
      </c>
      <c r="I725" s="630"/>
      <c r="J725" s="627"/>
      <c r="K725" s="631" t="str">
        <f>+IFERROR(VLOOKUP(J725,Listas!$A$108:$B$114,2,FALSE),"Alerta: Seleccione la celda en la comumna B con el nombre del proyecto")</f>
        <v>Alerta: Seleccione la celda en la comumna B con el nombre del proyecto</v>
      </c>
      <c r="L725" s="632"/>
      <c r="M725" s="633"/>
      <c r="N725" s="634" t="str">
        <f t="shared" si="212"/>
        <v xml:space="preserve">(Cód. ) </v>
      </c>
      <c r="O725" s="635"/>
      <c r="P725" s="636">
        <f>IFERROR(VLOOKUP(W725,'Estimación CRP'!$D$21:$E$30,2,FALSE),0)</f>
        <v>0</v>
      </c>
      <c r="Q725" s="637">
        <f>IF(O725="No aplica","No aplica",WORKDAY.INTL(O725,P725,1,'Estimación CRP'!A911:A927))</f>
        <v>0</v>
      </c>
      <c r="R725" s="636">
        <f t="shared" si="213"/>
        <v>1</v>
      </c>
      <c r="S725" s="636">
        <f t="shared" si="214"/>
        <v>1</v>
      </c>
      <c r="T725" s="636">
        <f t="shared" si="215"/>
        <v>1</v>
      </c>
      <c r="U725" s="638"/>
      <c r="V725" s="638"/>
      <c r="W725" s="639"/>
      <c r="X725" s="640" t="str">
        <f>IFERROR(VLOOKUP(W725,Listas!$A$60:$B$73,2,FALSE),"Alerta: Seleccione primero Modalidad de selección")</f>
        <v>Alerta: Seleccione primero Modalidad de selección</v>
      </c>
      <c r="Y725" s="641">
        <v>0</v>
      </c>
      <c r="Z725" s="641"/>
      <c r="AA725" s="641"/>
      <c r="AB725" s="642">
        <f t="shared" si="216"/>
        <v>0</v>
      </c>
      <c r="AC725" s="642">
        <f t="shared" si="217"/>
        <v>0</v>
      </c>
      <c r="AD725" s="641">
        <v>0</v>
      </c>
      <c r="AE725" s="643">
        <v>0</v>
      </c>
      <c r="AF725" s="639" t="s">
        <v>276</v>
      </c>
      <c r="AG725" s="639" t="s">
        <v>277</v>
      </c>
      <c r="AH725" s="639"/>
      <c r="AI725" s="626" t="str">
        <f>IFERROR(VLOOKUP(AH725,Listas!$A$77:$C$83,2,FALSE),"Alerta: Seleccione primero el responsable")</f>
        <v>Alerta: Seleccione primero el responsable</v>
      </c>
      <c r="AJ725" s="640" t="str">
        <f>IFERROR(VLOOKUP(AH725,Listas!$A$77:$C$83,3,FALSE),"Alerta: Seleccione primero el responsable")</f>
        <v>Alerta: Seleccione primero el responsable</v>
      </c>
      <c r="AK725" s="640" t="str">
        <f>IF(J725="Funcionamiento Gastos Generales","No aplica",IF(J725="Funcionamiento Servicios Personales indirectos","No aplica",IFERROR(VLOOKUP(J725,Listas!$A$127:$E$139,3,FALSE),"Alerta: Seleccione la celda en la comumna B con el nombre del proyecto")))</f>
        <v>Alerta: Seleccione la celda en la comumna B con el nombre del proyecto</v>
      </c>
      <c r="AL725" s="640" t="str">
        <f>IF(J725="Funcionamiento Gastos Generales","No aplica",IF(J725="Funcionamiento Servicios Personales","No aplica",IFERROR(VLOOKUP(J725,Listas!$A$220:$D$224,2,FALSE),"Alerta: Seleccione la celda en la comumna B con el nombre del proyecto")))</f>
        <v>Alerta: Seleccione la celda en la comumna B con el nombre del proyecto</v>
      </c>
      <c r="AM725" s="640" t="str">
        <f>IF(J725="Funcionamiento Gastos Generales","No aplica",IF(J725="Funcionamiento Servicios Personales","No aplica",IFERROR(VLOOKUP(J725,Listas!$A$220:$D$224,3,FALSE),"Alerta: Seleccione la celda en la comumna B con el nombre del proyecto")))</f>
        <v>Alerta: Seleccione la celda en la comumna B con el nombre del proyecto</v>
      </c>
      <c r="AN725" s="633"/>
      <c r="AO725" s="633"/>
      <c r="AP725" s="634" t="str">
        <f>IFERROR(VLOOKUP(J725,Listas!$A$182:$E$215,5,FALSE),"Alerta: Seleccione la celda en la comumna B con el nombre del proyecto")</f>
        <v>Alerta: Seleccione la celda en la comumna B con el nombre del proyecto</v>
      </c>
      <c r="AQ725" s="634" t="str">
        <f>IF(J725="Funcionamiento Gastos Generales","No aplica",IF(J725="Funcionamiento Servicios Personales","No aplica",IFERROR(VLOOKUP(J725,Listas!$A$220:$D$224,4,FALSE),"Alerta: Seleccione la celda en la comumna B con el nombre del proyecto")))</f>
        <v>Alerta: Seleccione la celda en la comumna B con el nombre del proyecto</v>
      </c>
      <c r="AR725" s="633"/>
      <c r="AS725" s="634" t="str">
        <f>IFERROR(VLOOKUP(AU725,Listas!$E$85:$L$105,7,FALSE),"Alerta: Seleccione la celda en la comumna AI con el concepto de gasto")</f>
        <v>Alerta: Seleccione la celda en la comumna AI con el concepto de gasto</v>
      </c>
      <c r="AT725" s="634" t="str">
        <f>IFERROR(VLOOKUP(AU725,Listas!$E$85:$L$105,8,FALSE),"Alerta: Seleccione la celda en la comumna AI con el concepto de gasto")</f>
        <v>Alerta: Seleccione la celda en la comumna AI con el concepto de gasto</v>
      </c>
      <c r="AU725" s="633"/>
      <c r="AV725" s="634" t="str">
        <f>IFERROR(VLOOKUP(AU725,Listas!$E$85:$F$105,2,FALSE),"Alerta: Seleccione el Concepto de Gasto primero")</f>
        <v>Alerta: Seleccione el Concepto de Gasto primero</v>
      </c>
      <c r="AW725" s="644"/>
      <c r="AX725" s="645"/>
      <c r="AY725" s="645"/>
      <c r="AZ725" s="645"/>
      <c r="BA725" s="646">
        <f t="shared" si="218"/>
        <v>0</v>
      </c>
      <c r="BB725" s="647"/>
      <c r="BC725" s="648"/>
      <c r="BD725" s="649"/>
      <c r="BE725" s="647"/>
      <c r="BF725" s="644"/>
      <c r="BG725" s="646">
        <f t="shared" si="219"/>
        <v>0</v>
      </c>
      <c r="BH725" s="650"/>
      <c r="BI725" s="647"/>
      <c r="BJ725" s="644"/>
      <c r="BK725" s="646">
        <f t="shared" si="220"/>
        <v>0</v>
      </c>
      <c r="BL725" s="651"/>
      <c r="BM725" s="652">
        <f t="shared" si="221"/>
        <v>1</v>
      </c>
      <c r="BN725" s="628"/>
      <c r="BO725" s="670"/>
      <c r="BP725" s="644"/>
      <c r="BQ725" s="644"/>
      <c r="BR725" s="644"/>
      <c r="BS725" s="644"/>
      <c r="BT725" s="644"/>
      <c r="BU725" s="644"/>
      <c r="BV725" s="644"/>
      <c r="BW725" s="644"/>
      <c r="BX725" s="644"/>
      <c r="BY725" s="644"/>
      <c r="BZ725" s="644"/>
      <c r="CA725" s="644"/>
      <c r="CB725" s="646">
        <f t="shared" si="222"/>
        <v>0</v>
      </c>
      <c r="CC725" s="646">
        <f t="shared" si="223"/>
        <v>0</v>
      </c>
      <c r="CD725" s="614"/>
    </row>
    <row r="726" spans="1:85" s="561" customFormat="1" ht="61.5" customHeight="1">
      <c r="A726" s="625" t="str">
        <f t="shared" si="205"/>
        <v>proyecto-Alerta: Seleccione la celda en la comumna B con el nombre del proyecto-Al-Al--</v>
      </c>
      <c r="B726" s="626" t="str">
        <f t="shared" si="206"/>
        <v>proyecto-Alerta: Seleccione la celda en la comumna B con el nombre del proyecto-Al-Al-</v>
      </c>
      <c r="C726" s="626" t="str">
        <f t="shared" si="207"/>
        <v>proyecto-Alerta: Seleccione la celda en la comumna B con el nombre del proyecto-</v>
      </c>
      <c r="D726" s="626" t="str">
        <f t="shared" si="208"/>
        <v>proyecto--Al-Al-</v>
      </c>
      <c r="E726" s="626" t="str">
        <f t="shared" si="209"/>
        <v>--</v>
      </c>
      <c r="F726" s="627"/>
      <c r="G726" s="628">
        <f t="shared" si="210"/>
        <v>0</v>
      </c>
      <c r="H726" s="629" t="b">
        <f t="shared" si="211"/>
        <v>1</v>
      </c>
      <c r="I726" s="630"/>
      <c r="J726" s="627"/>
      <c r="K726" s="631" t="str">
        <f>+IFERROR(VLOOKUP(J726,Listas!$A$108:$B$114,2,FALSE),"Alerta: Seleccione la celda en la comumna B con el nombre del proyecto")</f>
        <v>Alerta: Seleccione la celda en la comumna B con el nombre del proyecto</v>
      </c>
      <c r="L726" s="632"/>
      <c r="M726" s="633"/>
      <c r="N726" s="634" t="str">
        <f t="shared" si="212"/>
        <v xml:space="preserve">(Cód. ) </v>
      </c>
      <c r="O726" s="635"/>
      <c r="P726" s="636">
        <f>IFERROR(VLOOKUP(W726,'Estimación CRP'!$D$21:$E$30,2,FALSE),0)</f>
        <v>0</v>
      </c>
      <c r="Q726" s="637">
        <f>IF(O726="No aplica","No aplica",WORKDAY.INTL(O726,P726,1,'Estimación CRP'!A912:A928))</f>
        <v>0</v>
      </c>
      <c r="R726" s="636">
        <f t="shared" si="213"/>
        <v>1</v>
      </c>
      <c r="S726" s="636">
        <f t="shared" si="214"/>
        <v>1</v>
      </c>
      <c r="T726" s="636">
        <f t="shared" si="215"/>
        <v>1</v>
      </c>
      <c r="U726" s="638"/>
      <c r="V726" s="638"/>
      <c r="W726" s="639"/>
      <c r="X726" s="640" t="str">
        <f>IFERROR(VLOOKUP(W726,Listas!$A$60:$B$73,2,FALSE),"Alerta: Seleccione primero Modalidad de selección")</f>
        <v>Alerta: Seleccione primero Modalidad de selección</v>
      </c>
      <c r="Y726" s="641">
        <v>0</v>
      </c>
      <c r="Z726" s="641"/>
      <c r="AA726" s="641"/>
      <c r="AB726" s="642">
        <f t="shared" si="216"/>
        <v>0</v>
      </c>
      <c r="AC726" s="642">
        <f t="shared" si="217"/>
        <v>0</v>
      </c>
      <c r="AD726" s="641">
        <v>0</v>
      </c>
      <c r="AE726" s="643">
        <v>0</v>
      </c>
      <c r="AF726" s="639" t="s">
        <v>276</v>
      </c>
      <c r="AG726" s="639" t="s">
        <v>277</v>
      </c>
      <c r="AH726" s="639"/>
      <c r="AI726" s="626" t="str">
        <f>IFERROR(VLOOKUP(AH726,Listas!$A$77:$C$83,2,FALSE),"Alerta: Seleccione primero el responsable")</f>
        <v>Alerta: Seleccione primero el responsable</v>
      </c>
      <c r="AJ726" s="640" t="str">
        <f>IFERROR(VLOOKUP(AH726,Listas!$A$77:$C$83,3,FALSE),"Alerta: Seleccione primero el responsable")</f>
        <v>Alerta: Seleccione primero el responsable</v>
      </c>
      <c r="AK726" s="640" t="str">
        <f>IF(J726="Funcionamiento Gastos Generales","No aplica",IF(J726="Funcionamiento Servicios Personales indirectos","No aplica",IFERROR(VLOOKUP(J726,Listas!$A$127:$E$139,3,FALSE),"Alerta: Seleccione la celda en la comumna B con el nombre del proyecto")))</f>
        <v>Alerta: Seleccione la celda en la comumna B con el nombre del proyecto</v>
      </c>
      <c r="AL726" s="640" t="str">
        <f>IF(J726="Funcionamiento Gastos Generales","No aplica",IF(J726="Funcionamiento Servicios Personales","No aplica",IFERROR(VLOOKUP(J726,Listas!$A$220:$D$224,2,FALSE),"Alerta: Seleccione la celda en la comumna B con el nombre del proyecto")))</f>
        <v>Alerta: Seleccione la celda en la comumna B con el nombre del proyecto</v>
      </c>
      <c r="AM726" s="640" t="str">
        <f>IF(J726="Funcionamiento Gastos Generales","No aplica",IF(J726="Funcionamiento Servicios Personales","No aplica",IFERROR(VLOOKUP(J726,Listas!$A$220:$D$224,3,FALSE),"Alerta: Seleccione la celda en la comumna B con el nombre del proyecto")))</f>
        <v>Alerta: Seleccione la celda en la comumna B con el nombre del proyecto</v>
      </c>
      <c r="AN726" s="633"/>
      <c r="AO726" s="633"/>
      <c r="AP726" s="634" t="str">
        <f>IFERROR(VLOOKUP(J726,Listas!$A$182:$E$215,5,FALSE),"Alerta: Seleccione la celda en la comumna B con el nombre del proyecto")</f>
        <v>Alerta: Seleccione la celda en la comumna B con el nombre del proyecto</v>
      </c>
      <c r="AQ726" s="634" t="str">
        <f>IF(J726="Funcionamiento Gastos Generales","No aplica",IF(J726="Funcionamiento Servicios Personales","No aplica",IFERROR(VLOOKUP(J726,Listas!$A$220:$D$224,4,FALSE),"Alerta: Seleccione la celda en la comumna B con el nombre del proyecto")))</f>
        <v>Alerta: Seleccione la celda en la comumna B con el nombre del proyecto</v>
      </c>
      <c r="AR726" s="633"/>
      <c r="AS726" s="634" t="str">
        <f>IFERROR(VLOOKUP(AU726,Listas!$E$85:$L$105,7,FALSE),"Alerta: Seleccione la celda en la comumna AI con el concepto de gasto")</f>
        <v>Alerta: Seleccione la celda en la comumna AI con el concepto de gasto</v>
      </c>
      <c r="AT726" s="634" t="str">
        <f>IFERROR(VLOOKUP(AU726,Listas!$E$85:$L$105,8,FALSE),"Alerta: Seleccione la celda en la comumna AI con el concepto de gasto")</f>
        <v>Alerta: Seleccione la celda en la comumna AI con el concepto de gasto</v>
      </c>
      <c r="AU726" s="633"/>
      <c r="AV726" s="634" t="str">
        <f>IFERROR(VLOOKUP(AU726,Listas!$E$85:$F$105,2,FALSE),"Alerta: Seleccione el Concepto de Gasto primero")</f>
        <v>Alerta: Seleccione el Concepto de Gasto primero</v>
      </c>
      <c r="AW726" s="644"/>
      <c r="AX726" s="645"/>
      <c r="AY726" s="645"/>
      <c r="AZ726" s="645"/>
      <c r="BA726" s="646">
        <f t="shared" si="218"/>
        <v>0</v>
      </c>
      <c r="BB726" s="647"/>
      <c r="BC726" s="648"/>
      <c r="BD726" s="649"/>
      <c r="BE726" s="647"/>
      <c r="BF726" s="644"/>
      <c r="BG726" s="646">
        <f t="shared" si="219"/>
        <v>0</v>
      </c>
      <c r="BH726" s="650"/>
      <c r="BI726" s="647"/>
      <c r="BJ726" s="644"/>
      <c r="BK726" s="646">
        <f t="shared" si="220"/>
        <v>0</v>
      </c>
      <c r="BL726" s="651"/>
      <c r="BM726" s="652">
        <f t="shared" si="221"/>
        <v>1</v>
      </c>
      <c r="BN726" s="628"/>
      <c r="BO726" s="670"/>
      <c r="BP726" s="644"/>
      <c r="BQ726" s="644"/>
      <c r="BR726" s="644"/>
      <c r="BS726" s="644"/>
      <c r="BT726" s="644"/>
      <c r="BU726" s="644"/>
      <c r="BV726" s="644"/>
      <c r="BW726" s="644"/>
      <c r="BX726" s="644"/>
      <c r="BY726" s="644"/>
      <c r="BZ726" s="644"/>
      <c r="CA726" s="644"/>
      <c r="CB726" s="646">
        <f t="shared" si="222"/>
        <v>0</v>
      </c>
      <c r="CC726" s="646">
        <f t="shared" si="223"/>
        <v>0</v>
      </c>
      <c r="CD726" s="614"/>
    </row>
    <row r="727" spans="1:85" s="561" customFormat="1" ht="61.5" customHeight="1">
      <c r="A727" s="625" t="str">
        <f t="shared" si="205"/>
        <v>proyecto-Alerta: Seleccione la celda en la comumna B con el nombre del proyecto-Al-Al--</v>
      </c>
      <c r="B727" s="626" t="str">
        <f t="shared" si="206"/>
        <v>proyecto-Alerta: Seleccione la celda en la comumna B con el nombre del proyecto-Al-Al-</v>
      </c>
      <c r="C727" s="626" t="str">
        <f t="shared" si="207"/>
        <v>proyecto-Alerta: Seleccione la celda en la comumna B con el nombre del proyecto-</v>
      </c>
      <c r="D727" s="626" t="str">
        <f t="shared" si="208"/>
        <v>proyecto--Al-Al-</v>
      </c>
      <c r="E727" s="626" t="str">
        <f t="shared" si="209"/>
        <v>--</v>
      </c>
      <c r="F727" s="627"/>
      <c r="G727" s="628">
        <f t="shared" si="210"/>
        <v>0</v>
      </c>
      <c r="H727" s="629" t="b">
        <f t="shared" si="211"/>
        <v>1</v>
      </c>
      <c r="I727" s="630"/>
      <c r="J727" s="627"/>
      <c r="K727" s="631" t="str">
        <f>+IFERROR(VLOOKUP(J727,Listas!$A$108:$B$114,2,FALSE),"Alerta: Seleccione la celda en la comumna B con el nombre del proyecto")</f>
        <v>Alerta: Seleccione la celda en la comumna B con el nombre del proyecto</v>
      </c>
      <c r="L727" s="632"/>
      <c r="M727" s="633"/>
      <c r="N727" s="634" t="str">
        <f t="shared" si="212"/>
        <v xml:space="preserve">(Cód. ) </v>
      </c>
      <c r="O727" s="635"/>
      <c r="P727" s="636">
        <f>IFERROR(VLOOKUP(W727,'Estimación CRP'!$D$21:$E$30,2,FALSE),0)</f>
        <v>0</v>
      </c>
      <c r="Q727" s="637">
        <f>IF(O727="No aplica","No aplica",WORKDAY.INTL(O727,P727,1,'Estimación CRP'!A913:A929))</f>
        <v>0</v>
      </c>
      <c r="R727" s="636">
        <f t="shared" si="213"/>
        <v>1</v>
      </c>
      <c r="S727" s="636">
        <f t="shared" si="214"/>
        <v>1</v>
      </c>
      <c r="T727" s="636">
        <f t="shared" si="215"/>
        <v>1</v>
      </c>
      <c r="U727" s="638"/>
      <c r="V727" s="638"/>
      <c r="W727" s="639"/>
      <c r="X727" s="640" t="str">
        <f>IFERROR(VLOOKUP(W727,Listas!$A$60:$B$73,2,FALSE),"Alerta: Seleccione primero Modalidad de selección")</f>
        <v>Alerta: Seleccione primero Modalidad de selección</v>
      </c>
      <c r="Y727" s="641">
        <v>0</v>
      </c>
      <c r="Z727" s="641"/>
      <c r="AA727" s="641"/>
      <c r="AB727" s="642">
        <f t="shared" si="216"/>
        <v>0</v>
      </c>
      <c r="AC727" s="642">
        <f t="shared" si="217"/>
        <v>0</v>
      </c>
      <c r="AD727" s="641">
        <v>0</v>
      </c>
      <c r="AE727" s="643">
        <v>0</v>
      </c>
      <c r="AF727" s="639" t="s">
        <v>276</v>
      </c>
      <c r="AG727" s="639" t="s">
        <v>277</v>
      </c>
      <c r="AH727" s="639"/>
      <c r="AI727" s="626" t="str">
        <f>IFERROR(VLOOKUP(AH727,Listas!$A$77:$C$83,2,FALSE),"Alerta: Seleccione primero el responsable")</f>
        <v>Alerta: Seleccione primero el responsable</v>
      </c>
      <c r="AJ727" s="640" t="str">
        <f>IFERROR(VLOOKUP(AH727,Listas!$A$77:$C$83,3,FALSE),"Alerta: Seleccione primero el responsable")</f>
        <v>Alerta: Seleccione primero el responsable</v>
      </c>
      <c r="AK727" s="640" t="str">
        <f>IF(J727="Funcionamiento Gastos Generales","No aplica",IF(J727="Funcionamiento Servicios Personales indirectos","No aplica",IFERROR(VLOOKUP(J727,Listas!$A$127:$E$139,3,FALSE),"Alerta: Seleccione la celda en la comumna B con el nombre del proyecto")))</f>
        <v>Alerta: Seleccione la celda en la comumna B con el nombre del proyecto</v>
      </c>
      <c r="AL727" s="640" t="str">
        <f>IF(J727="Funcionamiento Gastos Generales","No aplica",IF(J727="Funcionamiento Servicios Personales","No aplica",IFERROR(VLOOKUP(J727,Listas!$A$220:$D$224,2,FALSE),"Alerta: Seleccione la celda en la comumna B con el nombre del proyecto")))</f>
        <v>Alerta: Seleccione la celda en la comumna B con el nombre del proyecto</v>
      </c>
      <c r="AM727" s="640" t="str">
        <f>IF(J727="Funcionamiento Gastos Generales","No aplica",IF(J727="Funcionamiento Servicios Personales","No aplica",IFERROR(VLOOKUP(J727,Listas!$A$220:$D$224,3,FALSE),"Alerta: Seleccione la celda en la comumna B con el nombre del proyecto")))</f>
        <v>Alerta: Seleccione la celda en la comumna B con el nombre del proyecto</v>
      </c>
      <c r="AN727" s="633"/>
      <c r="AO727" s="633"/>
      <c r="AP727" s="634" t="str">
        <f>IFERROR(VLOOKUP(J727,Listas!$A$182:$E$215,5,FALSE),"Alerta: Seleccione la celda en la comumna B con el nombre del proyecto")</f>
        <v>Alerta: Seleccione la celda en la comumna B con el nombre del proyecto</v>
      </c>
      <c r="AQ727" s="634" t="str">
        <f>IF(J727="Funcionamiento Gastos Generales","No aplica",IF(J727="Funcionamiento Servicios Personales","No aplica",IFERROR(VLOOKUP(J727,Listas!$A$220:$D$224,4,FALSE),"Alerta: Seleccione la celda en la comumna B con el nombre del proyecto")))</f>
        <v>Alerta: Seleccione la celda en la comumna B con el nombre del proyecto</v>
      </c>
      <c r="AR727" s="633"/>
      <c r="AS727" s="634" t="str">
        <f>IFERROR(VLOOKUP(AU727,Listas!$E$85:$L$105,7,FALSE),"Alerta: Seleccione la celda en la comumna AI con el concepto de gasto")</f>
        <v>Alerta: Seleccione la celda en la comumna AI con el concepto de gasto</v>
      </c>
      <c r="AT727" s="634" t="str">
        <f>IFERROR(VLOOKUP(AU727,Listas!$E$85:$L$105,8,FALSE),"Alerta: Seleccione la celda en la comumna AI con el concepto de gasto")</f>
        <v>Alerta: Seleccione la celda en la comumna AI con el concepto de gasto</v>
      </c>
      <c r="AU727" s="633"/>
      <c r="AV727" s="634" t="str">
        <f>IFERROR(VLOOKUP(AU727,Listas!$E$85:$F$105,2,FALSE),"Alerta: Seleccione el Concepto de Gasto primero")</f>
        <v>Alerta: Seleccione el Concepto de Gasto primero</v>
      </c>
      <c r="AW727" s="644"/>
      <c r="AX727" s="645"/>
      <c r="AY727" s="645"/>
      <c r="AZ727" s="645"/>
      <c r="BA727" s="646">
        <f t="shared" si="218"/>
        <v>0</v>
      </c>
      <c r="BB727" s="647"/>
      <c r="BC727" s="648"/>
      <c r="BD727" s="649"/>
      <c r="BE727" s="647"/>
      <c r="BF727" s="644"/>
      <c r="BG727" s="646">
        <f t="shared" si="219"/>
        <v>0</v>
      </c>
      <c r="BH727" s="650"/>
      <c r="BI727" s="647"/>
      <c r="BJ727" s="644"/>
      <c r="BK727" s="646">
        <f t="shared" si="220"/>
        <v>0</v>
      </c>
      <c r="BL727" s="651"/>
      <c r="BM727" s="652">
        <f t="shared" si="221"/>
        <v>1</v>
      </c>
      <c r="BN727" s="628"/>
      <c r="BO727" s="670"/>
      <c r="BP727" s="644"/>
      <c r="BQ727" s="644"/>
      <c r="BR727" s="644"/>
      <c r="BS727" s="644"/>
      <c r="BT727" s="644"/>
      <c r="BU727" s="644"/>
      <c r="BV727" s="644"/>
      <c r="BW727" s="644"/>
      <c r="BX727" s="644"/>
      <c r="BY727" s="644"/>
      <c r="BZ727" s="644"/>
      <c r="CA727" s="644"/>
      <c r="CB727" s="646">
        <f t="shared" si="222"/>
        <v>0</v>
      </c>
      <c r="CC727" s="646">
        <f t="shared" si="223"/>
        <v>0</v>
      </c>
      <c r="CD727" s="614"/>
    </row>
    <row r="728" spans="1:85" s="561" customFormat="1" ht="61.5" customHeight="1">
      <c r="A728" s="625" t="str">
        <f t="shared" si="205"/>
        <v>proyecto-Alerta: Seleccione la celda en la comumna B con el nombre del proyecto-Al-Al--</v>
      </c>
      <c r="B728" s="626" t="str">
        <f t="shared" si="206"/>
        <v>proyecto-Alerta: Seleccione la celda en la comumna B con el nombre del proyecto-Al-Al-</v>
      </c>
      <c r="C728" s="626" t="str">
        <f t="shared" si="207"/>
        <v>proyecto-Alerta: Seleccione la celda en la comumna B con el nombre del proyecto-</v>
      </c>
      <c r="D728" s="626" t="str">
        <f t="shared" si="208"/>
        <v>proyecto--Al-Al-</v>
      </c>
      <c r="E728" s="626" t="str">
        <f t="shared" si="209"/>
        <v>--</v>
      </c>
      <c r="F728" s="627"/>
      <c r="G728" s="628">
        <f t="shared" si="210"/>
        <v>0</v>
      </c>
      <c r="H728" s="629" t="b">
        <f t="shared" si="211"/>
        <v>1</v>
      </c>
      <c r="I728" s="630"/>
      <c r="J728" s="627"/>
      <c r="K728" s="631" t="str">
        <f>+IFERROR(VLOOKUP(J728,Listas!$A$108:$B$114,2,FALSE),"Alerta: Seleccione la celda en la comumna B con el nombre del proyecto")</f>
        <v>Alerta: Seleccione la celda en la comumna B con el nombre del proyecto</v>
      </c>
      <c r="L728" s="632"/>
      <c r="M728" s="633"/>
      <c r="N728" s="634" t="str">
        <f t="shared" si="212"/>
        <v xml:space="preserve">(Cód. ) </v>
      </c>
      <c r="O728" s="635"/>
      <c r="P728" s="636">
        <f>IFERROR(VLOOKUP(W728,'Estimación CRP'!$D$21:$E$30,2,FALSE),0)</f>
        <v>0</v>
      </c>
      <c r="Q728" s="637">
        <f>IF(O728="No aplica","No aplica",WORKDAY.INTL(O728,P728,1,'Estimación CRP'!A914:A930))</f>
        <v>0</v>
      </c>
      <c r="R728" s="636">
        <f t="shared" si="213"/>
        <v>1</v>
      </c>
      <c r="S728" s="636">
        <f t="shared" si="214"/>
        <v>1</v>
      </c>
      <c r="T728" s="636">
        <f t="shared" si="215"/>
        <v>1</v>
      </c>
      <c r="U728" s="638"/>
      <c r="V728" s="638"/>
      <c r="W728" s="639"/>
      <c r="X728" s="640" t="str">
        <f>IFERROR(VLOOKUP(W728,Listas!$A$60:$B$73,2,FALSE),"Alerta: Seleccione primero Modalidad de selección")</f>
        <v>Alerta: Seleccione primero Modalidad de selección</v>
      </c>
      <c r="Y728" s="641">
        <v>0</v>
      </c>
      <c r="Z728" s="641"/>
      <c r="AA728" s="641"/>
      <c r="AB728" s="642">
        <f t="shared" si="216"/>
        <v>0</v>
      </c>
      <c r="AC728" s="642">
        <f t="shared" si="217"/>
        <v>0</v>
      </c>
      <c r="AD728" s="641">
        <v>0</v>
      </c>
      <c r="AE728" s="643">
        <v>0</v>
      </c>
      <c r="AF728" s="639" t="s">
        <v>276</v>
      </c>
      <c r="AG728" s="639" t="s">
        <v>277</v>
      </c>
      <c r="AH728" s="639"/>
      <c r="AI728" s="626" t="str">
        <f>IFERROR(VLOOKUP(AH728,Listas!$A$77:$C$83,2,FALSE),"Alerta: Seleccione primero el responsable")</f>
        <v>Alerta: Seleccione primero el responsable</v>
      </c>
      <c r="AJ728" s="640" t="str">
        <f>IFERROR(VLOOKUP(AH728,Listas!$A$77:$C$83,3,FALSE),"Alerta: Seleccione primero el responsable")</f>
        <v>Alerta: Seleccione primero el responsable</v>
      </c>
      <c r="AK728" s="640" t="str">
        <f>IF(J728="Funcionamiento Gastos Generales","No aplica",IF(J728="Funcionamiento Servicios Personales indirectos","No aplica",IFERROR(VLOOKUP(J728,Listas!$A$127:$E$139,3,FALSE),"Alerta: Seleccione la celda en la comumna B con el nombre del proyecto")))</f>
        <v>Alerta: Seleccione la celda en la comumna B con el nombre del proyecto</v>
      </c>
      <c r="AL728" s="640" t="str">
        <f>IF(J728="Funcionamiento Gastos Generales","No aplica",IF(J728="Funcionamiento Servicios Personales","No aplica",IFERROR(VLOOKUP(J728,Listas!$A$220:$D$224,2,FALSE),"Alerta: Seleccione la celda en la comumna B con el nombre del proyecto")))</f>
        <v>Alerta: Seleccione la celda en la comumna B con el nombre del proyecto</v>
      </c>
      <c r="AM728" s="640" t="str">
        <f>IF(J728="Funcionamiento Gastos Generales","No aplica",IF(J728="Funcionamiento Servicios Personales","No aplica",IFERROR(VLOOKUP(J728,Listas!$A$220:$D$224,3,FALSE),"Alerta: Seleccione la celda en la comumna B con el nombre del proyecto")))</f>
        <v>Alerta: Seleccione la celda en la comumna B con el nombre del proyecto</v>
      </c>
      <c r="AN728" s="633"/>
      <c r="AO728" s="633"/>
      <c r="AP728" s="634" t="str">
        <f>IFERROR(VLOOKUP(J728,Listas!$A$182:$E$215,5,FALSE),"Alerta: Seleccione la celda en la comumna B con el nombre del proyecto")</f>
        <v>Alerta: Seleccione la celda en la comumna B con el nombre del proyecto</v>
      </c>
      <c r="AQ728" s="634" t="str">
        <f>IF(J728="Funcionamiento Gastos Generales","No aplica",IF(J728="Funcionamiento Servicios Personales","No aplica",IFERROR(VLOOKUP(J728,Listas!$A$220:$D$224,4,FALSE),"Alerta: Seleccione la celda en la comumna B con el nombre del proyecto")))</f>
        <v>Alerta: Seleccione la celda en la comumna B con el nombre del proyecto</v>
      </c>
      <c r="AR728" s="633"/>
      <c r="AS728" s="634" t="str">
        <f>IFERROR(VLOOKUP(AU728,Listas!$E$85:$L$105,7,FALSE),"Alerta: Seleccione la celda en la comumna AI con el concepto de gasto")</f>
        <v>Alerta: Seleccione la celda en la comumna AI con el concepto de gasto</v>
      </c>
      <c r="AT728" s="634" t="str">
        <f>IFERROR(VLOOKUP(AU728,Listas!$E$85:$L$105,8,FALSE),"Alerta: Seleccione la celda en la comumna AI con el concepto de gasto")</f>
        <v>Alerta: Seleccione la celda en la comumna AI con el concepto de gasto</v>
      </c>
      <c r="AU728" s="633"/>
      <c r="AV728" s="634" t="str">
        <f>IFERROR(VLOOKUP(AU728,Listas!$E$85:$F$105,2,FALSE),"Alerta: Seleccione el Concepto de Gasto primero")</f>
        <v>Alerta: Seleccione el Concepto de Gasto primero</v>
      </c>
      <c r="AW728" s="644"/>
      <c r="AX728" s="645"/>
      <c r="AY728" s="645"/>
      <c r="AZ728" s="645"/>
      <c r="BA728" s="646">
        <f t="shared" si="218"/>
        <v>0</v>
      </c>
      <c r="BB728" s="647"/>
      <c r="BC728" s="648"/>
      <c r="BD728" s="649"/>
      <c r="BE728" s="647"/>
      <c r="BF728" s="644"/>
      <c r="BG728" s="646">
        <f t="shared" si="219"/>
        <v>0</v>
      </c>
      <c r="BH728" s="650"/>
      <c r="BI728" s="647"/>
      <c r="BJ728" s="644"/>
      <c r="BK728" s="646">
        <f t="shared" si="220"/>
        <v>0</v>
      </c>
      <c r="BL728" s="651"/>
      <c r="BM728" s="652">
        <f t="shared" si="221"/>
        <v>1</v>
      </c>
      <c r="BN728" s="628"/>
      <c r="BO728" s="670"/>
      <c r="BP728" s="644"/>
      <c r="BQ728" s="644"/>
      <c r="BR728" s="644"/>
      <c r="BS728" s="644"/>
      <c r="BT728" s="644"/>
      <c r="BU728" s="644"/>
      <c r="BV728" s="644"/>
      <c r="BW728" s="644"/>
      <c r="BX728" s="644"/>
      <c r="BY728" s="644"/>
      <c r="BZ728" s="644"/>
      <c r="CA728" s="644"/>
      <c r="CB728" s="646">
        <f t="shared" si="222"/>
        <v>0</v>
      </c>
      <c r="CC728" s="646">
        <f t="shared" si="223"/>
        <v>0</v>
      </c>
      <c r="CD728" s="614"/>
    </row>
    <row r="729" spans="1:85" s="561" customFormat="1" ht="61.5" customHeight="1">
      <c r="A729" s="625" t="str">
        <f t="shared" si="205"/>
        <v>proyecto-Alerta: Seleccione la celda en la comumna B con el nombre del proyecto-Al-Al--</v>
      </c>
      <c r="B729" s="626" t="str">
        <f t="shared" si="206"/>
        <v>proyecto-Alerta: Seleccione la celda en la comumna B con el nombre del proyecto-Al-Al-</v>
      </c>
      <c r="C729" s="626" t="str">
        <f t="shared" si="207"/>
        <v>proyecto-Alerta: Seleccione la celda en la comumna B con el nombre del proyecto-</v>
      </c>
      <c r="D729" s="626" t="str">
        <f t="shared" si="208"/>
        <v>proyecto--Al-Al-</v>
      </c>
      <c r="E729" s="626" t="str">
        <f t="shared" si="209"/>
        <v>--</v>
      </c>
      <c r="F729" s="627"/>
      <c r="G729" s="628">
        <f t="shared" si="210"/>
        <v>0</v>
      </c>
      <c r="H729" s="629" t="b">
        <f t="shared" si="211"/>
        <v>1</v>
      </c>
      <c r="I729" s="630"/>
      <c r="J729" s="627"/>
      <c r="K729" s="631" t="str">
        <f>+IFERROR(VLOOKUP(J729,Listas!$A$108:$B$114,2,FALSE),"Alerta: Seleccione la celda en la comumna B con el nombre del proyecto")</f>
        <v>Alerta: Seleccione la celda en la comumna B con el nombre del proyecto</v>
      </c>
      <c r="L729" s="632"/>
      <c r="M729" s="633"/>
      <c r="N729" s="634" t="str">
        <f t="shared" si="212"/>
        <v xml:space="preserve">(Cód. ) </v>
      </c>
      <c r="O729" s="635"/>
      <c r="P729" s="636">
        <f>IFERROR(VLOOKUP(W729,'Estimación CRP'!$D$21:$E$30,2,FALSE),0)</f>
        <v>0</v>
      </c>
      <c r="Q729" s="637">
        <f>IF(O729="No aplica","No aplica",WORKDAY.INTL(O729,P729,1,'Estimación CRP'!A915:A931))</f>
        <v>0</v>
      </c>
      <c r="R729" s="636">
        <f t="shared" si="213"/>
        <v>1</v>
      </c>
      <c r="S729" s="636">
        <f t="shared" si="214"/>
        <v>1</v>
      </c>
      <c r="T729" s="636">
        <f t="shared" si="215"/>
        <v>1</v>
      </c>
      <c r="U729" s="638"/>
      <c r="V729" s="638"/>
      <c r="W729" s="639"/>
      <c r="X729" s="640" t="str">
        <f>IFERROR(VLOOKUP(W729,Listas!$A$60:$B$73,2,FALSE),"Alerta: Seleccione primero Modalidad de selección")</f>
        <v>Alerta: Seleccione primero Modalidad de selección</v>
      </c>
      <c r="Y729" s="641">
        <v>0</v>
      </c>
      <c r="Z729" s="641"/>
      <c r="AA729" s="641"/>
      <c r="AB729" s="642">
        <f t="shared" si="216"/>
        <v>0</v>
      </c>
      <c r="AC729" s="642">
        <f t="shared" si="217"/>
        <v>0</v>
      </c>
      <c r="AD729" s="641">
        <v>0</v>
      </c>
      <c r="AE729" s="643">
        <v>0</v>
      </c>
      <c r="AF729" s="639" t="s">
        <v>276</v>
      </c>
      <c r="AG729" s="639" t="s">
        <v>277</v>
      </c>
      <c r="AH729" s="639"/>
      <c r="AI729" s="626" t="str">
        <f>IFERROR(VLOOKUP(AH729,Listas!$A$77:$C$83,2,FALSE),"Alerta: Seleccione primero el responsable")</f>
        <v>Alerta: Seleccione primero el responsable</v>
      </c>
      <c r="AJ729" s="640" t="str">
        <f>IFERROR(VLOOKUP(AH729,Listas!$A$77:$C$83,3,FALSE),"Alerta: Seleccione primero el responsable")</f>
        <v>Alerta: Seleccione primero el responsable</v>
      </c>
      <c r="AK729" s="640" t="str">
        <f>IF(J729="Funcionamiento Gastos Generales","No aplica",IF(J729="Funcionamiento Servicios Personales indirectos","No aplica",IFERROR(VLOOKUP(J729,Listas!$A$127:$E$139,3,FALSE),"Alerta: Seleccione la celda en la comumna B con el nombre del proyecto")))</f>
        <v>Alerta: Seleccione la celda en la comumna B con el nombre del proyecto</v>
      </c>
      <c r="AL729" s="640" t="str">
        <f>IF(J729="Funcionamiento Gastos Generales","No aplica",IF(J729="Funcionamiento Servicios Personales","No aplica",IFERROR(VLOOKUP(J729,Listas!$A$220:$D$224,2,FALSE),"Alerta: Seleccione la celda en la comumna B con el nombre del proyecto")))</f>
        <v>Alerta: Seleccione la celda en la comumna B con el nombre del proyecto</v>
      </c>
      <c r="AM729" s="640" t="str">
        <f>IF(J729="Funcionamiento Gastos Generales","No aplica",IF(J729="Funcionamiento Servicios Personales","No aplica",IFERROR(VLOOKUP(J729,Listas!$A$220:$D$224,3,FALSE),"Alerta: Seleccione la celda en la comumna B con el nombre del proyecto")))</f>
        <v>Alerta: Seleccione la celda en la comumna B con el nombre del proyecto</v>
      </c>
      <c r="AN729" s="633"/>
      <c r="AO729" s="633"/>
      <c r="AP729" s="634" t="str">
        <f>IFERROR(VLOOKUP(J729,Listas!$A$182:$E$215,5,FALSE),"Alerta: Seleccione la celda en la comumna B con el nombre del proyecto")</f>
        <v>Alerta: Seleccione la celda en la comumna B con el nombre del proyecto</v>
      </c>
      <c r="AQ729" s="634" t="str">
        <f>IF(J729="Funcionamiento Gastos Generales","No aplica",IF(J729="Funcionamiento Servicios Personales","No aplica",IFERROR(VLOOKUP(J729,Listas!$A$220:$D$224,4,FALSE),"Alerta: Seleccione la celda en la comumna B con el nombre del proyecto")))</f>
        <v>Alerta: Seleccione la celda en la comumna B con el nombre del proyecto</v>
      </c>
      <c r="AR729" s="633"/>
      <c r="AS729" s="634" t="str">
        <f>IFERROR(VLOOKUP(AU729,Listas!$E$85:$L$105,7,FALSE),"Alerta: Seleccione la celda en la comumna AI con el concepto de gasto")</f>
        <v>Alerta: Seleccione la celda en la comumna AI con el concepto de gasto</v>
      </c>
      <c r="AT729" s="634" t="str">
        <f>IFERROR(VLOOKUP(AU729,Listas!$E$85:$L$105,8,FALSE),"Alerta: Seleccione la celda en la comumna AI con el concepto de gasto")</f>
        <v>Alerta: Seleccione la celda en la comumna AI con el concepto de gasto</v>
      </c>
      <c r="AU729" s="633"/>
      <c r="AV729" s="634" t="str">
        <f>IFERROR(VLOOKUP(AU729,Listas!$E$85:$F$105,2,FALSE),"Alerta: Seleccione el Concepto de Gasto primero")</f>
        <v>Alerta: Seleccione el Concepto de Gasto primero</v>
      </c>
      <c r="AW729" s="644"/>
      <c r="AX729" s="645"/>
      <c r="AY729" s="645"/>
      <c r="AZ729" s="645"/>
      <c r="BA729" s="646">
        <f t="shared" si="218"/>
        <v>0</v>
      </c>
      <c r="BB729" s="647"/>
      <c r="BC729" s="648"/>
      <c r="BD729" s="649"/>
      <c r="BE729" s="647"/>
      <c r="BF729" s="644"/>
      <c r="BG729" s="646">
        <f t="shared" si="219"/>
        <v>0</v>
      </c>
      <c r="BH729" s="650"/>
      <c r="BI729" s="647"/>
      <c r="BJ729" s="644"/>
      <c r="BK729" s="646">
        <f t="shared" si="220"/>
        <v>0</v>
      </c>
      <c r="BL729" s="651"/>
      <c r="BM729" s="652">
        <f t="shared" si="221"/>
        <v>1</v>
      </c>
      <c r="BN729" s="628"/>
      <c r="BO729" s="670"/>
      <c r="BP729" s="644"/>
      <c r="BQ729" s="644"/>
      <c r="BR729" s="644"/>
      <c r="BS729" s="644"/>
      <c r="BT729" s="644"/>
      <c r="BU729" s="644"/>
      <c r="BV729" s="644"/>
      <c r="BW729" s="644"/>
      <c r="BX729" s="644"/>
      <c r="BY729" s="644"/>
      <c r="BZ729" s="644"/>
      <c r="CA729" s="644"/>
      <c r="CB729" s="646">
        <f t="shared" si="222"/>
        <v>0</v>
      </c>
      <c r="CC729" s="646">
        <f t="shared" si="223"/>
        <v>0</v>
      </c>
      <c r="CD729" s="614"/>
    </row>
    <row r="730" spans="1:85" s="561" customFormat="1" ht="61.5" customHeight="1">
      <c r="A730" s="625" t="str">
        <f t="shared" si="205"/>
        <v>proyecto-Alerta: Seleccione la celda en la comumna B con el nombre del proyecto-Al-Al--</v>
      </c>
      <c r="B730" s="626" t="str">
        <f t="shared" si="206"/>
        <v>proyecto-Alerta: Seleccione la celda en la comumna B con el nombre del proyecto-Al-Al-</v>
      </c>
      <c r="C730" s="626" t="str">
        <f t="shared" si="207"/>
        <v>proyecto-Alerta: Seleccione la celda en la comumna B con el nombre del proyecto-</v>
      </c>
      <c r="D730" s="626" t="str">
        <f t="shared" si="208"/>
        <v>proyecto--Al-Al-</v>
      </c>
      <c r="E730" s="626" t="str">
        <f t="shared" si="209"/>
        <v>--</v>
      </c>
      <c r="F730" s="627"/>
      <c r="G730" s="628">
        <f t="shared" si="210"/>
        <v>0</v>
      </c>
      <c r="H730" s="629" t="b">
        <f t="shared" si="211"/>
        <v>1</v>
      </c>
      <c r="I730" s="630"/>
      <c r="J730" s="627"/>
      <c r="K730" s="631" t="str">
        <f>+IFERROR(VLOOKUP(J730,Listas!$A$108:$B$114,2,FALSE),"Alerta: Seleccione la celda en la comumna B con el nombre del proyecto")</f>
        <v>Alerta: Seleccione la celda en la comumna B con el nombre del proyecto</v>
      </c>
      <c r="L730" s="632"/>
      <c r="M730" s="633"/>
      <c r="N730" s="634" t="str">
        <f t="shared" si="212"/>
        <v xml:space="preserve">(Cód. ) </v>
      </c>
      <c r="O730" s="635"/>
      <c r="P730" s="636">
        <f>IFERROR(VLOOKUP(W730,'Estimación CRP'!$D$21:$E$30,2,FALSE),0)</f>
        <v>0</v>
      </c>
      <c r="Q730" s="637">
        <f>IF(O730="No aplica","No aplica",WORKDAY.INTL(O730,P730,1,'Estimación CRP'!A916:A932))</f>
        <v>0</v>
      </c>
      <c r="R730" s="636">
        <f t="shared" si="213"/>
        <v>1</v>
      </c>
      <c r="S730" s="636">
        <f t="shared" si="214"/>
        <v>1</v>
      </c>
      <c r="T730" s="636">
        <f t="shared" si="215"/>
        <v>1</v>
      </c>
      <c r="U730" s="638"/>
      <c r="V730" s="638"/>
      <c r="W730" s="639"/>
      <c r="X730" s="640" t="str">
        <f>IFERROR(VLOOKUP(W730,Listas!$A$60:$B$73,2,FALSE),"Alerta: Seleccione primero Modalidad de selección")</f>
        <v>Alerta: Seleccione primero Modalidad de selección</v>
      </c>
      <c r="Y730" s="641">
        <v>0</v>
      </c>
      <c r="Z730" s="641"/>
      <c r="AA730" s="641"/>
      <c r="AB730" s="642">
        <f t="shared" si="216"/>
        <v>0</v>
      </c>
      <c r="AC730" s="642">
        <f t="shared" si="217"/>
        <v>0</v>
      </c>
      <c r="AD730" s="641">
        <v>0</v>
      </c>
      <c r="AE730" s="643">
        <v>0</v>
      </c>
      <c r="AF730" s="639" t="s">
        <v>276</v>
      </c>
      <c r="AG730" s="639" t="s">
        <v>277</v>
      </c>
      <c r="AH730" s="639"/>
      <c r="AI730" s="626" t="str">
        <f>IFERROR(VLOOKUP(AH730,Listas!$A$77:$C$83,2,FALSE),"Alerta: Seleccione primero el responsable")</f>
        <v>Alerta: Seleccione primero el responsable</v>
      </c>
      <c r="AJ730" s="640" t="str">
        <f>IFERROR(VLOOKUP(AH730,Listas!$A$77:$C$83,3,FALSE),"Alerta: Seleccione primero el responsable")</f>
        <v>Alerta: Seleccione primero el responsable</v>
      </c>
      <c r="AK730" s="640" t="str">
        <f>IF(J730="Funcionamiento Gastos Generales","No aplica",IF(J730="Funcionamiento Servicios Personales indirectos","No aplica",IFERROR(VLOOKUP(J730,Listas!$A$127:$E$139,3,FALSE),"Alerta: Seleccione la celda en la comumna B con el nombre del proyecto")))</f>
        <v>Alerta: Seleccione la celda en la comumna B con el nombre del proyecto</v>
      </c>
      <c r="AL730" s="640" t="str">
        <f>IF(J730="Funcionamiento Gastos Generales","No aplica",IF(J730="Funcionamiento Servicios Personales","No aplica",IFERROR(VLOOKUP(J730,Listas!$A$220:$D$224,2,FALSE),"Alerta: Seleccione la celda en la comumna B con el nombre del proyecto")))</f>
        <v>Alerta: Seleccione la celda en la comumna B con el nombre del proyecto</v>
      </c>
      <c r="AM730" s="640" t="str">
        <f>IF(J730="Funcionamiento Gastos Generales","No aplica",IF(J730="Funcionamiento Servicios Personales","No aplica",IFERROR(VLOOKUP(J730,Listas!$A$220:$D$224,3,FALSE),"Alerta: Seleccione la celda en la comumna B con el nombre del proyecto")))</f>
        <v>Alerta: Seleccione la celda en la comumna B con el nombre del proyecto</v>
      </c>
      <c r="AN730" s="633"/>
      <c r="AO730" s="633"/>
      <c r="AP730" s="634" t="str">
        <f>IFERROR(VLOOKUP(J730,Listas!$A$182:$E$215,5,FALSE),"Alerta: Seleccione la celda en la comumna B con el nombre del proyecto")</f>
        <v>Alerta: Seleccione la celda en la comumna B con el nombre del proyecto</v>
      </c>
      <c r="AQ730" s="634" t="str">
        <f>IF(J730="Funcionamiento Gastos Generales","No aplica",IF(J730="Funcionamiento Servicios Personales","No aplica",IFERROR(VLOOKUP(J730,Listas!$A$220:$D$224,4,FALSE),"Alerta: Seleccione la celda en la comumna B con el nombre del proyecto")))</f>
        <v>Alerta: Seleccione la celda en la comumna B con el nombre del proyecto</v>
      </c>
      <c r="AR730" s="633"/>
      <c r="AS730" s="634" t="str">
        <f>IFERROR(VLOOKUP(AU730,Listas!$E$85:$L$105,7,FALSE),"Alerta: Seleccione la celda en la comumna AI con el concepto de gasto")</f>
        <v>Alerta: Seleccione la celda en la comumna AI con el concepto de gasto</v>
      </c>
      <c r="AT730" s="634" t="str">
        <f>IFERROR(VLOOKUP(AU730,Listas!$E$85:$L$105,8,FALSE),"Alerta: Seleccione la celda en la comumna AI con el concepto de gasto")</f>
        <v>Alerta: Seleccione la celda en la comumna AI con el concepto de gasto</v>
      </c>
      <c r="AU730" s="633"/>
      <c r="AV730" s="634" t="str">
        <f>IFERROR(VLOOKUP(AU730,Listas!$E$85:$F$105,2,FALSE),"Alerta: Seleccione el Concepto de Gasto primero")</f>
        <v>Alerta: Seleccione el Concepto de Gasto primero</v>
      </c>
      <c r="AW730" s="644"/>
      <c r="AX730" s="645"/>
      <c r="AY730" s="645"/>
      <c r="AZ730" s="645"/>
      <c r="BA730" s="646">
        <f t="shared" si="218"/>
        <v>0</v>
      </c>
      <c r="BB730" s="647"/>
      <c r="BC730" s="648"/>
      <c r="BD730" s="649"/>
      <c r="BE730" s="647"/>
      <c r="BF730" s="644"/>
      <c r="BG730" s="646">
        <f t="shared" si="219"/>
        <v>0</v>
      </c>
      <c r="BH730" s="650"/>
      <c r="BI730" s="647"/>
      <c r="BJ730" s="644"/>
      <c r="BK730" s="646">
        <f t="shared" si="220"/>
        <v>0</v>
      </c>
      <c r="BL730" s="651"/>
      <c r="BM730" s="652">
        <f t="shared" si="221"/>
        <v>1</v>
      </c>
      <c r="BN730" s="628"/>
      <c r="BO730" s="670"/>
      <c r="BP730" s="644"/>
      <c r="BQ730" s="644"/>
      <c r="BR730" s="644"/>
      <c r="BS730" s="644"/>
      <c r="BT730" s="644"/>
      <c r="BU730" s="644"/>
      <c r="BV730" s="644"/>
      <c r="BW730" s="644"/>
      <c r="BX730" s="644"/>
      <c r="BY730" s="644"/>
      <c r="BZ730" s="644"/>
      <c r="CA730" s="644"/>
      <c r="CB730" s="646">
        <f t="shared" si="222"/>
        <v>0</v>
      </c>
      <c r="CC730" s="646">
        <f t="shared" si="223"/>
        <v>0</v>
      </c>
      <c r="CD730" s="614"/>
    </row>
    <row r="731" spans="1:85" s="561" customFormat="1" ht="61.5" customHeight="1">
      <c r="A731" s="625" t="str">
        <f t="shared" si="205"/>
        <v>proyecto-Alerta: Seleccione la celda en la comumna B con el nombre del proyecto-Al-Al--</v>
      </c>
      <c r="B731" s="626" t="str">
        <f t="shared" si="206"/>
        <v>proyecto-Alerta: Seleccione la celda en la comumna B con el nombre del proyecto-Al-Al-</v>
      </c>
      <c r="C731" s="626" t="str">
        <f t="shared" si="207"/>
        <v>proyecto-Alerta: Seleccione la celda en la comumna B con el nombre del proyecto-</v>
      </c>
      <c r="D731" s="626" t="str">
        <f t="shared" si="208"/>
        <v>proyecto--Al-Al-</v>
      </c>
      <c r="E731" s="626" t="str">
        <f t="shared" si="209"/>
        <v>--</v>
      </c>
      <c r="F731" s="627"/>
      <c r="G731" s="628">
        <f t="shared" si="210"/>
        <v>0</v>
      </c>
      <c r="H731" s="629" t="b">
        <f t="shared" si="211"/>
        <v>1</v>
      </c>
      <c r="I731" s="630"/>
      <c r="J731" s="627"/>
      <c r="K731" s="631" t="str">
        <f>+IFERROR(VLOOKUP(J731,Listas!$A$108:$B$114,2,FALSE),"Alerta: Seleccione la celda en la comumna B con el nombre del proyecto")</f>
        <v>Alerta: Seleccione la celda en la comumna B con el nombre del proyecto</v>
      </c>
      <c r="L731" s="632"/>
      <c r="M731" s="633"/>
      <c r="N731" s="634" t="str">
        <f t="shared" si="212"/>
        <v xml:space="preserve">(Cód. ) </v>
      </c>
      <c r="O731" s="635"/>
      <c r="P731" s="636">
        <f>IFERROR(VLOOKUP(W731,'Estimación CRP'!$D$21:$E$30,2,FALSE),0)</f>
        <v>0</v>
      </c>
      <c r="Q731" s="637">
        <f>IF(O731="No aplica","No aplica",WORKDAY.INTL(O731,P731,1,'Estimación CRP'!A917:A933))</f>
        <v>0</v>
      </c>
      <c r="R731" s="636">
        <f t="shared" si="213"/>
        <v>1</v>
      </c>
      <c r="S731" s="636">
        <f t="shared" si="214"/>
        <v>1</v>
      </c>
      <c r="T731" s="636">
        <f t="shared" si="215"/>
        <v>1</v>
      </c>
      <c r="U731" s="638"/>
      <c r="V731" s="638"/>
      <c r="W731" s="639"/>
      <c r="X731" s="640" t="str">
        <f>IFERROR(VLOOKUP(W731,Listas!$A$60:$B$73,2,FALSE),"Alerta: Seleccione primero Modalidad de selección")</f>
        <v>Alerta: Seleccione primero Modalidad de selección</v>
      </c>
      <c r="Y731" s="641">
        <v>0</v>
      </c>
      <c r="Z731" s="641"/>
      <c r="AA731" s="641"/>
      <c r="AB731" s="642">
        <f t="shared" si="216"/>
        <v>0</v>
      </c>
      <c r="AC731" s="642">
        <f t="shared" si="217"/>
        <v>0</v>
      </c>
      <c r="AD731" s="641">
        <v>0</v>
      </c>
      <c r="AE731" s="643">
        <v>0</v>
      </c>
      <c r="AF731" s="639" t="s">
        <v>276</v>
      </c>
      <c r="AG731" s="639" t="s">
        <v>277</v>
      </c>
      <c r="AH731" s="639"/>
      <c r="AI731" s="626" t="str">
        <f>IFERROR(VLOOKUP(AH731,Listas!$A$77:$C$83,2,FALSE),"Alerta: Seleccione primero el responsable")</f>
        <v>Alerta: Seleccione primero el responsable</v>
      </c>
      <c r="AJ731" s="640" t="str">
        <f>IFERROR(VLOOKUP(AH731,Listas!$A$77:$C$83,3,FALSE),"Alerta: Seleccione primero el responsable")</f>
        <v>Alerta: Seleccione primero el responsable</v>
      </c>
      <c r="AK731" s="640" t="str">
        <f>IF(J731="Funcionamiento Gastos Generales","No aplica",IF(J731="Funcionamiento Servicios Personales indirectos","No aplica",IFERROR(VLOOKUP(J731,Listas!$A$127:$E$139,3,FALSE),"Alerta: Seleccione la celda en la comumna B con el nombre del proyecto")))</f>
        <v>Alerta: Seleccione la celda en la comumna B con el nombre del proyecto</v>
      </c>
      <c r="AL731" s="640" t="str">
        <f>IF(J731="Funcionamiento Gastos Generales","No aplica",IF(J731="Funcionamiento Servicios Personales","No aplica",IFERROR(VLOOKUP(J731,Listas!$A$220:$D$224,2,FALSE),"Alerta: Seleccione la celda en la comumna B con el nombre del proyecto")))</f>
        <v>Alerta: Seleccione la celda en la comumna B con el nombre del proyecto</v>
      </c>
      <c r="AM731" s="640" t="str">
        <f>IF(J731="Funcionamiento Gastos Generales","No aplica",IF(J731="Funcionamiento Servicios Personales","No aplica",IFERROR(VLOOKUP(J731,Listas!$A$220:$D$224,3,FALSE),"Alerta: Seleccione la celda en la comumna B con el nombre del proyecto")))</f>
        <v>Alerta: Seleccione la celda en la comumna B con el nombre del proyecto</v>
      </c>
      <c r="AN731" s="633"/>
      <c r="AO731" s="633"/>
      <c r="AP731" s="634" t="str">
        <f>IFERROR(VLOOKUP(J731,Listas!$A$182:$E$215,5,FALSE),"Alerta: Seleccione la celda en la comumna B con el nombre del proyecto")</f>
        <v>Alerta: Seleccione la celda en la comumna B con el nombre del proyecto</v>
      </c>
      <c r="AQ731" s="634" t="str">
        <f>IF(J731="Funcionamiento Gastos Generales","No aplica",IF(J731="Funcionamiento Servicios Personales","No aplica",IFERROR(VLOOKUP(J731,Listas!$A$220:$D$224,4,FALSE),"Alerta: Seleccione la celda en la comumna B con el nombre del proyecto")))</f>
        <v>Alerta: Seleccione la celda en la comumna B con el nombre del proyecto</v>
      </c>
      <c r="AR731" s="633"/>
      <c r="AS731" s="634" t="str">
        <f>IFERROR(VLOOKUP(AU731,Listas!$E$85:$L$105,7,FALSE),"Alerta: Seleccione la celda en la comumna AI con el concepto de gasto")</f>
        <v>Alerta: Seleccione la celda en la comumna AI con el concepto de gasto</v>
      </c>
      <c r="AT731" s="634" t="str">
        <f>IFERROR(VLOOKUP(AU731,Listas!$E$85:$L$105,8,FALSE),"Alerta: Seleccione la celda en la comumna AI con el concepto de gasto")</f>
        <v>Alerta: Seleccione la celda en la comumna AI con el concepto de gasto</v>
      </c>
      <c r="AU731" s="633"/>
      <c r="AV731" s="634" t="str">
        <f>IFERROR(VLOOKUP(AU731,Listas!$E$85:$F$105,2,FALSE),"Alerta: Seleccione el Concepto de Gasto primero")</f>
        <v>Alerta: Seleccione el Concepto de Gasto primero</v>
      </c>
      <c r="AW731" s="644"/>
      <c r="AX731" s="645"/>
      <c r="AY731" s="645"/>
      <c r="AZ731" s="645"/>
      <c r="BA731" s="646">
        <f t="shared" si="218"/>
        <v>0</v>
      </c>
      <c r="BB731" s="647"/>
      <c r="BC731" s="648"/>
      <c r="BD731" s="649"/>
      <c r="BE731" s="647"/>
      <c r="BF731" s="644"/>
      <c r="BG731" s="646">
        <f t="shared" si="219"/>
        <v>0</v>
      </c>
      <c r="BH731" s="650"/>
      <c r="BI731" s="647"/>
      <c r="BJ731" s="644"/>
      <c r="BK731" s="646">
        <f t="shared" si="220"/>
        <v>0</v>
      </c>
      <c r="BL731" s="651"/>
      <c r="BM731" s="652">
        <f t="shared" si="221"/>
        <v>1</v>
      </c>
      <c r="BN731" s="628"/>
      <c r="BO731" s="670"/>
      <c r="BP731" s="644"/>
      <c r="BQ731" s="644"/>
      <c r="BR731" s="644"/>
      <c r="BS731" s="644"/>
      <c r="BT731" s="644"/>
      <c r="BU731" s="644"/>
      <c r="BV731" s="644"/>
      <c r="BW731" s="644"/>
      <c r="BX731" s="644"/>
      <c r="BY731" s="644"/>
      <c r="BZ731" s="644"/>
      <c r="CA731" s="644"/>
      <c r="CB731" s="646">
        <f t="shared" si="222"/>
        <v>0</v>
      </c>
      <c r="CC731" s="646">
        <f t="shared" si="223"/>
        <v>0</v>
      </c>
      <c r="CD731" s="614"/>
    </row>
    <row r="732" spans="1:85" s="561" customFormat="1" ht="61.5" customHeight="1">
      <c r="A732" s="625" t="str">
        <f t="shared" si="205"/>
        <v>proyecto-Alerta: Seleccione la celda en la comumna B con el nombre del proyecto-Al-Al--</v>
      </c>
      <c r="B732" s="626" t="str">
        <f t="shared" si="206"/>
        <v>proyecto-Alerta: Seleccione la celda en la comumna B con el nombre del proyecto-Al-Al-</v>
      </c>
      <c r="C732" s="626" t="str">
        <f t="shared" si="207"/>
        <v>proyecto-Alerta: Seleccione la celda en la comumna B con el nombre del proyecto-</v>
      </c>
      <c r="D732" s="626" t="str">
        <f t="shared" si="208"/>
        <v>proyecto--Al-Al-</v>
      </c>
      <c r="E732" s="626" t="str">
        <f t="shared" si="209"/>
        <v>--</v>
      </c>
      <c r="F732" s="627"/>
      <c r="G732" s="628">
        <f t="shared" si="210"/>
        <v>0</v>
      </c>
      <c r="H732" s="629" t="b">
        <f t="shared" si="211"/>
        <v>1</v>
      </c>
      <c r="I732" s="630"/>
      <c r="J732" s="627"/>
      <c r="K732" s="631" t="str">
        <f>+IFERROR(VLOOKUP(J732,Listas!$A$108:$B$114,2,FALSE),"Alerta: Seleccione la celda en la comumna B con el nombre del proyecto")</f>
        <v>Alerta: Seleccione la celda en la comumna B con el nombre del proyecto</v>
      </c>
      <c r="L732" s="632"/>
      <c r="M732" s="633"/>
      <c r="N732" s="634" t="str">
        <f t="shared" si="212"/>
        <v xml:space="preserve">(Cód. ) </v>
      </c>
      <c r="O732" s="635"/>
      <c r="P732" s="636">
        <f>IFERROR(VLOOKUP(W732,'Estimación CRP'!$D$21:$E$30,2,FALSE),0)</f>
        <v>0</v>
      </c>
      <c r="Q732" s="637">
        <f>IF(O732="No aplica","No aplica",WORKDAY.INTL(O732,P732,1,'Estimación CRP'!A918:A934))</f>
        <v>0</v>
      </c>
      <c r="R732" s="636">
        <f t="shared" si="213"/>
        <v>1</v>
      </c>
      <c r="S732" s="636">
        <f t="shared" si="214"/>
        <v>1</v>
      </c>
      <c r="T732" s="636">
        <f t="shared" si="215"/>
        <v>1</v>
      </c>
      <c r="U732" s="638"/>
      <c r="V732" s="638"/>
      <c r="W732" s="639"/>
      <c r="X732" s="640" t="str">
        <f>IFERROR(VLOOKUP(W732,Listas!$A$60:$B$73,2,FALSE),"Alerta: Seleccione primero Modalidad de selección")</f>
        <v>Alerta: Seleccione primero Modalidad de selección</v>
      </c>
      <c r="Y732" s="641">
        <v>0</v>
      </c>
      <c r="Z732" s="641"/>
      <c r="AA732" s="641"/>
      <c r="AB732" s="642">
        <f t="shared" si="216"/>
        <v>0</v>
      </c>
      <c r="AC732" s="642">
        <f t="shared" si="217"/>
        <v>0</v>
      </c>
      <c r="AD732" s="641">
        <v>0</v>
      </c>
      <c r="AE732" s="643">
        <v>0</v>
      </c>
      <c r="AF732" s="639" t="s">
        <v>276</v>
      </c>
      <c r="AG732" s="639" t="s">
        <v>277</v>
      </c>
      <c r="AH732" s="639"/>
      <c r="AI732" s="626" t="str">
        <f>IFERROR(VLOOKUP(AH732,Listas!$A$77:$C$83,2,FALSE),"Alerta: Seleccione primero el responsable")</f>
        <v>Alerta: Seleccione primero el responsable</v>
      </c>
      <c r="AJ732" s="640" t="str">
        <f>IFERROR(VLOOKUP(AH732,Listas!$A$77:$C$83,3,FALSE),"Alerta: Seleccione primero el responsable")</f>
        <v>Alerta: Seleccione primero el responsable</v>
      </c>
      <c r="AK732" s="640" t="str">
        <f>IF(J732="Funcionamiento Gastos Generales","No aplica",IF(J732="Funcionamiento Servicios Personales indirectos","No aplica",IFERROR(VLOOKUP(J732,Listas!$A$127:$E$139,3,FALSE),"Alerta: Seleccione la celda en la comumna B con el nombre del proyecto")))</f>
        <v>Alerta: Seleccione la celda en la comumna B con el nombre del proyecto</v>
      </c>
      <c r="AL732" s="640" t="str">
        <f>IF(J732="Funcionamiento Gastos Generales","No aplica",IF(J732="Funcionamiento Servicios Personales","No aplica",IFERROR(VLOOKUP(J732,Listas!$A$220:$D$224,2,FALSE),"Alerta: Seleccione la celda en la comumna B con el nombre del proyecto")))</f>
        <v>Alerta: Seleccione la celda en la comumna B con el nombre del proyecto</v>
      </c>
      <c r="AM732" s="640" t="str">
        <f>IF(J732="Funcionamiento Gastos Generales","No aplica",IF(J732="Funcionamiento Servicios Personales","No aplica",IFERROR(VLOOKUP(J732,Listas!$A$220:$D$224,3,FALSE),"Alerta: Seleccione la celda en la comumna B con el nombre del proyecto")))</f>
        <v>Alerta: Seleccione la celda en la comumna B con el nombre del proyecto</v>
      </c>
      <c r="AN732" s="633"/>
      <c r="AO732" s="633"/>
      <c r="AP732" s="634" t="str">
        <f>IFERROR(VLOOKUP(J732,Listas!$A$182:$E$215,5,FALSE),"Alerta: Seleccione la celda en la comumna B con el nombre del proyecto")</f>
        <v>Alerta: Seleccione la celda en la comumna B con el nombre del proyecto</v>
      </c>
      <c r="AQ732" s="634" t="str">
        <f>IF(J732="Funcionamiento Gastos Generales","No aplica",IF(J732="Funcionamiento Servicios Personales","No aplica",IFERROR(VLOOKUP(J732,Listas!$A$220:$D$224,4,FALSE),"Alerta: Seleccione la celda en la comumna B con el nombre del proyecto")))</f>
        <v>Alerta: Seleccione la celda en la comumna B con el nombre del proyecto</v>
      </c>
      <c r="AR732" s="633"/>
      <c r="AS732" s="634" t="str">
        <f>IFERROR(VLOOKUP(AU732,Listas!$E$85:$L$105,7,FALSE),"Alerta: Seleccione la celda en la comumna AI con el concepto de gasto")</f>
        <v>Alerta: Seleccione la celda en la comumna AI con el concepto de gasto</v>
      </c>
      <c r="AT732" s="634" t="str">
        <f>IFERROR(VLOOKUP(AU732,Listas!$E$85:$L$105,8,FALSE),"Alerta: Seleccione la celda en la comumna AI con el concepto de gasto")</f>
        <v>Alerta: Seleccione la celda en la comumna AI con el concepto de gasto</v>
      </c>
      <c r="AU732" s="633"/>
      <c r="AV732" s="634" t="str">
        <f>IFERROR(VLOOKUP(AU732,Listas!$E$85:$F$105,2,FALSE),"Alerta: Seleccione el Concepto de Gasto primero")</f>
        <v>Alerta: Seleccione el Concepto de Gasto primero</v>
      </c>
      <c r="AW732" s="644"/>
      <c r="AX732" s="645"/>
      <c r="AY732" s="645"/>
      <c r="AZ732" s="645"/>
      <c r="BA732" s="646">
        <f t="shared" si="218"/>
        <v>0</v>
      </c>
      <c r="BB732" s="647"/>
      <c r="BC732" s="648"/>
      <c r="BD732" s="649"/>
      <c r="BE732" s="647"/>
      <c r="BF732" s="644"/>
      <c r="BG732" s="646">
        <f t="shared" si="219"/>
        <v>0</v>
      </c>
      <c r="BH732" s="650"/>
      <c r="BI732" s="647"/>
      <c r="BJ732" s="644"/>
      <c r="BK732" s="646">
        <f t="shared" si="220"/>
        <v>0</v>
      </c>
      <c r="BL732" s="651"/>
      <c r="BM732" s="652">
        <f t="shared" si="221"/>
        <v>1</v>
      </c>
      <c r="BN732" s="628"/>
      <c r="BO732" s="670"/>
      <c r="BP732" s="644"/>
      <c r="BQ732" s="644"/>
      <c r="BR732" s="644"/>
      <c r="BS732" s="644"/>
      <c r="BT732" s="644"/>
      <c r="BU732" s="644"/>
      <c r="BV732" s="644"/>
      <c r="BW732" s="644"/>
      <c r="BX732" s="644"/>
      <c r="BY732" s="644"/>
      <c r="BZ732" s="644"/>
      <c r="CA732" s="644"/>
      <c r="CB732" s="646">
        <f t="shared" si="222"/>
        <v>0</v>
      </c>
      <c r="CC732" s="646">
        <f t="shared" si="223"/>
        <v>0</v>
      </c>
      <c r="CD732" s="614"/>
    </row>
    <row r="733" spans="1:85" s="561" customFormat="1" ht="61.5" customHeight="1">
      <c r="A733" s="625" t="str">
        <f t="shared" si="205"/>
        <v>proyecto-Alerta: Seleccione la celda en la comumna B con el nombre del proyecto-Al-Al--</v>
      </c>
      <c r="B733" s="626" t="str">
        <f t="shared" si="206"/>
        <v>proyecto-Alerta: Seleccione la celda en la comumna B con el nombre del proyecto-Al-Al-</v>
      </c>
      <c r="C733" s="626" t="str">
        <f t="shared" si="207"/>
        <v>proyecto-Alerta: Seleccione la celda en la comumna B con el nombre del proyecto-</v>
      </c>
      <c r="D733" s="626" t="str">
        <f t="shared" si="208"/>
        <v>proyecto--Al-Al-</v>
      </c>
      <c r="E733" s="626" t="str">
        <f t="shared" si="209"/>
        <v>--</v>
      </c>
      <c r="F733" s="627"/>
      <c r="G733" s="628">
        <f t="shared" si="210"/>
        <v>0</v>
      </c>
      <c r="H733" s="629" t="b">
        <f t="shared" si="211"/>
        <v>1</v>
      </c>
      <c r="I733" s="630"/>
      <c r="J733" s="627"/>
      <c r="K733" s="631" t="str">
        <f>+IFERROR(VLOOKUP(J733,Listas!$A$108:$B$114,2,FALSE),"Alerta: Seleccione la celda en la comumna B con el nombre del proyecto")</f>
        <v>Alerta: Seleccione la celda en la comumna B con el nombre del proyecto</v>
      </c>
      <c r="L733" s="632"/>
      <c r="M733" s="633"/>
      <c r="N733" s="634" t="str">
        <f t="shared" si="212"/>
        <v xml:space="preserve">(Cód. ) </v>
      </c>
      <c r="O733" s="635"/>
      <c r="P733" s="636">
        <f>IFERROR(VLOOKUP(W733,'Estimación CRP'!$D$21:$E$30,2,FALSE),0)</f>
        <v>0</v>
      </c>
      <c r="Q733" s="637">
        <f>IF(O733="No aplica","No aplica",WORKDAY.INTL(O733,P733,1,'Estimación CRP'!A919:A935))</f>
        <v>0</v>
      </c>
      <c r="R733" s="636">
        <f t="shared" si="213"/>
        <v>1</v>
      </c>
      <c r="S733" s="636">
        <f t="shared" si="214"/>
        <v>1</v>
      </c>
      <c r="T733" s="636">
        <f t="shared" si="215"/>
        <v>1</v>
      </c>
      <c r="U733" s="638"/>
      <c r="V733" s="638"/>
      <c r="W733" s="639"/>
      <c r="X733" s="640" t="str">
        <f>IFERROR(VLOOKUP(W733,Listas!$A$60:$B$73,2,FALSE),"Alerta: Seleccione primero Modalidad de selección")</f>
        <v>Alerta: Seleccione primero Modalidad de selección</v>
      </c>
      <c r="Y733" s="641">
        <v>0</v>
      </c>
      <c r="Z733" s="641"/>
      <c r="AA733" s="641"/>
      <c r="AB733" s="642">
        <f t="shared" si="216"/>
        <v>0</v>
      </c>
      <c r="AC733" s="642">
        <f t="shared" si="217"/>
        <v>0</v>
      </c>
      <c r="AD733" s="641">
        <v>0</v>
      </c>
      <c r="AE733" s="643">
        <v>0</v>
      </c>
      <c r="AF733" s="639" t="s">
        <v>276</v>
      </c>
      <c r="AG733" s="639" t="s">
        <v>277</v>
      </c>
      <c r="AH733" s="639"/>
      <c r="AI733" s="626" t="str">
        <f>IFERROR(VLOOKUP(AH733,Listas!$A$77:$C$83,2,FALSE),"Alerta: Seleccione primero el responsable")</f>
        <v>Alerta: Seleccione primero el responsable</v>
      </c>
      <c r="AJ733" s="640" t="str">
        <f>IFERROR(VLOOKUP(AH733,Listas!$A$77:$C$83,3,FALSE),"Alerta: Seleccione primero el responsable")</f>
        <v>Alerta: Seleccione primero el responsable</v>
      </c>
      <c r="AK733" s="640" t="str">
        <f>IF(J733="Funcionamiento Gastos Generales","No aplica",IF(J733="Funcionamiento Servicios Personales indirectos","No aplica",IFERROR(VLOOKUP(J733,Listas!$A$127:$E$139,3,FALSE),"Alerta: Seleccione la celda en la comumna B con el nombre del proyecto")))</f>
        <v>Alerta: Seleccione la celda en la comumna B con el nombre del proyecto</v>
      </c>
      <c r="AL733" s="640" t="str">
        <f>IF(J733="Funcionamiento Gastos Generales","No aplica",IF(J733="Funcionamiento Servicios Personales","No aplica",IFERROR(VLOOKUP(J733,Listas!$A$220:$D$224,2,FALSE),"Alerta: Seleccione la celda en la comumna B con el nombre del proyecto")))</f>
        <v>Alerta: Seleccione la celda en la comumna B con el nombre del proyecto</v>
      </c>
      <c r="AM733" s="640" t="str">
        <f>IF(J733="Funcionamiento Gastos Generales","No aplica",IF(J733="Funcionamiento Servicios Personales","No aplica",IFERROR(VLOOKUP(J733,Listas!$A$220:$D$224,3,FALSE),"Alerta: Seleccione la celda en la comumna B con el nombre del proyecto")))</f>
        <v>Alerta: Seleccione la celda en la comumna B con el nombre del proyecto</v>
      </c>
      <c r="AN733" s="633"/>
      <c r="AO733" s="633"/>
      <c r="AP733" s="634" t="str">
        <f>IFERROR(VLOOKUP(J733,Listas!$A$182:$E$215,5,FALSE),"Alerta: Seleccione la celda en la comumna B con el nombre del proyecto")</f>
        <v>Alerta: Seleccione la celda en la comumna B con el nombre del proyecto</v>
      </c>
      <c r="AQ733" s="634" t="str">
        <f>IF(J733="Funcionamiento Gastos Generales","No aplica",IF(J733="Funcionamiento Servicios Personales","No aplica",IFERROR(VLOOKUP(J733,Listas!$A$220:$D$224,4,FALSE),"Alerta: Seleccione la celda en la comumna B con el nombre del proyecto")))</f>
        <v>Alerta: Seleccione la celda en la comumna B con el nombre del proyecto</v>
      </c>
      <c r="AR733" s="633"/>
      <c r="AS733" s="634" t="str">
        <f>IFERROR(VLOOKUP(AU733,Listas!$E$85:$L$105,7,FALSE),"Alerta: Seleccione la celda en la comumna AI con el concepto de gasto")</f>
        <v>Alerta: Seleccione la celda en la comumna AI con el concepto de gasto</v>
      </c>
      <c r="AT733" s="634" t="str">
        <f>IFERROR(VLOOKUP(AU733,Listas!$E$85:$L$105,8,FALSE),"Alerta: Seleccione la celda en la comumna AI con el concepto de gasto")</f>
        <v>Alerta: Seleccione la celda en la comumna AI con el concepto de gasto</v>
      </c>
      <c r="AU733" s="633"/>
      <c r="AV733" s="634" t="str">
        <f>IFERROR(VLOOKUP(AU733,Listas!$E$85:$F$105,2,FALSE),"Alerta: Seleccione el Concepto de Gasto primero")</f>
        <v>Alerta: Seleccione el Concepto de Gasto primero</v>
      </c>
      <c r="AW733" s="644"/>
      <c r="AX733" s="645"/>
      <c r="AY733" s="645"/>
      <c r="AZ733" s="645"/>
      <c r="BA733" s="646">
        <f t="shared" si="218"/>
        <v>0</v>
      </c>
      <c r="BB733" s="647"/>
      <c r="BC733" s="648"/>
      <c r="BD733" s="649"/>
      <c r="BE733" s="647"/>
      <c r="BF733" s="644"/>
      <c r="BG733" s="646">
        <f t="shared" si="219"/>
        <v>0</v>
      </c>
      <c r="BH733" s="650"/>
      <c r="BI733" s="647"/>
      <c r="BJ733" s="644"/>
      <c r="BK733" s="646">
        <f t="shared" si="220"/>
        <v>0</v>
      </c>
      <c r="BL733" s="651"/>
      <c r="BM733" s="652">
        <f t="shared" si="221"/>
        <v>1</v>
      </c>
      <c r="BN733" s="628"/>
      <c r="BO733" s="670"/>
      <c r="BP733" s="644"/>
      <c r="BQ733" s="644"/>
      <c r="BR733" s="644"/>
      <c r="BS733" s="644"/>
      <c r="BT733" s="644"/>
      <c r="BU733" s="644"/>
      <c r="BV733" s="644"/>
      <c r="BW733" s="644"/>
      <c r="BX733" s="644"/>
      <c r="BY733" s="644"/>
      <c r="BZ733" s="644"/>
      <c r="CA733" s="644"/>
      <c r="CB733" s="646">
        <f t="shared" si="222"/>
        <v>0</v>
      </c>
      <c r="CC733" s="646">
        <f t="shared" si="223"/>
        <v>0</v>
      </c>
      <c r="CD733" s="614"/>
    </row>
    <row r="734" spans="1:85" s="561" customFormat="1" ht="61.5" customHeight="1">
      <c r="A734" s="625" t="str">
        <f t="shared" si="205"/>
        <v>proyecto-Alerta: Seleccione la celda en la comumna B con el nombre del proyecto-Al-Al--</v>
      </c>
      <c r="B734" s="626" t="str">
        <f t="shared" si="206"/>
        <v>proyecto-Alerta: Seleccione la celda en la comumna B con el nombre del proyecto-Al-Al-</v>
      </c>
      <c r="C734" s="626" t="str">
        <f t="shared" si="207"/>
        <v>proyecto-Alerta: Seleccione la celda en la comumna B con el nombre del proyecto-</v>
      </c>
      <c r="D734" s="626" t="str">
        <f t="shared" si="208"/>
        <v>proyecto--Al-Al-</v>
      </c>
      <c r="E734" s="626" t="str">
        <f t="shared" si="209"/>
        <v>--</v>
      </c>
      <c r="F734" s="627"/>
      <c r="G734" s="628">
        <f t="shared" si="210"/>
        <v>0</v>
      </c>
      <c r="H734" s="629" t="b">
        <f t="shared" si="211"/>
        <v>1</v>
      </c>
      <c r="I734" s="630"/>
      <c r="J734" s="627"/>
      <c r="K734" s="631" t="str">
        <f>+IFERROR(VLOOKUP(J734,Listas!$A$108:$B$114,2,FALSE),"Alerta: Seleccione la celda en la comumna B con el nombre del proyecto")</f>
        <v>Alerta: Seleccione la celda en la comumna B con el nombre del proyecto</v>
      </c>
      <c r="L734" s="632"/>
      <c r="M734" s="633"/>
      <c r="N734" s="634" t="str">
        <f t="shared" si="212"/>
        <v xml:space="preserve">(Cód. ) </v>
      </c>
      <c r="O734" s="635"/>
      <c r="P734" s="636">
        <f>IFERROR(VLOOKUP(W734,'Estimación CRP'!$D$21:$E$30,2,FALSE),0)</f>
        <v>0</v>
      </c>
      <c r="Q734" s="637">
        <f>IF(O734="No aplica","No aplica",WORKDAY.INTL(O734,P734,1,'Estimación CRP'!A920:A936))</f>
        <v>0</v>
      </c>
      <c r="R734" s="636">
        <f t="shared" si="213"/>
        <v>1</v>
      </c>
      <c r="S734" s="636">
        <f t="shared" si="214"/>
        <v>1</v>
      </c>
      <c r="T734" s="636">
        <f t="shared" si="215"/>
        <v>1</v>
      </c>
      <c r="U734" s="638"/>
      <c r="V734" s="638"/>
      <c r="W734" s="639"/>
      <c r="X734" s="640" t="str">
        <f>IFERROR(VLOOKUP(W734,Listas!$A$60:$B$73,2,FALSE),"Alerta: Seleccione primero Modalidad de selección")</f>
        <v>Alerta: Seleccione primero Modalidad de selección</v>
      </c>
      <c r="Y734" s="641">
        <v>0</v>
      </c>
      <c r="Z734" s="641"/>
      <c r="AA734" s="641"/>
      <c r="AB734" s="642">
        <f t="shared" si="216"/>
        <v>0</v>
      </c>
      <c r="AC734" s="642">
        <f t="shared" si="217"/>
        <v>0</v>
      </c>
      <c r="AD734" s="641">
        <v>0</v>
      </c>
      <c r="AE734" s="643">
        <v>0</v>
      </c>
      <c r="AF734" s="639" t="s">
        <v>276</v>
      </c>
      <c r="AG734" s="639" t="s">
        <v>277</v>
      </c>
      <c r="AH734" s="639"/>
      <c r="AI734" s="626" t="str">
        <f>IFERROR(VLOOKUP(AH734,Listas!$A$77:$C$83,2,FALSE),"Alerta: Seleccione primero el responsable")</f>
        <v>Alerta: Seleccione primero el responsable</v>
      </c>
      <c r="AJ734" s="640" t="str">
        <f>IFERROR(VLOOKUP(AH734,Listas!$A$77:$C$83,3,FALSE),"Alerta: Seleccione primero el responsable")</f>
        <v>Alerta: Seleccione primero el responsable</v>
      </c>
      <c r="AK734" s="640" t="str">
        <f>IF(J734="Funcionamiento Gastos Generales","No aplica",IF(J734="Funcionamiento Servicios Personales indirectos","No aplica",IFERROR(VLOOKUP(J734,Listas!$A$127:$E$139,3,FALSE),"Alerta: Seleccione la celda en la comumna B con el nombre del proyecto")))</f>
        <v>Alerta: Seleccione la celda en la comumna B con el nombre del proyecto</v>
      </c>
      <c r="AL734" s="640" t="str">
        <f>IF(J734="Funcionamiento Gastos Generales","No aplica",IF(J734="Funcionamiento Servicios Personales","No aplica",IFERROR(VLOOKUP(J734,Listas!$A$220:$D$224,2,FALSE),"Alerta: Seleccione la celda en la comumna B con el nombre del proyecto")))</f>
        <v>Alerta: Seleccione la celda en la comumna B con el nombre del proyecto</v>
      </c>
      <c r="AM734" s="640" t="str">
        <f>IF(J734="Funcionamiento Gastos Generales","No aplica",IF(J734="Funcionamiento Servicios Personales","No aplica",IFERROR(VLOOKUP(J734,Listas!$A$220:$D$224,3,FALSE),"Alerta: Seleccione la celda en la comumna B con el nombre del proyecto")))</f>
        <v>Alerta: Seleccione la celda en la comumna B con el nombre del proyecto</v>
      </c>
      <c r="AN734" s="633"/>
      <c r="AO734" s="633"/>
      <c r="AP734" s="634" t="str">
        <f>IFERROR(VLOOKUP(J734,Listas!$A$182:$E$215,5,FALSE),"Alerta: Seleccione la celda en la comumna B con el nombre del proyecto")</f>
        <v>Alerta: Seleccione la celda en la comumna B con el nombre del proyecto</v>
      </c>
      <c r="AQ734" s="634" t="str">
        <f>IF(J734="Funcionamiento Gastos Generales","No aplica",IF(J734="Funcionamiento Servicios Personales","No aplica",IFERROR(VLOOKUP(J734,Listas!$A$220:$D$224,4,FALSE),"Alerta: Seleccione la celda en la comumna B con el nombre del proyecto")))</f>
        <v>Alerta: Seleccione la celda en la comumna B con el nombre del proyecto</v>
      </c>
      <c r="AR734" s="633"/>
      <c r="AS734" s="634" t="str">
        <f>IFERROR(VLOOKUP(AU734,Listas!$E$85:$L$105,7,FALSE),"Alerta: Seleccione la celda en la comumna AI con el concepto de gasto")</f>
        <v>Alerta: Seleccione la celda en la comumna AI con el concepto de gasto</v>
      </c>
      <c r="AT734" s="634" t="str">
        <f>IFERROR(VLOOKUP(AU734,Listas!$E$85:$L$105,8,FALSE),"Alerta: Seleccione la celda en la comumna AI con el concepto de gasto")</f>
        <v>Alerta: Seleccione la celda en la comumna AI con el concepto de gasto</v>
      </c>
      <c r="AU734" s="633"/>
      <c r="AV734" s="634" t="str">
        <f>IFERROR(VLOOKUP(AU734,Listas!$E$85:$F$105,2,FALSE),"Alerta: Seleccione el Concepto de Gasto primero")</f>
        <v>Alerta: Seleccione el Concepto de Gasto primero</v>
      </c>
      <c r="AW734" s="644"/>
      <c r="AX734" s="645"/>
      <c r="AY734" s="645"/>
      <c r="AZ734" s="645"/>
      <c r="BA734" s="646">
        <f t="shared" si="218"/>
        <v>0</v>
      </c>
      <c r="BB734" s="647"/>
      <c r="BC734" s="648"/>
      <c r="BD734" s="649"/>
      <c r="BE734" s="647"/>
      <c r="BF734" s="644"/>
      <c r="BG734" s="646">
        <f t="shared" si="219"/>
        <v>0</v>
      </c>
      <c r="BH734" s="650"/>
      <c r="BI734" s="647"/>
      <c r="BJ734" s="644"/>
      <c r="BK734" s="646">
        <f t="shared" si="220"/>
        <v>0</v>
      </c>
      <c r="BL734" s="651"/>
      <c r="BM734" s="652">
        <f t="shared" si="221"/>
        <v>1</v>
      </c>
      <c r="BN734" s="628"/>
      <c r="BO734" s="670"/>
      <c r="BP734" s="644"/>
      <c r="BQ734" s="644"/>
      <c r="BR734" s="644"/>
      <c r="BS734" s="644"/>
      <c r="BT734" s="644"/>
      <c r="BU734" s="644"/>
      <c r="BV734" s="644"/>
      <c r="BW734" s="644"/>
      <c r="BX734" s="644"/>
      <c r="BY734" s="644"/>
      <c r="BZ734" s="644"/>
      <c r="CA734" s="644"/>
      <c r="CB734" s="646">
        <f t="shared" si="222"/>
        <v>0</v>
      </c>
      <c r="CC734" s="646">
        <f t="shared" si="223"/>
        <v>0</v>
      </c>
      <c r="CD734" s="614"/>
    </row>
    <row r="735" spans="1:85" s="561" customFormat="1" ht="61.5" customHeight="1">
      <c r="A735" s="625" t="str">
        <f t="shared" si="205"/>
        <v>proyecto-Alerta: Seleccione la celda en la comumna B con el nombre del proyecto-Al-Al--</v>
      </c>
      <c r="B735" s="626" t="str">
        <f t="shared" si="206"/>
        <v>proyecto-Alerta: Seleccione la celda en la comumna B con el nombre del proyecto-Al-Al-</v>
      </c>
      <c r="C735" s="626" t="str">
        <f t="shared" si="207"/>
        <v>proyecto-Alerta: Seleccione la celda en la comumna B con el nombre del proyecto-</v>
      </c>
      <c r="D735" s="626" t="str">
        <f t="shared" si="208"/>
        <v>proyecto--Al-Al-</v>
      </c>
      <c r="E735" s="626" t="str">
        <f t="shared" si="209"/>
        <v>--</v>
      </c>
      <c r="F735" s="627"/>
      <c r="G735" s="628">
        <f t="shared" si="210"/>
        <v>0</v>
      </c>
      <c r="H735" s="629" t="b">
        <f t="shared" si="211"/>
        <v>1</v>
      </c>
      <c r="I735" s="630"/>
      <c r="J735" s="627"/>
      <c r="K735" s="631" t="str">
        <f>+IFERROR(VLOOKUP(J735,Listas!$A$108:$B$114,2,FALSE),"Alerta: Seleccione la celda en la comumna B con el nombre del proyecto")</f>
        <v>Alerta: Seleccione la celda en la comumna B con el nombre del proyecto</v>
      </c>
      <c r="L735" s="632"/>
      <c r="M735" s="633"/>
      <c r="N735" s="634" t="str">
        <f t="shared" si="212"/>
        <v xml:space="preserve">(Cód. ) </v>
      </c>
      <c r="O735" s="635"/>
      <c r="P735" s="636">
        <f>IFERROR(VLOOKUP(W735,'Estimación CRP'!$D$21:$E$30,2,FALSE),0)</f>
        <v>0</v>
      </c>
      <c r="Q735" s="637">
        <f>IF(O735="No aplica","No aplica",WORKDAY.INTL(O735,P735,1,'Estimación CRP'!A921:A937))</f>
        <v>0</v>
      </c>
      <c r="R735" s="636">
        <f t="shared" si="213"/>
        <v>1</v>
      </c>
      <c r="S735" s="636">
        <f t="shared" si="214"/>
        <v>1</v>
      </c>
      <c r="T735" s="636">
        <f t="shared" si="215"/>
        <v>1</v>
      </c>
      <c r="U735" s="638"/>
      <c r="V735" s="638"/>
      <c r="W735" s="639"/>
      <c r="X735" s="640" t="str">
        <f>IFERROR(VLOOKUP(W735,Listas!$A$60:$B$73,2,FALSE),"Alerta: Seleccione primero Modalidad de selección")</f>
        <v>Alerta: Seleccione primero Modalidad de selección</v>
      </c>
      <c r="Y735" s="641">
        <v>0</v>
      </c>
      <c r="Z735" s="641"/>
      <c r="AA735" s="641"/>
      <c r="AB735" s="642">
        <f t="shared" si="216"/>
        <v>0</v>
      </c>
      <c r="AC735" s="642">
        <f t="shared" si="217"/>
        <v>0</v>
      </c>
      <c r="AD735" s="641">
        <v>0</v>
      </c>
      <c r="AE735" s="643">
        <v>0</v>
      </c>
      <c r="AF735" s="639" t="s">
        <v>276</v>
      </c>
      <c r="AG735" s="639" t="s">
        <v>277</v>
      </c>
      <c r="AH735" s="639"/>
      <c r="AI735" s="626" t="str">
        <f>IFERROR(VLOOKUP(AH735,Listas!$A$77:$C$83,2,FALSE),"Alerta: Seleccione primero el responsable")</f>
        <v>Alerta: Seleccione primero el responsable</v>
      </c>
      <c r="AJ735" s="640" t="str">
        <f>IFERROR(VLOOKUP(AH735,Listas!$A$77:$C$83,3,FALSE),"Alerta: Seleccione primero el responsable")</f>
        <v>Alerta: Seleccione primero el responsable</v>
      </c>
      <c r="AK735" s="640" t="str">
        <f>IF(J735="Funcionamiento Gastos Generales","No aplica",IF(J735="Funcionamiento Servicios Personales indirectos","No aplica",IFERROR(VLOOKUP(J735,Listas!$A$127:$E$139,3,FALSE),"Alerta: Seleccione la celda en la comumna B con el nombre del proyecto")))</f>
        <v>Alerta: Seleccione la celda en la comumna B con el nombre del proyecto</v>
      </c>
      <c r="AL735" s="640" t="str">
        <f>IF(J735="Funcionamiento Gastos Generales","No aplica",IF(J735="Funcionamiento Servicios Personales","No aplica",IFERROR(VLOOKUP(J735,Listas!$A$220:$D$224,2,FALSE),"Alerta: Seleccione la celda en la comumna B con el nombre del proyecto")))</f>
        <v>Alerta: Seleccione la celda en la comumna B con el nombre del proyecto</v>
      </c>
      <c r="AM735" s="640" t="str">
        <f>IF(J735="Funcionamiento Gastos Generales","No aplica",IF(J735="Funcionamiento Servicios Personales","No aplica",IFERROR(VLOOKUP(J735,Listas!$A$220:$D$224,3,FALSE),"Alerta: Seleccione la celda en la comumna B con el nombre del proyecto")))</f>
        <v>Alerta: Seleccione la celda en la comumna B con el nombre del proyecto</v>
      </c>
      <c r="AN735" s="633"/>
      <c r="AO735" s="633"/>
      <c r="AP735" s="634" t="str">
        <f>IFERROR(VLOOKUP(J735,Listas!$A$182:$E$215,5,FALSE),"Alerta: Seleccione la celda en la comumna B con el nombre del proyecto")</f>
        <v>Alerta: Seleccione la celda en la comumna B con el nombre del proyecto</v>
      </c>
      <c r="AQ735" s="634" t="str">
        <f>IF(J735="Funcionamiento Gastos Generales","No aplica",IF(J735="Funcionamiento Servicios Personales","No aplica",IFERROR(VLOOKUP(J735,Listas!$A$220:$D$224,4,FALSE),"Alerta: Seleccione la celda en la comumna B con el nombre del proyecto")))</f>
        <v>Alerta: Seleccione la celda en la comumna B con el nombre del proyecto</v>
      </c>
      <c r="AR735" s="633"/>
      <c r="AS735" s="634" t="str">
        <f>IFERROR(VLOOKUP(AU735,Listas!$E$85:$L$105,7,FALSE),"Alerta: Seleccione la celda en la comumna AI con el concepto de gasto")</f>
        <v>Alerta: Seleccione la celda en la comumna AI con el concepto de gasto</v>
      </c>
      <c r="AT735" s="634" t="str">
        <f>IFERROR(VLOOKUP(AU735,Listas!$E$85:$L$105,8,FALSE),"Alerta: Seleccione la celda en la comumna AI con el concepto de gasto")</f>
        <v>Alerta: Seleccione la celda en la comumna AI con el concepto de gasto</v>
      </c>
      <c r="AU735" s="633"/>
      <c r="AV735" s="634" t="str">
        <f>IFERROR(VLOOKUP(AU735,Listas!$E$85:$F$105,2,FALSE),"Alerta: Seleccione el Concepto de Gasto primero")</f>
        <v>Alerta: Seleccione el Concepto de Gasto primero</v>
      </c>
      <c r="AW735" s="644"/>
      <c r="AX735" s="645"/>
      <c r="AY735" s="645"/>
      <c r="AZ735" s="645"/>
      <c r="BA735" s="646">
        <f t="shared" si="218"/>
        <v>0</v>
      </c>
      <c r="BB735" s="647"/>
      <c r="BC735" s="648"/>
      <c r="BD735" s="649"/>
      <c r="BE735" s="647"/>
      <c r="BF735" s="644"/>
      <c r="BG735" s="646">
        <f t="shared" si="219"/>
        <v>0</v>
      </c>
      <c r="BH735" s="650"/>
      <c r="BI735" s="647"/>
      <c r="BJ735" s="644"/>
      <c r="BK735" s="646">
        <f t="shared" si="220"/>
        <v>0</v>
      </c>
      <c r="BL735" s="651"/>
      <c r="BM735" s="652">
        <f t="shared" si="221"/>
        <v>1</v>
      </c>
      <c r="BN735" s="628"/>
      <c r="BO735" s="670"/>
      <c r="BP735" s="644"/>
      <c r="BQ735" s="644"/>
      <c r="BR735" s="644"/>
      <c r="BS735" s="644"/>
      <c r="BT735" s="644"/>
      <c r="BU735" s="644"/>
      <c r="BV735" s="644"/>
      <c r="BW735" s="644"/>
      <c r="BX735" s="644"/>
      <c r="BY735" s="644"/>
      <c r="BZ735" s="644"/>
      <c r="CA735" s="644"/>
      <c r="CB735" s="646">
        <f t="shared" si="222"/>
        <v>0</v>
      </c>
      <c r="CC735" s="646">
        <f t="shared" si="223"/>
        <v>0</v>
      </c>
      <c r="CD735" s="614"/>
    </row>
    <row r="736" spans="1:85" s="561" customFormat="1" ht="61.5" customHeight="1">
      <c r="A736" s="625" t="str">
        <f t="shared" ref="A736:A799" si="224">+CONCATENATE(B736,"-",AO736)</f>
        <v>proyecto-Alerta: Seleccione la celda en la comumna B con el nombre del proyecto-Al-Al--</v>
      </c>
      <c r="B736" s="626" t="str">
        <f t="shared" ref="B736:B799" si="225">CONCATENATE(RIGHT(K736,8),"-",AQ736,"-",LEFT(AS736,2),"-",LEFT(AT736,2),"-",LEFT(AU736,4))</f>
        <v>proyecto-Alerta: Seleccione la celda en la comumna B con el nombre del proyecto-Al-Al-</v>
      </c>
      <c r="C736" s="626" t="str">
        <f t="shared" ref="C736:C799" si="226">+CONCATENATE(RIGHT(K736,8),"-",AQ736,"-",AO736)</f>
        <v>proyecto-Alerta: Seleccione la celda en la comumna B con el nombre del proyecto-</v>
      </c>
      <c r="D736" s="626" t="str">
        <f t="shared" ref="D736:D799" si="227">+CONCATENATE(RIGHT(K736,8),"-",AR736,"-",LEFT(AS736,2),"-",LEFT(AT736,2),"-",LEFT(AU736,4))</f>
        <v>proyecto--Al-Al-</v>
      </c>
      <c r="E736" s="626" t="str">
        <f t="shared" si="209"/>
        <v>--</v>
      </c>
      <c r="F736" s="627"/>
      <c r="G736" s="628">
        <f t="shared" si="210"/>
        <v>0</v>
      </c>
      <c r="H736" s="629" t="b">
        <f t="shared" si="211"/>
        <v>1</v>
      </c>
      <c r="I736" s="630"/>
      <c r="J736" s="627"/>
      <c r="K736" s="631" t="str">
        <f>+IFERROR(VLOOKUP(J736,Listas!$A$108:$B$114,2,FALSE),"Alerta: Seleccione la celda en la comumna B con el nombre del proyecto")</f>
        <v>Alerta: Seleccione la celda en la comumna B con el nombre del proyecto</v>
      </c>
      <c r="L736" s="632"/>
      <c r="M736" s="633"/>
      <c r="N736" s="634" t="str">
        <f t="shared" si="212"/>
        <v xml:space="preserve">(Cód. ) </v>
      </c>
      <c r="O736" s="635"/>
      <c r="P736" s="636">
        <f>IFERROR(VLOOKUP(W736,'Estimación CRP'!$D$21:$E$30,2,FALSE),0)</f>
        <v>0</v>
      </c>
      <c r="Q736" s="637">
        <f>IF(O736="No aplica","No aplica",WORKDAY.INTL(O736,P736,1,'Estimación CRP'!A922:A938))</f>
        <v>0</v>
      </c>
      <c r="R736" s="636">
        <f t="shared" si="213"/>
        <v>1</v>
      </c>
      <c r="S736" s="636">
        <f t="shared" si="214"/>
        <v>1</v>
      </c>
      <c r="T736" s="636">
        <f t="shared" si="215"/>
        <v>1</v>
      </c>
      <c r="U736" s="638"/>
      <c r="V736" s="638"/>
      <c r="W736" s="639"/>
      <c r="X736" s="640" t="str">
        <f>IFERROR(VLOOKUP(W736,Listas!$A$60:$B$73,2,FALSE),"Alerta: Seleccione primero Modalidad de selección")</f>
        <v>Alerta: Seleccione primero Modalidad de selección</v>
      </c>
      <c r="Y736" s="641">
        <v>0</v>
      </c>
      <c r="Z736" s="641"/>
      <c r="AA736" s="641"/>
      <c r="AB736" s="642">
        <f t="shared" si="216"/>
        <v>0</v>
      </c>
      <c r="AC736" s="642">
        <f t="shared" si="217"/>
        <v>0</v>
      </c>
      <c r="AD736" s="641">
        <v>0</v>
      </c>
      <c r="AE736" s="643">
        <v>0</v>
      </c>
      <c r="AF736" s="639" t="s">
        <v>276</v>
      </c>
      <c r="AG736" s="639" t="s">
        <v>277</v>
      </c>
      <c r="AH736" s="639"/>
      <c r="AI736" s="626" t="str">
        <f>IFERROR(VLOOKUP(AH736,Listas!$A$77:$C$83,2,FALSE),"Alerta: Seleccione primero el responsable")</f>
        <v>Alerta: Seleccione primero el responsable</v>
      </c>
      <c r="AJ736" s="640" t="str">
        <f>IFERROR(VLOOKUP(AH736,Listas!$A$77:$C$83,3,FALSE),"Alerta: Seleccione primero el responsable")</f>
        <v>Alerta: Seleccione primero el responsable</v>
      </c>
      <c r="AK736" s="640" t="str">
        <f>IF(J736="Funcionamiento Gastos Generales","No aplica",IF(J736="Funcionamiento Servicios Personales indirectos","No aplica",IFERROR(VLOOKUP(J736,Listas!$A$127:$E$139,3,FALSE),"Alerta: Seleccione la celda en la comumna B con el nombre del proyecto")))</f>
        <v>Alerta: Seleccione la celda en la comumna B con el nombre del proyecto</v>
      </c>
      <c r="AL736" s="640" t="str">
        <f>IF(J736="Funcionamiento Gastos Generales","No aplica",IF(J736="Funcionamiento Servicios Personales","No aplica",IFERROR(VLOOKUP(J736,Listas!$A$220:$D$224,2,FALSE),"Alerta: Seleccione la celda en la comumna B con el nombre del proyecto")))</f>
        <v>Alerta: Seleccione la celda en la comumna B con el nombre del proyecto</v>
      </c>
      <c r="AM736" s="640" t="str">
        <f>IF(J736="Funcionamiento Gastos Generales","No aplica",IF(J736="Funcionamiento Servicios Personales","No aplica",IFERROR(VLOOKUP(J736,Listas!$A$220:$D$224,3,FALSE),"Alerta: Seleccione la celda en la comumna B con el nombre del proyecto")))</f>
        <v>Alerta: Seleccione la celda en la comumna B con el nombre del proyecto</v>
      </c>
      <c r="AN736" s="633"/>
      <c r="AO736" s="633"/>
      <c r="AP736" s="634" t="str">
        <f>IFERROR(VLOOKUP(J736,Listas!$A$182:$E$215,5,FALSE),"Alerta: Seleccione la celda en la comumna B con el nombre del proyecto")</f>
        <v>Alerta: Seleccione la celda en la comumna B con el nombre del proyecto</v>
      </c>
      <c r="AQ736" s="634" t="str">
        <f>IF(J736="Funcionamiento Gastos Generales","No aplica",IF(J736="Funcionamiento Servicios Personales","No aplica",IFERROR(VLOOKUP(J736,Listas!$A$220:$D$224,4,FALSE),"Alerta: Seleccione la celda en la comumna B con el nombre del proyecto")))</f>
        <v>Alerta: Seleccione la celda en la comumna B con el nombre del proyecto</v>
      </c>
      <c r="AR736" s="633"/>
      <c r="AS736" s="634" t="str">
        <f>IFERROR(VLOOKUP(AU736,Listas!$E$85:$L$105,7,FALSE),"Alerta: Seleccione la celda en la comumna AI con el concepto de gasto")</f>
        <v>Alerta: Seleccione la celda en la comumna AI con el concepto de gasto</v>
      </c>
      <c r="AT736" s="634" t="str">
        <f>IFERROR(VLOOKUP(AU736,Listas!$E$85:$L$105,8,FALSE),"Alerta: Seleccione la celda en la comumna AI con el concepto de gasto")</f>
        <v>Alerta: Seleccione la celda en la comumna AI con el concepto de gasto</v>
      </c>
      <c r="AU736" s="633"/>
      <c r="AV736" s="634" t="str">
        <f>IFERROR(VLOOKUP(AU736,Listas!$E$85:$F$105,2,FALSE),"Alerta: Seleccione el Concepto de Gasto primero")</f>
        <v>Alerta: Seleccione el Concepto de Gasto primero</v>
      </c>
      <c r="AW736" s="644"/>
      <c r="AX736" s="645"/>
      <c r="AY736" s="645"/>
      <c r="AZ736" s="645"/>
      <c r="BA736" s="646">
        <f t="shared" si="218"/>
        <v>0</v>
      </c>
      <c r="BB736" s="647"/>
      <c r="BC736" s="648"/>
      <c r="BD736" s="649"/>
      <c r="BE736" s="647"/>
      <c r="BF736" s="644"/>
      <c r="BG736" s="646">
        <f t="shared" si="219"/>
        <v>0</v>
      </c>
      <c r="BH736" s="650"/>
      <c r="BI736" s="647"/>
      <c r="BJ736" s="644"/>
      <c r="BK736" s="646">
        <f t="shared" si="220"/>
        <v>0</v>
      </c>
      <c r="BL736" s="651"/>
      <c r="BM736" s="652">
        <f t="shared" si="221"/>
        <v>1</v>
      </c>
      <c r="BN736" s="628"/>
      <c r="BO736" s="670"/>
      <c r="BP736" s="644"/>
      <c r="BQ736" s="644"/>
      <c r="BR736" s="644"/>
      <c r="BS736" s="644"/>
      <c r="BT736" s="644"/>
      <c r="BU736" s="644"/>
      <c r="BV736" s="644"/>
      <c r="BW736" s="644"/>
      <c r="BX736" s="644"/>
      <c r="BY736" s="644"/>
      <c r="BZ736" s="644"/>
      <c r="CA736" s="644"/>
      <c r="CB736" s="646">
        <f t="shared" si="222"/>
        <v>0</v>
      </c>
      <c r="CC736" s="646">
        <f t="shared" si="223"/>
        <v>0</v>
      </c>
      <c r="CD736" s="614"/>
    </row>
    <row r="737" spans="1:82" s="561" customFormat="1" ht="61.5" customHeight="1">
      <c r="A737" s="625" t="str">
        <f t="shared" si="224"/>
        <v>proyecto-Alerta: Seleccione la celda en la comumna B con el nombre del proyecto-Al-Al--</v>
      </c>
      <c r="B737" s="626" t="str">
        <f t="shared" si="225"/>
        <v>proyecto-Alerta: Seleccione la celda en la comumna B con el nombre del proyecto-Al-Al-</v>
      </c>
      <c r="C737" s="626" t="str">
        <f t="shared" si="226"/>
        <v>proyecto-Alerta: Seleccione la celda en la comumna B con el nombre del proyecto-</v>
      </c>
      <c r="D737" s="626" t="str">
        <f t="shared" si="227"/>
        <v>proyecto--Al-Al-</v>
      </c>
      <c r="E737" s="626" t="str">
        <f t="shared" ref="E737:E800" si="228">+CONCATENATE(AO737,"-",AR737,"-",AU737)</f>
        <v>--</v>
      </c>
      <c r="F737" s="627"/>
      <c r="G737" s="628">
        <f t="shared" ref="G737:G800" si="229">+F737</f>
        <v>0</v>
      </c>
      <c r="H737" s="629" t="b">
        <f t="shared" ref="H737:H800" si="230">+G737=G736</f>
        <v>1</v>
      </c>
      <c r="I737" s="630"/>
      <c r="J737" s="627"/>
      <c r="K737" s="631" t="str">
        <f>+IFERROR(VLOOKUP(J737,Listas!$A$108:$B$114,2,FALSE),"Alerta: Seleccione la celda en la comumna B con el nombre del proyecto")</f>
        <v>Alerta: Seleccione la celda en la comumna B con el nombre del proyecto</v>
      </c>
      <c r="L737" s="632"/>
      <c r="M737" s="633"/>
      <c r="N737" s="634" t="str">
        <f t="shared" ref="N737:N800" si="231">+CONCATENATE("(Cód. ",F737,") ",M737)</f>
        <v xml:space="preserve">(Cód. ) </v>
      </c>
      <c r="O737" s="635"/>
      <c r="P737" s="636">
        <f>IFERROR(VLOOKUP(W737,'Estimación CRP'!$D$21:$E$30,2,FALSE),0)</f>
        <v>0</v>
      </c>
      <c r="Q737" s="637">
        <f>IF(O737="No aplica","No aplica",WORKDAY.INTL(O737,P737,1,'Estimación CRP'!A923:A939))</f>
        <v>0</v>
      </c>
      <c r="R737" s="636">
        <f t="shared" ref="R737:R800" si="232">IF(O737="No aplica","No aplica",MONTH(Q737))</f>
        <v>1</v>
      </c>
      <c r="S737" s="636">
        <f t="shared" ref="S737:S800" si="233">IF(O737="No aplica","No aplica",MONTH(O737))</f>
        <v>1</v>
      </c>
      <c r="T737" s="636">
        <f t="shared" ref="T737:T800" si="234">IF(O737="No aplica","No aplica",S737)</f>
        <v>1</v>
      </c>
      <c r="U737" s="638"/>
      <c r="V737" s="638"/>
      <c r="W737" s="639"/>
      <c r="X737" s="640" t="str">
        <f>IFERROR(VLOOKUP(W737,Listas!$A$60:$B$73,2,FALSE),"Alerta: Seleccione primero Modalidad de selección")</f>
        <v>Alerta: Seleccione primero Modalidad de selección</v>
      </c>
      <c r="Y737" s="641">
        <v>0</v>
      </c>
      <c r="Z737" s="641"/>
      <c r="AA737" s="641"/>
      <c r="AB737" s="642">
        <f t="shared" ref="AB737:AB800" si="235">+BA737</f>
        <v>0</v>
      </c>
      <c r="AC737" s="642">
        <f t="shared" ref="AC737:AC800" si="236">+AB737</f>
        <v>0</v>
      </c>
      <c r="AD737" s="641">
        <v>0</v>
      </c>
      <c r="AE737" s="643">
        <v>0</v>
      </c>
      <c r="AF737" s="639" t="s">
        <v>276</v>
      </c>
      <c r="AG737" s="639" t="s">
        <v>277</v>
      </c>
      <c r="AH737" s="639"/>
      <c r="AI737" s="626" t="str">
        <f>IFERROR(VLOOKUP(AH737,Listas!$A$77:$C$83,2,FALSE),"Alerta: Seleccione primero el responsable")</f>
        <v>Alerta: Seleccione primero el responsable</v>
      </c>
      <c r="AJ737" s="640" t="str">
        <f>IFERROR(VLOOKUP(AH737,Listas!$A$77:$C$83,3,FALSE),"Alerta: Seleccione primero el responsable")</f>
        <v>Alerta: Seleccione primero el responsable</v>
      </c>
      <c r="AK737" s="640" t="str">
        <f>IF(J737="Funcionamiento Gastos Generales","No aplica",IF(J737="Funcionamiento Servicios Personales indirectos","No aplica",IFERROR(VLOOKUP(J737,Listas!$A$127:$E$139,3,FALSE),"Alerta: Seleccione la celda en la comumna B con el nombre del proyecto")))</f>
        <v>Alerta: Seleccione la celda en la comumna B con el nombre del proyecto</v>
      </c>
      <c r="AL737" s="640" t="str">
        <f>IF(J737="Funcionamiento Gastos Generales","No aplica",IF(J737="Funcionamiento Servicios Personales","No aplica",IFERROR(VLOOKUP(J737,Listas!$A$220:$D$224,2,FALSE),"Alerta: Seleccione la celda en la comumna B con el nombre del proyecto")))</f>
        <v>Alerta: Seleccione la celda en la comumna B con el nombre del proyecto</v>
      </c>
      <c r="AM737" s="640" t="str">
        <f>IF(J737="Funcionamiento Gastos Generales","No aplica",IF(J737="Funcionamiento Servicios Personales","No aplica",IFERROR(VLOOKUP(J737,Listas!$A$220:$D$224,3,FALSE),"Alerta: Seleccione la celda en la comumna B con el nombre del proyecto")))</f>
        <v>Alerta: Seleccione la celda en la comumna B con el nombre del proyecto</v>
      </c>
      <c r="AN737" s="633"/>
      <c r="AO737" s="633"/>
      <c r="AP737" s="634" t="str">
        <f>IFERROR(VLOOKUP(J737,Listas!$A$182:$E$215,5,FALSE),"Alerta: Seleccione la celda en la comumna B con el nombre del proyecto")</f>
        <v>Alerta: Seleccione la celda en la comumna B con el nombre del proyecto</v>
      </c>
      <c r="AQ737" s="634" t="str">
        <f>IF(J737="Funcionamiento Gastos Generales","No aplica",IF(J737="Funcionamiento Servicios Personales","No aplica",IFERROR(VLOOKUP(J737,Listas!$A$220:$D$224,4,FALSE),"Alerta: Seleccione la celda en la comumna B con el nombre del proyecto")))</f>
        <v>Alerta: Seleccione la celda en la comumna B con el nombre del proyecto</v>
      </c>
      <c r="AR737" s="633"/>
      <c r="AS737" s="634" t="str">
        <f>IFERROR(VLOOKUP(AU737,Listas!$E$85:$L$105,7,FALSE),"Alerta: Seleccione la celda en la comumna AI con el concepto de gasto")</f>
        <v>Alerta: Seleccione la celda en la comumna AI con el concepto de gasto</v>
      </c>
      <c r="AT737" s="634" t="str">
        <f>IFERROR(VLOOKUP(AU737,Listas!$E$85:$L$105,8,FALSE),"Alerta: Seleccione la celda en la comumna AI con el concepto de gasto")</f>
        <v>Alerta: Seleccione la celda en la comumna AI con el concepto de gasto</v>
      </c>
      <c r="AU737" s="633"/>
      <c r="AV737" s="634" t="str">
        <f>IFERROR(VLOOKUP(AU737,Listas!$E$85:$F$105,2,FALSE),"Alerta: Seleccione el Concepto de Gasto primero")</f>
        <v>Alerta: Seleccione el Concepto de Gasto primero</v>
      </c>
      <c r="AW737" s="644"/>
      <c r="AX737" s="645"/>
      <c r="AY737" s="645"/>
      <c r="AZ737" s="645"/>
      <c r="BA737" s="646">
        <f t="shared" ref="BA737:BA800" si="237">+AW737+AX737+AY737-AZ737</f>
        <v>0</v>
      </c>
      <c r="BB737" s="647"/>
      <c r="BC737" s="648"/>
      <c r="BD737" s="649"/>
      <c r="BE737" s="647"/>
      <c r="BF737" s="644"/>
      <c r="BG737" s="646">
        <f t="shared" ref="BG737:BG800" si="238">+BA737-BF737</f>
        <v>0</v>
      </c>
      <c r="BH737" s="650"/>
      <c r="BI737" s="647"/>
      <c r="BJ737" s="644"/>
      <c r="BK737" s="646">
        <f t="shared" ref="BK737:BK800" si="239">BF737-BJ737</f>
        <v>0</v>
      </c>
      <c r="BL737" s="651"/>
      <c r="BM737" s="652">
        <f t="shared" ref="BM737:BM800" si="240">MONTH(BL737)</f>
        <v>1</v>
      </c>
      <c r="BN737" s="628"/>
      <c r="BO737" s="670"/>
      <c r="BP737" s="644"/>
      <c r="BQ737" s="644"/>
      <c r="BR737" s="644"/>
      <c r="BS737" s="644"/>
      <c r="BT737" s="644"/>
      <c r="BU737" s="644"/>
      <c r="BV737" s="644"/>
      <c r="BW737" s="644"/>
      <c r="BX737" s="644"/>
      <c r="BY737" s="644"/>
      <c r="BZ737" s="644"/>
      <c r="CA737" s="644"/>
      <c r="CB737" s="646">
        <f t="shared" ref="CB737:CB800" si="241">+SUM(BP737:CA737)</f>
        <v>0</v>
      </c>
      <c r="CC737" s="646">
        <f t="shared" ref="CC737:CC800" si="242">BJ737-CB737</f>
        <v>0</v>
      </c>
      <c r="CD737" s="614"/>
    </row>
    <row r="738" spans="1:82" s="561" customFormat="1" ht="61.5" customHeight="1">
      <c r="A738" s="625" t="str">
        <f t="shared" si="224"/>
        <v>proyecto-Alerta: Seleccione la celda en la comumna B con el nombre del proyecto-Al-Al--</v>
      </c>
      <c r="B738" s="626" t="str">
        <f t="shared" si="225"/>
        <v>proyecto-Alerta: Seleccione la celda en la comumna B con el nombre del proyecto-Al-Al-</v>
      </c>
      <c r="C738" s="626" t="str">
        <f t="shared" si="226"/>
        <v>proyecto-Alerta: Seleccione la celda en la comumna B con el nombre del proyecto-</v>
      </c>
      <c r="D738" s="626" t="str">
        <f t="shared" si="227"/>
        <v>proyecto--Al-Al-</v>
      </c>
      <c r="E738" s="626" t="str">
        <f t="shared" si="228"/>
        <v>--</v>
      </c>
      <c r="F738" s="627"/>
      <c r="G738" s="628">
        <f t="shared" si="229"/>
        <v>0</v>
      </c>
      <c r="H738" s="629" t="b">
        <f t="shared" si="230"/>
        <v>1</v>
      </c>
      <c r="I738" s="630"/>
      <c r="J738" s="627"/>
      <c r="K738" s="631" t="str">
        <f>+IFERROR(VLOOKUP(J738,Listas!$A$108:$B$114,2,FALSE),"Alerta: Seleccione la celda en la comumna B con el nombre del proyecto")</f>
        <v>Alerta: Seleccione la celda en la comumna B con el nombre del proyecto</v>
      </c>
      <c r="L738" s="632"/>
      <c r="M738" s="633"/>
      <c r="N738" s="634" t="str">
        <f t="shared" si="231"/>
        <v xml:space="preserve">(Cód. ) </v>
      </c>
      <c r="O738" s="635"/>
      <c r="P738" s="636">
        <f>IFERROR(VLOOKUP(W738,'Estimación CRP'!$D$21:$E$30,2,FALSE),0)</f>
        <v>0</v>
      </c>
      <c r="Q738" s="637">
        <f>IF(O738="No aplica","No aplica",WORKDAY.INTL(O738,P738,1,'Estimación CRP'!A924:A940))</f>
        <v>0</v>
      </c>
      <c r="R738" s="636">
        <f t="shared" si="232"/>
        <v>1</v>
      </c>
      <c r="S738" s="636">
        <f t="shared" si="233"/>
        <v>1</v>
      </c>
      <c r="T738" s="636">
        <f t="shared" si="234"/>
        <v>1</v>
      </c>
      <c r="U738" s="638"/>
      <c r="V738" s="638"/>
      <c r="W738" s="639"/>
      <c r="X738" s="640" t="str">
        <f>IFERROR(VLOOKUP(W738,Listas!$A$60:$B$73,2,FALSE),"Alerta: Seleccione primero Modalidad de selección")</f>
        <v>Alerta: Seleccione primero Modalidad de selección</v>
      </c>
      <c r="Y738" s="641">
        <v>0</v>
      </c>
      <c r="Z738" s="641"/>
      <c r="AA738" s="641"/>
      <c r="AB738" s="642">
        <f t="shared" si="235"/>
        <v>0</v>
      </c>
      <c r="AC738" s="642">
        <f t="shared" si="236"/>
        <v>0</v>
      </c>
      <c r="AD738" s="641">
        <v>0</v>
      </c>
      <c r="AE738" s="643">
        <v>0</v>
      </c>
      <c r="AF738" s="639" t="s">
        <v>276</v>
      </c>
      <c r="AG738" s="639" t="s">
        <v>277</v>
      </c>
      <c r="AH738" s="639"/>
      <c r="AI738" s="626" t="str">
        <f>IFERROR(VLOOKUP(AH738,Listas!$A$77:$C$83,2,FALSE),"Alerta: Seleccione primero el responsable")</f>
        <v>Alerta: Seleccione primero el responsable</v>
      </c>
      <c r="AJ738" s="640" t="str">
        <f>IFERROR(VLOOKUP(AH738,Listas!$A$77:$C$83,3,FALSE),"Alerta: Seleccione primero el responsable")</f>
        <v>Alerta: Seleccione primero el responsable</v>
      </c>
      <c r="AK738" s="640" t="str">
        <f>IF(J738="Funcionamiento Gastos Generales","No aplica",IF(J738="Funcionamiento Servicios Personales indirectos","No aplica",IFERROR(VLOOKUP(J738,Listas!$A$127:$E$139,3,FALSE),"Alerta: Seleccione la celda en la comumna B con el nombre del proyecto")))</f>
        <v>Alerta: Seleccione la celda en la comumna B con el nombre del proyecto</v>
      </c>
      <c r="AL738" s="640" t="str">
        <f>IF(J738="Funcionamiento Gastos Generales","No aplica",IF(J738="Funcionamiento Servicios Personales","No aplica",IFERROR(VLOOKUP(J738,Listas!$A$220:$D$224,2,FALSE),"Alerta: Seleccione la celda en la comumna B con el nombre del proyecto")))</f>
        <v>Alerta: Seleccione la celda en la comumna B con el nombre del proyecto</v>
      </c>
      <c r="AM738" s="640" t="str">
        <f>IF(J738="Funcionamiento Gastos Generales","No aplica",IF(J738="Funcionamiento Servicios Personales","No aplica",IFERROR(VLOOKUP(J738,Listas!$A$220:$D$224,3,FALSE),"Alerta: Seleccione la celda en la comumna B con el nombre del proyecto")))</f>
        <v>Alerta: Seleccione la celda en la comumna B con el nombre del proyecto</v>
      </c>
      <c r="AN738" s="633"/>
      <c r="AO738" s="633"/>
      <c r="AP738" s="634" t="str">
        <f>IFERROR(VLOOKUP(J738,Listas!$A$182:$E$215,5,FALSE),"Alerta: Seleccione la celda en la comumna B con el nombre del proyecto")</f>
        <v>Alerta: Seleccione la celda en la comumna B con el nombre del proyecto</v>
      </c>
      <c r="AQ738" s="634" t="str">
        <f>IF(J738="Funcionamiento Gastos Generales","No aplica",IF(J738="Funcionamiento Servicios Personales","No aplica",IFERROR(VLOOKUP(J738,Listas!$A$220:$D$224,4,FALSE),"Alerta: Seleccione la celda en la comumna B con el nombre del proyecto")))</f>
        <v>Alerta: Seleccione la celda en la comumna B con el nombre del proyecto</v>
      </c>
      <c r="AR738" s="633"/>
      <c r="AS738" s="634" t="str">
        <f>IFERROR(VLOOKUP(AU738,Listas!$E$85:$L$105,7,FALSE),"Alerta: Seleccione la celda en la comumna AI con el concepto de gasto")</f>
        <v>Alerta: Seleccione la celda en la comumna AI con el concepto de gasto</v>
      </c>
      <c r="AT738" s="634" t="str">
        <f>IFERROR(VLOOKUP(AU738,Listas!$E$85:$L$105,8,FALSE),"Alerta: Seleccione la celda en la comumna AI con el concepto de gasto")</f>
        <v>Alerta: Seleccione la celda en la comumna AI con el concepto de gasto</v>
      </c>
      <c r="AU738" s="633"/>
      <c r="AV738" s="634" t="str">
        <f>IFERROR(VLOOKUP(AU738,Listas!$E$85:$F$105,2,FALSE),"Alerta: Seleccione el Concepto de Gasto primero")</f>
        <v>Alerta: Seleccione el Concepto de Gasto primero</v>
      </c>
      <c r="AW738" s="644"/>
      <c r="AX738" s="645"/>
      <c r="AY738" s="645"/>
      <c r="AZ738" s="645"/>
      <c r="BA738" s="646">
        <f t="shared" si="237"/>
        <v>0</v>
      </c>
      <c r="BB738" s="647"/>
      <c r="BC738" s="648"/>
      <c r="BD738" s="649"/>
      <c r="BE738" s="647"/>
      <c r="BF738" s="644"/>
      <c r="BG738" s="646">
        <f t="shared" si="238"/>
        <v>0</v>
      </c>
      <c r="BH738" s="650"/>
      <c r="BI738" s="647"/>
      <c r="BJ738" s="644"/>
      <c r="BK738" s="646">
        <f t="shared" si="239"/>
        <v>0</v>
      </c>
      <c r="BL738" s="651"/>
      <c r="BM738" s="652">
        <f t="shared" si="240"/>
        <v>1</v>
      </c>
      <c r="BN738" s="628"/>
      <c r="BO738" s="670"/>
      <c r="BP738" s="644"/>
      <c r="BQ738" s="644"/>
      <c r="BR738" s="644"/>
      <c r="BS738" s="644"/>
      <c r="BT738" s="644"/>
      <c r="BU738" s="644"/>
      <c r="BV738" s="644"/>
      <c r="BW738" s="644"/>
      <c r="BX738" s="644"/>
      <c r="BY738" s="644"/>
      <c r="BZ738" s="644"/>
      <c r="CA738" s="644"/>
      <c r="CB738" s="646">
        <f t="shared" si="241"/>
        <v>0</v>
      </c>
      <c r="CC738" s="646">
        <f t="shared" si="242"/>
        <v>0</v>
      </c>
      <c r="CD738" s="614"/>
    </row>
    <row r="739" spans="1:82" s="561" customFormat="1" ht="61.5" customHeight="1">
      <c r="A739" s="625" t="str">
        <f t="shared" si="224"/>
        <v>proyecto-Alerta: Seleccione la celda en la comumna B con el nombre del proyecto-Al-Al--</v>
      </c>
      <c r="B739" s="626" t="str">
        <f t="shared" si="225"/>
        <v>proyecto-Alerta: Seleccione la celda en la comumna B con el nombre del proyecto-Al-Al-</v>
      </c>
      <c r="C739" s="626" t="str">
        <f t="shared" si="226"/>
        <v>proyecto-Alerta: Seleccione la celda en la comumna B con el nombre del proyecto-</v>
      </c>
      <c r="D739" s="626" t="str">
        <f t="shared" si="227"/>
        <v>proyecto--Al-Al-</v>
      </c>
      <c r="E739" s="626" t="str">
        <f t="shared" si="228"/>
        <v>--</v>
      </c>
      <c r="F739" s="627"/>
      <c r="G739" s="628">
        <f t="shared" si="229"/>
        <v>0</v>
      </c>
      <c r="H739" s="629" t="b">
        <f t="shared" si="230"/>
        <v>1</v>
      </c>
      <c r="I739" s="630"/>
      <c r="J739" s="627"/>
      <c r="K739" s="631" t="str">
        <f>+IFERROR(VLOOKUP(J739,Listas!$A$108:$B$114,2,FALSE),"Alerta: Seleccione la celda en la comumna B con el nombre del proyecto")</f>
        <v>Alerta: Seleccione la celda en la comumna B con el nombre del proyecto</v>
      </c>
      <c r="L739" s="632"/>
      <c r="M739" s="633"/>
      <c r="N739" s="634" t="str">
        <f t="shared" si="231"/>
        <v xml:space="preserve">(Cód. ) </v>
      </c>
      <c r="O739" s="635"/>
      <c r="P739" s="636">
        <f>IFERROR(VLOOKUP(W739,'Estimación CRP'!$D$21:$E$30,2,FALSE),0)</f>
        <v>0</v>
      </c>
      <c r="Q739" s="637">
        <f>IF(O739="No aplica","No aplica",WORKDAY.INTL(O739,P739,1,'Estimación CRP'!A925:A941))</f>
        <v>0</v>
      </c>
      <c r="R739" s="636">
        <f t="shared" si="232"/>
        <v>1</v>
      </c>
      <c r="S739" s="636">
        <f t="shared" si="233"/>
        <v>1</v>
      </c>
      <c r="T739" s="636">
        <f t="shared" si="234"/>
        <v>1</v>
      </c>
      <c r="U739" s="638"/>
      <c r="V739" s="638"/>
      <c r="W739" s="639"/>
      <c r="X739" s="640" t="str">
        <f>IFERROR(VLOOKUP(W739,Listas!$A$60:$B$73,2,FALSE),"Alerta: Seleccione primero Modalidad de selección")</f>
        <v>Alerta: Seleccione primero Modalidad de selección</v>
      </c>
      <c r="Y739" s="641">
        <v>0</v>
      </c>
      <c r="Z739" s="641"/>
      <c r="AA739" s="641"/>
      <c r="AB739" s="642">
        <f t="shared" si="235"/>
        <v>0</v>
      </c>
      <c r="AC739" s="642">
        <f t="shared" si="236"/>
        <v>0</v>
      </c>
      <c r="AD739" s="641">
        <v>0</v>
      </c>
      <c r="AE739" s="643">
        <v>0</v>
      </c>
      <c r="AF739" s="639" t="s">
        <v>276</v>
      </c>
      <c r="AG739" s="639" t="s">
        <v>277</v>
      </c>
      <c r="AH739" s="639"/>
      <c r="AI739" s="626" t="str">
        <f>IFERROR(VLOOKUP(AH739,Listas!$A$77:$C$83,2,FALSE),"Alerta: Seleccione primero el responsable")</f>
        <v>Alerta: Seleccione primero el responsable</v>
      </c>
      <c r="AJ739" s="640" t="str">
        <f>IFERROR(VLOOKUP(AH739,Listas!$A$77:$C$83,3,FALSE),"Alerta: Seleccione primero el responsable")</f>
        <v>Alerta: Seleccione primero el responsable</v>
      </c>
      <c r="AK739" s="640" t="str">
        <f>IF(J739="Funcionamiento Gastos Generales","No aplica",IF(J739="Funcionamiento Servicios Personales indirectos","No aplica",IFERROR(VLOOKUP(J739,Listas!$A$127:$E$139,3,FALSE),"Alerta: Seleccione la celda en la comumna B con el nombre del proyecto")))</f>
        <v>Alerta: Seleccione la celda en la comumna B con el nombre del proyecto</v>
      </c>
      <c r="AL739" s="640" t="str">
        <f>IF(J739="Funcionamiento Gastos Generales","No aplica",IF(J739="Funcionamiento Servicios Personales","No aplica",IFERROR(VLOOKUP(J739,Listas!$A$220:$D$224,2,FALSE),"Alerta: Seleccione la celda en la comumna B con el nombre del proyecto")))</f>
        <v>Alerta: Seleccione la celda en la comumna B con el nombre del proyecto</v>
      </c>
      <c r="AM739" s="640" t="str">
        <f>IF(J739="Funcionamiento Gastos Generales","No aplica",IF(J739="Funcionamiento Servicios Personales","No aplica",IFERROR(VLOOKUP(J739,Listas!$A$220:$D$224,3,FALSE),"Alerta: Seleccione la celda en la comumna B con el nombre del proyecto")))</f>
        <v>Alerta: Seleccione la celda en la comumna B con el nombre del proyecto</v>
      </c>
      <c r="AN739" s="633"/>
      <c r="AO739" s="633"/>
      <c r="AP739" s="634" t="str">
        <f>IFERROR(VLOOKUP(J739,Listas!$A$182:$E$215,5,FALSE),"Alerta: Seleccione la celda en la comumna B con el nombre del proyecto")</f>
        <v>Alerta: Seleccione la celda en la comumna B con el nombre del proyecto</v>
      </c>
      <c r="AQ739" s="634" t="str">
        <f>IF(J739="Funcionamiento Gastos Generales","No aplica",IF(J739="Funcionamiento Servicios Personales","No aplica",IFERROR(VLOOKUP(J739,Listas!$A$220:$D$224,4,FALSE),"Alerta: Seleccione la celda en la comumna B con el nombre del proyecto")))</f>
        <v>Alerta: Seleccione la celda en la comumna B con el nombre del proyecto</v>
      </c>
      <c r="AR739" s="633"/>
      <c r="AS739" s="634" t="str">
        <f>IFERROR(VLOOKUP(AU739,Listas!$E$85:$L$105,7,FALSE),"Alerta: Seleccione la celda en la comumna AI con el concepto de gasto")</f>
        <v>Alerta: Seleccione la celda en la comumna AI con el concepto de gasto</v>
      </c>
      <c r="AT739" s="634" t="str">
        <f>IFERROR(VLOOKUP(AU739,Listas!$E$85:$L$105,8,FALSE),"Alerta: Seleccione la celda en la comumna AI con el concepto de gasto")</f>
        <v>Alerta: Seleccione la celda en la comumna AI con el concepto de gasto</v>
      </c>
      <c r="AU739" s="633"/>
      <c r="AV739" s="634" t="str">
        <f>IFERROR(VLOOKUP(AU739,Listas!$E$85:$F$105,2,FALSE),"Alerta: Seleccione el Concepto de Gasto primero")</f>
        <v>Alerta: Seleccione el Concepto de Gasto primero</v>
      </c>
      <c r="AW739" s="644"/>
      <c r="AX739" s="645"/>
      <c r="AY739" s="645"/>
      <c r="AZ739" s="645"/>
      <c r="BA739" s="646">
        <f t="shared" si="237"/>
        <v>0</v>
      </c>
      <c r="BB739" s="647"/>
      <c r="BC739" s="648"/>
      <c r="BD739" s="649"/>
      <c r="BE739" s="647"/>
      <c r="BF739" s="644"/>
      <c r="BG739" s="646">
        <f t="shared" si="238"/>
        <v>0</v>
      </c>
      <c r="BH739" s="650"/>
      <c r="BI739" s="647"/>
      <c r="BJ739" s="644"/>
      <c r="BK739" s="646">
        <f t="shared" si="239"/>
        <v>0</v>
      </c>
      <c r="BL739" s="651"/>
      <c r="BM739" s="652">
        <f t="shared" si="240"/>
        <v>1</v>
      </c>
      <c r="BN739" s="628"/>
      <c r="BO739" s="670"/>
      <c r="BP739" s="644"/>
      <c r="BQ739" s="644"/>
      <c r="BR739" s="644"/>
      <c r="BS739" s="644"/>
      <c r="BT739" s="644"/>
      <c r="BU739" s="644"/>
      <c r="BV739" s="644"/>
      <c r="BW739" s="644"/>
      <c r="BX739" s="644"/>
      <c r="BY739" s="644"/>
      <c r="BZ739" s="644"/>
      <c r="CA739" s="644"/>
      <c r="CB739" s="646">
        <f t="shared" si="241"/>
        <v>0</v>
      </c>
      <c r="CC739" s="646">
        <f t="shared" si="242"/>
        <v>0</v>
      </c>
      <c r="CD739" s="614"/>
    </row>
    <row r="740" spans="1:82" s="561" customFormat="1" ht="61.5" customHeight="1">
      <c r="A740" s="625" t="str">
        <f t="shared" si="224"/>
        <v>proyecto-Alerta: Seleccione la celda en la comumna B con el nombre del proyecto-Al-Al--</v>
      </c>
      <c r="B740" s="626" t="str">
        <f t="shared" si="225"/>
        <v>proyecto-Alerta: Seleccione la celda en la comumna B con el nombre del proyecto-Al-Al-</v>
      </c>
      <c r="C740" s="626" t="str">
        <f t="shared" si="226"/>
        <v>proyecto-Alerta: Seleccione la celda en la comumna B con el nombre del proyecto-</v>
      </c>
      <c r="D740" s="626" t="str">
        <f t="shared" si="227"/>
        <v>proyecto--Al-Al-</v>
      </c>
      <c r="E740" s="626" t="str">
        <f t="shared" si="228"/>
        <v>--</v>
      </c>
      <c r="F740" s="627"/>
      <c r="G740" s="628">
        <f t="shared" si="229"/>
        <v>0</v>
      </c>
      <c r="H740" s="629" t="b">
        <f t="shared" si="230"/>
        <v>1</v>
      </c>
      <c r="I740" s="630"/>
      <c r="J740" s="627"/>
      <c r="K740" s="631" t="str">
        <f>+IFERROR(VLOOKUP(J740,Listas!$A$108:$B$114,2,FALSE),"Alerta: Seleccione la celda en la comumna B con el nombre del proyecto")</f>
        <v>Alerta: Seleccione la celda en la comumna B con el nombre del proyecto</v>
      </c>
      <c r="L740" s="632"/>
      <c r="M740" s="633"/>
      <c r="N740" s="634" t="str">
        <f t="shared" si="231"/>
        <v xml:space="preserve">(Cód. ) </v>
      </c>
      <c r="O740" s="635"/>
      <c r="P740" s="636">
        <f>IFERROR(VLOOKUP(W740,'Estimación CRP'!$D$21:$E$30,2,FALSE),0)</f>
        <v>0</v>
      </c>
      <c r="Q740" s="637">
        <f>IF(O740="No aplica","No aplica",WORKDAY.INTL(O740,P740,1,'Estimación CRP'!A926:A942))</f>
        <v>0</v>
      </c>
      <c r="R740" s="636">
        <f t="shared" si="232"/>
        <v>1</v>
      </c>
      <c r="S740" s="636">
        <f t="shared" si="233"/>
        <v>1</v>
      </c>
      <c r="T740" s="636">
        <f t="shared" si="234"/>
        <v>1</v>
      </c>
      <c r="U740" s="638"/>
      <c r="V740" s="638"/>
      <c r="W740" s="639"/>
      <c r="X740" s="640" t="str">
        <f>IFERROR(VLOOKUP(W740,Listas!$A$60:$B$73,2,FALSE),"Alerta: Seleccione primero Modalidad de selección")</f>
        <v>Alerta: Seleccione primero Modalidad de selección</v>
      </c>
      <c r="Y740" s="641">
        <v>0</v>
      </c>
      <c r="Z740" s="641"/>
      <c r="AA740" s="641"/>
      <c r="AB740" s="642">
        <f t="shared" si="235"/>
        <v>0</v>
      </c>
      <c r="AC740" s="642">
        <f t="shared" si="236"/>
        <v>0</v>
      </c>
      <c r="AD740" s="641">
        <v>0</v>
      </c>
      <c r="AE740" s="643">
        <v>0</v>
      </c>
      <c r="AF740" s="639" t="s">
        <v>276</v>
      </c>
      <c r="AG740" s="639" t="s">
        <v>277</v>
      </c>
      <c r="AH740" s="639"/>
      <c r="AI740" s="626" t="str">
        <f>IFERROR(VLOOKUP(AH740,Listas!$A$77:$C$83,2,FALSE),"Alerta: Seleccione primero el responsable")</f>
        <v>Alerta: Seleccione primero el responsable</v>
      </c>
      <c r="AJ740" s="640" t="str">
        <f>IFERROR(VLOOKUP(AH740,Listas!$A$77:$C$83,3,FALSE),"Alerta: Seleccione primero el responsable")</f>
        <v>Alerta: Seleccione primero el responsable</v>
      </c>
      <c r="AK740" s="640" t="str">
        <f>IF(J740="Funcionamiento Gastos Generales","No aplica",IF(J740="Funcionamiento Servicios Personales indirectos","No aplica",IFERROR(VLOOKUP(J740,Listas!$A$127:$E$139,3,FALSE),"Alerta: Seleccione la celda en la comumna B con el nombre del proyecto")))</f>
        <v>Alerta: Seleccione la celda en la comumna B con el nombre del proyecto</v>
      </c>
      <c r="AL740" s="640" t="str">
        <f>IF(J740="Funcionamiento Gastos Generales","No aplica",IF(J740="Funcionamiento Servicios Personales","No aplica",IFERROR(VLOOKUP(J740,Listas!$A$220:$D$224,2,FALSE),"Alerta: Seleccione la celda en la comumna B con el nombre del proyecto")))</f>
        <v>Alerta: Seleccione la celda en la comumna B con el nombre del proyecto</v>
      </c>
      <c r="AM740" s="640" t="str">
        <f>IF(J740="Funcionamiento Gastos Generales","No aplica",IF(J740="Funcionamiento Servicios Personales","No aplica",IFERROR(VLOOKUP(J740,Listas!$A$220:$D$224,3,FALSE),"Alerta: Seleccione la celda en la comumna B con el nombre del proyecto")))</f>
        <v>Alerta: Seleccione la celda en la comumna B con el nombre del proyecto</v>
      </c>
      <c r="AN740" s="633"/>
      <c r="AO740" s="633"/>
      <c r="AP740" s="634" t="str">
        <f>IFERROR(VLOOKUP(J740,Listas!$A$182:$E$215,5,FALSE),"Alerta: Seleccione la celda en la comumna B con el nombre del proyecto")</f>
        <v>Alerta: Seleccione la celda en la comumna B con el nombre del proyecto</v>
      </c>
      <c r="AQ740" s="634" t="str">
        <f>IF(J740="Funcionamiento Gastos Generales","No aplica",IF(J740="Funcionamiento Servicios Personales","No aplica",IFERROR(VLOOKUP(J740,Listas!$A$220:$D$224,4,FALSE),"Alerta: Seleccione la celda en la comumna B con el nombre del proyecto")))</f>
        <v>Alerta: Seleccione la celda en la comumna B con el nombre del proyecto</v>
      </c>
      <c r="AR740" s="633"/>
      <c r="AS740" s="634" t="str">
        <f>IFERROR(VLOOKUP(AU740,Listas!$E$85:$L$105,7,FALSE),"Alerta: Seleccione la celda en la comumna AI con el concepto de gasto")</f>
        <v>Alerta: Seleccione la celda en la comumna AI con el concepto de gasto</v>
      </c>
      <c r="AT740" s="634" t="str">
        <f>IFERROR(VLOOKUP(AU740,Listas!$E$85:$L$105,8,FALSE),"Alerta: Seleccione la celda en la comumna AI con el concepto de gasto")</f>
        <v>Alerta: Seleccione la celda en la comumna AI con el concepto de gasto</v>
      </c>
      <c r="AU740" s="633"/>
      <c r="AV740" s="634" t="str">
        <f>IFERROR(VLOOKUP(AU740,Listas!$E$85:$F$105,2,FALSE),"Alerta: Seleccione el Concepto de Gasto primero")</f>
        <v>Alerta: Seleccione el Concepto de Gasto primero</v>
      </c>
      <c r="AW740" s="644"/>
      <c r="AX740" s="645"/>
      <c r="AY740" s="645"/>
      <c r="AZ740" s="645"/>
      <c r="BA740" s="646">
        <f t="shared" si="237"/>
        <v>0</v>
      </c>
      <c r="BB740" s="647"/>
      <c r="BC740" s="648"/>
      <c r="BD740" s="649"/>
      <c r="BE740" s="647"/>
      <c r="BF740" s="644"/>
      <c r="BG740" s="646">
        <f t="shared" si="238"/>
        <v>0</v>
      </c>
      <c r="BH740" s="650"/>
      <c r="BI740" s="647"/>
      <c r="BJ740" s="644"/>
      <c r="BK740" s="646">
        <f t="shared" si="239"/>
        <v>0</v>
      </c>
      <c r="BL740" s="651"/>
      <c r="BM740" s="652">
        <f t="shared" si="240"/>
        <v>1</v>
      </c>
      <c r="BN740" s="628"/>
      <c r="BO740" s="670"/>
      <c r="BP740" s="644"/>
      <c r="BQ740" s="644"/>
      <c r="BR740" s="644"/>
      <c r="BS740" s="644"/>
      <c r="BT740" s="644"/>
      <c r="BU740" s="644"/>
      <c r="BV740" s="644"/>
      <c r="BW740" s="644"/>
      <c r="BX740" s="644"/>
      <c r="BY740" s="644"/>
      <c r="BZ740" s="644"/>
      <c r="CA740" s="644"/>
      <c r="CB740" s="646">
        <f t="shared" si="241"/>
        <v>0</v>
      </c>
      <c r="CC740" s="646">
        <f t="shared" si="242"/>
        <v>0</v>
      </c>
      <c r="CD740" s="614"/>
    </row>
    <row r="741" spans="1:82" s="561" customFormat="1" ht="61.5" customHeight="1">
      <c r="A741" s="625" t="str">
        <f t="shared" si="224"/>
        <v>proyecto-Alerta: Seleccione la celda en la comumna B con el nombre del proyecto-Al-Al--</v>
      </c>
      <c r="B741" s="626" t="str">
        <f t="shared" si="225"/>
        <v>proyecto-Alerta: Seleccione la celda en la comumna B con el nombre del proyecto-Al-Al-</v>
      </c>
      <c r="C741" s="626" t="str">
        <f t="shared" si="226"/>
        <v>proyecto-Alerta: Seleccione la celda en la comumna B con el nombre del proyecto-</v>
      </c>
      <c r="D741" s="626" t="str">
        <f t="shared" si="227"/>
        <v>proyecto--Al-Al-</v>
      </c>
      <c r="E741" s="626" t="str">
        <f t="shared" si="228"/>
        <v>--</v>
      </c>
      <c r="F741" s="627"/>
      <c r="G741" s="628">
        <f t="shared" si="229"/>
        <v>0</v>
      </c>
      <c r="H741" s="629" t="b">
        <f t="shared" si="230"/>
        <v>1</v>
      </c>
      <c r="I741" s="630"/>
      <c r="J741" s="627"/>
      <c r="K741" s="631" t="str">
        <f>+IFERROR(VLOOKUP(J741,Listas!$A$108:$B$114,2,FALSE),"Alerta: Seleccione la celda en la comumna B con el nombre del proyecto")</f>
        <v>Alerta: Seleccione la celda en la comumna B con el nombre del proyecto</v>
      </c>
      <c r="L741" s="632"/>
      <c r="M741" s="633"/>
      <c r="N741" s="634" t="str">
        <f t="shared" si="231"/>
        <v xml:space="preserve">(Cód. ) </v>
      </c>
      <c r="O741" s="635"/>
      <c r="P741" s="636">
        <f>IFERROR(VLOOKUP(W741,'Estimación CRP'!$D$21:$E$30,2,FALSE),0)</f>
        <v>0</v>
      </c>
      <c r="Q741" s="637">
        <f>IF(O741="No aplica","No aplica",WORKDAY.INTL(O741,P741,1,'Estimación CRP'!A927:A943))</f>
        <v>0</v>
      </c>
      <c r="R741" s="636">
        <f t="shared" si="232"/>
        <v>1</v>
      </c>
      <c r="S741" s="636">
        <f t="shared" si="233"/>
        <v>1</v>
      </c>
      <c r="T741" s="636">
        <f t="shared" si="234"/>
        <v>1</v>
      </c>
      <c r="U741" s="638"/>
      <c r="V741" s="638"/>
      <c r="W741" s="639"/>
      <c r="X741" s="640" t="str">
        <f>IFERROR(VLOOKUP(W741,Listas!$A$60:$B$73,2,FALSE),"Alerta: Seleccione primero Modalidad de selección")</f>
        <v>Alerta: Seleccione primero Modalidad de selección</v>
      </c>
      <c r="Y741" s="641">
        <v>0</v>
      </c>
      <c r="Z741" s="641"/>
      <c r="AA741" s="641"/>
      <c r="AB741" s="642">
        <f t="shared" si="235"/>
        <v>0</v>
      </c>
      <c r="AC741" s="642">
        <f t="shared" si="236"/>
        <v>0</v>
      </c>
      <c r="AD741" s="641">
        <v>0</v>
      </c>
      <c r="AE741" s="643">
        <v>0</v>
      </c>
      <c r="AF741" s="639" t="s">
        <v>276</v>
      </c>
      <c r="AG741" s="639" t="s">
        <v>277</v>
      </c>
      <c r="AH741" s="639"/>
      <c r="AI741" s="626" t="str">
        <f>IFERROR(VLOOKUP(AH741,Listas!$A$77:$C$83,2,FALSE),"Alerta: Seleccione primero el responsable")</f>
        <v>Alerta: Seleccione primero el responsable</v>
      </c>
      <c r="AJ741" s="640" t="str">
        <f>IFERROR(VLOOKUP(AH741,Listas!$A$77:$C$83,3,FALSE),"Alerta: Seleccione primero el responsable")</f>
        <v>Alerta: Seleccione primero el responsable</v>
      </c>
      <c r="AK741" s="640" t="str">
        <f>IF(J741="Funcionamiento Gastos Generales","No aplica",IF(J741="Funcionamiento Servicios Personales indirectos","No aplica",IFERROR(VLOOKUP(J741,Listas!$A$127:$E$139,3,FALSE),"Alerta: Seleccione la celda en la comumna B con el nombre del proyecto")))</f>
        <v>Alerta: Seleccione la celda en la comumna B con el nombre del proyecto</v>
      </c>
      <c r="AL741" s="640" t="str">
        <f>IF(J741="Funcionamiento Gastos Generales","No aplica",IF(J741="Funcionamiento Servicios Personales","No aplica",IFERROR(VLOOKUP(J741,Listas!$A$220:$D$224,2,FALSE),"Alerta: Seleccione la celda en la comumna B con el nombre del proyecto")))</f>
        <v>Alerta: Seleccione la celda en la comumna B con el nombre del proyecto</v>
      </c>
      <c r="AM741" s="640" t="str">
        <f>IF(J741="Funcionamiento Gastos Generales","No aplica",IF(J741="Funcionamiento Servicios Personales","No aplica",IFERROR(VLOOKUP(J741,Listas!$A$220:$D$224,3,FALSE),"Alerta: Seleccione la celda en la comumna B con el nombre del proyecto")))</f>
        <v>Alerta: Seleccione la celda en la comumna B con el nombre del proyecto</v>
      </c>
      <c r="AN741" s="633"/>
      <c r="AO741" s="633"/>
      <c r="AP741" s="634" t="str">
        <f>IFERROR(VLOOKUP(J741,Listas!$A$182:$E$215,5,FALSE),"Alerta: Seleccione la celda en la comumna B con el nombre del proyecto")</f>
        <v>Alerta: Seleccione la celda en la comumna B con el nombre del proyecto</v>
      </c>
      <c r="AQ741" s="634" t="str">
        <f>IF(J741="Funcionamiento Gastos Generales","No aplica",IF(J741="Funcionamiento Servicios Personales","No aplica",IFERROR(VLOOKUP(J741,Listas!$A$220:$D$224,4,FALSE),"Alerta: Seleccione la celda en la comumna B con el nombre del proyecto")))</f>
        <v>Alerta: Seleccione la celda en la comumna B con el nombre del proyecto</v>
      </c>
      <c r="AR741" s="633"/>
      <c r="AS741" s="634" t="str">
        <f>IFERROR(VLOOKUP(AU741,Listas!$E$85:$L$105,7,FALSE),"Alerta: Seleccione la celda en la comumna AI con el concepto de gasto")</f>
        <v>Alerta: Seleccione la celda en la comumna AI con el concepto de gasto</v>
      </c>
      <c r="AT741" s="634" t="str">
        <f>IFERROR(VLOOKUP(AU741,Listas!$E$85:$L$105,8,FALSE),"Alerta: Seleccione la celda en la comumna AI con el concepto de gasto")</f>
        <v>Alerta: Seleccione la celda en la comumna AI con el concepto de gasto</v>
      </c>
      <c r="AU741" s="633"/>
      <c r="AV741" s="634" t="str">
        <f>IFERROR(VLOOKUP(AU741,Listas!$E$85:$F$105,2,FALSE),"Alerta: Seleccione el Concepto de Gasto primero")</f>
        <v>Alerta: Seleccione el Concepto de Gasto primero</v>
      </c>
      <c r="AW741" s="644"/>
      <c r="AX741" s="645"/>
      <c r="AY741" s="645"/>
      <c r="AZ741" s="645"/>
      <c r="BA741" s="646">
        <f t="shared" si="237"/>
        <v>0</v>
      </c>
      <c r="BB741" s="647"/>
      <c r="BC741" s="648"/>
      <c r="BD741" s="649"/>
      <c r="BE741" s="647"/>
      <c r="BF741" s="644"/>
      <c r="BG741" s="646">
        <f t="shared" si="238"/>
        <v>0</v>
      </c>
      <c r="BH741" s="650"/>
      <c r="BI741" s="647"/>
      <c r="BJ741" s="644"/>
      <c r="BK741" s="646">
        <f t="shared" si="239"/>
        <v>0</v>
      </c>
      <c r="BL741" s="651"/>
      <c r="BM741" s="652">
        <f t="shared" si="240"/>
        <v>1</v>
      </c>
      <c r="BN741" s="628"/>
      <c r="BO741" s="670"/>
      <c r="BP741" s="644"/>
      <c r="BQ741" s="644"/>
      <c r="BR741" s="644"/>
      <c r="BS741" s="644"/>
      <c r="BT741" s="644"/>
      <c r="BU741" s="644"/>
      <c r="BV741" s="644"/>
      <c r="BW741" s="644"/>
      <c r="BX741" s="644"/>
      <c r="BY741" s="644"/>
      <c r="BZ741" s="644"/>
      <c r="CA741" s="644"/>
      <c r="CB741" s="646">
        <f t="shared" si="241"/>
        <v>0</v>
      </c>
      <c r="CC741" s="646">
        <f t="shared" si="242"/>
        <v>0</v>
      </c>
      <c r="CD741" s="614"/>
    </row>
    <row r="742" spans="1:82" s="561" customFormat="1" ht="61.5" customHeight="1">
      <c r="A742" s="625" t="str">
        <f t="shared" si="224"/>
        <v>proyecto-Alerta: Seleccione la celda en la comumna B con el nombre del proyecto-Al-Al--</v>
      </c>
      <c r="B742" s="626" t="str">
        <f t="shared" si="225"/>
        <v>proyecto-Alerta: Seleccione la celda en la comumna B con el nombre del proyecto-Al-Al-</v>
      </c>
      <c r="C742" s="626" t="str">
        <f t="shared" si="226"/>
        <v>proyecto-Alerta: Seleccione la celda en la comumna B con el nombre del proyecto-</v>
      </c>
      <c r="D742" s="626" t="str">
        <f t="shared" si="227"/>
        <v>proyecto--Al-Al-</v>
      </c>
      <c r="E742" s="626" t="str">
        <f t="shared" si="228"/>
        <v>--</v>
      </c>
      <c r="F742" s="627"/>
      <c r="G742" s="628">
        <f t="shared" si="229"/>
        <v>0</v>
      </c>
      <c r="H742" s="629" t="b">
        <f t="shared" si="230"/>
        <v>1</v>
      </c>
      <c r="I742" s="630"/>
      <c r="J742" s="627"/>
      <c r="K742" s="631" t="str">
        <f>+IFERROR(VLOOKUP(J742,Listas!$A$108:$B$114,2,FALSE),"Alerta: Seleccione la celda en la comumna B con el nombre del proyecto")</f>
        <v>Alerta: Seleccione la celda en la comumna B con el nombre del proyecto</v>
      </c>
      <c r="L742" s="632"/>
      <c r="M742" s="633"/>
      <c r="N742" s="634" t="str">
        <f t="shared" si="231"/>
        <v xml:space="preserve">(Cód. ) </v>
      </c>
      <c r="O742" s="635"/>
      <c r="P742" s="636">
        <f>IFERROR(VLOOKUP(W742,'Estimación CRP'!$D$21:$E$30,2,FALSE),0)</f>
        <v>0</v>
      </c>
      <c r="Q742" s="637">
        <f>IF(O742="No aplica","No aplica",WORKDAY.INTL(O742,P742,1,'Estimación CRP'!A928:A944))</f>
        <v>0</v>
      </c>
      <c r="R742" s="636">
        <f t="shared" si="232"/>
        <v>1</v>
      </c>
      <c r="S742" s="636">
        <f t="shared" si="233"/>
        <v>1</v>
      </c>
      <c r="T742" s="636">
        <f t="shared" si="234"/>
        <v>1</v>
      </c>
      <c r="U742" s="638"/>
      <c r="V742" s="638"/>
      <c r="W742" s="639"/>
      <c r="X742" s="640" t="str">
        <f>IFERROR(VLOOKUP(W742,Listas!$A$60:$B$73,2,FALSE),"Alerta: Seleccione primero Modalidad de selección")</f>
        <v>Alerta: Seleccione primero Modalidad de selección</v>
      </c>
      <c r="Y742" s="641">
        <v>0</v>
      </c>
      <c r="Z742" s="641"/>
      <c r="AA742" s="641"/>
      <c r="AB742" s="642">
        <f t="shared" si="235"/>
        <v>0</v>
      </c>
      <c r="AC742" s="642">
        <f t="shared" si="236"/>
        <v>0</v>
      </c>
      <c r="AD742" s="641">
        <v>0</v>
      </c>
      <c r="AE742" s="643">
        <v>0</v>
      </c>
      <c r="AF742" s="639" t="s">
        <v>276</v>
      </c>
      <c r="AG742" s="639" t="s">
        <v>277</v>
      </c>
      <c r="AH742" s="639"/>
      <c r="AI742" s="626" t="str">
        <f>IFERROR(VLOOKUP(AH742,Listas!$A$77:$C$83,2,FALSE),"Alerta: Seleccione primero el responsable")</f>
        <v>Alerta: Seleccione primero el responsable</v>
      </c>
      <c r="AJ742" s="640" t="str">
        <f>IFERROR(VLOOKUP(AH742,Listas!$A$77:$C$83,3,FALSE),"Alerta: Seleccione primero el responsable")</f>
        <v>Alerta: Seleccione primero el responsable</v>
      </c>
      <c r="AK742" s="640" t="str">
        <f>IF(J742="Funcionamiento Gastos Generales","No aplica",IF(J742="Funcionamiento Servicios Personales indirectos","No aplica",IFERROR(VLOOKUP(J742,Listas!$A$127:$E$139,3,FALSE),"Alerta: Seleccione la celda en la comumna B con el nombre del proyecto")))</f>
        <v>Alerta: Seleccione la celda en la comumna B con el nombre del proyecto</v>
      </c>
      <c r="AL742" s="640" t="str">
        <f>IF(J742="Funcionamiento Gastos Generales","No aplica",IF(J742="Funcionamiento Servicios Personales","No aplica",IFERROR(VLOOKUP(J742,Listas!$A$220:$D$224,2,FALSE),"Alerta: Seleccione la celda en la comumna B con el nombre del proyecto")))</f>
        <v>Alerta: Seleccione la celda en la comumna B con el nombre del proyecto</v>
      </c>
      <c r="AM742" s="640" t="str">
        <f>IF(J742="Funcionamiento Gastos Generales","No aplica",IF(J742="Funcionamiento Servicios Personales","No aplica",IFERROR(VLOOKUP(J742,Listas!$A$220:$D$224,3,FALSE),"Alerta: Seleccione la celda en la comumna B con el nombre del proyecto")))</f>
        <v>Alerta: Seleccione la celda en la comumna B con el nombre del proyecto</v>
      </c>
      <c r="AN742" s="633"/>
      <c r="AO742" s="633"/>
      <c r="AP742" s="634" t="str">
        <f>IFERROR(VLOOKUP(J742,Listas!$A$182:$E$215,5,FALSE),"Alerta: Seleccione la celda en la comumna B con el nombre del proyecto")</f>
        <v>Alerta: Seleccione la celda en la comumna B con el nombre del proyecto</v>
      </c>
      <c r="AQ742" s="634" t="str">
        <f>IF(J742="Funcionamiento Gastos Generales","No aplica",IF(J742="Funcionamiento Servicios Personales","No aplica",IFERROR(VLOOKUP(J742,Listas!$A$220:$D$224,4,FALSE),"Alerta: Seleccione la celda en la comumna B con el nombre del proyecto")))</f>
        <v>Alerta: Seleccione la celda en la comumna B con el nombre del proyecto</v>
      </c>
      <c r="AR742" s="633"/>
      <c r="AS742" s="634" t="str">
        <f>IFERROR(VLOOKUP(AU742,Listas!$E$85:$L$105,7,FALSE),"Alerta: Seleccione la celda en la comumna AI con el concepto de gasto")</f>
        <v>Alerta: Seleccione la celda en la comumna AI con el concepto de gasto</v>
      </c>
      <c r="AT742" s="634" t="str">
        <f>IFERROR(VLOOKUP(AU742,Listas!$E$85:$L$105,8,FALSE),"Alerta: Seleccione la celda en la comumna AI con el concepto de gasto")</f>
        <v>Alerta: Seleccione la celda en la comumna AI con el concepto de gasto</v>
      </c>
      <c r="AU742" s="633"/>
      <c r="AV742" s="634" t="str">
        <f>IFERROR(VLOOKUP(AU742,Listas!$E$85:$F$105,2,FALSE),"Alerta: Seleccione el Concepto de Gasto primero")</f>
        <v>Alerta: Seleccione el Concepto de Gasto primero</v>
      </c>
      <c r="AW742" s="644"/>
      <c r="AX742" s="645"/>
      <c r="AY742" s="645"/>
      <c r="AZ742" s="645"/>
      <c r="BA742" s="646">
        <f t="shared" si="237"/>
        <v>0</v>
      </c>
      <c r="BB742" s="647"/>
      <c r="BC742" s="648"/>
      <c r="BD742" s="649"/>
      <c r="BE742" s="647"/>
      <c r="BF742" s="644"/>
      <c r="BG742" s="646">
        <f t="shared" si="238"/>
        <v>0</v>
      </c>
      <c r="BH742" s="650"/>
      <c r="BI742" s="647"/>
      <c r="BJ742" s="644"/>
      <c r="BK742" s="646">
        <f t="shared" si="239"/>
        <v>0</v>
      </c>
      <c r="BL742" s="651"/>
      <c r="BM742" s="652">
        <f t="shared" si="240"/>
        <v>1</v>
      </c>
      <c r="BN742" s="628"/>
      <c r="BO742" s="670"/>
      <c r="BP742" s="644"/>
      <c r="BQ742" s="644"/>
      <c r="BR742" s="644"/>
      <c r="BS742" s="644"/>
      <c r="BT742" s="644"/>
      <c r="BU742" s="644"/>
      <c r="BV742" s="644"/>
      <c r="BW742" s="644"/>
      <c r="BX742" s="644"/>
      <c r="BY742" s="644"/>
      <c r="BZ742" s="644"/>
      <c r="CA742" s="644"/>
      <c r="CB742" s="646">
        <f t="shared" si="241"/>
        <v>0</v>
      </c>
      <c r="CC742" s="646">
        <f t="shared" si="242"/>
        <v>0</v>
      </c>
      <c r="CD742" s="614"/>
    </row>
    <row r="743" spans="1:82" s="561" customFormat="1" ht="61.5" customHeight="1">
      <c r="A743" s="625" t="str">
        <f t="shared" si="224"/>
        <v>proyecto-Alerta: Seleccione la celda en la comumna B con el nombre del proyecto-Al-Al--</v>
      </c>
      <c r="B743" s="626" t="str">
        <f t="shared" si="225"/>
        <v>proyecto-Alerta: Seleccione la celda en la comumna B con el nombre del proyecto-Al-Al-</v>
      </c>
      <c r="C743" s="626" t="str">
        <f t="shared" si="226"/>
        <v>proyecto-Alerta: Seleccione la celda en la comumna B con el nombre del proyecto-</v>
      </c>
      <c r="D743" s="626" t="str">
        <f t="shared" si="227"/>
        <v>proyecto--Al-Al-</v>
      </c>
      <c r="E743" s="626" t="str">
        <f t="shared" si="228"/>
        <v>--</v>
      </c>
      <c r="F743" s="627"/>
      <c r="G743" s="628">
        <f t="shared" si="229"/>
        <v>0</v>
      </c>
      <c r="H743" s="629" t="b">
        <f t="shared" si="230"/>
        <v>1</v>
      </c>
      <c r="I743" s="630"/>
      <c r="J743" s="627"/>
      <c r="K743" s="631" t="str">
        <f>+IFERROR(VLOOKUP(J743,Listas!$A$108:$B$114,2,FALSE),"Alerta: Seleccione la celda en la comumna B con el nombre del proyecto")</f>
        <v>Alerta: Seleccione la celda en la comumna B con el nombre del proyecto</v>
      </c>
      <c r="L743" s="632"/>
      <c r="M743" s="633"/>
      <c r="N743" s="634" t="str">
        <f t="shared" si="231"/>
        <v xml:space="preserve">(Cód. ) </v>
      </c>
      <c r="O743" s="635"/>
      <c r="P743" s="636">
        <f>IFERROR(VLOOKUP(W743,'Estimación CRP'!$D$21:$E$30,2,FALSE),0)</f>
        <v>0</v>
      </c>
      <c r="Q743" s="637">
        <f>IF(O743="No aplica","No aplica",WORKDAY.INTL(O743,P743,1,'Estimación CRP'!A929:A945))</f>
        <v>0</v>
      </c>
      <c r="R743" s="636">
        <f t="shared" si="232"/>
        <v>1</v>
      </c>
      <c r="S743" s="636">
        <f t="shared" si="233"/>
        <v>1</v>
      </c>
      <c r="T743" s="636">
        <f t="shared" si="234"/>
        <v>1</v>
      </c>
      <c r="U743" s="638"/>
      <c r="V743" s="638"/>
      <c r="W743" s="639"/>
      <c r="X743" s="640" t="str">
        <f>IFERROR(VLOOKUP(W743,Listas!$A$60:$B$73,2,FALSE),"Alerta: Seleccione primero Modalidad de selección")</f>
        <v>Alerta: Seleccione primero Modalidad de selección</v>
      </c>
      <c r="Y743" s="641">
        <v>0</v>
      </c>
      <c r="Z743" s="641"/>
      <c r="AA743" s="641"/>
      <c r="AB743" s="642">
        <f t="shared" si="235"/>
        <v>0</v>
      </c>
      <c r="AC743" s="642">
        <f t="shared" si="236"/>
        <v>0</v>
      </c>
      <c r="AD743" s="641">
        <v>0</v>
      </c>
      <c r="AE743" s="643">
        <v>0</v>
      </c>
      <c r="AF743" s="639" t="s">
        <v>276</v>
      </c>
      <c r="AG743" s="639" t="s">
        <v>277</v>
      </c>
      <c r="AH743" s="639"/>
      <c r="AI743" s="626" t="str">
        <f>IFERROR(VLOOKUP(AH743,Listas!$A$77:$C$83,2,FALSE),"Alerta: Seleccione primero el responsable")</f>
        <v>Alerta: Seleccione primero el responsable</v>
      </c>
      <c r="AJ743" s="640" t="str">
        <f>IFERROR(VLOOKUP(AH743,Listas!$A$77:$C$83,3,FALSE),"Alerta: Seleccione primero el responsable")</f>
        <v>Alerta: Seleccione primero el responsable</v>
      </c>
      <c r="AK743" s="640" t="str">
        <f>IF(J743="Funcionamiento Gastos Generales","No aplica",IF(J743="Funcionamiento Servicios Personales indirectos","No aplica",IFERROR(VLOOKUP(J743,Listas!$A$127:$E$139,3,FALSE),"Alerta: Seleccione la celda en la comumna B con el nombre del proyecto")))</f>
        <v>Alerta: Seleccione la celda en la comumna B con el nombre del proyecto</v>
      </c>
      <c r="AL743" s="640" t="str">
        <f>IF(J743="Funcionamiento Gastos Generales","No aplica",IF(J743="Funcionamiento Servicios Personales","No aplica",IFERROR(VLOOKUP(J743,Listas!$A$220:$D$224,2,FALSE),"Alerta: Seleccione la celda en la comumna B con el nombre del proyecto")))</f>
        <v>Alerta: Seleccione la celda en la comumna B con el nombre del proyecto</v>
      </c>
      <c r="AM743" s="640" t="str">
        <f>IF(J743="Funcionamiento Gastos Generales","No aplica",IF(J743="Funcionamiento Servicios Personales","No aplica",IFERROR(VLOOKUP(J743,Listas!$A$220:$D$224,3,FALSE),"Alerta: Seleccione la celda en la comumna B con el nombre del proyecto")))</f>
        <v>Alerta: Seleccione la celda en la comumna B con el nombre del proyecto</v>
      </c>
      <c r="AN743" s="633"/>
      <c r="AO743" s="633"/>
      <c r="AP743" s="634" t="str">
        <f>IFERROR(VLOOKUP(J743,Listas!$A$182:$E$215,5,FALSE),"Alerta: Seleccione la celda en la comumna B con el nombre del proyecto")</f>
        <v>Alerta: Seleccione la celda en la comumna B con el nombre del proyecto</v>
      </c>
      <c r="AQ743" s="634" t="str">
        <f>IF(J743="Funcionamiento Gastos Generales","No aplica",IF(J743="Funcionamiento Servicios Personales","No aplica",IFERROR(VLOOKUP(J743,Listas!$A$220:$D$224,4,FALSE),"Alerta: Seleccione la celda en la comumna B con el nombre del proyecto")))</f>
        <v>Alerta: Seleccione la celda en la comumna B con el nombre del proyecto</v>
      </c>
      <c r="AR743" s="633"/>
      <c r="AS743" s="634" t="str">
        <f>IFERROR(VLOOKUP(AU743,Listas!$E$85:$L$105,7,FALSE),"Alerta: Seleccione la celda en la comumna AI con el concepto de gasto")</f>
        <v>Alerta: Seleccione la celda en la comumna AI con el concepto de gasto</v>
      </c>
      <c r="AT743" s="634" t="str">
        <f>IFERROR(VLOOKUP(AU743,Listas!$E$85:$L$105,8,FALSE),"Alerta: Seleccione la celda en la comumna AI con el concepto de gasto")</f>
        <v>Alerta: Seleccione la celda en la comumna AI con el concepto de gasto</v>
      </c>
      <c r="AU743" s="633"/>
      <c r="AV743" s="634" t="str">
        <f>IFERROR(VLOOKUP(AU743,Listas!$E$85:$F$105,2,FALSE),"Alerta: Seleccione el Concepto de Gasto primero")</f>
        <v>Alerta: Seleccione el Concepto de Gasto primero</v>
      </c>
      <c r="AW743" s="644"/>
      <c r="AX743" s="645"/>
      <c r="AY743" s="645"/>
      <c r="AZ743" s="645"/>
      <c r="BA743" s="646">
        <f t="shared" si="237"/>
        <v>0</v>
      </c>
      <c r="BB743" s="647"/>
      <c r="BC743" s="648"/>
      <c r="BD743" s="649"/>
      <c r="BE743" s="647"/>
      <c r="BF743" s="644"/>
      <c r="BG743" s="646">
        <f t="shared" si="238"/>
        <v>0</v>
      </c>
      <c r="BH743" s="650"/>
      <c r="BI743" s="647"/>
      <c r="BJ743" s="644"/>
      <c r="BK743" s="646">
        <f t="shared" si="239"/>
        <v>0</v>
      </c>
      <c r="BL743" s="651"/>
      <c r="BM743" s="652">
        <f t="shared" si="240"/>
        <v>1</v>
      </c>
      <c r="BN743" s="628"/>
      <c r="BO743" s="670"/>
      <c r="BP743" s="644"/>
      <c r="BQ743" s="644"/>
      <c r="BR743" s="644"/>
      <c r="BS743" s="644"/>
      <c r="BT743" s="644"/>
      <c r="BU743" s="644"/>
      <c r="BV743" s="644"/>
      <c r="BW743" s="644"/>
      <c r="BX743" s="644"/>
      <c r="BY743" s="644"/>
      <c r="BZ743" s="644"/>
      <c r="CA743" s="644"/>
      <c r="CB743" s="646">
        <f t="shared" si="241"/>
        <v>0</v>
      </c>
      <c r="CC743" s="646">
        <f t="shared" si="242"/>
        <v>0</v>
      </c>
      <c r="CD743" s="614"/>
    </row>
    <row r="744" spans="1:82" s="561" customFormat="1" ht="61.5" customHeight="1">
      <c r="A744" s="625" t="str">
        <f t="shared" si="224"/>
        <v>proyecto-Alerta: Seleccione la celda en la comumna B con el nombre del proyecto-Al-Al--</v>
      </c>
      <c r="B744" s="626" t="str">
        <f t="shared" si="225"/>
        <v>proyecto-Alerta: Seleccione la celda en la comumna B con el nombre del proyecto-Al-Al-</v>
      </c>
      <c r="C744" s="626" t="str">
        <f t="shared" si="226"/>
        <v>proyecto-Alerta: Seleccione la celda en la comumna B con el nombre del proyecto-</v>
      </c>
      <c r="D744" s="626" t="str">
        <f t="shared" si="227"/>
        <v>proyecto--Al-Al-</v>
      </c>
      <c r="E744" s="626" t="str">
        <f t="shared" si="228"/>
        <v>--</v>
      </c>
      <c r="F744" s="627"/>
      <c r="G744" s="628">
        <f t="shared" si="229"/>
        <v>0</v>
      </c>
      <c r="H744" s="629" t="b">
        <f t="shared" si="230"/>
        <v>1</v>
      </c>
      <c r="I744" s="630"/>
      <c r="J744" s="627"/>
      <c r="K744" s="631" t="str">
        <f>+IFERROR(VLOOKUP(J744,Listas!$A$108:$B$114,2,FALSE),"Alerta: Seleccione la celda en la comumna B con el nombre del proyecto")</f>
        <v>Alerta: Seleccione la celda en la comumna B con el nombre del proyecto</v>
      </c>
      <c r="L744" s="632"/>
      <c r="M744" s="633"/>
      <c r="N744" s="634" t="str">
        <f t="shared" si="231"/>
        <v xml:space="preserve">(Cód. ) </v>
      </c>
      <c r="O744" s="635"/>
      <c r="P744" s="636">
        <f>IFERROR(VLOOKUP(W744,'Estimación CRP'!$D$21:$E$30,2,FALSE),0)</f>
        <v>0</v>
      </c>
      <c r="Q744" s="637">
        <f>IF(O744="No aplica","No aplica",WORKDAY.INTL(O744,P744,1,'Estimación CRP'!A930:A946))</f>
        <v>0</v>
      </c>
      <c r="R744" s="636">
        <f t="shared" si="232"/>
        <v>1</v>
      </c>
      <c r="S744" s="636">
        <f t="shared" si="233"/>
        <v>1</v>
      </c>
      <c r="T744" s="636">
        <f t="shared" si="234"/>
        <v>1</v>
      </c>
      <c r="U744" s="638"/>
      <c r="V744" s="638"/>
      <c r="W744" s="639"/>
      <c r="X744" s="640" t="str">
        <f>IFERROR(VLOOKUP(W744,Listas!$A$60:$B$73,2,FALSE),"Alerta: Seleccione primero Modalidad de selección")</f>
        <v>Alerta: Seleccione primero Modalidad de selección</v>
      </c>
      <c r="Y744" s="641">
        <v>0</v>
      </c>
      <c r="Z744" s="641"/>
      <c r="AA744" s="641"/>
      <c r="AB744" s="642">
        <f t="shared" si="235"/>
        <v>0</v>
      </c>
      <c r="AC744" s="642">
        <f t="shared" si="236"/>
        <v>0</v>
      </c>
      <c r="AD744" s="641">
        <v>0</v>
      </c>
      <c r="AE744" s="643">
        <v>0</v>
      </c>
      <c r="AF744" s="639" t="s">
        <v>276</v>
      </c>
      <c r="AG744" s="639" t="s">
        <v>277</v>
      </c>
      <c r="AH744" s="639"/>
      <c r="AI744" s="626" t="str">
        <f>IFERROR(VLOOKUP(AH744,Listas!$A$77:$C$83,2,FALSE),"Alerta: Seleccione primero el responsable")</f>
        <v>Alerta: Seleccione primero el responsable</v>
      </c>
      <c r="AJ744" s="640" t="str">
        <f>IFERROR(VLOOKUP(AH744,Listas!$A$77:$C$83,3,FALSE),"Alerta: Seleccione primero el responsable")</f>
        <v>Alerta: Seleccione primero el responsable</v>
      </c>
      <c r="AK744" s="640" t="str">
        <f>IF(J744="Funcionamiento Gastos Generales","No aplica",IF(J744="Funcionamiento Servicios Personales indirectos","No aplica",IFERROR(VLOOKUP(J744,Listas!$A$127:$E$139,3,FALSE),"Alerta: Seleccione la celda en la comumna B con el nombre del proyecto")))</f>
        <v>Alerta: Seleccione la celda en la comumna B con el nombre del proyecto</v>
      </c>
      <c r="AL744" s="640" t="str">
        <f>IF(J744="Funcionamiento Gastos Generales","No aplica",IF(J744="Funcionamiento Servicios Personales","No aplica",IFERROR(VLOOKUP(J744,Listas!$A$220:$D$224,2,FALSE),"Alerta: Seleccione la celda en la comumna B con el nombre del proyecto")))</f>
        <v>Alerta: Seleccione la celda en la comumna B con el nombre del proyecto</v>
      </c>
      <c r="AM744" s="640" t="str">
        <f>IF(J744="Funcionamiento Gastos Generales","No aplica",IF(J744="Funcionamiento Servicios Personales","No aplica",IFERROR(VLOOKUP(J744,Listas!$A$220:$D$224,3,FALSE),"Alerta: Seleccione la celda en la comumna B con el nombre del proyecto")))</f>
        <v>Alerta: Seleccione la celda en la comumna B con el nombre del proyecto</v>
      </c>
      <c r="AN744" s="633"/>
      <c r="AO744" s="633"/>
      <c r="AP744" s="634" t="str">
        <f>IFERROR(VLOOKUP(J744,Listas!$A$182:$E$215,5,FALSE),"Alerta: Seleccione la celda en la comumna B con el nombre del proyecto")</f>
        <v>Alerta: Seleccione la celda en la comumna B con el nombre del proyecto</v>
      </c>
      <c r="AQ744" s="634" t="str">
        <f>IF(J744="Funcionamiento Gastos Generales","No aplica",IF(J744="Funcionamiento Servicios Personales","No aplica",IFERROR(VLOOKUP(J744,Listas!$A$220:$D$224,4,FALSE),"Alerta: Seleccione la celda en la comumna B con el nombre del proyecto")))</f>
        <v>Alerta: Seleccione la celda en la comumna B con el nombre del proyecto</v>
      </c>
      <c r="AR744" s="633"/>
      <c r="AS744" s="634" t="str">
        <f>IFERROR(VLOOKUP(AU744,Listas!$E$85:$L$105,7,FALSE),"Alerta: Seleccione la celda en la comumna AI con el concepto de gasto")</f>
        <v>Alerta: Seleccione la celda en la comumna AI con el concepto de gasto</v>
      </c>
      <c r="AT744" s="634" t="str">
        <f>IFERROR(VLOOKUP(AU744,Listas!$E$85:$L$105,8,FALSE),"Alerta: Seleccione la celda en la comumna AI con el concepto de gasto")</f>
        <v>Alerta: Seleccione la celda en la comumna AI con el concepto de gasto</v>
      </c>
      <c r="AU744" s="633"/>
      <c r="AV744" s="634" t="str">
        <f>IFERROR(VLOOKUP(AU744,Listas!$E$85:$F$105,2,FALSE),"Alerta: Seleccione el Concepto de Gasto primero")</f>
        <v>Alerta: Seleccione el Concepto de Gasto primero</v>
      </c>
      <c r="AW744" s="644"/>
      <c r="AX744" s="645"/>
      <c r="AY744" s="645"/>
      <c r="AZ744" s="645"/>
      <c r="BA744" s="646">
        <f t="shared" si="237"/>
        <v>0</v>
      </c>
      <c r="BB744" s="647"/>
      <c r="BC744" s="648"/>
      <c r="BD744" s="649"/>
      <c r="BE744" s="647"/>
      <c r="BF744" s="644"/>
      <c r="BG744" s="646">
        <f t="shared" si="238"/>
        <v>0</v>
      </c>
      <c r="BH744" s="650"/>
      <c r="BI744" s="647"/>
      <c r="BJ744" s="644"/>
      <c r="BK744" s="646">
        <f t="shared" si="239"/>
        <v>0</v>
      </c>
      <c r="BL744" s="651"/>
      <c r="BM744" s="652">
        <f t="shared" si="240"/>
        <v>1</v>
      </c>
      <c r="BN744" s="628"/>
      <c r="BO744" s="670"/>
      <c r="BP744" s="644"/>
      <c r="BQ744" s="644"/>
      <c r="BR744" s="644"/>
      <c r="BS744" s="644"/>
      <c r="BT744" s="644"/>
      <c r="BU744" s="644"/>
      <c r="BV744" s="644"/>
      <c r="BW744" s="644"/>
      <c r="BX744" s="644"/>
      <c r="BY744" s="644"/>
      <c r="BZ744" s="644"/>
      <c r="CA744" s="644"/>
      <c r="CB744" s="646">
        <f t="shared" si="241"/>
        <v>0</v>
      </c>
      <c r="CC744" s="646">
        <f t="shared" si="242"/>
        <v>0</v>
      </c>
      <c r="CD744" s="614"/>
    </row>
    <row r="745" spans="1:82" s="561" customFormat="1" ht="61.5" customHeight="1">
      <c r="A745" s="625" t="str">
        <f t="shared" si="224"/>
        <v>proyecto-Alerta: Seleccione la celda en la comumna B con el nombre del proyecto-Al-Al--</v>
      </c>
      <c r="B745" s="626" t="str">
        <f t="shared" si="225"/>
        <v>proyecto-Alerta: Seleccione la celda en la comumna B con el nombre del proyecto-Al-Al-</v>
      </c>
      <c r="C745" s="626" t="str">
        <f t="shared" si="226"/>
        <v>proyecto-Alerta: Seleccione la celda en la comumna B con el nombre del proyecto-</v>
      </c>
      <c r="D745" s="626" t="str">
        <f t="shared" si="227"/>
        <v>proyecto--Al-Al-</v>
      </c>
      <c r="E745" s="626" t="str">
        <f t="shared" si="228"/>
        <v>--</v>
      </c>
      <c r="F745" s="627"/>
      <c r="G745" s="628">
        <f t="shared" si="229"/>
        <v>0</v>
      </c>
      <c r="H745" s="629" t="b">
        <f t="shared" si="230"/>
        <v>1</v>
      </c>
      <c r="I745" s="630"/>
      <c r="J745" s="627"/>
      <c r="K745" s="631" t="str">
        <f>+IFERROR(VLOOKUP(J745,Listas!$A$108:$B$114,2,FALSE),"Alerta: Seleccione la celda en la comumna B con el nombre del proyecto")</f>
        <v>Alerta: Seleccione la celda en la comumna B con el nombre del proyecto</v>
      </c>
      <c r="L745" s="632"/>
      <c r="M745" s="633"/>
      <c r="N745" s="634" t="str">
        <f t="shared" si="231"/>
        <v xml:space="preserve">(Cód. ) </v>
      </c>
      <c r="O745" s="635"/>
      <c r="P745" s="636">
        <f>IFERROR(VLOOKUP(W745,'Estimación CRP'!$D$21:$E$30,2,FALSE),0)</f>
        <v>0</v>
      </c>
      <c r="Q745" s="637">
        <f>IF(O745="No aplica","No aplica",WORKDAY.INTL(O745,P745,1,'Estimación CRP'!A931:A947))</f>
        <v>0</v>
      </c>
      <c r="R745" s="636">
        <f t="shared" si="232"/>
        <v>1</v>
      </c>
      <c r="S745" s="636">
        <f t="shared" si="233"/>
        <v>1</v>
      </c>
      <c r="T745" s="636">
        <f t="shared" si="234"/>
        <v>1</v>
      </c>
      <c r="U745" s="638"/>
      <c r="V745" s="638"/>
      <c r="W745" s="639"/>
      <c r="X745" s="640" t="str">
        <f>IFERROR(VLOOKUP(W745,Listas!$A$60:$B$73,2,FALSE),"Alerta: Seleccione primero Modalidad de selección")</f>
        <v>Alerta: Seleccione primero Modalidad de selección</v>
      </c>
      <c r="Y745" s="641">
        <v>0</v>
      </c>
      <c r="Z745" s="641"/>
      <c r="AA745" s="641"/>
      <c r="AB745" s="642">
        <f t="shared" si="235"/>
        <v>0</v>
      </c>
      <c r="AC745" s="642">
        <f t="shared" si="236"/>
        <v>0</v>
      </c>
      <c r="AD745" s="641">
        <v>0</v>
      </c>
      <c r="AE745" s="643">
        <v>0</v>
      </c>
      <c r="AF745" s="639" t="s">
        <v>276</v>
      </c>
      <c r="AG745" s="639" t="s">
        <v>277</v>
      </c>
      <c r="AH745" s="639"/>
      <c r="AI745" s="626" t="str">
        <f>IFERROR(VLOOKUP(AH745,Listas!$A$77:$C$83,2,FALSE),"Alerta: Seleccione primero el responsable")</f>
        <v>Alerta: Seleccione primero el responsable</v>
      </c>
      <c r="AJ745" s="640" t="str">
        <f>IFERROR(VLOOKUP(AH745,Listas!$A$77:$C$83,3,FALSE),"Alerta: Seleccione primero el responsable")</f>
        <v>Alerta: Seleccione primero el responsable</v>
      </c>
      <c r="AK745" s="640" t="str">
        <f>IF(J745="Funcionamiento Gastos Generales","No aplica",IF(J745="Funcionamiento Servicios Personales indirectos","No aplica",IFERROR(VLOOKUP(J745,Listas!$A$127:$E$139,3,FALSE),"Alerta: Seleccione la celda en la comumna B con el nombre del proyecto")))</f>
        <v>Alerta: Seleccione la celda en la comumna B con el nombre del proyecto</v>
      </c>
      <c r="AL745" s="640" t="str">
        <f>IF(J745="Funcionamiento Gastos Generales","No aplica",IF(J745="Funcionamiento Servicios Personales","No aplica",IFERROR(VLOOKUP(J745,Listas!$A$220:$D$224,2,FALSE),"Alerta: Seleccione la celda en la comumna B con el nombre del proyecto")))</f>
        <v>Alerta: Seleccione la celda en la comumna B con el nombre del proyecto</v>
      </c>
      <c r="AM745" s="640" t="str">
        <f>IF(J745="Funcionamiento Gastos Generales","No aplica",IF(J745="Funcionamiento Servicios Personales","No aplica",IFERROR(VLOOKUP(J745,Listas!$A$220:$D$224,3,FALSE),"Alerta: Seleccione la celda en la comumna B con el nombre del proyecto")))</f>
        <v>Alerta: Seleccione la celda en la comumna B con el nombre del proyecto</v>
      </c>
      <c r="AN745" s="633"/>
      <c r="AO745" s="633"/>
      <c r="AP745" s="634" t="str">
        <f>IFERROR(VLOOKUP(J745,Listas!$A$182:$E$215,5,FALSE),"Alerta: Seleccione la celda en la comumna B con el nombre del proyecto")</f>
        <v>Alerta: Seleccione la celda en la comumna B con el nombre del proyecto</v>
      </c>
      <c r="AQ745" s="634" t="str">
        <f>IF(J745="Funcionamiento Gastos Generales","No aplica",IF(J745="Funcionamiento Servicios Personales","No aplica",IFERROR(VLOOKUP(J745,Listas!$A$220:$D$224,4,FALSE),"Alerta: Seleccione la celda en la comumna B con el nombre del proyecto")))</f>
        <v>Alerta: Seleccione la celda en la comumna B con el nombre del proyecto</v>
      </c>
      <c r="AR745" s="633"/>
      <c r="AS745" s="634" t="str">
        <f>IFERROR(VLOOKUP(AU745,Listas!$E$85:$L$105,7,FALSE),"Alerta: Seleccione la celda en la comumna AI con el concepto de gasto")</f>
        <v>Alerta: Seleccione la celda en la comumna AI con el concepto de gasto</v>
      </c>
      <c r="AT745" s="634" t="str">
        <f>IFERROR(VLOOKUP(AU745,Listas!$E$85:$L$105,8,FALSE),"Alerta: Seleccione la celda en la comumna AI con el concepto de gasto")</f>
        <v>Alerta: Seleccione la celda en la comumna AI con el concepto de gasto</v>
      </c>
      <c r="AU745" s="633"/>
      <c r="AV745" s="634" t="str">
        <f>IFERROR(VLOOKUP(AU745,Listas!$E$85:$F$105,2,FALSE),"Alerta: Seleccione el Concepto de Gasto primero")</f>
        <v>Alerta: Seleccione el Concepto de Gasto primero</v>
      </c>
      <c r="AW745" s="644"/>
      <c r="AX745" s="645"/>
      <c r="AY745" s="645"/>
      <c r="AZ745" s="645"/>
      <c r="BA745" s="646">
        <f t="shared" si="237"/>
        <v>0</v>
      </c>
      <c r="BB745" s="647"/>
      <c r="BC745" s="648"/>
      <c r="BD745" s="649"/>
      <c r="BE745" s="647"/>
      <c r="BF745" s="644"/>
      <c r="BG745" s="646">
        <f t="shared" si="238"/>
        <v>0</v>
      </c>
      <c r="BH745" s="650"/>
      <c r="BI745" s="647"/>
      <c r="BJ745" s="644"/>
      <c r="BK745" s="646">
        <f t="shared" si="239"/>
        <v>0</v>
      </c>
      <c r="BL745" s="651"/>
      <c r="BM745" s="652">
        <f t="shared" si="240"/>
        <v>1</v>
      </c>
      <c r="BN745" s="628"/>
      <c r="BO745" s="670"/>
      <c r="BP745" s="644"/>
      <c r="BQ745" s="644"/>
      <c r="BR745" s="644"/>
      <c r="BS745" s="644"/>
      <c r="BT745" s="644"/>
      <c r="BU745" s="644"/>
      <c r="BV745" s="644"/>
      <c r="BW745" s="644"/>
      <c r="BX745" s="644"/>
      <c r="BY745" s="644"/>
      <c r="BZ745" s="644"/>
      <c r="CA745" s="644"/>
      <c r="CB745" s="646">
        <f t="shared" si="241"/>
        <v>0</v>
      </c>
      <c r="CC745" s="646">
        <f t="shared" si="242"/>
        <v>0</v>
      </c>
      <c r="CD745" s="614"/>
    </row>
    <row r="746" spans="1:82" s="561" customFormat="1" ht="61.5" customHeight="1">
      <c r="A746" s="625" t="str">
        <f t="shared" si="224"/>
        <v>proyecto-Alerta: Seleccione la celda en la comumna B con el nombre del proyecto-Al-Al--</v>
      </c>
      <c r="B746" s="626" t="str">
        <f t="shared" si="225"/>
        <v>proyecto-Alerta: Seleccione la celda en la comumna B con el nombre del proyecto-Al-Al-</v>
      </c>
      <c r="C746" s="626" t="str">
        <f t="shared" si="226"/>
        <v>proyecto-Alerta: Seleccione la celda en la comumna B con el nombre del proyecto-</v>
      </c>
      <c r="D746" s="626" t="str">
        <f t="shared" si="227"/>
        <v>proyecto--Al-Al-</v>
      </c>
      <c r="E746" s="626" t="str">
        <f t="shared" si="228"/>
        <v>--</v>
      </c>
      <c r="F746" s="627"/>
      <c r="G746" s="628">
        <f t="shared" si="229"/>
        <v>0</v>
      </c>
      <c r="H746" s="629" t="b">
        <f t="shared" si="230"/>
        <v>1</v>
      </c>
      <c r="I746" s="630"/>
      <c r="J746" s="627"/>
      <c r="K746" s="631" t="str">
        <f>+IFERROR(VLOOKUP(J746,Listas!$A$108:$B$114,2,FALSE),"Alerta: Seleccione la celda en la comumna B con el nombre del proyecto")</f>
        <v>Alerta: Seleccione la celda en la comumna B con el nombre del proyecto</v>
      </c>
      <c r="L746" s="632"/>
      <c r="M746" s="633"/>
      <c r="N746" s="634" t="str">
        <f t="shared" si="231"/>
        <v xml:space="preserve">(Cód. ) </v>
      </c>
      <c r="O746" s="635"/>
      <c r="P746" s="636">
        <f>IFERROR(VLOOKUP(W746,'Estimación CRP'!$D$21:$E$30,2,FALSE),0)</f>
        <v>0</v>
      </c>
      <c r="Q746" s="637">
        <f>IF(O746="No aplica","No aplica",WORKDAY.INTL(O746,P746,1,'Estimación CRP'!A932:A948))</f>
        <v>0</v>
      </c>
      <c r="R746" s="636">
        <f t="shared" si="232"/>
        <v>1</v>
      </c>
      <c r="S746" s="636">
        <f t="shared" si="233"/>
        <v>1</v>
      </c>
      <c r="T746" s="636">
        <f t="shared" si="234"/>
        <v>1</v>
      </c>
      <c r="U746" s="638"/>
      <c r="V746" s="638"/>
      <c r="W746" s="639"/>
      <c r="X746" s="640" t="str">
        <f>IFERROR(VLOOKUP(W746,Listas!$A$60:$B$73,2,FALSE),"Alerta: Seleccione primero Modalidad de selección")</f>
        <v>Alerta: Seleccione primero Modalidad de selección</v>
      </c>
      <c r="Y746" s="641">
        <v>0</v>
      </c>
      <c r="Z746" s="641"/>
      <c r="AA746" s="641"/>
      <c r="AB746" s="642">
        <f t="shared" si="235"/>
        <v>0</v>
      </c>
      <c r="AC746" s="642">
        <f t="shared" si="236"/>
        <v>0</v>
      </c>
      <c r="AD746" s="641">
        <v>0</v>
      </c>
      <c r="AE746" s="643">
        <v>0</v>
      </c>
      <c r="AF746" s="639" t="s">
        <v>276</v>
      </c>
      <c r="AG746" s="639" t="s">
        <v>277</v>
      </c>
      <c r="AH746" s="639"/>
      <c r="AI746" s="626" t="str">
        <f>IFERROR(VLOOKUP(AH746,Listas!$A$77:$C$83,2,FALSE),"Alerta: Seleccione primero el responsable")</f>
        <v>Alerta: Seleccione primero el responsable</v>
      </c>
      <c r="AJ746" s="640" t="str">
        <f>IFERROR(VLOOKUP(AH746,Listas!$A$77:$C$83,3,FALSE),"Alerta: Seleccione primero el responsable")</f>
        <v>Alerta: Seleccione primero el responsable</v>
      </c>
      <c r="AK746" s="640" t="str">
        <f>IF(J746="Funcionamiento Gastos Generales","No aplica",IF(J746="Funcionamiento Servicios Personales indirectos","No aplica",IFERROR(VLOOKUP(J746,Listas!$A$127:$E$139,3,FALSE),"Alerta: Seleccione la celda en la comumna B con el nombre del proyecto")))</f>
        <v>Alerta: Seleccione la celda en la comumna B con el nombre del proyecto</v>
      </c>
      <c r="AL746" s="640" t="str">
        <f>IF(J746="Funcionamiento Gastos Generales","No aplica",IF(J746="Funcionamiento Servicios Personales","No aplica",IFERROR(VLOOKUP(J746,Listas!$A$220:$D$224,2,FALSE),"Alerta: Seleccione la celda en la comumna B con el nombre del proyecto")))</f>
        <v>Alerta: Seleccione la celda en la comumna B con el nombre del proyecto</v>
      </c>
      <c r="AM746" s="640" t="str">
        <f>IF(J746="Funcionamiento Gastos Generales","No aplica",IF(J746="Funcionamiento Servicios Personales","No aplica",IFERROR(VLOOKUP(J746,Listas!$A$220:$D$224,3,FALSE),"Alerta: Seleccione la celda en la comumna B con el nombre del proyecto")))</f>
        <v>Alerta: Seleccione la celda en la comumna B con el nombre del proyecto</v>
      </c>
      <c r="AN746" s="633"/>
      <c r="AO746" s="633"/>
      <c r="AP746" s="634" t="str">
        <f>IFERROR(VLOOKUP(J746,Listas!$A$182:$E$215,5,FALSE),"Alerta: Seleccione la celda en la comumna B con el nombre del proyecto")</f>
        <v>Alerta: Seleccione la celda en la comumna B con el nombre del proyecto</v>
      </c>
      <c r="AQ746" s="634" t="str">
        <f>IF(J746="Funcionamiento Gastos Generales","No aplica",IF(J746="Funcionamiento Servicios Personales","No aplica",IFERROR(VLOOKUP(J746,Listas!$A$220:$D$224,4,FALSE),"Alerta: Seleccione la celda en la comumna B con el nombre del proyecto")))</f>
        <v>Alerta: Seleccione la celda en la comumna B con el nombre del proyecto</v>
      </c>
      <c r="AR746" s="633"/>
      <c r="AS746" s="634" t="str">
        <f>IFERROR(VLOOKUP(AU746,Listas!$E$85:$L$105,7,FALSE),"Alerta: Seleccione la celda en la comumna AI con el concepto de gasto")</f>
        <v>Alerta: Seleccione la celda en la comumna AI con el concepto de gasto</v>
      </c>
      <c r="AT746" s="634" t="str">
        <f>IFERROR(VLOOKUP(AU746,Listas!$E$85:$L$105,8,FALSE),"Alerta: Seleccione la celda en la comumna AI con el concepto de gasto")</f>
        <v>Alerta: Seleccione la celda en la comumna AI con el concepto de gasto</v>
      </c>
      <c r="AU746" s="633"/>
      <c r="AV746" s="634" t="str">
        <f>IFERROR(VLOOKUP(AU746,Listas!$E$85:$F$105,2,FALSE),"Alerta: Seleccione el Concepto de Gasto primero")</f>
        <v>Alerta: Seleccione el Concepto de Gasto primero</v>
      </c>
      <c r="AW746" s="644"/>
      <c r="AX746" s="645"/>
      <c r="AY746" s="645"/>
      <c r="AZ746" s="645"/>
      <c r="BA746" s="646">
        <f t="shared" si="237"/>
        <v>0</v>
      </c>
      <c r="BB746" s="647"/>
      <c r="BC746" s="648"/>
      <c r="BD746" s="649"/>
      <c r="BE746" s="647"/>
      <c r="BF746" s="644"/>
      <c r="BG746" s="646">
        <f t="shared" si="238"/>
        <v>0</v>
      </c>
      <c r="BH746" s="650"/>
      <c r="BI746" s="647"/>
      <c r="BJ746" s="644"/>
      <c r="BK746" s="646">
        <f t="shared" si="239"/>
        <v>0</v>
      </c>
      <c r="BL746" s="651"/>
      <c r="BM746" s="652">
        <f t="shared" si="240"/>
        <v>1</v>
      </c>
      <c r="BN746" s="628"/>
      <c r="BO746" s="670"/>
      <c r="BP746" s="644"/>
      <c r="BQ746" s="644"/>
      <c r="BR746" s="644"/>
      <c r="BS746" s="644"/>
      <c r="BT746" s="644"/>
      <c r="BU746" s="644"/>
      <c r="BV746" s="644"/>
      <c r="BW746" s="644"/>
      <c r="BX746" s="644"/>
      <c r="BY746" s="644"/>
      <c r="BZ746" s="644"/>
      <c r="CA746" s="644"/>
      <c r="CB746" s="646">
        <f t="shared" si="241"/>
        <v>0</v>
      </c>
      <c r="CC746" s="646">
        <f t="shared" si="242"/>
        <v>0</v>
      </c>
      <c r="CD746" s="614"/>
    </row>
    <row r="747" spans="1:82" s="561" customFormat="1" ht="61.5" customHeight="1">
      <c r="A747" s="625" t="str">
        <f t="shared" si="224"/>
        <v>proyecto-Alerta: Seleccione la celda en la comumna B con el nombre del proyecto-Al-Al--</v>
      </c>
      <c r="B747" s="626" t="str">
        <f t="shared" si="225"/>
        <v>proyecto-Alerta: Seleccione la celda en la comumna B con el nombre del proyecto-Al-Al-</v>
      </c>
      <c r="C747" s="626" t="str">
        <f t="shared" si="226"/>
        <v>proyecto-Alerta: Seleccione la celda en la comumna B con el nombre del proyecto-</v>
      </c>
      <c r="D747" s="626" t="str">
        <f t="shared" si="227"/>
        <v>proyecto--Al-Al-</v>
      </c>
      <c r="E747" s="626" t="str">
        <f t="shared" si="228"/>
        <v>--</v>
      </c>
      <c r="F747" s="627"/>
      <c r="G747" s="628">
        <f t="shared" si="229"/>
        <v>0</v>
      </c>
      <c r="H747" s="629" t="b">
        <f t="shared" si="230"/>
        <v>1</v>
      </c>
      <c r="I747" s="630"/>
      <c r="J747" s="627"/>
      <c r="K747" s="631" t="str">
        <f>+IFERROR(VLOOKUP(J747,Listas!$A$108:$B$114,2,FALSE),"Alerta: Seleccione la celda en la comumna B con el nombre del proyecto")</f>
        <v>Alerta: Seleccione la celda en la comumna B con el nombre del proyecto</v>
      </c>
      <c r="L747" s="632"/>
      <c r="M747" s="633"/>
      <c r="N747" s="634" t="str">
        <f t="shared" si="231"/>
        <v xml:space="preserve">(Cód. ) </v>
      </c>
      <c r="O747" s="635"/>
      <c r="P747" s="636">
        <f>IFERROR(VLOOKUP(W747,'Estimación CRP'!$D$21:$E$30,2,FALSE),0)</f>
        <v>0</v>
      </c>
      <c r="Q747" s="637">
        <f>IF(O747="No aplica","No aplica",WORKDAY.INTL(O747,P747,1,'Estimación CRP'!A933:A949))</f>
        <v>0</v>
      </c>
      <c r="R747" s="636">
        <f t="shared" si="232"/>
        <v>1</v>
      </c>
      <c r="S747" s="636">
        <f t="shared" si="233"/>
        <v>1</v>
      </c>
      <c r="T747" s="636">
        <f t="shared" si="234"/>
        <v>1</v>
      </c>
      <c r="U747" s="638"/>
      <c r="V747" s="638"/>
      <c r="W747" s="639"/>
      <c r="X747" s="640" t="str">
        <f>IFERROR(VLOOKUP(W747,Listas!$A$60:$B$73,2,FALSE),"Alerta: Seleccione primero Modalidad de selección")</f>
        <v>Alerta: Seleccione primero Modalidad de selección</v>
      </c>
      <c r="Y747" s="641">
        <v>0</v>
      </c>
      <c r="Z747" s="641"/>
      <c r="AA747" s="641"/>
      <c r="AB747" s="642">
        <f t="shared" si="235"/>
        <v>0</v>
      </c>
      <c r="AC747" s="642">
        <f t="shared" si="236"/>
        <v>0</v>
      </c>
      <c r="AD747" s="641">
        <v>0</v>
      </c>
      <c r="AE747" s="643">
        <v>0</v>
      </c>
      <c r="AF747" s="639" t="s">
        <v>276</v>
      </c>
      <c r="AG747" s="639" t="s">
        <v>277</v>
      </c>
      <c r="AH747" s="639"/>
      <c r="AI747" s="626" t="str">
        <f>IFERROR(VLOOKUP(AH747,Listas!$A$77:$C$83,2,FALSE),"Alerta: Seleccione primero el responsable")</f>
        <v>Alerta: Seleccione primero el responsable</v>
      </c>
      <c r="AJ747" s="640" t="str">
        <f>IFERROR(VLOOKUP(AH747,Listas!$A$77:$C$83,3,FALSE),"Alerta: Seleccione primero el responsable")</f>
        <v>Alerta: Seleccione primero el responsable</v>
      </c>
      <c r="AK747" s="640" t="str">
        <f>IF(J747="Funcionamiento Gastos Generales","No aplica",IF(J747="Funcionamiento Servicios Personales indirectos","No aplica",IFERROR(VLOOKUP(J747,Listas!$A$127:$E$139,3,FALSE),"Alerta: Seleccione la celda en la comumna B con el nombre del proyecto")))</f>
        <v>Alerta: Seleccione la celda en la comumna B con el nombre del proyecto</v>
      </c>
      <c r="AL747" s="640" t="str">
        <f>IF(J747="Funcionamiento Gastos Generales","No aplica",IF(J747="Funcionamiento Servicios Personales","No aplica",IFERROR(VLOOKUP(J747,Listas!$A$220:$D$224,2,FALSE),"Alerta: Seleccione la celda en la comumna B con el nombre del proyecto")))</f>
        <v>Alerta: Seleccione la celda en la comumna B con el nombre del proyecto</v>
      </c>
      <c r="AM747" s="640" t="str">
        <f>IF(J747="Funcionamiento Gastos Generales","No aplica",IF(J747="Funcionamiento Servicios Personales","No aplica",IFERROR(VLOOKUP(J747,Listas!$A$220:$D$224,3,FALSE),"Alerta: Seleccione la celda en la comumna B con el nombre del proyecto")))</f>
        <v>Alerta: Seleccione la celda en la comumna B con el nombre del proyecto</v>
      </c>
      <c r="AN747" s="633"/>
      <c r="AO747" s="633"/>
      <c r="AP747" s="634" t="str">
        <f>IFERROR(VLOOKUP(J747,Listas!$A$182:$E$215,5,FALSE),"Alerta: Seleccione la celda en la comumna B con el nombre del proyecto")</f>
        <v>Alerta: Seleccione la celda en la comumna B con el nombre del proyecto</v>
      </c>
      <c r="AQ747" s="634" t="str">
        <f>IF(J747="Funcionamiento Gastos Generales","No aplica",IF(J747="Funcionamiento Servicios Personales","No aplica",IFERROR(VLOOKUP(J747,Listas!$A$220:$D$224,4,FALSE),"Alerta: Seleccione la celda en la comumna B con el nombre del proyecto")))</f>
        <v>Alerta: Seleccione la celda en la comumna B con el nombre del proyecto</v>
      </c>
      <c r="AR747" s="633"/>
      <c r="AS747" s="634" t="str">
        <f>IFERROR(VLOOKUP(AU747,Listas!$E$85:$L$105,7,FALSE),"Alerta: Seleccione la celda en la comumna AI con el concepto de gasto")</f>
        <v>Alerta: Seleccione la celda en la comumna AI con el concepto de gasto</v>
      </c>
      <c r="AT747" s="634" t="str">
        <f>IFERROR(VLOOKUP(AU747,Listas!$E$85:$L$105,8,FALSE),"Alerta: Seleccione la celda en la comumna AI con el concepto de gasto")</f>
        <v>Alerta: Seleccione la celda en la comumna AI con el concepto de gasto</v>
      </c>
      <c r="AU747" s="633"/>
      <c r="AV747" s="634" t="str">
        <f>IFERROR(VLOOKUP(AU747,Listas!$E$85:$F$105,2,FALSE),"Alerta: Seleccione el Concepto de Gasto primero")</f>
        <v>Alerta: Seleccione el Concepto de Gasto primero</v>
      </c>
      <c r="AW747" s="644"/>
      <c r="AX747" s="645"/>
      <c r="AY747" s="645"/>
      <c r="AZ747" s="645"/>
      <c r="BA747" s="646">
        <f t="shared" si="237"/>
        <v>0</v>
      </c>
      <c r="BB747" s="647"/>
      <c r="BC747" s="648"/>
      <c r="BD747" s="649"/>
      <c r="BE747" s="647"/>
      <c r="BF747" s="644"/>
      <c r="BG747" s="646">
        <f t="shared" si="238"/>
        <v>0</v>
      </c>
      <c r="BH747" s="650"/>
      <c r="BI747" s="647"/>
      <c r="BJ747" s="644"/>
      <c r="BK747" s="646">
        <f t="shared" si="239"/>
        <v>0</v>
      </c>
      <c r="BL747" s="651"/>
      <c r="BM747" s="652">
        <f t="shared" si="240"/>
        <v>1</v>
      </c>
      <c r="BN747" s="628"/>
      <c r="BO747" s="670"/>
      <c r="BP747" s="644"/>
      <c r="BQ747" s="644"/>
      <c r="BR747" s="644"/>
      <c r="BS747" s="644"/>
      <c r="BT747" s="644"/>
      <c r="BU747" s="644"/>
      <c r="BV747" s="644"/>
      <c r="BW747" s="644"/>
      <c r="BX747" s="644"/>
      <c r="BY747" s="644"/>
      <c r="BZ747" s="644"/>
      <c r="CA747" s="644"/>
      <c r="CB747" s="646">
        <f t="shared" si="241"/>
        <v>0</v>
      </c>
      <c r="CC747" s="646">
        <f t="shared" si="242"/>
        <v>0</v>
      </c>
      <c r="CD747" s="614"/>
    </row>
    <row r="748" spans="1:82" s="561" customFormat="1" ht="61.5" customHeight="1">
      <c r="A748" s="625" t="str">
        <f t="shared" si="224"/>
        <v>proyecto-Alerta: Seleccione la celda en la comumna B con el nombre del proyecto-Al-Al--</v>
      </c>
      <c r="B748" s="626" t="str">
        <f t="shared" si="225"/>
        <v>proyecto-Alerta: Seleccione la celda en la comumna B con el nombre del proyecto-Al-Al-</v>
      </c>
      <c r="C748" s="626" t="str">
        <f t="shared" si="226"/>
        <v>proyecto-Alerta: Seleccione la celda en la comumna B con el nombre del proyecto-</v>
      </c>
      <c r="D748" s="626" t="str">
        <f t="shared" si="227"/>
        <v>proyecto--Al-Al-</v>
      </c>
      <c r="E748" s="626" t="str">
        <f t="shared" si="228"/>
        <v>--</v>
      </c>
      <c r="F748" s="627"/>
      <c r="G748" s="628">
        <f t="shared" si="229"/>
        <v>0</v>
      </c>
      <c r="H748" s="629" t="b">
        <f t="shared" si="230"/>
        <v>1</v>
      </c>
      <c r="I748" s="630"/>
      <c r="J748" s="627"/>
      <c r="K748" s="631" t="str">
        <f>+IFERROR(VLOOKUP(J748,Listas!$A$108:$B$114,2,FALSE),"Alerta: Seleccione la celda en la comumna B con el nombre del proyecto")</f>
        <v>Alerta: Seleccione la celda en la comumna B con el nombre del proyecto</v>
      </c>
      <c r="L748" s="632"/>
      <c r="M748" s="633"/>
      <c r="N748" s="634" t="str">
        <f t="shared" si="231"/>
        <v xml:space="preserve">(Cód. ) </v>
      </c>
      <c r="O748" s="635"/>
      <c r="P748" s="636">
        <f>IFERROR(VLOOKUP(W748,'Estimación CRP'!$D$21:$E$30,2,FALSE),0)</f>
        <v>0</v>
      </c>
      <c r="Q748" s="637">
        <f>IF(O748="No aplica","No aplica",WORKDAY.INTL(O748,P748,1,'Estimación CRP'!A934:A950))</f>
        <v>0</v>
      </c>
      <c r="R748" s="636">
        <f t="shared" si="232"/>
        <v>1</v>
      </c>
      <c r="S748" s="636">
        <f t="shared" si="233"/>
        <v>1</v>
      </c>
      <c r="T748" s="636">
        <f t="shared" si="234"/>
        <v>1</v>
      </c>
      <c r="U748" s="638"/>
      <c r="V748" s="638"/>
      <c r="W748" s="639"/>
      <c r="X748" s="640" t="str">
        <f>IFERROR(VLOOKUP(W748,Listas!$A$60:$B$73,2,FALSE),"Alerta: Seleccione primero Modalidad de selección")</f>
        <v>Alerta: Seleccione primero Modalidad de selección</v>
      </c>
      <c r="Y748" s="641">
        <v>0</v>
      </c>
      <c r="Z748" s="641"/>
      <c r="AA748" s="641"/>
      <c r="AB748" s="642">
        <f t="shared" si="235"/>
        <v>0</v>
      </c>
      <c r="AC748" s="642">
        <f t="shared" si="236"/>
        <v>0</v>
      </c>
      <c r="AD748" s="641">
        <v>0</v>
      </c>
      <c r="AE748" s="643">
        <v>0</v>
      </c>
      <c r="AF748" s="639" t="s">
        <v>276</v>
      </c>
      <c r="AG748" s="639" t="s">
        <v>277</v>
      </c>
      <c r="AH748" s="639"/>
      <c r="AI748" s="626" t="str">
        <f>IFERROR(VLOOKUP(AH748,Listas!$A$77:$C$83,2,FALSE),"Alerta: Seleccione primero el responsable")</f>
        <v>Alerta: Seleccione primero el responsable</v>
      </c>
      <c r="AJ748" s="640" t="str">
        <f>IFERROR(VLOOKUP(AH748,Listas!$A$77:$C$83,3,FALSE),"Alerta: Seleccione primero el responsable")</f>
        <v>Alerta: Seleccione primero el responsable</v>
      </c>
      <c r="AK748" s="640" t="str">
        <f>IF(J748="Funcionamiento Gastos Generales","No aplica",IF(J748="Funcionamiento Servicios Personales indirectos","No aplica",IFERROR(VLOOKUP(J748,Listas!$A$127:$E$139,3,FALSE),"Alerta: Seleccione la celda en la comumna B con el nombre del proyecto")))</f>
        <v>Alerta: Seleccione la celda en la comumna B con el nombre del proyecto</v>
      </c>
      <c r="AL748" s="640" t="str">
        <f>IF(J748="Funcionamiento Gastos Generales","No aplica",IF(J748="Funcionamiento Servicios Personales","No aplica",IFERROR(VLOOKUP(J748,Listas!$A$220:$D$224,2,FALSE),"Alerta: Seleccione la celda en la comumna B con el nombre del proyecto")))</f>
        <v>Alerta: Seleccione la celda en la comumna B con el nombre del proyecto</v>
      </c>
      <c r="AM748" s="640" t="str">
        <f>IF(J748="Funcionamiento Gastos Generales","No aplica",IF(J748="Funcionamiento Servicios Personales","No aplica",IFERROR(VLOOKUP(J748,Listas!$A$220:$D$224,3,FALSE),"Alerta: Seleccione la celda en la comumna B con el nombre del proyecto")))</f>
        <v>Alerta: Seleccione la celda en la comumna B con el nombre del proyecto</v>
      </c>
      <c r="AN748" s="633"/>
      <c r="AO748" s="633"/>
      <c r="AP748" s="634" t="str">
        <f>IFERROR(VLOOKUP(J748,Listas!$A$182:$E$215,5,FALSE),"Alerta: Seleccione la celda en la comumna B con el nombre del proyecto")</f>
        <v>Alerta: Seleccione la celda en la comumna B con el nombre del proyecto</v>
      </c>
      <c r="AQ748" s="634" t="str">
        <f>IF(J748="Funcionamiento Gastos Generales","No aplica",IF(J748="Funcionamiento Servicios Personales","No aplica",IFERROR(VLOOKUP(J748,Listas!$A$220:$D$224,4,FALSE),"Alerta: Seleccione la celda en la comumna B con el nombre del proyecto")))</f>
        <v>Alerta: Seleccione la celda en la comumna B con el nombre del proyecto</v>
      </c>
      <c r="AR748" s="633"/>
      <c r="AS748" s="634" t="str">
        <f>IFERROR(VLOOKUP(AU748,Listas!$E$85:$L$105,7,FALSE),"Alerta: Seleccione la celda en la comumna AI con el concepto de gasto")</f>
        <v>Alerta: Seleccione la celda en la comumna AI con el concepto de gasto</v>
      </c>
      <c r="AT748" s="634" t="str">
        <f>IFERROR(VLOOKUP(AU748,Listas!$E$85:$L$105,8,FALSE),"Alerta: Seleccione la celda en la comumna AI con el concepto de gasto")</f>
        <v>Alerta: Seleccione la celda en la comumna AI con el concepto de gasto</v>
      </c>
      <c r="AU748" s="633"/>
      <c r="AV748" s="634" t="str">
        <f>IFERROR(VLOOKUP(AU748,Listas!$E$85:$F$105,2,FALSE),"Alerta: Seleccione el Concepto de Gasto primero")</f>
        <v>Alerta: Seleccione el Concepto de Gasto primero</v>
      </c>
      <c r="AW748" s="644"/>
      <c r="AX748" s="645"/>
      <c r="AY748" s="645"/>
      <c r="AZ748" s="645"/>
      <c r="BA748" s="646">
        <f t="shared" si="237"/>
        <v>0</v>
      </c>
      <c r="BB748" s="647"/>
      <c r="BC748" s="648"/>
      <c r="BD748" s="649"/>
      <c r="BE748" s="647"/>
      <c r="BF748" s="644"/>
      <c r="BG748" s="646">
        <f t="shared" si="238"/>
        <v>0</v>
      </c>
      <c r="BH748" s="650"/>
      <c r="BI748" s="647"/>
      <c r="BJ748" s="644"/>
      <c r="BK748" s="646">
        <f t="shared" si="239"/>
        <v>0</v>
      </c>
      <c r="BL748" s="651"/>
      <c r="BM748" s="652">
        <f t="shared" si="240"/>
        <v>1</v>
      </c>
      <c r="BN748" s="628"/>
      <c r="BO748" s="670"/>
      <c r="BP748" s="644"/>
      <c r="BQ748" s="644"/>
      <c r="BR748" s="644"/>
      <c r="BS748" s="644"/>
      <c r="BT748" s="644"/>
      <c r="BU748" s="644"/>
      <c r="BV748" s="644"/>
      <c r="BW748" s="644"/>
      <c r="BX748" s="644"/>
      <c r="BY748" s="644"/>
      <c r="BZ748" s="644"/>
      <c r="CA748" s="644"/>
      <c r="CB748" s="646">
        <f t="shared" si="241"/>
        <v>0</v>
      </c>
      <c r="CC748" s="646">
        <f t="shared" si="242"/>
        <v>0</v>
      </c>
      <c r="CD748" s="614"/>
    </row>
    <row r="749" spans="1:82" s="561" customFormat="1" ht="61.5" customHeight="1">
      <c r="A749" s="625" t="str">
        <f t="shared" si="224"/>
        <v>proyecto-Alerta: Seleccione la celda en la comumna B con el nombre del proyecto-Al-Al--</v>
      </c>
      <c r="B749" s="626" t="str">
        <f t="shared" si="225"/>
        <v>proyecto-Alerta: Seleccione la celda en la comumna B con el nombre del proyecto-Al-Al-</v>
      </c>
      <c r="C749" s="626" t="str">
        <f t="shared" si="226"/>
        <v>proyecto-Alerta: Seleccione la celda en la comumna B con el nombre del proyecto-</v>
      </c>
      <c r="D749" s="626" t="str">
        <f t="shared" si="227"/>
        <v>proyecto--Al-Al-</v>
      </c>
      <c r="E749" s="626" t="str">
        <f t="shared" si="228"/>
        <v>--</v>
      </c>
      <c r="F749" s="627"/>
      <c r="G749" s="628">
        <f t="shared" si="229"/>
        <v>0</v>
      </c>
      <c r="H749" s="629" t="b">
        <f t="shared" si="230"/>
        <v>1</v>
      </c>
      <c r="I749" s="630"/>
      <c r="J749" s="627"/>
      <c r="K749" s="631" t="str">
        <f>+IFERROR(VLOOKUP(J749,Listas!$A$108:$B$114,2,FALSE),"Alerta: Seleccione la celda en la comumna B con el nombre del proyecto")</f>
        <v>Alerta: Seleccione la celda en la comumna B con el nombre del proyecto</v>
      </c>
      <c r="L749" s="632"/>
      <c r="M749" s="633"/>
      <c r="N749" s="634" t="str">
        <f t="shared" si="231"/>
        <v xml:space="preserve">(Cód. ) </v>
      </c>
      <c r="O749" s="635"/>
      <c r="P749" s="636">
        <f>IFERROR(VLOOKUP(W749,'Estimación CRP'!$D$21:$E$30,2,FALSE),0)</f>
        <v>0</v>
      </c>
      <c r="Q749" s="637">
        <f>IF(O749="No aplica","No aplica",WORKDAY.INTL(O749,P749,1,'Estimación CRP'!A935:A951))</f>
        <v>0</v>
      </c>
      <c r="R749" s="636">
        <f t="shared" si="232"/>
        <v>1</v>
      </c>
      <c r="S749" s="636">
        <f t="shared" si="233"/>
        <v>1</v>
      </c>
      <c r="T749" s="636">
        <f t="shared" si="234"/>
        <v>1</v>
      </c>
      <c r="U749" s="638"/>
      <c r="V749" s="638"/>
      <c r="W749" s="639"/>
      <c r="X749" s="640" t="str">
        <f>IFERROR(VLOOKUP(W749,Listas!$A$60:$B$73,2,FALSE),"Alerta: Seleccione primero Modalidad de selección")</f>
        <v>Alerta: Seleccione primero Modalidad de selección</v>
      </c>
      <c r="Y749" s="641">
        <v>0</v>
      </c>
      <c r="Z749" s="641"/>
      <c r="AA749" s="641"/>
      <c r="AB749" s="642">
        <f t="shared" si="235"/>
        <v>0</v>
      </c>
      <c r="AC749" s="642">
        <f t="shared" si="236"/>
        <v>0</v>
      </c>
      <c r="AD749" s="641">
        <v>0</v>
      </c>
      <c r="AE749" s="643">
        <v>0</v>
      </c>
      <c r="AF749" s="639" t="s">
        <v>276</v>
      </c>
      <c r="AG749" s="639" t="s">
        <v>277</v>
      </c>
      <c r="AH749" s="639"/>
      <c r="AI749" s="626" t="str">
        <f>IFERROR(VLOOKUP(AH749,Listas!$A$77:$C$83,2,FALSE),"Alerta: Seleccione primero el responsable")</f>
        <v>Alerta: Seleccione primero el responsable</v>
      </c>
      <c r="AJ749" s="640" t="str">
        <f>IFERROR(VLOOKUP(AH749,Listas!$A$77:$C$83,3,FALSE),"Alerta: Seleccione primero el responsable")</f>
        <v>Alerta: Seleccione primero el responsable</v>
      </c>
      <c r="AK749" s="640" t="str">
        <f>IF(J749="Funcionamiento Gastos Generales","No aplica",IF(J749="Funcionamiento Servicios Personales indirectos","No aplica",IFERROR(VLOOKUP(J749,Listas!$A$127:$E$139,3,FALSE),"Alerta: Seleccione la celda en la comumna B con el nombre del proyecto")))</f>
        <v>Alerta: Seleccione la celda en la comumna B con el nombre del proyecto</v>
      </c>
      <c r="AL749" s="640" t="str">
        <f>IF(J749="Funcionamiento Gastos Generales","No aplica",IF(J749="Funcionamiento Servicios Personales","No aplica",IFERROR(VLOOKUP(J749,Listas!$A$220:$D$224,2,FALSE),"Alerta: Seleccione la celda en la comumna B con el nombre del proyecto")))</f>
        <v>Alerta: Seleccione la celda en la comumna B con el nombre del proyecto</v>
      </c>
      <c r="AM749" s="640" t="str">
        <f>IF(J749="Funcionamiento Gastos Generales","No aplica",IF(J749="Funcionamiento Servicios Personales","No aplica",IFERROR(VLOOKUP(J749,Listas!$A$220:$D$224,3,FALSE),"Alerta: Seleccione la celda en la comumna B con el nombre del proyecto")))</f>
        <v>Alerta: Seleccione la celda en la comumna B con el nombre del proyecto</v>
      </c>
      <c r="AN749" s="633"/>
      <c r="AO749" s="633"/>
      <c r="AP749" s="634" t="str">
        <f>IFERROR(VLOOKUP(J749,Listas!$A$182:$E$215,5,FALSE),"Alerta: Seleccione la celda en la comumna B con el nombre del proyecto")</f>
        <v>Alerta: Seleccione la celda en la comumna B con el nombre del proyecto</v>
      </c>
      <c r="AQ749" s="634" t="str">
        <f>IF(J749="Funcionamiento Gastos Generales","No aplica",IF(J749="Funcionamiento Servicios Personales","No aplica",IFERROR(VLOOKUP(J749,Listas!$A$220:$D$224,4,FALSE),"Alerta: Seleccione la celda en la comumna B con el nombre del proyecto")))</f>
        <v>Alerta: Seleccione la celda en la comumna B con el nombre del proyecto</v>
      </c>
      <c r="AR749" s="633"/>
      <c r="AS749" s="634" t="str">
        <f>IFERROR(VLOOKUP(AU749,Listas!$E$85:$L$105,7,FALSE),"Alerta: Seleccione la celda en la comumna AI con el concepto de gasto")</f>
        <v>Alerta: Seleccione la celda en la comumna AI con el concepto de gasto</v>
      </c>
      <c r="AT749" s="634" t="str">
        <f>IFERROR(VLOOKUP(AU749,Listas!$E$85:$L$105,8,FALSE),"Alerta: Seleccione la celda en la comumna AI con el concepto de gasto")</f>
        <v>Alerta: Seleccione la celda en la comumna AI con el concepto de gasto</v>
      </c>
      <c r="AU749" s="633"/>
      <c r="AV749" s="634" t="str">
        <f>IFERROR(VLOOKUP(AU749,Listas!$E$85:$F$105,2,FALSE),"Alerta: Seleccione el Concepto de Gasto primero")</f>
        <v>Alerta: Seleccione el Concepto de Gasto primero</v>
      </c>
      <c r="AW749" s="644"/>
      <c r="AX749" s="645"/>
      <c r="AY749" s="645"/>
      <c r="AZ749" s="645"/>
      <c r="BA749" s="646">
        <f t="shared" si="237"/>
        <v>0</v>
      </c>
      <c r="BB749" s="647"/>
      <c r="BC749" s="648"/>
      <c r="BD749" s="649"/>
      <c r="BE749" s="647"/>
      <c r="BF749" s="644"/>
      <c r="BG749" s="646">
        <f t="shared" si="238"/>
        <v>0</v>
      </c>
      <c r="BH749" s="650"/>
      <c r="BI749" s="647"/>
      <c r="BJ749" s="644"/>
      <c r="BK749" s="646">
        <f t="shared" si="239"/>
        <v>0</v>
      </c>
      <c r="BL749" s="651"/>
      <c r="BM749" s="652">
        <f t="shared" si="240"/>
        <v>1</v>
      </c>
      <c r="BN749" s="628"/>
      <c r="BO749" s="670"/>
      <c r="BP749" s="644"/>
      <c r="BQ749" s="644"/>
      <c r="BR749" s="644"/>
      <c r="BS749" s="644"/>
      <c r="BT749" s="644"/>
      <c r="BU749" s="644"/>
      <c r="BV749" s="644"/>
      <c r="BW749" s="644"/>
      <c r="BX749" s="644"/>
      <c r="BY749" s="644"/>
      <c r="BZ749" s="644"/>
      <c r="CA749" s="644"/>
      <c r="CB749" s="646">
        <f t="shared" si="241"/>
        <v>0</v>
      </c>
      <c r="CC749" s="646">
        <f t="shared" si="242"/>
        <v>0</v>
      </c>
      <c r="CD749" s="614"/>
    </row>
    <row r="750" spans="1:82" s="561" customFormat="1" ht="61.5" customHeight="1">
      <c r="A750" s="625" t="str">
        <f t="shared" si="224"/>
        <v>proyecto-Alerta: Seleccione la celda en la comumna B con el nombre del proyecto-Al-Al--</v>
      </c>
      <c r="B750" s="626" t="str">
        <f t="shared" si="225"/>
        <v>proyecto-Alerta: Seleccione la celda en la comumna B con el nombre del proyecto-Al-Al-</v>
      </c>
      <c r="C750" s="626" t="str">
        <f t="shared" si="226"/>
        <v>proyecto-Alerta: Seleccione la celda en la comumna B con el nombre del proyecto-</v>
      </c>
      <c r="D750" s="626" t="str">
        <f t="shared" si="227"/>
        <v>proyecto--Al-Al-</v>
      </c>
      <c r="E750" s="626" t="str">
        <f t="shared" si="228"/>
        <v>--</v>
      </c>
      <c r="F750" s="627"/>
      <c r="G750" s="628">
        <f t="shared" si="229"/>
        <v>0</v>
      </c>
      <c r="H750" s="629" t="b">
        <f t="shared" si="230"/>
        <v>1</v>
      </c>
      <c r="I750" s="630"/>
      <c r="J750" s="627"/>
      <c r="K750" s="631" t="str">
        <f>+IFERROR(VLOOKUP(J750,Listas!$A$108:$B$114,2,FALSE),"Alerta: Seleccione la celda en la comumna B con el nombre del proyecto")</f>
        <v>Alerta: Seleccione la celda en la comumna B con el nombre del proyecto</v>
      </c>
      <c r="L750" s="632"/>
      <c r="M750" s="633"/>
      <c r="N750" s="634" t="str">
        <f t="shared" si="231"/>
        <v xml:space="preserve">(Cód. ) </v>
      </c>
      <c r="O750" s="635"/>
      <c r="P750" s="636">
        <f>IFERROR(VLOOKUP(W750,'Estimación CRP'!$D$21:$E$30,2,FALSE),0)</f>
        <v>0</v>
      </c>
      <c r="Q750" s="637">
        <f>IF(O750="No aplica","No aplica",WORKDAY.INTL(O750,P750,1,'Estimación CRP'!A936:A952))</f>
        <v>0</v>
      </c>
      <c r="R750" s="636">
        <f t="shared" si="232"/>
        <v>1</v>
      </c>
      <c r="S750" s="636">
        <f t="shared" si="233"/>
        <v>1</v>
      </c>
      <c r="T750" s="636">
        <f t="shared" si="234"/>
        <v>1</v>
      </c>
      <c r="U750" s="638"/>
      <c r="V750" s="638"/>
      <c r="W750" s="639"/>
      <c r="X750" s="640" t="str">
        <f>IFERROR(VLOOKUP(W750,Listas!$A$60:$B$73,2,FALSE),"Alerta: Seleccione primero Modalidad de selección")</f>
        <v>Alerta: Seleccione primero Modalidad de selección</v>
      </c>
      <c r="Y750" s="641">
        <v>0</v>
      </c>
      <c r="Z750" s="641"/>
      <c r="AA750" s="641"/>
      <c r="AB750" s="642">
        <f t="shared" si="235"/>
        <v>0</v>
      </c>
      <c r="AC750" s="642">
        <f t="shared" si="236"/>
        <v>0</v>
      </c>
      <c r="AD750" s="641">
        <v>0</v>
      </c>
      <c r="AE750" s="643">
        <v>0</v>
      </c>
      <c r="AF750" s="639" t="s">
        <v>276</v>
      </c>
      <c r="AG750" s="639" t="s">
        <v>277</v>
      </c>
      <c r="AH750" s="639"/>
      <c r="AI750" s="626" t="str">
        <f>IFERROR(VLOOKUP(AH750,Listas!$A$77:$C$83,2,FALSE),"Alerta: Seleccione primero el responsable")</f>
        <v>Alerta: Seleccione primero el responsable</v>
      </c>
      <c r="AJ750" s="640" t="str">
        <f>IFERROR(VLOOKUP(AH750,Listas!$A$77:$C$83,3,FALSE),"Alerta: Seleccione primero el responsable")</f>
        <v>Alerta: Seleccione primero el responsable</v>
      </c>
      <c r="AK750" s="640" t="str">
        <f>IF(J750="Funcionamiento Gastos Generales","No aplica",IF(J750="Funcionamiento Servicios Personales indirectos","No aplica",IFERROR(VLOOKUP(J750,Listas!$A$127:$E$139,3,FALSE),"Alerta: Seleccione la celda en la comumna B con el nombre del proyecto")))</f>
        <v>Alerta: Seleccione la celda en la comumna B con el nombre del proyecto</v>
      </c>
      <c r="AL750" s="640" t="str">
        <f>IF(J750="Funcionamiento Gastos Generales","No aplica",IF(J750="Funcionamiento Servicios Personales","No aplica",IFERROR(VLOOKUP(J750,Listas!$A$220:$D$224,2,FALSE),"Alerta: Seleccione la celda en la comumna B con el nombre del proyecto")))</f>
        <v>Alerta: Seleccione la celda en la comumna B con el nombre del proyecto</v>
      </c>
      <c r="AM750" s="640" t="str">
        <f>IF(J750="Funcionamiento Gastos Generales","No aplica",IF(J750="Funcionamiento Servicios Personales","No aplica",IFERROR(VLOOKUP(J750,Listas!$A$220:$D$224,3,FALSE),"Alerta: Seleccione la celda en la comumna B con el nombre del proyecto")))</f>
        <v>Alerta: Seleccione la celda en la comumna B con el nombre del proyecto</v>
      </c>
      <c r="AN750" s="633"/>
      <c r="AO750" s="633"/>
      <c r="AP750" s="634" t="str">
        <f>IFERROR(VLOOKUP(J750,Listas!$A$182:$E$215,5,FALSE),"Alerta: Seleccione la celda en la comumna B con el nombre del proyecto")</f>
        <v>Alerta: Seleccione la celda en la comumna B con el nombre del proyecto</v>
      </c>
      <c r="AQ750" s="634" t="str">
        <f>IF(J750="Funcionamiento Gastos Generales","No aplica",IF(J750="Funcionamiento Servicios Personales","No aplica",IFERROR(VLOOKUP(J750,Listas!$A$220:$D$224,4,FALSE),"Alerta: Seleccione la celda en la comumna B con el nombre del proyecto")))</f>
        <v>Alerta: Seleccione la celda en la comumna B con el nombre del proyecto</v>
      </c>
      <c r="AR750" s="633"/>
      <c r="AS750" s="634" t="str">
        <f>IFERROR(VLOOKUP(AU750,Listas!$E$85:$L$105,7,FALSE),"Alerta: Seleccione la celda en la comumna AI con el concepto de gasto")</f>
        <v>Alerta: Seleccione la celda en la comumna AI con el concepto de gasto</v>
      </c>
      <c r="AT750" s="634" t="str">
        <f>IFERROR(VLOOKUP(AU750,Listas!$E$85:$L$105,8,FALSE),"Alerta: Seleccione la celda en la comumna AI con el concepto de gasto")</f>
        <v>Alerta: Seleccione la celda en la comumna AI con el concepto de gasto</v>
      </c>
      <c r="AU750" s="633"/>
      <c r="AV750" s="634" t="str">
        <f>IFERROR(VLOOKUP(AU750,Listas!$E$85:$F$105,2,FALSE),"Alerta: Seleccione el Concepto de Gasto primero")</f>
        <v>Alerta: Seleccione el Concepto de Gasto primero</v>
      </c>
      <c r="AW750" s="644"/>
      <c r="AX750" s="645"/>
      <c r="AY750" s="645"/>
      <c r="AZ750" s="645"/>
      <c r="BA750" s="646">
        <f t="shared" si="237"/>
        <v>0</v>
      </c>
      <c r="BB750" s="647"/>
      <c r="BC750" s="648"/>
      <c r="BD750" s="649"/>
      <c r="BE750" s="647"/>
      <c r="BF750" s="644"/>
      <c r="BG750" s="646">
        <f t="shared" si="238"/>
        <v>0</v>
      </c>
      <c r="BH750" s="650"/>
      <c r="BI750" s="647"/>
      <c r="BJ750" s="644"/>
      <c r="BK750" s="646">
        <f t="shared" si="239"/>
        <v>0</v>
      </c>
      <c r="BL750" s="651"/>
      <c r="BM750" s="652">
        <f t="shared" si="240"/>
        <v>1</v>
      </c>
      <c r="BN750" s="628"/>
      <c r="BO750" s="670"/>
      <c r="BP750" s="644"/>
      <c r="BQ750" s="644"/>
      <c r="BR750" s="644"/>
      <c r="BS750" s="644"/>
      <c r="BT750" s="644"/>
      <c r="BU750" s="644"/>
      <c r="BV750" s="644"/>
      <c r="BW750" s="644"/>
      <c r="BX750" s="644"/>
      <c r="BY750" s="644"/>
      <c r="BZ750" s="644"/>
      <c r="CA750" s="644"/>
      <c r="CB750" s="646">
        <f t="shared" si="241"/>
        <v>0</v>
      </c>
      <c r="CC750" s="646">
        <f t="shared" si="242"/>
        <v>0</v>
      </c>
      <c r="CD750" s="614"/>
    </row>
    <row r="751" spans="1:82" s="561" customFormat="1" ht="61.5" customHeight="1">
      <c r="A751" s="625" t="str">
        <f t="shared" si="224"/>
        <v>proyecto-Alerta: Seleccione la celda en la comumna B con el nombre del proyecto-Al-Al--</v>
      </c>
      <c r="B751" s="626" t="str">
        <f t="shared" si="225"/>
        <v>proyecto-Alerta: Seleccione la celda en la comumna B con el nombre del proyecto-Al-Al-</v>
      </c>
      <c r="C751" s="626" t="str">
        <f t="shared" si="226"/>
        <v>proyecto-Alerta: Seleccione la celda en la comumna B con el nombre del proyecto-</v>
      </c>
      <c r="D751" s="626" t="str">
        <f t="shared" si="227"/>
        <v>proyecto--Al-Al-</v>
      </c>
      <c r="E751" s="626" t="str">
        <f t="shared" si="228"/>
        <v>--</v>
      </c>
      <c r="F751" s="627"/>
      <c r="G751" s="628">
        <f t="shared" si="229"/>
        <v>0</v>
      </c>
      <c r="H751" s="629" t="b">
        <f t="shared" si="230"/>
        <v>1</v>
      </c>
      <c r="I751" s="630"/>
      <c r="J751" s="627"/>
      <c r="K751" s="631" t="str">
        <f>+IFERROR(VLOOKUP(J751,Listas!$A$108:$B$114,2,FALSE),"Alerta: Seleccione la celda en la comumna B con el nombre del proyecto")</f>
        <v>Alerta: Seleccione la celda en la comumna B con el nombre del proyecto</v>
      </c>
      <c r="L751" s="632"/>
      <c r="M751" s="633"/>
      <c r="N751" s="634" t="str">
        <f t="shared" si="231"/>
        <v xml:space="preserve">(Cód. ) </v>
      </c>
      <c r="O751" s="635"/>
      <c r="P751" s="636">
        <f>IFERROR(VLOOKUP(W751,'Estimación CRP'!$D$21:$E$30,2,FALSE),0)</f>
        <v>0</v>
      </c>
      <c r="Q751" s="637">
        <f>IF(O751="No aplica","No aplica",WORKDAY.INTL(O751,P751,1,'Estimación CRP'!A937:A953))</f>
        <v>0</v>
      </c>
      <c r="R751" s="636">
        <f t="shared" si="232"/>
        <v>1</v>
      </c>
      <c r="S751" s="636">
        <f t="shared" si="233"/>
        <v>1</v>
      </c>
      <c r="T751" s="636">
        <f t="shared" si="234"/>
        <v>1</v>
      </c>
      <c r="U751" s="638"/>
      <c r="V751" s="638"/>
      <c r="W751" s="639"/>
      <c r="X751" s="640" t="str">
        <f>IFERROR(VLOOKUP(W751,Listas!$A$60:$B$73,2,FALSE),"Alerta: Seleccione primero Modalidad de selección")</f>
        <v>Alerta: Seleccione primero Modalidad de selección</v>
      </c>
      <c r="Y751" s="641">
        <v>0</v>
      </c>
      <c r="Z751" s="641"/>
      <c r="AA751" s="641"/>
      <c r="AB751" s="642">
        <f t="shared" si="235"/>
        <v>0</v>
      </c>
      <c r="AC751" s="642">
        <f t="shared" si="236"/>
        <v>0</v>
      </c>
      <c r="AD751" s="641">
        <v>0</v>
      </c>
      <c r="AE751" s="643">
        <v>0</v>
      </c>
      <c r="AF751" s="639" t="s">
        <v>276</v>
      </c>
      <c r="AG751" s="639" t="s">
        <v>277</v>
      </c>
      <c r="AH751" s="639"/>
      <c r="AI751" s="626" t="str">
        <f>IFERROR(VLOOKUP(AH751,Listas!$A$77:$C$83,2,FALSE),"Alerta: Seleccione primero el responsable")</f>
        <v>Alerta: Seleccione primero el responsable</v>
      </c>
      <c r="AJ751" s="640" t="str">
        <f>IFERROR(VLOOKUP(AH751,Listas!$A$77:$C$83,3,FALSE),"Alerta: Seleccione primero el responsable")</f>
        <v>Alerta: Seleccione primero el responsable</v>
      </c>
      <c r="AK751" s="640" t="str">
        <f>IF(J751="Funcionamiento Gastos Generales","No aplica",IF(J751="Funcionamiento Servicios Personales indirectos","No aplica",IFERROR(VLOOKUP(J751,Listas!$A$127:$E$139,3,FALSE),"Alerta: Seleccione la celda en la comumna B con el nombre del proyecto")))</f>
        <v>Alerta: Seleccione la celda en la comumna B con el nombre del proyecto</v>
      </c>
      <c r="AL751" s="640" t="str">
        <f>IF(J751="Funcionamiento Gastos Generales","No aplica",IF(J751="Funcionamiento Servicios Personales","No aplica",IFERROR(VLOOKUP(J751,Listas!$A$220:$D$224,2,FALSE),"Alerta: Seleccione la celda en la comumna B con el nombre del proyecto")))</f>
        <v>Alerta: Seleccione la celda en la comumna B con el nombre del proyecto</v>
      </c>
      <c r="AM751" s="640" t="str">
        <f>IF(J751="Funcionamiento Gastos Generales","No aplica",IF(J751="Funcionamiento Servicios Personales","No aplica",IFERROR(VLOOKUP(J751,Listas!$A$220:$D$224,3,FALSE),"Alerta: Seleccione la celda en la comumna B con el nombre del proyecto")))</f>
        <v>Alerta: Seleccione la celda en la comumna B con el nombre del proyecto</v>
      </c>
      <c r="AN751" s="633"/>
      <c r="AO751" s="633"/>
      <c r="AP751" s="634" t="str">
        <f>IFERROR(VLOOKUP(J751,Listas!$A$182:$E$215,5,FALSE),"Alerta: Seleccione la celda en la comumna B con el nombre del proyecto")</f>
        <v>Alerta: Seleccione la celda en la comumna B con el nombre del proyecto</v>
      </c>
      <c r="AQ751" s="634" t="str">
        <f>IF(J751="Funcionamiento Gastos Generales","No aplica",IF(J751="Funcionamiento Servicios Personales","No aplica",IFERROR(VLOOKUP(J751,Listas!$A$220:$D$224,4,FALSE),"Alerta: Seleccione la celda en la comumna B con el nombre del proyecto")))</f>
        <v>Alerta: Seleccione la celda en la comumna B con el nombre del proyecto</v>
      </c>
      <c r="AR751" s="633"/>
      <c r="AS751" s="634" t="str">
        <f>IFERROR(VLOOKUP(AU751,Listas!$E$85:$L$105,7,FALSE),"Alerta: Seleccione la celda en la comumna AI con el concepto de gasto")</f>
        <v>Alerta: Seleccione la celda en la comumna AI con el concepto de gasto</v>
      </c>
      <c r="AT751" s="634" t="str">
        <f>IFERROR(VLOOKUP(AU751,Listas!$E$85:$L$105,8,FALSE),"Alerta: Seleccione la celda en la comumna AI con el concepto de gasto")</f>
        <v>Alerta: Seleccione la celda en la comumna AI con el concepto de gasto</v>
      </c>
      <c r="AU751" s="633"/>
      <c r="AV751" s="634" t="str">
        <f>IFERROR(VLOOKUP(AU751,Listas!$E$85:$F$105,2,FALSE),"Alerta: Seleccione el Concepto de Gasto primero")</f>
        <v>Alerta: Seleccione el Concepto de Gasto primero</v>
      </c>
      <c r="AW751" s="644"/>
      <c r="AX751" s="645"/>
      <c r="AY751" s="645"/>
      <c r="AZ751" s="645"/>
      <c r="BA751" s="646">
        <f t="shared" si="237"/>
        <v>0</v>
      </c>
      <c r="BB751" s="647"/>
      <c r="BC751" s="648"/>
      <c r="BD751" s="649"/>
      <c r="BE751" s="647"/>
      <c r="BF751" s="644"/>
      <c r="BG751" s="646">
        <f t="shared" si="238"/>
        <v>0</v>
      </c>
      <c r="BH751" s="650"/>
      <c r="BI751" s="647"/>
      <c r="BJ751" s="644"/>
      <c r="BK751" s="646">
        <f t="shared" si="239"/>
        <v>0</v>
      </c>
      <c r="BL751" s="651"/>
      <c r="BM751" s="652">
        <f t="shared" si="240"/>
        <v>1</v>
      </c>
      <c r="BN751" s="628"/>
      <c r="BO751" s="670"/>
      <c r="BP751" s="644"/>
      <c r="BQ751" s="644"/>
      <c r="BR751" s="644"/>
      <c r="BS751" s="644"/>
      <c r="BT751" s="644"/>
      <c r="BU751" s="644"/>
      <c r="BV751" s="644"/>
      <c r="BW751" s="644"/>
      <c r="BX751" s="644"/>
      <c r="BY751" s="644"/>
      <c r="BZ751" s="644"/>
      <c r="CA751" s="644"/>
      <c r="CB751" s="646">
        <f t="shared" si="241"/>
        <v>0</v>
      </c>
      <c r="CC751" s="646">
        <f t="shared" si="242"/>
        <v>0</v>
      </c>
      <c r="CD751" s="614"/>
    </row>
    <row r="752" spans="1:82" s="561" customFormat="1" ht="61.5" customHeight="1">
      <c r="A752" s="625" t="str">
        <f t="shared" si="224"/>
        <v>proyecto-Alerta: Seleccione la celda en la comumna B con el nombre del proyecto-Al-Al--</v>
      </c>
      <c r="B752" s="626" t="str">
        <f t="shared" si="225"/>
        <v>proyecto-Alerta: Seleccione la celda en la comumna B con el nombre del proyecto-Al-Al-</v>
      </c>
      <c r="C752" s="626" t="str">
        <f t="shared" si="226"/>
        <v>proyecto-Alerta: Seleccione la celda en la comumna B con el nombre del proyecto-</v>
      </c>
      <c r="D752" s="626" t="str">
        <f t="shared" si="227"/>
        <v>proyecto--Al-Al-</v>
      </c>
      <c r="E752" s="626" t="str">
        <f t="shared" si="228"/>
        <v>--</v>
      </c>
      <c r="F752" s="627"/>
      <c r="G752" s="628">
        <f t="shared" si="229"/>
        <v>0</v>
      </c>
      <c r="H752" s="629" t="b">
        <f t="shared" si="230"/>
        <v>1</v>
      </c>
      <c r="I752" s="630"/>
      <c r="J752" s="627"/>
      <c r="K752" s="631" t="str">
        <f>+IFERROR(VLOOKUP(J752,Listas!$A$108:$B$114,2,FALSE),"Alerta: Seleccione la celda en la comumna B con el nombre del proyecto")</f>
        <v>Alerta: Seleccione la celda en la comumna B con el nombre del proyecto</v>
      </c>
      <c r="L752" s="632"/>
      <c r="M752" s="633"/>
      <c r="N752" s="634" t="str">
        <f t="shared" si="231"/>
        <v xml:space="preserve">(Cód. ) </v>
      </c>
      <c r="O752" s="635"/>
      <c r="P752" s="636">
        <f>IFERROR(VLOOKUP(W752,'Estimación CRP'!$D$21:$E$30,2,FALSE),0)</f>
        <v>0</v>
      </c>
      <c r="Q752" s="637">
        <f>IF(O752="No aplica","No aplica",WORKDAY.INTL(O752,P752,1,'Estimación CRP'!A938:A954))</f>
        <v>0</v>
      </c>
      <c r="R752" s="636">
        <f t="shared" si="232"/>
        <v>1</v>
      </c>
      <c r="S752" s="636">
        <f t="shared" si="233"/>
        <v>1</v>
      </c>
      <c r="T752" s="636">
        <f t="shared" si="234"/>
        <v>1</v>
      </c>
      <c r="U752" s="638"/>
      <c r="V752" s="638"/>
      <c r="W752" s="639"/>
      <c r="X752" s="640" t="str">
        <f>IFERROR(VLOOKUP(W752,Listas!$A$60:$B$73,2,FALSE),"Alerta: Seleccione primero Modalidad de selección")</f>
        <v>Alerta: Seleccione primero Modalidad de selección</v>
      </c>
      <c r="Y752" s="641">
        <v>0</v>
      </c>
      <c r="Z752" s="641"/>
      <c r="AA752" s="641"/>
      <c r="AB752" s="642">
        <f t="shared" si="235"/>
        <v>0</v>
      </c>
      <c r="AC752" s="642">
        <f t="shared" si="236"/>
        <v>0</v>
      </c>
      <c r="AD752" s="641">
        <v>0</v>
      </c>
      <c r="AE752" s="643">
        <v>0</v>
      </c>
      <c r="AF752" s="639" t="s">
        <v>276</v>
      </c>
      <c r="AG752" s="639" t="s">
        <v>277</v>
      </c>
      <c r="AH752" s="639"/>
      <c r="AI752" s="626" t="str">
        <f>IFERROR(VLOOKUP(AH752,Listas!$A$77:$C$83,2,FALSE),"Alerta: Seleccione primero el responsable")</f>
        <v>Alerta: Seleccione primero el responsable</v>
      </c>
      <c r="AJ752" s="640" t="str">
        <f>IFERROR(VLOOKUP(AH752,Listas!$A$77:$C$83,3,FALSE),"Alerta: Seleccione primero el responsable")</f>
        <v>Alerta: Seleccione primero el responsable</v>
      </c>
      <c r="AK752" s="640" t="str">
        <f>IF(J752="Funcionamiento Gastos Generales","No aplica",IF(J752="Funcionamiento Servicios Personales indirectos","No aplica",IFERROR(VLOOKUP(J752,Listas!$A$127:$E$139,3,FALSE),"Alerta: Seleccione la celda en la comumna B con el nombre del proyecto")))</f>
        <v>Alerta: Seleccione la celda en la comumna B con el nombre del proyecto</v>
      </c>
      <c r="AL752" s="640" t="str">
        <f>IF(J752="Funcionamiento Gastos Generales","No aplica",IF(J752="Funcionamiento Servicios Personales","No aplica",IFERROR(VLOOKUP(J752,Listas!$A$220:$D$224,2,FALSE),"Alerta: Seleccione la celda en la comumna B con el nombre del proyecto")))</f>
        <v>Alerta: Seleccione la celda en la comumna B con el nombre del proyecto</v>
      </c>
      <c r="AM752" s="640" t="str">
        <f>IF(J752="Funcionamiento Gastos Generales","No aplica",IF(J752="Funcionamiento Servicios Personales","No aplica",IFERROR(VLOOKUP(J752,Listas!$A$220:$D$224,3,FALSE),"Alerta: Seleccione la celda en la comumna B con el nombre del proyecto")))</f>
        <v>Alerta: Seleccione la celda en la comumna B con el nombre del proyecto</v>
      </c>
      <c r="AN752" s="633"/>
      <c r="AO752" s="633"/>
      <c r="AP752" s="634" t="str">
        <f>IFERROR(VLOOKUP(J752,Listas!$A$182:$E$215,5,FALSE),"Alerta: Seleccione la celda en la comumna B con el nombre del proyecto")</f>
        <v>Alerta: Seleccione la celda en la comumna B con el nombre del proyecto</v>
      </c>
      <c r="AQ752" s="634" t="str">
        <f>IF(J752="Funcionamiento Gastos Generales","No aplica",IF(J752="Funcionamiento Servicios Personales","No aplica",IFERROR(VLOOKUP(J752,Listas!$A$220:$D$224,4,FALSE),"Alerta: Seleccione la celda en la comumna B con el nombre del proyecto")))</f>
        <v>Alerta: Seleccione la celda en la comumna B con el nombre del proyecto</v>
      </c>
      <c r="AR752" s="633"/>
      <c r="AS752" s="634" t="str">
        <f>IFERROR(VLOOKUP(AU752,Listas!$E$85:$L$105,7,FALSE),"Alerta: Seleccione la celda en la comumna AI con el concepto de gasto")</f>
        <v>Alerta: Seleccione la celda en la comumna AI con el concepto de gasto</v>
      </c>
      <c r="AT752" s="634" t="str">
        <f>IFERROR(VLOOKUP(AU752,Listas!$E$85:$L$105,8,FALSE),"Alerta: Seleccione la celda en la comumna AI con el concepto de gasto")</f>
        <v>Alerta: Seleccione la celda en la comumna AI con el concepto de gasto</v>
      </c>
      <c r="AU752" s="633"/>
      <c r="AV752" s="634" t="str">
        <f>IFERROR(VLOOKUP(AU752,Listas!$E$85:$F$105,2,FALSE),"Alerta: Seleccione el Concepto de Gasto primero")</f>
        <v>Alerta: Seleccione el Concepto de Gasto primero</v>
      </c>
      <c r="AW752" s="644"/>
      <c r="AX752" s="645"/>
      <c r="AY752" s="645"/>
      <c r="AZ752" s="645"/>
      <c r="BA752" s="646">
        <f t="shared" si="237"/>
        <v>0</v>
      </c>
      <c r="BB752" s="647"/>
      <c r="BC752" s="648"/>
      <c r="BD752" s="649"/>
      <c r="BE752" s="647"/>
      <c r="BF752" s="644"/>
      <c r="BG752" s="646">
        <f t="shared" si="238"/>
        <v>0</v>
      </c>
      <c r="BH752" s="650"/>
      <c r="BI752" s="647"/>
      <c r="BJ752" s="644"/>
      <c r="BK752" s="646">
        <f t="shared" si="239"/>
        <v>0</v>
      </c>
      <c r="BL752" s="651"/>
      <c r="BM752" s="652">
        <f t="shared" si="240"/>
        <v>1</v>
      </c>
      <c r="BN752" s="628"/>
      <c r="BO752" s="670"/>
      <c r="BP752" s="644"/>
      <c r="BQ752" s="644"/>
      <c r="BR752" s="644"/>
      <c r="BS752" s="644"/>
      <c r="BT752" s="644"/>
      <c r="BU752" s="644"/>
      <c r="BV752" s="644"/>
      <c r="BW752" s="644"/>
      <c r="BX752" s="644"/>
      <c r="BY752" s="644"/>
      <c r="BZ752" s="644"/>
      <c r="CA752" s="644"/>
      <c r="CB752" s="646">
        <f t="shared" si="241"/>
        <v>0</v>
      </c>
      <c r="CC752" s="646">
        <f t="shared" si="242"/>
        <v>0</v>
      </c>
      <c r="CD752" s="614"/>
    </row>
    <row r="753" spans="1:82" s="561" customFormat="1" ht="61.5" customHeight="1">
      <c r="A753" s="625" t="str">
        <f t="shared" si="224"/>
        <v>proyecto-Alerta: Seleccione la celda en la comumna B con el nombre del proyecto-Al-Al--</v>
      </c>
      <c r="B753" s="626" t="str">
        <f t="shared" si="225"/>
        <v>proyecto-Alerta: Seleccione la celda en la comumna B con el nombre del proyecto-Al-Al-</v>
      </c>
      <c r="C753" s="626" t="str">
        <f t="shared" si="226"/>
        <v>proyecto-Alerta: Seleccione la celda en la comumna B con el nombre del proyecto-</v>
      </c>
      <c r="D753" s="626" t="str">
        <f t="shared" si="227"/>
        <v>proyecto--Al-Al-</v>
      </c>
      <c r="E753" s="626" t="str">
        <f t="shared" si="228"/>
        <v>--</v>
      </c>
      <c r="F753" s="627"/>
      <c r="G753" s="628">
        <f t="shared" si="229"/>
        <v>0</v>
      </c>
      <c r="H753" s="629" t="b">
        <f t="shared" si="230"/>
        <v>1</v>
      </c>
      <c r="I753" s="630"/>
      <c r="J753" s="627"/>
      <c r="K753" s="631" t="str">
        <f>+IFERROR(VLOOKUP(J753,Listas!$A$108:$B$114,2,FALSE),"Alerta: Seleccione la celda en la comumna B con el nombre del proyecto")</f>
        <v>Alerta: Seleccione la celda en la comumna B con el nombre del proyecto</v>
      </c>
      <c r="L753" s="632"/>
      <c r="M753" s="633"/>
      <c r="N753" s="634" t="str">
        <f t="shared" si="231"/>
        <v xml:space="preserve">(Cód. ) </v>
      </c>
      <c r="O753" s="635"/>
      <c r="P753" s="636">
        <f>IFERROR(VLOOKUP(W753,'Estimación CRP'!$D$21:$E$30,2,FALSE),0)</f>
        <v>0</v>
      </c>
      <c r="Q753" s="637">
        <f>IF(O753="No aplica","No aplica",WORKDAY.INTL(O753,P753,1,'Estimación CRP'!A939:A955))</f>
        <v>0</v>
      </c>
      <c r="R753" s="636">
        <f t="shared" si="232"/>
        <v>1</v>
      </c>
      <c r="S753" s="636">
        <f t="shared" si="233"/>
        <v>1</v>
      </c>
      <c r="T753" s="636">
        <f t="shared" si="234"/>
        <v>1</v>
      </c>
      <c r="U753" s="638"/>
      <c r="V753" s="638"/>
      <c r="W753" s="639"/>
      <c r="X753" s="640" t="str">
        <f>IFERROR(VLOOKUP(W753,Listas!$A$60:$B$73,2,FALSE),"Alerta: Seleccione primero Modalidad de selección")</f>
        <v>Alerta: Seleccione primero Modalidad de selección</v>
      </c>
      <c r="Y753" s="641">
        <v>0</v>
      </c>
      <c r="Z753" s="641"/>
      <c r="AA753" s="641"/>
      <c r="AB753" s="642">
        <f t="shared" si="235"/>
        <v>0</v>
      </c>
      <c r="AC753" s="642">
        <f t="shared" si="236"/>
        <v>0</v>
      </c>
      <c r="AD753" s="641">
        <v>0</v>
      </c>
      <c r="AE753" s="643">
        <v>0</v>
      </c>
      <c r="AF753" s="639" t="s">
        <v>276</v>
      </c>
      <c r="AG753" s="639" t="s">
        <v>277</v>
      </c>
      <c r="AH753" s="639"/>
      <c r="AI753" s="626" t="str">
        <f>IFERROR(VLOOKUP(AH753,Listas!$A$77:$C$83,2,FALSE),"Alerta: Seleccione primero el responsable")</f>
        <v>Alerta: Seleccione primero el responsable</v>
      </c>
      <c r="AJ753" s="640" t="str">
        <f>IFERROR(VLOOKUP(AH753,Listas!$A$77:$C$83,3,FALSE),"Alerta: Seleccione primero el responsable")</f>
        <v>Alerta: Seleccione primero el responsable</v>
      </c>
      <c r="AK753" s="640" t="str">
        <f>IF(J753="Funcionamiento Gastos Generales","No aplica",IF(J753="Funcionamiento Servicios Personales indirectos","No aplica",IFERROR(VLOOKUP(J753,Listas!$A$127:$E$139,3,FALSE),"Alerta: Seleccione la celda en la comumna B con el nombre del proyecto")))</f>
        <v>Alerta: Seleccione la celda en la comumna B con el nombre del proyecto</v>
      </c>
      <c r="AL753" s="640" t="str">
        <f>IF(J753="Funcionamiento Gastos Generales","No aplica",IF(J753="Funcionamiento Servicios Personales","No aplica",IFERROR(VLOOKUP(J753,Listas!$A$220:$D$224,2,FALSE),"Alerta: Seleccione la celda en la comumna B con el nombre del proyecto")))</f>
        <v>Alerta: Seleccione la celda en la comumna B con el nombre del proyecto</v>
      </c>
      <c r="AM753" s="640" t="str">
        <f>IF(J753="Funcionamiento Gastos Generales","No aplica",IF(J753="Funcionamiento Servicios Personales","No aplica",IFERROR(VLOOKUP(J753,Listas!$A$220:$D$224,3,FALSE),"Alerta: Seleccione la celda en la comumna B con el nombre del proyecto")))</f>
        <v>Alerta: Seleccione la celda en la comumna B con el nombre del proyecto</v>
      </c>
      <c r="AN753" s="633"/>
      <c r="AO753" s="633"/>
      <c r="AP753" s="634" t="str">
        <f>IFERROR(VLOOKUP(J753,Listas!$A$182:$E$215,5,FALSE),"Alerta: Seleccione la celda en la comumna B con el nombre del proyecto")</f>
        <v>Alerta: Seleccione la celda en la comumna B con el nombre del proyecto</v>
      </c>
      <c r="AQ753" s="634" t="str">
        <f>IF(J753="Funcionamiento Gastos Generales","No aplica",IF(J753="Funcionamiento Servicios Personales","No aplica",IFERROR(VLOOKUP(J753,Listas!$A$220:$D$224,4,FALSE),"Alerta: Seleccione la celda en la comumna B con el nombre del proyecto")))</f>
        <v>Alerta: Seleccione la celda en la comumna B con el nombre del proyecto</v>
      </c>
      <c r="AR753" s="633"/>
      <c r="AS753" s="634" t="str">
        <f>IFERROR(VLOOKUP(AU753,Listas!$E$85:$L$105,7,FALSE),"Alerta: Seleccione la celda en la comumna AI con el concepto de gasto")</f>
        <v>Alerta: Seleccione la celda en la comumna AI con el concepto de gasto</v>
      </c>
      <c r="AT753" s="634" t="str">
        <f>IFERROR(VLOOKUP(AU753,Listas!$E$85:$L$105,8,FALSE),"Alerta: Seleccione la celda en la comumna AI con el concepto de gasto")</f>
        <v>Alerta: Seleccione la celda en la comumna AI con el concepto de gasto</v>
      </c>
      <c r="AU753" s="633"/>
      <c r="AV753" s="634" t="str">
        <f>IFERROR(VLOOKUP(AU753,Listas!$E$85:$F$105,2,FALSE),"Alerta: Seleccione el Concepto de Gasto primero")</f>
        <v>Alerta: Seleccione el Concepto de Gasto primero</v>
      </c>
      <c r="AW753" s="644"/>
      <c r="AX753" s="645"/>
      <c r="AY753" s="645"/>
      <c r="AZ753" s="645"/>
      <c r="BA753" s="646">
        <f t="shared" si="237"/>
        <v>0</v>
      </c>
      <c r="BB753" s="647"/>
      <c r="BC753" s="648"/>
      <c r="BD753" s="649"/>
      <c r="BE753" s="647"/>
      <c r="BF753" s="644"/>
      <c r="BG753" s="646">
        <f t="shared" si="238"/>
        <v>0</v>
      </c>
      <c r="BH753" s="650"/>
      <c r="BI753" s="647"/>
      <c r="BJ753" s="644"/>
      <c r="BK753" s="646">
        <f t="shared" si="239"/>
        <v>0</v>
      </c>
      <c r="BL753" s="651"/>
      <c r="BM753" s="652">
        <f t="shared" si="240"/>
        <v>1</v>
      </c>
      <c r="BN753" s="628"/>
      <c r="BO753" s="670"/>
      <c r="BP753" s="644"/>
      <c r="BQ753" s="644"/>
      <c r="BR753" s="644"/>
      <c r="BS753" s="644"/>
      <c r="BT753" s="644"/>
      <c r="BU753" s="644"/>
      <c r="BV753" s="644"/>
      <c r="BW753" s="644"/>
      <c r="BX753" s="644"/>
      <c r="BY753" s="644"/>
      <c r="BZ753" s="644"/>
      <c r="CA753" s="644"/>
      <c r="CB753" s="646">
        <f t="shared" si="241"/>
        <v>0</v>
      </c>
      <c r="CC753" s="646">
        <f t="shared" si="242"/>
        <v>0</v>
      </c>
      <c r="CD753" s="614"/>
    </row>
    <row r="754" spans="1:82" s="561" customFormat="1" ht="61.5" customHeight="1">
      <c r="A754" s="625" t="str">
        <f t="shared" si="224"/>
        <v>proyecto-Alerta: Seleccione la celda en la comumna B con el nombre del proyecto-Al-Al--</v>
      </c>
      <c r="B754" s="626" t="str">
        <f t="shared" si="225"/>
        <v>proyecto-Alerta: Seleccione la celda en la comumna B con el nombre del proyecto-Al-Al-</v>
      </c>
      <c r="C754" s="626" t="str">
        <f t="shared" si="226"/>
        <v>proyecto-Alerta: Seleccione la celda en la comumna B con el nombre del proyecto-</v>
      </c>
      <c r="D754" s="626" t="str">
        <f t="shared" si="227"/>
        <v>proyecto--Al-Al-</v>
      </c>
      <c r="E754" s="626" t="str">
        <f t="shared" si="228"/>
        <v>--</v>
      </c>
      <c r="F754" s="627"/>
      <c r="G754" s="628">
        <f t="shared" si="229"/>
        <v>0</v>
      </c>
      <c r="H754" s="629" t="b">
        <f t="shared" si="230"/>
        <v>1</v>
      </c>
      <c r="I754" s="630"/>
      <c r="J754" s="627"/>
      <c r="K754" s="631" t="str">
        <f>+IFERROR(VLOOKUP(J754,Listas!$A$108:$B$114,2,FALSE),"Alerta: Seleccione la celda en la comumna B con el nombre del proyecto")</f>
        <v>Alerta: Seleccione la celda en la comumna B con el nombre del proyecto</v>
      </c>
      <c r="L754" s="632"/>
      <c r="M754" s="633"/>
      <c r="N754" s="634" t="str">
        <f t="shared" si="231"/>
        <v xml:space="preserve">(Cód. ) </v>
      </c>
      <c r="O754" s="635"/>
      <c r="P754" s="636">
        <f>IFERROR(VLOOKUP(W754,'Estimación CRP'!$D$21:$E$30,2,FALSE),0)</f>
        <v>0</v>
      </c>
      <c r="Q754" s="637">
        <f>IF(O754="No aplica","No aplica",WORKDAY.INTL(O754,P754,1,'Estimación CRP'!A940:A956))</f>
        <v>0</v>
      </c>
      <c r="R754" s="636">
        <f t="shared" si="232"/>
        <v>1</v>
      </c>
      <c r="S754" s="636">
        <f t="shared" si="233"/>
        <v>1</v>
      </c>
      <c r="T754" s="636">
        <f t="shared" si="234"/>
        <v>1</v>
      </c>
      <c r="U754" s="638"/>
      <c r="V754" s="638"/>
      <c r="W754" s="639"/>
      <c r="X754" s="640" t="str">
        <f>IFERROR(VLOOKUP(W754,Listas!$A$60:$B$73,2,FALSE),"Alerta: Seleccione primero Modalidad de selección")</f>
        <v>Alerta: Seleccione primero Modalidad de selección</v>
      </c>
      <c r="Y754" s="641">
        <v>0</v>
      </c>
      <c r="Z754" s="641"/>
      <c r="AA754" s="641"/>
      <c r="AB754" s="642">
        <f t="shared" si="235"/>
        <v>0</v>
      </c>
      <c r="AC754" s="642">
        <f t="shared" si="236"/>
        <v>0</v>
      </c>
      <c r="AD754" s="641">
        <v>0</v>
      </c>
      <c r="AE754" s="643">
        <v>0</v>
      </c>
      <c r="AF754" s="639" t="s">
        <v>276</v>
      </c>
      <c r="AG754" s="639" t="s">
        <v>277</v>
      </c>
      <c r="AH754" s="639"/>
      <c r="AI754" s="626" t="str">
        <f>IFERROR(VLOOKUP(AH754,Listas!$A$77:$C$83,2,FALSE),"Alerta: Seleccione primero el responsable")</f>
        <v>Alerta: Seleccione primero el responsable</v>
      </c>
      <c r="AJ754" s="640" t="str">
        <f>IFERROR(VLOOKUP(AH754,Listas!$A$77:$C$83,3,FALSE),"Alerta: Seleccione primero el responsable")</f>
        <v>Alerta: Seleccione primero el responsable</v>
      </c>
      <c r="AK754" s="640" t="str">
        <f>IF(J754="Funcionamiento Gastos Generales","No aplica",IF(J754="Funcionamiento Servicios Personales indirectos","No aplica",IFERROR(VLOOKUP(J754,Listas!$A$127:$E$139,3,FALSE),"Alerta: Seleccione la celda en la comumna B con el nombre del proyecto")))</f>
        <v>Alerta: Seleccione la celda en la comumna B con el nombre del proyecto</v>
      </c>
      <c r="AL754" s="640" t="str">
        <f>IF(J754="Funcionamiento Gastos Generales","No aplica",IF(J754="Funcionamiento Servicios Personales","No aplica",IFERROR(VLOOKUP(J754,Listas!$A$220:$D$224,2,FALSE),"Alerta: Seleccione la celda en la comumna B con el nombre del proyecto")))</f>
        <v>Alerta: Seleccione la celda en la comumna B con el nombre del proyecto</v>
      </c>
      <c r="AM754" s="640" t="str">
        <f>IF(J754="Funcionamiento Gastos Generales","No aplica",IF(J754="Funcionamiento Servicios Personales","No aplica",IFERROR(VLOOKUP(J754,Listas!$A$220:$D$224,3,FALSE),"Alerta: Seleccione la celda en la comumna B con el nombre del proyecto")))</f>
        <v>Alerta: Seleccione la celda en la comumna B con el nombre del proyecto</v>
      </c>
      <c r="AN754" s="633"/>
      <c r="AO754" s="633"/>
      <c r="AP754" s="634" t="str">
        <f>IFERROR(VLOOKUP(J754,Listas!$A$182:$E$215,5,FALSE),"Alerta: Seleccione la celda en la comumna B con el nombre del proyecto")</f>
        <v>Alerta: Seleccione la celda en la comumna B con el nombre del proyecto</v>
      </c>
      <c r="AQ754" s="634" t="str">
        <f>IF(J754="Funcionamiento Gastos Generales","No aplica",IF(J754="Funcionamiento Servicios Personales","No aplica",IFERROR(VLOOKUP(J754,Listas!$A$220:$D$224,4,FALSE),"Alerta: Seleccione la celda en la comumna B con el nombre del proyecto")))</f>
        <v>Alerta: Seleccione la celda en la comumna B con el nombre del proyecto</v>
      </c>
      <c r="AR754" s="633"/>
      <c r="AS754" s="634" t="str">
        <f>IFERROR(VLOOKUP(AU754,Listas!$E$85:$L$105,7,FALSE),"Alerta: Seleccione la celda en la comumna AI con el concepto de gasto")</f>
        <v>Alerta: Seleccione la celda en la comumna AI con el concepto de gasto</v>
      </c>
      <c r="AT754" s="634" t="str">
        <f>IFERROR(VLOOKUP(AU754,Listas!$E$85:$L$105,8,FALSE),"Alerta: Seleccione la celda en la comumna AI con el concepto de gasto")</f>
        <v>Alerta: Seleccione la celda en la comumna AI con el concepto de gasto</v>
      </c>
      <c r="AU754" s="633"/>
      <c r="AV754" s="634" t="str">
        <f>IFERROR(VLOOKUP(AU754,Listas!$E$85:$F$105,2,FALSE),"Alerta: Seleccione el Concepto de Gasto primero")</f>
        <v>Alerta: Seleccione el Concepto de Gasto primero</v>
      </c>
      <c r="AW754" s="644"/>
      <c r="AX754" s="645"/>
      <c r="AY754" s="645"/>
      <c r="AZ754" s="645"/>
      <c r="BA754" s="646">
        <f t="shared" si="237"/>
        <v>0</v>
      </c>
      <c r="BB754" s="647"/>
      <c r="BC754" s="648"/>
      <c r="BD754" s="649"/>
      <c r="BE754" s="647"/>
      <c r="BF754" s="644"/>
      <c r="BG754" s="646">
        <f t="shared" si="238"/>
        <v>0</v>
      </c>
      <c r="BH754" s="650"/>
      <c r="BI754" s="647"/>
      <c r="BJ754" s="644"/>
      <c r="BK754" s="646">
        <f t="shared" si="239"/>
        <v>0</v>
      </c>
      <c r="BL754" s="651"/>
      <c r="BM754" s="652">
        <f t="shared" si="240"/>
        <v>1</v>
      </c>
      <c r="BN754" s="628"/>
      <c r="BO754" s="670"/>
      <c r="BP754" s="644"/>
      <c r="BQ754" s="644"/>
      <c r="BR754" s="644"/>
      <c r="BS754" s="644"/>
      <c r="BT754" s="644"/>
      <c r="BU754" s="644"/>
      <c r="BV754" s="644"/>
      <c r="BW754" s="644"/>
      <c r="BX754" s="644"/>
      <c r="BY754" s="644"/>
      <c r="BZ754" s="644"/>
      <c r="CA754" s="644"/>
      <c r="CB754" s="646">
        <f t="shared" si="241"/>
        <v>0</v>
      </c>
      <c r="CC754" s="646">
        <f t="shared" si="242"/>
        <v>0</v>
      </c>
      <c r="CD754" s="614"/>
    </row>
    <row r="755" spans="1:82" s="561" customFormat="1" ht="61.5" customHeight="1">
      <c r="A755" s="625" t="str">
        <f t="shared" si="224"/>
        <v>proyecto-Alerta: Seleccione la celda en la comumna B con el nombre del proyecto-Al-Al--</v>
      </c>
      <c r="B755" s="626" t="str">
        <f t="shared" si="225"/>
        <v>proyecto-Alerta: Seleccione la celda en la comumna B con el nombre del proyecto-Al-Al-</v>
      </c>
      <c r="C755" s="626" t="str">
        <f t="shared" si="226"/>
        <v>proyecto-Alerta: Seleccione la celda en la comumna B con el nombre del proyecto-</v>
      </c>
      <c r="D755" s="626" t="str">
        <f t="shared" si="227"/>
        <v>proyecto--Al-Al-</v>
      </c>
      <c r="E755" s="626" t="str">
        <f t="shared" si="228"/>
        <v>--</v>
      </c>
      <c r="F755" s="627"/>
      <c r="G755" s="628">
        <f t="shared" si="229"/>
        <v>0</v>
      </c>
      <c r="H755" s="629" t="b">
        <f t="shared" si="230"/>
        <v>1</v>
      </c>
      <c r="I755" s="630"/>
      <c r="J755" s="627"/>
      <c r="K755" s="631" t="str">
        <f>+IFERROR(VLOOKUP(J755,Listas!$A$108:$B$114,2,FALSE),"Alerta: Seleccione la celda en la comumna B con el nombre del proyecto")</f>
        <v>Alerta: Seleccione la celda en la comumna B con el nombre del proyecto</v>
      </c>
      <c r="L755" s="632"/>
      <c r="M755" s="633"/>
      <c r="N755" s="634" t="str">
        <f t="shared" si="231"/>
        <v xml:space="preserve">(Cód. ) </v>
      </c>
      <c r="O755" s="635"/>
      <c r="P755" s="636">
        <f>IFERROR(VLOOKUP(W755,'Estimación CRP'!$D$21:$E$30,2,FALSE),0)</f>
        <v>0</v>
      </c>
      <c r="Q755" s="637">
        <f>IF(O755="No aplica","No aplica",WORKDAY.INTL(O755,P755,1,'Estimación CRP'!A941:A957))</f>
        <v>0</v>
      </c>
      <c r="R755" s="636">
        <f t="shared" si="232"/>
        <v>1</v>
      </c>
      <c r="S755" s="636">
        <f t="shared" si="233"/>
        <v>1</v>
      </c>
      <c r="T755" s="636">
        <f t="shared" si="234"/>
        <v>1</v>
      </c>
      <c r="U755" s="638"/>
      <c r="V755" s="638"/>
      <c r="W755" s="639"/>
      <c r="X755" s="640" t="str">
        <f>IFERROR(VLOOKUP(W755,Listas!$A$60:$B$73,2,FALSE),"Alerta: Seleccione primero Modalidad de selección")</f>
        <v>Alerta: Seleccione primero Modalidad de selección</v>
      </c>
      <c r="Y755" s="641">
        <v>0</v>
      </c>
      <c r="Z755" s="641"/>
      <c r="AA755" s="641"/>
      <c r="AB755" s="642">
        <f t="shared" si="235"/>
        <v>0</v>
      </c>
      <c r="AC755" s="642">
        <f t="shared" si="236"/>
        <v>0</v>
      </c>
      <c r="AD755" s="641">
        <v>0</v>
      </c>
      <c r="AE755" s="643">
        <v>0</v>
      </c>
      <c r="AF755" s="639" t="s">
        <v>276</v>
      </c>
      <c r="AG755" s="639" t="s">
        <v>277</v>
      </c>
      <c r="AH755" s="639"/>
      <c r="AI755" s="626" t="str">
        <f>IFERROR(VLOOKUP(AH755,Listas!$A$77:$C$83,2,FALSE),"Alerta: Seleccione primero el responsable")</f>
        <v>Alerta: Seleccione primero el responsable</v>
      </c>
      <c r="AJ755" s="640" t="str">
        <f>IFERROR(VLOOKUP(AH755,Listas!$A$77:$C$83,3,FALSE),"Alerta: Seleccione primero el responsable")</f>
        <v>Alerta: Seleccione primero el responsable</v>
      </c>
      <c r="AK755" s="640" t="str">
        <f>IF(J755="Funcionamiento Gastos Generales","No aplica",IF(J755="Funcionamiento Servicios Personales indirectos","No aplica",IFERROR(VLOOKUP(J755,Listas!$A$127:$E$139,3,FALSE),"Alerta: Seleccione la celda en la comumna B con el nombre del proyecto")))</f>
        <v>Alerta: Seleccione la celda en la comumna B con el nombre del proyecto</v>
      </c>
      <c r="AL755" s="640" t="str">
        <f>IF(J755="Funcionamiento Gastos Generales","No aplica",IF(J755="Funcionamiento Servicios Personales","No aplica",IFERROR(VLOOKUP(J755,Listas!$A$220:$D$224,2,FALSE),"Alerta: Seleccione la celda en la comumna B con el nombre del proyecto")))</f>
        <v>Alerta: Seleccione la celda en la comumna B con el nombre del proyecto</v>
      </c>
      <c r="AM755" s="640" t="str">
        <f>IF(J755="Funcionamiento Gastos Generales","No aplica",IF(J755="Funcionamiento Servicios Personales","No aplica",IFERROR(VLOOKUP(J755,Listas!$A$220:$D$224,3,FALSE),"Alerta: Seleccione la celda en la comumna B con el nombre del proyecto")))</f>
        <v>Alerta: Seleccione la celda en la comumna B con el nombre del proyecto</v>
      </c>
      <c r="AN755" s="633"/>
      <c r="AO755" s="633"/>
      <c r="AP755" s="634" t="str">
        <f>IFERROR(VLOOKUP(J755,Listas!$A$182:$E$215,5,FALSE),"Alerta: Seleccione la celda en la comumna B con el nombre del proyecto")</f>
        <v>Alerta: Seleccione la celda en la comumna B con el nombre del proyecto</v>
      </c>
      <c r="AQ755" s="634" t="str">
        <f>IF(J755="Funcionamiento Gastos Generales","No aplica",IF(J755="Funcionamiento Servicios Personales","No aplica",IFERROR(VLOOKUP(J755,Listas!$A$220:$D$224,4,FALSE),"Alerta: Seleccione la celda en la comumna B con el nombre del proyecto")))</f>
        <v>Alerta: Seleccione la celda en la comumna B con el nombre del proyecto</v>
      </c>
      <c r="AR755" s="633"/>
      <c r="AS755" s="634" t="str">
        <f>IFERROR(VLOOKUP(AU755,Listas!$E$85:$L$105,7,FALSE),"Alerta: Seleccione la celda en la comumna AI con el concepto de gasto")</f>
        <v>Alerta: Seleccione la celda en la comumna AI con el concepto de gasto</v>
      </c>
      <c r="AT755" s="634" t="str">
        <f>IFERROR(VLOOKUP(AU755,Listas!$E$85:$L$105,8,FALSE),"Alerta: Seleccione la celda en la comumna AI con el concepto de gasto")</f>
        <v>Alerta: Seleccione la celda en la comumna AI con el concepto de gasto</v>
      </c>
      <c r="AU755" s="633"/>
      <c r="AV755" s="634" t="str">
        <f>IFERROR(VLOOKUP(AU755,Listas!$E$85:$F$105,2,FALSE),"Alerta: Seleccione el Concepto de Gasto primero")</f>
        <v>Alerta: Seleccione el Concepto de Gasto primero</v>
      </c>
      <c r="AW755" s="644"/>
      <c r="AX755" s="645"/>
      <c r="AY755" s="645"/>
      <c r="AZ755" s="645"/>
      <c r="BA755" s="646">
        <f t="shared" si="237"/>
        <v>0</v>
      </c>
      <c r="BB755" s="647"/>
      <c r="BC755" s="648"/>
      <c r="BD755" s="649"/>
      <c r="BE755" s="647"/>
      <c r="BF755" s="644"/>
      <c r="BG755" s="646">
        <f t="shared" si="238"/>
        <v>0</v>
      </c>
      <c r="BH755" s="650"/>
      <c r="BI755" s="647"/>
      <c r="BJ755" s="644"/>
      <c r="BK755" s="646">
        <f t="shared" si="239"/>
        <v>0</v>
      </c>
      <c r="BL755" s="651"/>
      <c r="BM755" s="652">
        <f t="shared" si="240"/>
        <v>1</v>
      </c>
      <c r="BN755" s="628"/>
      <c r="BO755" s="670"/>
      <c r="BP755" s="644"/>
      <c r="BQ755" s="644"/>
      <c r="BR755" s="644"/>
      <c r="BS755" s="644"/>
      <c r="BT755" s="644"/>
      <c r="BU755" s="644"/>
      <c r="BV755" s="644"/>
      <c r="BW755" s="644"/>
      <c r="BX755" s="644"/>
      <c r="BY755" s="644"/>
      <c r="BZ755" s="644"/>
      <c r="CA755" s="644"/>
      <c r="CB755" s="646">
        <f t="shared" si="241"/>
        <v>0</v>
      </c>
      <c r="CC755" s="646">
        <f t="shared" si="242"/>
        <v>0</v>
      </c>
      <c r="CD755" s="614"/>
    </row>
    <row r="756" spans="1:82" s="561" customFormat="1" ht="61.5" customHeight="1">
      <c r="A756" s="625" t="str">
        <f t="shared" si="224"/>
        <v>proyecto-Alerta: Seleccione la celda en la comumna B con el nombre del proyecto-Al-Al--</v>
      </c>
      <c r="B756" s="626" t="str">
        <f t="shared" si="225"/>
        <v>proyecto-Alerta: Seleccione la celda en la comumna B con el nombre del proyecto-Al-Al-</v>
      </c>
      <c r="C756" s="626" t="str">
        <f t="shared" si="226"/>
        <v>proyecto-Alerta: Seleccione la celda en la comumna B con el nombre del proyecto-</v>
      </c>
      <c r="D756" s="626" t="str">
        <f t="shared" si="227"/>
        <v>proyecto--Al-Al-</v>
      </c>
      <c r="E756" s="626" t="str">
        <f t="shared" si="228"/>
        <v>--</v>
      </c>
      <c r="F756" s="627"/>
      <c r="G756" s="628">
        <f t="shared" si="229"/>
        <v>0</v>
      </c>
      <c r="H756" s="629" t="b">
        <f t="shared" si="230"/>
        <v>1</v>
      </c>
      <c r="I756" s="630"/>
      <c r="J756" s="627"/>
      <c r="K756" s="631" t="str">
        <f>+IFERROR(VLOOKUP(J756,Listas!$A$108:$B$114,2,FALSE),"Alerta: Seleccione la celda en la comumna B con el nombre del proyecto")</f>
        <v>Alerta: Seleccione la celda en la comumna B con el nombre del proyecto</v>
      </c>
      <c r="L756" s="632"/>
      <c r="M756" s="633"/>
      <c r="N756" s="634" t="str">
        <f t="shared" si="231"/>
        <v xml:space="preserve">(Cód. ) </v>
      </c>
      <c r="O756" s="635"/>
      <c r="P756" s="636">
        <f>IFERROR(VLOOKUP(W756,'Estimación CRP'!$D$21:$E$30,2,FALSE),0)</f>
        <v>0</v>
      </c>
      <c r="Q756" s="637">
        <f>IF(O756="No aplica","No aplica",WORKDAY.INTL(O756,P756,1,'Estimación CRP'!A942:A958))</f>
        <v>0</v>
      </c>
      <c r="R756" s="636">
        <f t="shared" si="232"/>
        <v>1</v>
      </c>
      <c r="S756" s="636">
        <f t="shared" si="233"/>
        <v>1</v>
      </c>
      <c r="T756" s="636">
        <f t="shared" si="234"/>
        <v>1</v>
      </c>
      <c r="U756" s="638"/>
      <c r="V756" s="638"/>
      <c r="W756" s="639"/>
      <c r="X756" s="640" t="str">
        <f>IFERROR(VLOOKUP(W756,Listas!$A$60:$B$73,2,FALSE),"Alerta: Seleccione primero Modalidad de selección")</f>
        <v>Alerta: Seleccione primero Modalidad de selección</v>
      </c>
      <c r="Y756" s="641">
        <v>0</v>
      </c>
      <c r="Z756" s="641"/>
      <c r="AA756" s="641"/>
      <c r="AB756" s="642">
        <f t="shared" si="235"/>
        <v>0</v>
      </c>
      <c r="AC756" s="642">
        <f t="shared" si="236"/>
        <v>0</v>
      </c>
      <c r="AD756" s="641">
        <v>0</v>
      </c>
      <c r="AE756" s="643">
        <v>0</v>
      </c>
      <c r="AF756" s="639" t="s">
        <v>276</v>
      </c>
      <c r="AG756" s="639" t="s">
        <v>277</v>
      </c>
      <c r="AH756" s="639"/>
      <c r="AI756" s="626" t="str">
        <f>IFERROR(VLOOKUP(AH756,Listas!$A$77:$C$83,2,FALSE),"Alerta: Seleccione primero el responsable")</f>
        <v>Alerta: Seleccione primero el responsable</v>
      </c>
      <c r="AJ756" s="640" t="str">
        <f>IFERROR(VLOOKUP(AH756,Listas!$A$77:$C$83,3,FALSE),"Alerta: Seleccione primero el responsable")</f>
        <v>Alerta: Seleccione primero el responsable</v>
      </c>
      <c r="AK756" s="640" t="str">
        <f>IF(J756="Funcionamiento Gastos Generales","No aplica",IF(J756="Funcionamiento Servicios Personales indirectos","No aplica",IFERROR(VLOOKUP(J756,Listas!$A$127:$E$139,3,FALSE),"Alerta: Seleccione la celda en la comumna B con el nombre del proyecto")))</f>
        <v>Alerta: Seleccione la celda en la comumna B con el nombre del proyecto</v>
      </c>
      <c r="AL756" s="640" t="str">
        <f>IF(J756="Funcionamiento Gastos Generales","No aplica",IF(J756="Funcionamiento Servicios Personales","No aplica",IFERROR(VLOOKUP(J756,Listas!$A$220:$D$224,2,FALSE),"Alerta: Seleccione la celda en la comumna B con el nombre del proyecto")))</f>
        <v>Alerta: Seleccione la celda en la comumna B con el nombre del proyecto</v>
      </c>
      <c r="AM756" s="640" t="str">
        <f>IF(J756="Funcionamiento Gastos Generales","No aplica",IF(J756="Funcionamiento Servicios Personales","No aplica",IFERROR(VLOOKUP(J756,Listas!$A$220:$D$224,3,FALSE),"Alerta: Seleccione la celda en la comumna B con el nombre del proyecto")))</f>
        <v>Alerta: Seleccione la celda en la comumna B con el nombre del proyecto</v>
      </c>
      <c r="AN756" s="633"/>
      <c r="AO756" s="633"/>
      <c r="AP756" s="634" t="str">
        <f>IFERROR(VLOOKUP(J756,Listas!$A$182:$E$215,5,FALSE),"Alerta: Seleccione la celda en la comumna B con el nombre del proyecto")</f>
        <v>Alerta: Seleccione la celda en la comumna B con el nombre del proyecto</v>
      </c>
      <c r="AQ756" s="634" t="str">
        <f>IF(J756="Funcionamiento Gastos Generales","No aplica",IF(J756="Funcionamiento Servicios Personales","No aplica",IFERROR(VLOOKUP(J756,Listas!$A$220:$D$224,4,FALSE),"Alerta: Seleccione la celda en la comumna B con el nombre del proyecto")))</f>
        <v>Alerta: Seleccione la celda en la comumna B con el nombre del proyecto</v>
      </c>
      <c r="AR756" s="633"/>
      <c r="AS756" s="634" t="str">
        <f>IFERROR(VLOOKUP(AU756,Listas!$E$85:$L$105,7,FALSE),"Alerta: Seleccione la celda en la comumna AI con el concepto de gasto")</f>
        <v>Alerta: Seleccione la celda en la comumna AI con el concepto de gasto</v>
      </c>
      <c r="AT756" s="634" t="str">
        <f>IFERROR(VLOOKUP(AU756,Listas!$E$85:$L$105,8,FALSE),"Alerta: Seleccione la celda en la comumna AI con el concepto de gasto")</f>
        <v>Alerta: Seleccione la celda en la comumna AI con el concepto de gasto</v>
      </c>
      <c r="AU756" s="633"/>
      <c r="AV756" s="634" t="str">
        <f>IFERROR(VLOOKUP(AU756,Listas!$E$85:$F$105,2,FALSE),"Alerta: Seleccione el Concepto de Gasto primero")</f>
        <v>Alerta: Seleccione el Concepto de Gasto primero</v>
      </c>
      <c r="AW756" s="644"/>
      <c r="AX756" s="645"/>
      <c r="AY756" s="645"/>
      <c r="AZ756" s="645"/>
      <c r="BA756" s="646">
        <f t="shared" si="237"/>
        <v>0</v>
      </c>
      <c r="BB756" s="647"/>
      <c r="BC756" s="648"/>
      <c r="BD756" s="649"/>
      <c r="BE756" s="647"/>
      <c r="BF756" s="644"/>
      <c r="BG756" s="646">
        <f t="shared" si="238"/>
        <v>0</v>
      </c>
      <c r="BH756" s="650"/>
      <c r="BI756" s="647"/>
      <c r="BJ756" s="644"/>
      <c r="BK756" s="646">
        <f t="shared" si="239"/>
        <v>0</v>
      </c>
      <c r="BL756" s="651"/>
      <c r="BM756" s="652">
        <f t="shared" si="240"/>
        <v>1</v>
      </c>
      <c r="BN756" s="628"/>
      <c r="BO756" s="670"/>
      <c r="BP756" s="644"/>
      <c r="BQ756" s="644"/>
      <c r="BR756" s="644"/>
      <c r="BS756" s="644"/>
      <c r="BT756" s="644"/>
      <c r="BU756" s="644"/>
      <c r="BV756" s="644"/>
      <c r="BW756" s="644"/>
      <c r="BX756" s="644"/>
      <c r="BY756" s="644"/>
      <c r="BZ756" s="644"/>
      <c r="CA756" s="644"/>
      <c r="CB756" s="646">
        <f t="shared" si="241"/>
        <v>0</v>
      </c>
      <c r="CC756" s="646">
        <f t="shared" si="242"/>
        <v>0</v>
      </c>
      <c r="CD756" s="614"/>
    </row>
    <row r="757" spans="1:82" s="561" customFormat="1" ht="61.5" customHeight="1">
      <c r="A757" s="625" t="str">
        <f t="shared" si="224"/>
        <v>proyecto-Alerta: Seleccione la celda en la comumna B con el nombre del proyecto-Al-Al--</v>
      </c>
      <c r="B757" s="626" t="str">
        <f t="shared" si="225"/>
        <v>proyecto-Alerta: Seleccione la celda en la comumna B con el nombre del proyecto-Al-Al-</v>
      </c>
      <c r="C757" s="626" t="str">
        <f t="shared" si="226"/>
        <v>proyecto-Alerta: Seleccione la celda en la comumna B con el nombre del proyecto-</v>
      </c>
      <c r="D757" s="626" t="str">
        <f t="shared" si="227"/>
        <v>proyecto--Al-Al-</v>
      </c>
      <c r="E757" s="626" t="str">
        <f t="shared" si="228"/>
        <v>--</v>
      </c>
      <c r="F757" s="627"/>
      <c r="G757" s="628">
        <f t="shared" si="229"/>
        <v>0</v>
      </c>
      <c r="H757" s="629" t="b">
        <f t="shared" si="230"/>
        <v>1</v>
      </c>
      <c r="I757" s="630"/>
      <c r="J757" s="627"/>
      <c r="K757" s="631" t="str">
        <f>+IFERROR(VLOOKUP(J757,Listas!$A$108:$B$114,2,FALSE),"Alerta: Seleccione la celda en la comumna B con el nombre del proyecto")</f>
        <v>Alerta: Seleccione la celda en la comumna B con el nombre del proyecto</v>
      </c>
      <c r="L757" s="632"/>
      <c r="M757" s="633"/>
      <c r="N757" s="634" t="str">
        <f t="shared" si="231"/>
        <v xml:space="preserve">(Cód. ) </v>
      </c>
      <c r="O757" s="635"/>
      <c r="P757" s="636">
        <f>IFERROR(VLOOKUP(W757,'Estimación CRP'!$D$21:$E$30,2,FALSE),0)</f>
        <v>0</v>
      </c>
      <c r="Q757" s="637">
        <f>IF(O757="No aplica","No aplica",WORKDAY.INTL(O757,P757,1,'Estimación CRP'!A943:A959))</f>
        <v>0</v>
      </c>
      <c r="R757" s="636">
        <f t="shared" si="232"/>
        <v>1</v>
      </c>
      <c r="S757" s="636">
        <f t="shared" si="233"/>
        <v>1</v>
      </c>
      <c r="T757" s="636">
        <f t="shared" si="234"/>
        <v>1</v>
      </c>
      <c r="U757" s="638"/>
      <c r="V757" s="638"/>
      <c r="W757" s="639"/>
      <c r="X757" s="640" t="str">
        <f>IFERROR(VLOOKUP(W757,Listas!$A$60:$B$73,2,FALSE),"Alerta: Seleccione primero Modalidad de selección")</f>
        <v>Alerta: Seleccione primero Modalidad de selección</v>
      </c>
      <c r="Y757" s="641">
        <v>0</v>
      </c>
      <c r="Z757" s="641"/>
      <c r="AA757" s="641"/>
      <c r="AB757" s="642">
        <f t="shared" si="235"/>
        <v>0</v>
      </c>
      <c r="AC757" s="642">
        <f t="shared" si="236"/>
        <v>0</v>
      </c>
      <c r="AD757" s="641">
        <v>0</v>
      </c>
      <c r="AE757" s="643">
        <v>0</v>
      </c>
      <c r="AF757" s="639" t="s">
        <v>276</v>
      </c>
      <c r="AG757" s="639" t="s">
        <v>277</v>
      </c>
      <c r="AH757" s="639"/>
      <c r="AI757" s="626" t="str">
        <f>IFERROR(VLOOKUP(AH757,Listas!$A$77:$C$83,2,FALSE),"Alerta: Seleccione primero el responsable")</f>
        <v>Alerta: Seleccione primero el responsable</v>
      </c>
      <c r="AJ757" s="640" t="str">
        <f>IFERROR(VLOOKUP(AH757,Listas!$A$77:$C$83,3,FALSE),"Alerta: Seleccione primero el responsable")</f>
        <v>Alerta: Seleccione primero el responsable</v>
      </c>
      <c r="AK757" s="640" t="str">
        <f>IF(J757="Funcionamiento Gastos Generales","No aplica",IF(J757="Funcionamiento Servicios Personales indirectos","No aplica",IFERROR(VLOOKUP(J757,Listas!$A$127:$E$139,3,FALSE),"Alerta: Seleccione la celda en la comumna B con el nombre del proyecto")))</f>
        <v>Alerta: Seleccione la celda en la comumna B con el nombre del proyecto</v>
      </c>
      <c r="AL757" s="640" t="str">
        <f>IF(J757="Funcionamiento Gastos Generales","No aplica",IF(J757="Funcionamiento Servicios Personales","No aplica",IFERROR(VLOOKUP(J757,Listas!$A$220:$D$224,2,FALSE),"Alerta: Seleccione la celda en la comumna B con el nombre del proyecto")))</f>
        <v>Alerta: Seleccione la celda en la comumna B con el nombre del proyecto</v>
      </c>
      <c r="AM757" s="640" t="str">
        <f>IF(J757="Funcionamiento Gastos Generales","No aplica",IF(J757="Funcionamiento Servicios Personales","No aplica",IFERROR(VLOOKUP(J757,Listas!$A$220:$D$224,3,FALSE),"Alerta: Seleccione la celda en la comumna B con el nombre del proyecto")))</f>
        <v>Alerta: Seleccione la celda en la comumna B con el nombre del proyecto</v>
      </c>
      <c r="AN757" s="633"/>
      <c r="AO757" s="633"/>
      <c r="AP757" s="634" t="str">
        <f>IFERROR(VLOOKUP(J757,Listas!$A$182:$E$215,5,FALSE),"Alerta: Seleccione la celda en la comumna B con el nombre del proyecto")</f>
        <v>Alerta: Seleccione la celda en la comumna B con el nombre del proyecto</v>
      </c>
      <c r="AQ757" s="634" t="str">
        <f>IF(J757="Funcionamiento Gastos Generales","No aplica",IF(J757="Funcionamiento Servicios Personales","No aplica",IFERROR(VLOOKUP(J757,Listas!$A$220:$D$224,4,FALSE),"Alerta: Seleccione la celda en la comumna B con el nombre del proyecto")))</f>
        <v>Alerta: Seleccione la celda en la comumna B con el nombre del proyecto</v>
      </c>
      <c r="AR757" s="633"/>
      <c r="AS757" s="634" t="str">
        <f>IFERROR(VLOOKUP(AU757,Listas!$E$85:$L$105,7,FALSE),"Alerta: Seleccione la celda en la comumna AI con el concepto de gasto")</f>
        <v>Alerta: Seleccione la celda en la comumna AI con el concepto de gasto</v>
      </c>
      <c r="AT757" s="634" t="str">
        <f>IFERROR(VLOOKUP(AU757,Listas!$E$85:$L$105,8,FALSE),"Alerta: Seleccione la celda en la comumna AI con el concepto de gasto")</f>
        <v>Alerta: Seleccione la celda en la comumna AI con el concepto de gasto</v>
      </c>
      <c r="AU757" s="633"/>
      <c r="AV757" s="634" t="str">
        <f>IFERROR(VLOOKUP(AU757,Listas!$E$85:$F$105,2,FALSE),"Alerta: Seleccione el Concepto de Gasto primero")</f>
        <v>Alerta: Seleccione el Concepto de Gasto primero</v>
      </c>
      <c r="AW757" s="644"/>
      <c r="AX757" s="645"/>
      <c r="AY757" s="645"/>
      <c r="AZ757" s="645"/>
      <c r="BA757" s="646">
        <f t="shared" si="237"/>
        <v>0</v>
      </c>
      <c r="BB757" s="647"/>
      <c r="BC757" s="648"/>
      <c r="BD757" s="649"/>
      <c r="BE757" s="647"/>
      <c r="BF757" s="644"/>
      <c r="BG757" s="646">
        <f t="shared" si="238"/>
        <v>0</v>
      </c>
      <c r="BH757" s="650"/>
      <c r="BI757" s="647"/>
      <c r="BJ757" s="644"/>
      <c r="BK757" s="646">
        <f t="shared" si="239"/>
        <v>0</v>
      </c>
      <c r="BL757" s="651"/>
      <c r="BM757" s="652">
        <f t="shared" si="240"/>
        <v>1</v>
      </c>
      <c r="BN757" s="628"/>
      <c r="BO757" s="670"/>
      <c r="BP757" s="644"/>
      <c r="BQ757" s="644"/>
      <c r="BR757" s="644"/>
      <c r="BS757" s="644"/>
      <c r="BT757" s="644"/>
      <c r="BU757" s="644"/>
      <c r="BV757" s="644"/>
      <c r="BW757" s="644"/>
      <c r="BX757" s="644"/>
      <c r="BY757" s="644"/>
      <c r="BZ757" s="644"/>
      <c r="CA757" s="644"/>
      <c r="CB757" s="646">
        <f t="shared" si="241"/>
        <v>0</v>
      </c>
      <c r="CC757" s="646">
        <f t="shared" si="242"/>
        <v>0</v>
      </c>
      <c r="CD757" s="614"/>
    </row>
    <row r="758" spans="1:82" s="561" customFormat="1" ht="61.5" customHeight="1">
      <c r="A758" s="625" t="str">
        <f t="shared" si="224"/>
        <v>proyecto-Alerta: Seleccione la celda en la comumna B con el nombre del proyecto-Al-Al--</v>
      </c>
      <c r="B758" s="626" t="str">
        <f t="shared" si="225"/>
        <v>proyecto-Alerta: Seleccione la celda en la comumna B con el nombre del proyecto-Al-Al-</v>
      </c>
      <c r="C758" s="626" t="str">
        <f t="shared" si="226"/>
        <v>proyecto-Alerta: Seleccione la celda en la comumna B con el nombre del proyecto-</v>
      </c>
      <c r="D758" s="626" t="str">
        <f t="shared" si="227"/>
        <v>proyecto--Al-Al-</v>
      </c>
      <c r="E758" s="626" t="str">
        <f t="shared" si="228"/>
        <v>--</v>
      </c>
      <c r="F758" s="627"/>
      <c r="G758" s="628">
        <f t="shared" si="229"/>
        <v>0</v>
      </c>
      <c r="H758" s="629" t="b">
        <f t="shared" si="230"/>
        <v>1</v>
      </c>
      <c r="I758" s="630"/>
      <c r="J758" s="627"/>
      <c r="K758" s="631" t="str">
        <f>+IFERROR(VLOOKUP(J758,Listas!$A$108:$B$114,2,FALSE),"Alerta: Seleccione la celda en la comumna B con el nombre del proyecto")</f>
        <v>Alerta: Seleccione la celda en la comumna B con el nombre del proyecto</v>
      </c>
      <c r="L758" s="632"/>
      <c r="M758" s="633"/>
      <c r="N758" s="634" t="str">
        <f t="shared" si="231"/>
        <v xml:space="preserve">(Cód. ) </v>
      </c>
      <c r="O758" s="635"/>
      <c r="P758" s="636">
        <f>IFERROR(VLOOKUP(W758,'Estimación CRP'!$D$21:$E$30,2,FALSE),0)</f>
        <v>0</v>
      </c>
      <c r="Q758" s="637">
        <f>IF(O758="No aplica","No aplica",WORKDAY.INTL(O758,P758,1,'Estimación CRP'!A944:A960))</f>
        <v>0</v>
      </c>
      <c r="R758" s="636">
        <f t="shared" si="232"/>
        <v>1</v>
      </c>
      <c r="S758" s="636">
        <f t="shared" si="233"/>
        <v>1</v>
      </c>
      <c r="T758" s="636">
        <f t="shared" si="234"/>
        <v>1</v>
      </c>
      <c r="U758" s="638"/>
      <c r="V758" s="638"/>
      <c r="W758" s="639"/>
      <c r="X758" s="640" t="str">
        <f>IFERROR(VLOOKUP(W758,Listas!$A$60:$B$73,2,FALSE),"Alerta: Seleccione primero Modalidad de selección")</f>
        <v>Alerta: Seleccione primero Modalidad de selección</v>
      </c>
      <c r="Y758" s="641">
        <v>0</v>
      </c>
      <c r="Z758" s="641"/>
      <c r="AA758" s="641"/>
      <c r="AB758" s="642">
        <f t="shared" si="235"/>
        <v>0</v>
      </c>
      <c r="AC758" s="642">
        <f t="shared" si="236"/>
        <v>0</v>
      </c>
      <c r="AD758" s="641">
        <v>0</v>
      </c>
      <c r="AE758" s="643">
        <v>0</v>
      </c>
      <c r="AF758" s="639" t="s">
        <v>276</v>
      </c>
      <c r="AG758" s="639" t="s">
        <v>277</v>
      </c>
      <c r="AH758" s="639"/>
      <c r="AI758" s="626" t="str">
        <f>IFERROR(VLOOKUP(AH758,Listas!$A$77:$C$83,2,FALSE),"Alerta: Seleccione primero el responsable")</f>
        <v>Alerta: Seleccione primero el responsable</v>
      </c>
      <c r="AJ758" s="640" t="str">
        <f>IFERROR(VLOOKUP(AH758,Listas!$A$77:$C$83,3,FALSE),"Alerta: Seleccione primero el responsable")</f>
        <v>Alerta: Seleccione primero el responsable</v>
      </c>
      <c r="AK758" s="640" t="str">
        <f>IF(J758="Funcionamiento Gastos Generales","No aplica",IF(J758="Funcionamiento Servicios Personales indirectos","No aplica",IFERROR(VLOOKUP(J758,Listas!$A$127:$E$139,3,FALSE),"Alerta: Seleccione la celda en la comumna B con el nombre del proyecto")))</f>
        <v>Alerta: Seleccione la celda en la comumna B con el nombre del proyecto</v>
      </c>
      <c r="AL758" s="640" t="str">
        <f>IF(J758="Funcionamiento Gastos Generales","No aplica",IF(J758="Funcionamiento Servicios Personales","No aplica",IFERROR(VLOOKUP(J758,Listas!$A$220:$D$224,2,FALSE),"Alerta: Seleccione la celda en la comumna B con el nombre del proyecto")))</f>
        <v>Alerta: Seleccione la celda en la comumna B con el nombre del proyecto</v>
      </c>
      <c r="AM758" s="640" t="str">
        <f>IF(J758="Funcionamiento Gastos Generales","No aplica",IF(J758="Funcionamiento Servicios Personales","No aplica",IFERROR(VLOOKUP(J758,Listas!$A$220:$D$224,3,FALSE),"Alerta: Seleccione la celda en la comumna B con el nombre del proyecto")))</f>
        <v>Alerta: Seleccione la celda en la comumna B con el nombre del proyecto</v>
      </c>
      <c r="AN758" s="633"/>
      <c r="AO758" s="633"/>
      <c r="AP758" s="634" t="str">
        <f>IFERROR(VLOOKUP(J758,Listas!$A$182:$E$215,5,FALSE),"Alerta: Seleccione la celda en la comumna B con el nombre del proyecto")</f>
        <v>Alerta: Seleccione la celda en la comumna B con el nombre del proyecto</v>
      </c>
      <c r="AQ758" s="634" t="str">
        <f>IF(J758="Funcionamiento Gastos Generales","No aplica",IF(J758="Funcionamiento Servicios Personales","No aplica",IFERROR(VLOOKUP(J758,Listas!$A$220:$D$224,4,FALSE),"Alerta: Seleccione la celda en la comumna B con el nombre del proyecto")))</f>
        <v>Alerta: Seleccione la celda en la comumna B con el nombre del proyecto</v>
      </c>
      <c r="AR758" s="633"/>
      <c r="AS758" s="634" t="str">
        <f>IFERROR(VLOOKUP(AU758,Listas!$E$85:$L$105,7,FALSE),"Alerta: Seleccione la celda en la comumna AI con el concepto de gasto")</f>
        <v>Alerta: Seleccione la celda en la comumna AI con el concepto de gasto</v>
      </c>
      <c r="AT758" s="634" t="str">
        <f>IFERROR(VLOOKUP(AU758,Listas!$E$85:$L$105,8,FALSE),"Alerta: Seleccione la celda en la comumna AI con el concepto de gasto")</f>
        <v>Alerta: Seleccione la celda en la comumna AI con el concepto de gasto</v>
      </c>
      <c r="AU758" s="633"/>
      <c r="AV758" s="634" t="str">
        <f>IFERROR(VLOOKUP(AU758,Listas!$E$85:$F$105,2,FALSE),"Alerta: Seleccione el Concepto de Gasto primero")</f>
        <v>Alerta: Seleccione el Concepto de Gasto primero</v>
      </c>
      <c r="AW758" s="644"/>
      <c r="AX758" s="645"/>
      <c r="AY758" s="645"/>
      <c r="AZ758" s="645"/>
      <c r="BA758" s="646">
        <f t="shared" si="237"/>
        <v>0</v>
      </c>
      <c r="BB758" s="647"/>
      <c r="BC758" s="648"/>
      <c r="BD758" s="649"/>
      <c r="BE758" s="647"/>
      <c r="BF758" s="644"/>
      <c r="BG758" s="646">
        <f t="shared" si="238"/>
        <v>0</v>
      </c>
      <c r="BH758" s="650"/>
      <c r="BI758" s="647"/>
      <c r="BJ758" s="644"/>
      <c r="BK758" s="646">
        <f t="shared" si="239"/>
        <v>0</v>
      </c>
      <c r="BL758" s="651"/>
      <c r="BM758" s="652">
        <f t="shared" si="240"/>
        <v>1</v>
      </c>
      <c r="BN758" s="628"/>
      <c r="BO758" s="670"/>
      <c r="BP758" s="644"/>
      <c r="BQ758" s="644"/>
      <c r="BR758" s="644"/>
      <c r="BS758" s="644"/>
      <c r="BT758" s="644"/>
      <c r="BU758" s="644"/>
      <c r="BV758" s="644"/>
      <c r="BW758" s="644"/>
      <c r="BX758" s="644"/>
      <c r="BY758" s="644"/>
      <c r="BZ758" s="644"/>
      <c r="CA758" s="644"/>
      <c r="CB758" s="646">
        <f t="shared" si="241"/>
        <v>0</v>
      </c>
      <c r="CC758" s="646">
        <f t="shared" si="242"/>
        <v>0</v>
      </c>
      <c r="CD758" s="614"/>
    </row>
    <row r="759" spans="1:82" s="561" customFormat="1" ht="61.5" customHeight="1">
      <c r="A759" s="625" t="str">
        <f t="shared" si="224"/>
        <v>proyecto-Alerta: Seleccione la celda en la comumna B con el nombre del proyecto-Al-Al--</v>
      </c>
      <c r="B759" s="626" t="str">
        <f t="shared" si="225"/>
        <v>proyecto-Alerta: Seleccione la celda en la comumna B con el nombre del proyecto-Al-Al-</v>
      </c>
      <c r="C759" s="626" t="str">
        <f t="shared" si="226"/>
        <v>proyecto-Alerta: Seleccione la celda en la comumna B con el nombre del proyecto-</v>
      </c>
      <c r="D759" s="626" t="str">
        <f t="shared" si="227"/>
        <v>proyecto--Al-Al-</v>
      </c>
      <c r="E759" s="626" t="str">
        <f t="shared" si="228"/>
        <v>--</v>
      </c>
      <c r="F759" s="627"/>
      <c r="G759" s="628">
        <f t="shared" si="229"/>
        <v>0</v>
      </c>
      <c r="H759" s="629" t="b">
        <f t="shared" si="230"/>
        <v>1</v>
      </c>
      <c r="I759" s="630"/>
      <c r="J759" s="627"/>
      <c r="K759" s="631" t="str">
        <f>+IFERROR(VLOOKUP(J759,Listas!$A$108:$B$114,2,FALSE),"Alerta: Seleccione la celda en la comumna B con el nombre del proyecto")</f>
        <v>Alerta: Seleccione la celda en la comumna B con el nombre del proyecto</v>
      </c>
      <c r="L759" s="632"/>
      <c r="M759" s="633"/>
      <c r="N759" s="634" t="str">
        <f t="shared" si="231"/>
        <v xml:space="preserve">(Cód. ) </v>
      </c>
      <c r="O759" s="635"/>
      <c r="P759" s="636">
        <f>IFERROR(VLOOKUP(W759,'Estimación CRP'!$D$21:$E$30,2,FALSE),0)</f>
        <v>0</v>
      </c>
      <c r="Q759" s="637">
        <f>IF(O759="No aplica","No aplica",WORKDAY.INTL(O759,P759,1,'Estimación CRP'!A945:A961))</f>
        <v>0</v>
      </c>
      <c r="R759" s="636">
        <f t="shared" si="232"/>
        <v>1</v>
      </c>
      <c r="S759" s="636">
        <f t="shared" si="233"/>
        <v>1</v>
      </c>
      <c r="T759" s="636">
        <f t="shared" si="234"/>
        <v>1</v>
      </c>
      <c r="U759" s="638"/>
      <c r="V759" s="638"/>
      <c r="W759" s="639"/>
      <c r="X759" s="640" t="str">
        <f>IFERROR(VLOOKUP(W759,Listas!$A$60:$B$73,2,FALSE),"Alerta: Seleccione primero Modalidad de selección")</f>
        <v>Alerta: Seleccione primero Modalidad de selección</v>
      </c>
      <c r="Y759" s="641">
        <v>0</v>
      </c>
      <c r="Z759" s="641"/>
      <c r="AA759" s="641"/>
      <c r="AB759" s="642">
        <f t="shared" si="235"/>
        <v>0</v>
      </c>
      <c r="AC759" s="642">
        <f t="shared" si="236"/>
        <v>0</v>
      </c>
      <c r="AD759" s="641">
        <v>0</v>
      </c>
      <c r="AE759" s="643">
        <v>0</v>
      </c>
      <c r="AF759" s="639" t="s">
        <v>276</v>
      </c>
      <c r="AG759" s="639" t="s">
        <v>277</v>
      </c>
      <c r="AH759" s="639"/>
      <c r="AI759" s="626" t="str">
        <f>IFERROR(VLOOKUP(AH759,Listas!$A$77:$C$83,2,FALSE),"Alerta: Seleccione primero el responsable")</f>
        <v>Alerta: Seleccione primero el responsable</v>
      </c>
      <c r="AJ759" s="640" t="str">
        <f>IFERROR(VLOOKUP(AH759,Listas!$A$77:$C$83,3,FALSE),"Alerta: Seleccione primero el responsable")</f>
        <v>Alerta: Seleccione primero el responsable</v>
      </c>
      <c r="AK759" s="640" t="str">
        <f>IF(J759="Funcionamiento Gastos Generales","No aplica",IF(J759="Funcionamiento Servicios Personales indirectos","No aplica",IFERROR(VLOOKUP(J759,Listas!$A$127:$E$139,3,FALSE),"Alerta: Seleccione la celda en la comumna B con el nombre del proyecto")))</f>
        <v>Alerta: Seleccione la celda en la comumna B con el nombre del proyecto</v>
      </c>
      <c r="AL759" s="640" t="str">
        <f>IF(J759="Funcionamiento Gastos Generales","No aplica",IF(J759="Funcionamiento Servicios Personales","No aplica",IFERROR(VLOOKUP(J759,Listas!$A$220:$D$224,2,FALSE),"Alerta: Seleccione la celda en la comumna B con el nombre del proyecto")))</f>
        <v>Alerta: Seleccione la celda en la comumna B con el nombre del proyecto</v>
      </c>
      <c r="AM759" s="640" t="str">
        <f>IF(J759="Funcionamiento Gastos Generales","No aplica",IF(J759="Funcionamiento Servicios Personales","No aplica",IFERROR(VLOOKUP(J759,Listas!$A$220:$D$224,3,FALSE),"Alerta: Seleccione la celda en la comumna B con el nombre del proyecto")))</f>
        <v>Alerta: Seleccione la celda en la comumna B con el nombre del proyecto</v>
      </c>
      <c r="AN759" s="633"/>
      <c r="AO759" s="633"/>
      <c r="AP759" s="634" t="str">
        <f>IFERROR(VLOOKUP(J759,Listas!$A$182:$E$215,5,FALSE),"Alerta: Seleccione la celda en la comumna B con el nombre del proyecto")</f>
        <v>Alerta: Seleccione la celda en la comumna B con el nombre del proyecto</v>
      </c>
      <c r="AQ759" s="634" t="str">
        <f>IF(J759="Funcionamiento Gastos Generales","No aplica",IF(J759="Funcionamiento Servicios Personales","No aplica",IFERROR(VLOOKUP(J759,Listas!$A$220:$D$224,4,FALSE),"Alerta: Seleccione la celda en la comumna B con el nombre del proyecto")))</f>
        <v>Alerta: Seleccione la celda en la comumna B con el nombre del proyecto</v>
      </c>
      <c r="AR759" s="633"/>
      <c r="AS759" s="634" t="str">
        <f>IFERROR(VLOOKUP(AU759,Listas!$E$85:$L$105,7,FALSE),"Alerta: Seleccione la celda en la comumna AI con el concepto de gasto")</f>
        <v>Alerta: Seleccione la celda en la comumna AI con el concepto de gasto</v>
      </c>
      <c r="AT759" s="634" t="str">
        <f>IFERROR(VLOOKUP(AU759,Listas!$E$85:$L$105,8,FALSE),"Alerta: Seleccione la celda en la comumna AI con el concepto de gasto")</f>
        <v>Alerta: Seleccione la celda en la comumna AI con el concepto de gasto</v>
      </c>
      <c r="AU759" s="633"/>
      <c r="AV759" s="634" t="str">
        <f>IFERROR(VLOOKUP(AU759,Listas!$E$85:$F$105,2,FALSE),"Alerta: Seleccione el Concepto de Gasto primero")</f>
        <v>Alerta: Seleccione el Concepto de Gasto primero</v>
      </c>
      <c r="AW759" s="644"/>
      <c r="AX759" s="645"/>
      <c r="AY759" s="645"/>
      <c r="AZ759" s="645"/>
      <c r="BA759" s="646">
        <f t="shared" si="237"/>
        <v>0</v>
      </c>
      <c r="BB759" s="647"/>
      <c r="BC759" s="648"/>
      <c r="BD759" s="649"/>
      <c r="BE759" s="647"/>
      <c r="BF759" s="644"/>
      <c r="BG759" s="646">
        <f t="shared" si="238"/>
        <v>0</v>
      </c>
      <c r="BH759" s="650"/>
      <c r="BI759" s="647"/>
      <c r="BJ759" s="644"/>
      <c r="BK759" s="646">
        <f t="shared" si="239"/>
        <v>0</v>
      </c>
      <c r="BL759" s="651"/>
      <c r="BM759" s="652">
        <f t="shared" si="240"/>
        <v>1</v>
      </c>
      <c r="BN759" s="628"/>
      <c r="BO759" s="670"/>
      <c r="BP759" s="644"/>
      <c r="BQ759" s="644"/>
      <c r="BR759" s="644"/>
      <c r="BS759" s="644"/>
      <c r="BT759" s="644"/>
      <c r="BU759" s="644"/>
      <c r="BV759" s="644"/>
      <c r="BW759" s="644"/>
      <c r="BX759" s="644"/>
      <c r="BY759" s="644"/>
      <c r="BZ759" s="644"/>
      <c r="CA759" s="644"/>
      <c r="CB759" s="646">
        <f t="shared" si="241"/>
        <v>0</v>
      </c>
      <c r="CC759" s="646">
        <f t="shared" si="242"/>
        <v>0</v>
      </c>
      <c r="CD759" s="614"/>
    </row>
    <row r="760" spans="1:82" s="561" customFormat="1" ht="61.5" customHeight="1">
      <c r="A760" s="625" t="str">
        <f t="shared" si="224"/>
        <v>proyecto-Alerta: Seleccione la celda en la comumna B con el nombre del proyecto-Al-Al--</v>
      </c>
      <c r="B760" s="626" t="str">
        <f t="shared" si="225"/>
        <v>proyecto-Alerta: Seleccione la celda en la comumna B con el nombre del proyecto-Al-Al-</v>
      </c>
      <c r="C760" s="626" t="str">
        <f t="shared" si="226"/>
        <v>proyecto-Alerta: Seleccione la celda en la comumna B con el nombre del proyecto-</v>
      </c>
      <c r="D760" s="626" t="str">
        <f t="shared" si="227"/>
        <v>proyecto--Al-Al-</v>
      </c>
      <c r="E760" s="626" t="str">
        <f t="shared" si="228"/>
        <v>--</v>
      </c>
      <c r="F760" s="627"/>
      <c r="G760" s="628">
        <f t="shared" si="229"/>
        <v>0</v>
      </c>
      <c r="H760" s="629" t="b">
        <f t="shared" si="230"/>
        <v>1</v>
      </c>
      <c r="I760" s="630"/>
      <c r="J760" s="627"/>
      <c r="K760" s="631" t="str">
        <f>+IFERROR(VLOOKUP(J760,Listas!$A$108:$B$114,2,FALSE),"Alerta: Seleccione la celda en la comumna B con el nombre del proyecto")</f>
        <v>Alerta: Seleccione la celda en la comumna B con el nombre del proyecto</v>
      </c>
      <c r="L760" s="632"/>
      <c r="M760" s="633"/>
      <c r="N760" s="634" t="str">
        <f t="shared" si="231"/>
        <v xml:space="preserve">(Cód. ) </v>
      </c>
      <c r="O760" s="635"/>
      <c r="P760" s="636">
        <f>IFERROR(VLOOKUP(W760,'Estimación CRP'!$D$21:$E$30,2,FALSE),0)</f>
        <v>0</v>
      </c>
      <c r="Q760" s="637">
        <f>IF(O760="No aplica","No aplica",WORKDAY.INTL(O760,P760,1,'Estimación CRP'!A946:A962))</f>
        <v>0</v>
      </c>
      <c r="R760" s="636">
        <f t="shared" si="232"/>
        <v>1</v>
      </c>
      <c r="S760" s="636">
        <f t="shared" si="233"/>
        <v>1</v>
      </c>
      <c r="T760" s="636">
        <f t="shared" si="234"/>
        <v>1</v>
      </c>
      <c r="U760" s="638"/>
      <c r="V760" s="638"/>
      <c r="W760" s="639"/>
      <c r="X760" s="640" t="str">
        <f>IFERROR(VLOOKUP(W760,Listas!$A$60:$B$73,2,FALSE),"Alerta: Seleccione primero Modalidad de selección")</f>
        <v>Alerta: Seleccione primero Modalidad de selección</v>
      </c>
      <c r="Y760" s="641">
        <v>0</v>
      </c>
      <c r="Z760" s="641"/>
      <c r="AA760" s="641"/>
      <c r="AB760" s="642">
        <f t="shared" si="235"/>
        <v>0</v>
      </c>
      <c r="AC760" s="642">
        <f t="shared" si="236"/>
        <v>0</v>
      </c>
      <c r="AD760" s="641">
        <v>0</v>
      </c>
      <c r="AE760" s="643">
        <v>0</v>
      </c>
      <c r="AF760" s="639" t="s">
        <v>276</v>
      </c>
      <c r="AG760" s="639" t="s">
        <v>277</v>
      </c>
      <c r="AH760" s="639"/>
      <c r="AI760" s="626" t="str">
        <f>IFERROR(VLOOKUP(AH760,Listas!$A$77:$C$83,2,FALSE),"Alerta: Seleccione primero el responsable")</f>
        <v>Alerta: Seleccione primero el responsable</v>
      </c>
      <c r="AJ760" s="640" t="str">
        <f>IFERROR(VLOOKUP(AH760,Listas!$A$77:$C$83,3,FALSE),"Alerta: Seleccione primero el responsable")</f>
        <v>Alerta: Seleccione primero el responsable</v>
      </c>
      <c r="AK760" s="640" t="str">
        <f>IF(J760="Funcionamiento Gastos Generales","No aplica",IF(J760="Funcionamiento Servicios Personales indirectos","No aplica",IFERROR(VLOOKUP(J760,Listas!$A$127:$E$139,3,FALSE),"Alerta: Seleccione la celda en la comumna B con el nombre del proyecto")))</f>
        <v>Alerta: Seleccione la celda en la comumna B con el nombre del proyecto</v>
      </c>
      <c r="AL760" s="640" t="str">
        <f>IF(J760="Funcionamiento Gastos Generales","No aplica",IF(J760="Funcionamiento Servicios Personales","No aplica",IFERROR(VLOOKUP(J760,Listas!$A$220:$D$224,2,FALSE),"Alerta: Seleccione la celda en la comumna B con el nombre del proyecto")))</f>
        <v>Alerta: Seleccione la celda en la comumna B con el nombre del proyecto</v>
      </c>
      <c r="AM760" s="640" t="str">
        <f>IF(J760="Funcionamiento Gastos Generales","No aplica",IF(J760="Funcionamiento Servicios Personales","No aplica",IFERROR(VLOOKUP(J760,Listas!$A$220:$D$224,3,FALSE),"Alerta: Seleccione la celda en la comumna B con el nombre del proyecto")))</f>
        <v>Alerta: Seleccione la celda en la comumna B con el nombre del proyecto</v>
      </c>
      <c r="AN760" s="633"/>
      <c r="AO760" s="633"/>
      <c r="AP760" s="634" t="str">
        <f>IFERROR(VLOOKUP(J760,Listas!$A$182:$E$215,5,FALSE),"Alerta: Seleccione la celda en la comumna B con el nombre del proyecto")</f>
        <v>Alerta: Seleccione la celda en la comumna B con el nombre del proyecto</v>
      </c>
      <c r="AQ760" s="634" t="str">
        <f>IF(J760="Funcionamiento Gastos Generales","No aplica",IF(J760="Funcionamiento Servicios Personales","No aplica",IFERROR(VLOOKUP(J760,Listas!$A$220:$D$224,4,FALSE),"Alerta: Seleccione la celda en la comumna B con el nombre del proyecto")))</f>
        <v>Alerta: Seleccione la celda en la comumna B con el nombre del proyecto</v>
      </c>
      <c r="AR760" s="633"/>
      <c r="AS760" s="634" t="str">
        <f>IFERROR(VLOOKUP(AU760,Listas!$E$85:$L$105,7,FALSE),"Alerta: Seleccione la celda en la comumna AI con el concepto de gasto")</f>
        <v>Alerta: Seleccione la celda en la comumna AI con el concepto de gasto</v>
      </c>
      <c r="AT760" s="634" t="str">
        <f>IFERROR(VLOOKUP(AU760,Listas!$E$85:$L$105,8,FALSE),"Alerta: Seleccione la celda en la comumna AI con el concepto de gasto")</f>
        <v>Alerta: Seleccione la celda en la comumna AI con el concepto de gasto</v>
      </c>
      <c r="AU760" s="633"/>
      <c r="AV760" s="634" t="str">
        <f>IFERROR(VLOOKUP(AU760,Listas!$E$85:$F$105,2,FALSE),"Alerta: Seleccione el Concepto de Gasto primero")</f>
        <v>Alerta: Seleccione el Concepto de Gasto primero</v>
      </c>
      <c r="AW760" s="644"/>
      <c r="AX760" s="645"/>
      <c r="AY760" s="645"/>
      <c r="AZ760" s="645"/>
      <c r="BA760" s="646">
        <f t="shared" si="237"/>
        <v>0</v>
      </c>
      <c r="BB760" s="647"/>
      <c r="BC760" s="648"/>
      <c r="BD760" s="649"/>
      <c r="BE760" s="647"/>
      <c r="BF760" s="644"/>
      <c r="BG760" s="646">
        <f t="shared" si="238"/>
        <v>0</v>
      </c>
      <c r="BH760" s="650"/>
      <c r="BI760" s="647"/>
      <c r="BJ760" s="644"/>
      <c r="BK760" s="646">
        <f t="shared" si="239"/>
        <v>0</v>
      </c>
      <c r="BL760" s="651"/>
      <c r="BM760" s="652">
        <f t="shared" si="240"/>
        <v>1</v>
      </c>
      <c r="BN760" s="628"/>
      <c r="BO760" s="670"/>
      <c r="BP760" s="644"/>
      <c r="BQ760" s="644"/>
      <c r="BR760" s="644"/>
      <c r="BS760" s="644"/>
      <c r="BT760" s="644"/>
      <c r="BU760" s="644"/>
      <c r="BV760" s="644"/>
      <c r="BW760" s="644"/>
      <c r="BX760" s="644"/>
      <c r="BY760" s="644"/>
      <c r="BZ760" s="644"/>
      <c r="CA760" s="644"/>
      <c r="CB760" s="646">
        <f t="shared" si="241"/>
        <v>0</v>
      </c>
      <c r="CC760" s="646">
        <f t="shared" si="242"/>
        <v>0</v>
      </c>
      <c r="CD760" s="614"/>
    </row>
    <row r="761" spans="1:82" s="561" customFormat="1" ht="61.5" customHeight="1">
      <c r="A761" s="625" t="str">
        <f t="shared" si="224"/>
        <v>proyecto-Alerta: Seleccione la celda en la comumna B con el nombre del proyecto-Al-Al--</v>
      </c>
      <c r="B761" s="626" t="str">
        <f t="shared" si="225"/>
        <v>proyecto-Alerta: Seleccione la celda en la comumna B con el nombre del proyecto-Al-Al-</v>
      </c>
      <c r="C761" s="626" t="str">
        <f t="shared" si="226"/>
        <v>proyecto-Alerta: Seleccione la celda en la comumna B con el nombre del proyecto-</v>
      </c>
      <c r="D761" s="626" t="str">
        <f t="shared" si="227"/>
        <v>proyecto--Al-Al-</v>
      </c>
      <c r="E761" s="626" t="str">
        <f t="shared" si="228"/>
        <v>--</v>
      </c>
      <c r="F761" s="627"/>
      <c r="G761" s="628">
        <f t="shared" si="229"/>
        <v>0</v>
      </c>
      <c r="H761" s="629" t="b">
        <f t="shared" si="230"/>
        <v>1</v>
      </c>
      <c r="I761" s="630"/>
      <c r="J761" s="627"/>
      <c r="K761" s="631" t="str">
        <f>+IFERROR(VLOOKUP(J761,Listas!$A$108:$B$114,2,FALSE),"Alerta: Seleccione la celda en la comumna B con el nombre del proyecto")</f>
        <v>Alerta: Seleccione la celda en la comumna B con el nombre del proyecto</v>
      </c>
      <c r="L761" s="632"/>
      <c r="M761" s="633"/>
      <c r="N761" s="634" t="str">
        <f t="shared" si="231"/>
        <v xml:space="preserve">(Cód. ) </v>
      </c>
      <c r="O761" s="635"/>
      <c r="P761" s="636">
        <f>IFERROR(VLOOKUP(W761,'Estimación CRP'!$D$21:$E$30,2,FALSE),0)</f>
        <v>0</v>
      </c>
      <c r="Q761" s="637">
        <f>IF(O761="No aplica","No aplica",WORKDAY.INTL(O761,P761,1,'Estimación CRP'!A947:A963))</f>
        <v>0</v>
      </c>
      <c r="R761" s="636">
        <f t="shared" si="232"/>
        <v>1</v>
      </c>
      <c r="S761" s="636">
        <f t="shared" si="233"/>
        <v>1</v>
      </c>
      <c r="T761" s="636">
        <f t="shared" si="234"/>
        <v>1</v>
      </c>
      <c r="U761" s="638"/>
      <c r="V761" s="638"/>
      <c r="W761" s="639"/>
      <c r="X761" s="640" t="str">
        <f>IFERROR(VLOOKUP(W761,Listas!$A$60:$B$73,2,FALSE),"Alerta: Seleccione primero Modalidad de selección")</f>
        <v>Alerta: Seleccione primero Modalidad de selección</v>
      </c>
      <c r="Y761" s="641">
        <v>0</v>
      </c>
      <c r="Z761" s="641"/>
      <c r="AA761" s="641"/>
      <c r="AB761" s="642">
        <f t="shared" si="235"/>
        <v>0</v>
      </c>
      <c r="AC761" s="642">
        <f t="shared" si="236"/>
        <v>0</v>
      </c>
      <c r="AD761" s="641">
        <v>0</v>
      </c>
      <c r="AE761" s="643">
        <v>0</v>
      </c>
      <c r="AF761" s="639" t="s">
        <v>276</v>
      </c>
      <c r="AG761" s="639" t="s">
        <v>277</v>
      </c>
      <c r="AH761" s="639"/>
      <c r="AI761" s="626" t="str">
        <f>IFERROR(VLOOKUP(AH761,Listas!$A$77:$C$83,2,FALSE),"Alerta: Seleccione primero el responsable")</f>
        <v>Alerta: Seleccione primero el responsable</v>
      </c>
      <c r="AJ761" s="640" t="str">
        <f>IFERROR(VLOOKUP(AH761,Listas!$A$77:$C$83,3,FALSE),"Alerta: Seleccione primero el responsable")</f>
        <v>Alerta: Seleccione primero el responsable</v>
      </c>
      <c r="AK761" s="640" t="str">
        <f>IF(J761="Funcionamiento Gastos Generales","No aplica",IF(J761="Funcionamiento Servicios Personales indirectos","No aplica",IFERROR(VLOOKUP(J761,Listas!$A$127:$E$139,3,FALSE),"Alerta: Seleccione la celda en la comumna B con el nombre del proyecto")))</f>
        <v>Alerta: Seleccione la celda en la comumna B con el nombre del proyecto</v>
      </c>
      <c r="AL761" s="640" t="str">
        <f>IF(J761="Funcionamiento Gastos Generales","No aplica",IF(J761="Funcionamiento Servicios Personales","No aplica",IFERROR(VLOOKUP(J761,Listas!$A$220:$D$224,2,FALSE),"Alerta: Seleccione la celda en la comumna B con el nombre del proyecto")))</f>
        <v>Alerta: Seleccione la celda en la comumna B con el nombre del proyecto</v>
      </c>
      <c r="AM761" s="640" t="str">
        <f>IF(J761="Funcionamiento Gastos Generales","No aplica",IF(J761="Funcionamiento Servicios Personales","No aplica",IFERROR(VLOOKUP(J761,Listas!$A$220:$D$224,3,FALSE),"Alerta: Seleccione la celda en la comumna B con el nombre del proyecto")))</f>
        <v>Alerta: Seleccione la celda en la comumna B con el nombre del proyecto</v>
      </c>
      <c r="AN761" s="633"/>
      <c r="AO761" s="633"/>
      <c r="AP761" s="634" t="str">
        <f>IFERROR(VLOOKUP(J761,Listas!$A$182:$E$215,5,FALSE),"Alerta: Seleccione la celda en la comumna B con el nombre del proyecto")</f>
        <v>Alerta: Seleccione la celda en la comumna B con el nombre del proyecto</v>
      </c>
      <c r="AQ761" s="634" t="str">
        <f>IF(J761="Funcionamiento Gastos Generales","No aplica",IF(J761="Funcionamiento Servicios Personales","No aplica",IFERROR(VLOOKUP(J761,Listas!$A$220:$D$224,4,FALSE),"Alerta: Seleccione la celda en la comumna B con el nombre del proyecto")))</f>
        <v>Alerta: Seleccione la celda en la comumna B con el nombre del proyecto</v>
      </c>
      <c r="AR761" s="633"/>
      <c r="AS761" s="634" t="str">
        <f>IFERROR(VLOOKUP(AU761,Listas!$E$85:$L$105,7,FALSE),"Alerta: Seleccione la celda en la comumna AI con el concepto de gasto")</f>
        <v>Alerta: Seleccione la celda en la comumna AI con el concepto de gasto</v>
      </c>
      <c r="AT761" s="634" t="str">
        <f>IFERROR(VLOOKUP(AU761,Listas!$E$85:$L$105,8,FALSE),"Alerta: Seleccione la celda en la comumna AI con el concepto de gasto")</f>
        <v>Alerta: Seleccione la celda en la comumna AI con el concepto de gasto</v>
      </c>
      <c r="AU761" s="633"/>
      <c r="AV761" s="634" t="str">
        <f>IFERROR(VLOOKUP(AU761,Listas!$E$85:$F$105,2,FALSE),"Alerta: Seleccione el Concepto de Gasto primero")</f>
        <v>Alerta: Seleccione el Concepto de Gasto primero</v>
      </c>
      <c r="AW761" s="644"/>
      <c r="AX761" s="645"/>
      <c r="AY761" s="645"/>
      <c r="AZ761" s="645"/>
      <c r="BA761" s="646">
        <f t="shared" si="237"/>
        <v>0</v>
      </c>
      <c r="BB761" s="647"/>
      <c r="BC761" s="648"/>
      <c r="BD761" s="649"/>
      <c r="BE761" s="647"/>
      <c r="BF761" s="644"/>
      <c r="BG761" s="646">
        <f t="shared" si="238"/>
        <v>0</v>
      </c>
      <c r="BH761" s="650"/>
      <c r="BI761" s="647"/>
      <c r="BJ761" s="644"/>
      <c r="BK761" s="646">
        <f t="shared" si="239"/>
        <v>0</v>
      </c>
      <c r="BL761" s="651"/>
      <c r="BM761" s="652">
        <f t="shared" si="240"/>
        <v>1</v>
      </c>
      <c r="BN761" s="628"/>
      <c r="BO761" s="670"/>
      <c r="BP761" s="644"/>
      <c r="BQ761" s="644"/>
      <c r="BR761" s="644"/>
      <c r="BS761" s="644"/>
      <c r="BT761" s="644"/>
      <c r="BU761" s="644"/>
      <c r="BV761" s="644"/>
      <c r="BW761" s="644"/>
      <c r="BX761" s="644"/>
      <c r="BY761" s="644"/>
      <c r="BZ761" s="644"/>
      <c r="CA761" s="644"/>
      <c r="CB761" s="646">
        <f t="shared" si="241"/>
        <v>0</v>
      </c>
      <c r="CC761" s="646">
        <f t="shared" si="242"/>
        <v>0</v>
      </c>
      <c r="CD761" s="614"/>
    </row>
    <row r="762" spans="1:82" s="561" customFormat="1" ht="61.5" customHeight="1">
      <c r="A762" s="625" t="str">
        <f t="shared" si="224"/>
        <v>proyecto-Alerta: Seleccione la celda en la comumna B con el nombre del proyecto-Al-Al--</v>
      </c>
      <c r="B762" s="626" t="str">
        <f t="shared" si="225"/>
        <v>proyecto-Alerta: Seleccione la celda en la comumna B con el nombre del proyecto-Al-Al-</v>
      </c>
      <c r="C762" s="626" t="str">
        <f t="shared" si="226"/>
        <v>proyecto-Alerta: Seleccione la celda en la comumna B con el nombre del proyecto-</v>
      </c>
      <c r="D762" s="626" t="str">
        <f t="shared" si="227"/>
        <v>proyecto--Al-Al-</v>
      </c>
      <c r="E762" s="626" t="str">
        <f t="shared" si="228"/>
        <v>--</v>
      </c>
      <c r="F762" s="627"/>
      <c r="G762" s="628">
        <f t="shared" si="229"/>
        <v>0</v>
      </c>
      <c r="H762" s="629" t="b">
        <f t="shared" si="230"/>
        <v>1</v>
      </c>
      <c r="I762" s="630"/>
      <c r="J762" s="627"/>
      <c r="K762" s="631" t="str">
        <f>+IFERROR(VLOOKUP(J762,Listas!$A$108:$B$114,2,FALSE),"Alerta: Seleccione la celda en la comumna B con el nombre del proyecto")</f>
        <v>Alerta: Seleccione la celda en la comumna B con el nombre del proyecto</v>
      </c>
      <c r="L762" s="632"/>
      <c r="M762" s="633"/>
      <c r="N762" s="634" t="str">
        <f t="shared" si="231"/>
        <v xml:space="preserve">(Cód. ) </v>
      </c>
      <c r="O762" s="635"/>
      <c r="P762" s="636">
        <f>IFERROR(VLOOKUP(W762,'Estimación CRP'!$D$21:$E$30,2,FALSE),0)</f>
        <v>0</v>
      </c>
      <c r="Q762" s="637">
        <f>IF(O762="No aplica","No aplica",WORKDAY.INTL(O762,P762,1,'Estimación CRP'!A948:A964))</f>
        <v>0</v>
      </c>
      <c r="R762" s="636">
        <f t="shared" si="232"/>
        <v>1</v>
      </c>
      <c r="S762" s="636">
        <f t="shared" si="233"/>
        <v>1</v>
      </c>
      <c r="T762" s="636">
        <f t="shared" si="234"/>
        <v>1</v>
      </c>
      <c r="U762" s="638"/>
      <c r="V762" s="638"/>
      <c r="W762" s="639"/>
      <c r="X762" s="640" t="str">
        <f>IFERROR(VLOOKUP(W762,Listas!$A$60:$B$73,2,FALSE),"Alerta: Seleccione primero Modalidad de selección")</f>
        <v>Alerta: Seleccione primero Modalidad de selección</v>
      </c>
      <c r="Y762" s="641">
        <v>0</v>
      </c>
      <c r="Z762" s="641"/>
      <c r="AA762" s="641"/>
      <c r="AB762" s="642">
        <f t="shared" si="235"/>
        <v>0</v>
      </c>
      <c r="AC762" s="642">
        <f t="shared" si="236"/>
        <v>0</v>
      </c>
      <c r="AD762" s="641">
        <v>0</v>
      </c>
      <c r="AE762" s="643">
        <v>0</v>
      </c>
      <c r="AF762" s="639" t="s">
        <v>276</v>
      </c>
      <c r="AG762" s="639" t="s">
        <v>277</v>
      </c>
      <c r="AH762" s="639"/>
      <c r="AI762" s="626" t="str">
        <f>IFERROR(VLOOKUP(AH762,Listas!$A$77:$C$83,2,FALSE),"Alerta: Seleccione primero el responsable")</f>
        <v>Alerta: Seleccione primero el responsable</v>
      </c>
      <c r="AJ762" s="640" t="str">
        <f>IFERROR(VLOOKUP(AH762,Listas!$A$77:$C$83,3,FALSE),"Alerta: Seleccione primero el responsable")</f>
        <v>Alerta: Seleccione primero el responsable</v>
      </c>
      <c r="AK762" s="640" t="str">
        <f>IF(J762="Funcionamiento Gastos Generales","No aplica",IF(J762="Funcionamiento Servicios Personales indirectos","No aplica",IFERROR(VLOOKUP(J762,Listas!$A$127:$E$139,3,FALSE),"Alerta: Seleccione la celda en la comumna B con el nombre del proyecto")))</f>
        <v>Alerta: Seleccione la celda en la comumna B con el nombre del proyecto</v>
      </c>
      <c r="AL762" s="640" t="str">
        <f>IF(J762="Funcionamiento Gastos Generales","No aplica",IF(J762="Funcionamiento Servicios Personales","No aplica",IFERROR(VLOOKUP(J762,Listas!$A$220:$D$224,2,FALSE),"Alerta: Seleccione la celda en la comumna B con el nombre del proyecto")))</f>
        <v>Alerta: Seleccione la celda en la comumna B con el nombre del proyecto</v>
      </c>
      <c r="AM762" s="640" t="str">
        <f>IF(J762="Funcionamiento Gastos Generales","No aplica",IF(J762="Funcionamiento Servicios Personales","No aplica",IFERROR(VLOOKUP(J762,Listas!$A$220:$D$224,3,FALSE),"Alerta: Seleccione la celda en la comumna B con el nombre del proyecto")))</f>
        <v>Alerta: Seleccione la celda en la comumna B con el nombre del proyecto</v>
      </c>
      <c r="AN762" s="633"/>
      <c r="AO762" s="633"/>
      <c r="AP762" s="634" t="str">
        <f>IFERROR(VLOOKUP(J762,Listas!$A$182:$E$215,5,FALSE),"Alerta: Seleccione la celda en la comumna B con el nombre del proyecto")</f>
        <v>Alerta: Seleccione la celda en la comumna B con el nombre del proyecto</v>
      </c>
      <c r="AQ762" s="634" t="str">
        <f>IF(J762="Funcionamiento Gastos Generales","No aplica",IF(J762="Funcionamiento Servicios Personales","No aplica",IFERROR(VLOOKUP(J762,Listas!$A$220:$D$224,4,FALSE),"Alerta: Seleccione la celda en la comumna B con el nombre del proyecto")))</f>
        <v>Alerta: Seleccione la celda en la comumna B con el nombre del proyecto</v>
      </c>
      <c r="AR762" s="633"/>
      <c r="AS762" s="634" t="str">
        <f>IFERROR(VLOOKUP(AU762,Listas!$E$85:$L$105,7,FALSE),"Alerta: Seleccione la celda en la comumna AI con el concepto de gasto")</f>
        <v>Alerta: Seleccione la celda en la comumna AI con el concepto de gasto</v>
      </c>
      <c r="AT762" s="634" t="str">
        <f>IFERROR(VLOOKUP(AU762,Listas!$E$85:$L$105,8,FALSE),"Alerta: Seleccione la celda en la comumna AI con el concepto de gasto")</f>
        <v>Alerta: Seleccione la celda en la comumna AI con el concepto de gasto</v>
      </c>
      <c r="AU762" s="633"/>
      <c r="AV762" s="634" t="str">
        <f>IFERROR(VLOOKUP(AU762,Listas!$E$85:$F$105,2,FALSE),"Alerta: Seleccione el Concepto de Gasto primero")</f>
        <v>Alerta: Seleccione el Concepto de Gasto primero</v>
      </c>
      <c r="AW762" s="644"/>
      <c r="AX762" s="645"/>
      <c r="AY762" s="645"/>
      <c r="AZ762" s="645"/>
      <c r="BA762" s="646">
        <f t="shared" si="237"/>
        <v>0</v>
      </c>
      <c r="BB762" s="647"/>
      <c r="BC762" s="648"/>
      <c r="BD762" s="649"/>
      <c r="BE762" s="647"/>
      <c r="BF762" s="644"/>
      <c r="BG762" s="646">
        <f t="shared" si="238"/>
        <v>0</v>
      </c>
      <c r="BH762" s="650"/>
      <c r="BI762" s="647"/>
      <c r="BJ762" s="644"/>
      <c r="BK762" s="646">
        <f t="shared" si="239"/>
        <v>0</v>
      </c>
      <c r="BL762" s="651"/>
      <c r="BM762" s="652">
        <f t="shared" si="240"/>
        <v>1</v>
      </c>
      <c r="BN762" s="628"/>
      <c r="BO762" s="670"/>
      <c r="BP762" s="644"/>
      <c r="BQ762" s="644"/>
      <c r="BR762" s="644"/>
      <c r="BS762" s="644"/>
      <c r="BT762" s="644"/>
      <c r="BU762" s="644"/>
      <c r="BV762" s="644"/>
      <c r="BW762" s="644"/>
      <c r="BX762" s="644"/>
      <c r="BY762" s="644"/>
      <c r="BZ762" s="644"/>
      <c r="CA762" s="644"/>
      <c r="CB762" s="646">
        <f t="shared" si="241"/>
        <v>0</v>
      </c>
      <c r="CC762" s="646">
        <f t="shared" si="242"/>
        <v>0</v>
      </c>
      <c r="CD762" s="614"/>
    </row>
    <row r="763" spans="1:82" s="561" customFormat="1" ht="61.5" customHeight="1">
      <c r="A763" s="625" t="str">
        <f t="shared" si="224"/>
        <v>proyecto-Alerta: Seleccione la celda en la comumna B con el nombre del proyecto-Al-Al--</v>
      </c>
      <c r="B763" s="626" t="str">
        <f t="shared" si="225"/>
        <v>proyecto-Alerta: Seleccione la celda en la comumna B con el nombre del proyecto-Al-Al-</v>
      </c>
      <c r="C763" s="626" t="str">
        <f t="shared" si="226"/>
        <v>proyecto-Alerta: Seleccione la celda en la comumna B con el nombre del proyecto-</v>
      </c>
      <c r="D763" s="626" t="str">
        <f t="shared" si="227"/>
        <v>proyecto--Al-Al-</v>
      </c>
      <c r="E763" s="626" t="str">
        <f t="shared" si="228"/>
        <v>--</v>
      </c>
      <c r="F763" s="627"/>
      <c r="G763" s="628">
        <f t="shared" si="229"/>
        <v>0</v>
      </c>
      <c r="H763" s="629" t="b">
        <f t="shared" si="230"/>
        <v>1</v>
      </c>
      <c r="I763" s="630"/>
      <c r="J763" s="627"/>
      <c r="K763" s="631" t="str">
        <f>+IFERROR(VLOOKUP(J763,Listas!$A$108:$B$114,2,FALSE),"Alerta: Seleccione la celda en la comumna B con el nombre del proyecto")</f>
        <v>Alerta: Seleccione la celda en la comumna B con el nombre del proyecto</v>
      </c>
      <c r="L763" s="632"/>
      <c r="M763" s="633"/>
      <c r="N763" s="634" t="str">
        <f t="shared" si="231"/>
        <v xml:space="preserve">(Cód. ) </v>
      </c>
      <c r="O763" s="635"/>
      <c r="P763" s="636">
        <f>IFERROR(VLOOKUP(W763,'Estimación CRP'!$D$21:$E$30,2,FALSE),0)</f>
        <v>0</v>
      </c>
      <c r="Q763" s="637">
        <f>IF(O763="No aplica","No aplica",WORKDAY.INTL(O763,P763,1,'Estimación CRP'!A949:A965))</f>
        <v>0</v>
      </c>
      <c r="R763" s="636">
        <f t="shared" si="232"/>
        <v>1</v>
      </c>
      <c r="S763" s="636">
        <f t="shared" si="233"/>
        <v>1</v>
      </c>
      <c r="T763" s="636">
        <f t="shared" si="234"/>
        <v>1</v>
      </c>
      <c r="U763" s="638"/>
      <c r="V763" s="638"/>
      <c r="W763" s="639"/>
      <c r="X763" s="640" t="str">
        <f>IFERROR(VLOOKUP(W763,Listas!$A$60:$B$73,2,FALSE),"Alerta: Seleccione primero Modalidad de selección")</f>
        <v>Alerta: Seleccione primero Modalidad de selección</v>
      </c>
      <c r="Y763" s="641">
        <v>0</v>
      </c>
      <c r="Z763" s="641"/>
      <c r="AA763" s="641"/>
      <c r="AB763" s="642">
        <f t="shared" si="235"/>
        <v>0</v>
      </c>
      <c r="AC763" s="642">
        <f t="shared" si="236"/>
        <v>0</v>
      </c>
      <c r="AD763" s="641">
        <v>0</v>
      </c>
      <c r="AE763" s="643">
        <v>0</v>
      </c>
      <c r="AF763" s="639" t="s">
        <v>276</v>
      </c>
      <c r="AG763" s="639" t="s">
        <v>277</v>
      </c>
      <c r="AH763" s="639"/>
      <c r="AI763" s="626" t="str">
        <f>IFERROR(VLOOKUP(AH763,Listas!$A$77:$C$83,2,FALSE),"Alerta: Seleccione primero el responsable")</f>
        <v>Alerta: Seleccione primero el responsable</v>
      </c>
      <c r="AJ763" s="640" t="str">
        <f>IFERROR(VLOOKUP(AH763,Listas!$A$77:$C$83,3,FALSE),"Alerta: Seleccione primero el responsable")</f>
        <v>Alerta: Seleccione primero el responsable</v>
      </c>
      <c r="AK763" s="640" t="str">
        <f>IF(J763="Funcionamiento Gastos Generales","No aplica",IF(J763="Funcionamiento Servicios Personales indirectos","No aplica",IFERROR(VLOOKUP(J763,Listas!$A$127:$E$139,3,FALSE),"Alerta: Seleccione la celda en la comumna B con el nombre del proyecto")))</f>
        <v>Alerta: Seleccione la celda en la comumna B con el nombre del proyecto</v>
      </c>
      <c r="AL763" s="640" t="str">
        <f>IF(J763="Funcionamiento Gastos Generales","No aplica",IF(J763="Funcionamiento Servicios Personales","No aplica",IFERROR(VLOOKUP(J763,Listas!$A$220:$D$224,2,FALSE),"Alerta: Seleccione la celda en la comumna B con el nombre del proyecto")))</f>
        <v>Alerta: Seleccione la celda en la comumna B con el nombre del proyecto</v>
      </c>
      <c r="AM763" s="640" t="str">
        <f>IF(J763="Funcionamiento Gastos Generales","No aplica",IF(J763="Funcionamiento Servicios Personales","No aplica",IFERROR(VLOOKUP(J763,Listas!$A$220:$D$224,3,FALSE),"Alerta: Seleccione la celda en la comumna B con el nombre del proyecto")))</f>
        <v>Alerta: Seleccione la celda en la comumna B con el nombre del proyecto</v>
      </c>
      <c r="AN763" s="633"/>
      <c r="AO763" s="633"/>
      <c r="AP763" s="634" t="str">
        <f>IFERROR(VLOOKUP(J763,Listas!$A$182:$E$215,5,FALSE),"Alerta: Seleccione la celda en la comumna B con el nombre del proyecto")</f>
        <v>Alerta: Seleccione la celda en la comumna B con el nombre del proyecto</v>
      </c>
      <c r="AQ763" s="634" t="str">
        <f>IF(J763="Funcionamiento Gastos Generales","No aplica",IF(J763="Funcionamiento Servicios Personales","No aplica",IFERROR(VLOOKUP(J763,Listas!$A$220:$D$224,4,FALSE),"Alerta: Seleccione la celda en la comumna B con el nombre del proyecto")))</f>
        <v>Alerta: Seleccione la celda en la comumna B con el nombre del proyecto</v>
      </c>
      <c r="AR763" s="633"/>
      <c r="AS763" s="634" t="str">
        <f>IFERROR(VLOOKUP(AU763,Listas!$E$85:$L$105,7,FALSE),"Alerta: Seleccione la celda en la comumna AI con el concepto de gasto")</f>
        <v>Alerta: Seleccione la celda en la comumna AI con el concepto de gasto</v>
      </c>
      <c r="AT763" s="634" t="str">
        <f>IFERROR(VLOOKUP(AU763,Listas!$E$85:$L$105,8,FALSE),"Alerta: Seleccione la celda en la comumna AI con el concepto de gasto")</f>
        <v>Alerta: Seleccione la celda en la comumna AI con el concepto de gasto</v>
      </c>
      <c r="AU763" s="633"/>
      <c r="AV763" s="634" t="str">
        <f>IFERROR(VLOOKUP(AU763,Listas!$E$85:$F$105,2,FALSE),"Alerta: Seleccione el Concepto de Gasto primero")</f>
        <v>Alerta: Seleccione el Concepto de Gasto primero</v>
      </c>
      <c r="AW763" s="644"/>
      <c r="AX763" s="645"/>
      <c r="AY763" s="645"/>
      <c r="AZ763" s="645"/>
      <c r="BA763" s="646">
        <f t="shared" si="237"/>
        <v>0</v>
      </c>
      <c r="BB763" s="647"/>
      <c r="BC763" s="648"/>
      <c r="BD763" s="649"/>
      <c r="BE763" s="647"/>
      <c r="BF763" s="644"/>
      <c r="BG763" s="646">
        <f t="shared" si="238"/>
        <v>0</v>
      </c>
      <c r="BH763" s="650"/>
      <c r="BI763" s="647"/>
      <c r="BJ763" s="644"/>
      <c r="BK763" s="646">
        <f t="shared" si="239"/>
        <v>0</v>
      </c>
      <c r="BL763" s="651"/>
      <c r="BM763" s="652">
        <f t="shared" si="240"/>
        <v>1</v>
      </c>
      <c r="BN763" s="628"/>
      <c r="BO763" s="670"/>
      <c r="BP763" s="644"/>
      <c r="BQ763" s="644"/>
      <c r="BR763" s="644"/>
      <c r="BS763" s="644"/>
      <c r="BT763" s="644"/>
      <c r="BU763" s="644"/>
      <c r="BV763" s="644"/>
      <c r="BW763" s="644"/>
      <c r="BX763" s="644"/>
      <c r="BY763" s="644"/>
      <c r="BZ763" s="644"/>
      <c r="CA763" s="644"/>
      <c r="CB763" s="646">
        <f t="shared" si="241"/>
        <v>0</v>
      </c>
      <c r="CC763" s="646">
        <f t="shared" si="242"/>
        <v>0</v>
      </c>
      <c r="CD763" s="614"/>
    </row>
    <row r="764" spans="1:82" s="561" customFormat="1" ht="61.5" customHeight="1">
      <c r="A764" s="625" t="str">
        <f t="shared" si="224"/>
        <v>proyecto-Alerta: Seleccione la celda en la comumna B con el nombre del proyecto-Al-Al--</v>
      </c>
      <c r="B764" s="626" t="str">
        <f t="shared" si="225"/>
        <v>proyecto-Alerta: Seleccione la celda en la comumna B con el nombre del proyecto-Al-Al-</v>
      </c>
      <c r="C764" s="626" t="str">
        <f t="shared" si="226"/>
        <v>proyecto-Alerta: Seleccione la celda en la comumna B con el nombre del proyecto-</v>
      </c>
      <c r="D764" s="626" t="str">
        <f t="shared" si="227"/>
        <v>proyecto--Al-Al-</v>
      </c>
      <c r="E764" s="626" t="str">
        <f t="shared" si="228"/>
        <v>--</v>
      </c>
      <c r="F764" s="627"/>
      <c r="G764" s="628">
        <f t="shared" si="229"/>
        <v>0</v>
      </c>
      <c r="H764" s="629" t="b">
        <f t="shared" si="230"/>
        <v>1</v>
      </c>
      <c r="I764" s="630"/>
      <c r="J764" s="627"/>
      <c r="K764" s="631" t="str">
        <f>+IFERROR(VLOOKUP(J764,Listas!$A$108:$B$114,2,FALSE),"Alerta: Seleccione la celda en la comumna B con el nombre del proyecto")</f>
        <v>Alerta: Seleccione la celda en la comumna B con el nombre del proyecto</v>
      </c>
      <c r="L764" s="632"/>
      <c r="M764" s="633"/>
      <c r="N764" s="634" t="str">
        <f t="shared" si="231"/>
        <v xml:space="preserve">(Cód. ) </v>
      </c>
      <c r="O764" s="635"/>
      <c r="P764" s="636">
        <f>IFERROR(VLOOKUP(W764,'Estimación CRP'!$D$21:$E$30,2,FALSE),0)</f>
        <v>0</v>
      </c>
      <c r="Q764" s="637">
        <f>IF(O764="No aplica","No aplica",WORKDAY.INTL(O764,P764,1,'Estimación CRP'!A950:A966))</f>
        <v>0</v>
      </c>
      <c r="R764" s="636">
        <f t="shared" si="232"/>
        <v>1</v>
      </c>
      <c r="S764" s="636">
        <f t="shared" si="233"/>
        <v>1</v>
      </c>
      <c r="T764" s="636">
        <f t="shared" si="234"/>
        <v>1</v>
      </c>
      <c r="U764" s="638"/>
      <c r="V764" s="638"/>
      <c r="W764" s="639"/>
      <c r="X764" s="640" t="str">
        <f>IFERROR(VLOOKUP(W764,Listas!$A$60:$B$73,2,FALSE),"Alerta: Seleccione primero Modalidad de selección")</f>
        <v>Alerta: Seleccione primero Modalidad de selección</v>
      </c>
      <c r="Y764" s="641">
        <v>0</v>
      </c>
      <c r="Z764" s="641"/>
      <c r="AA764" s="641"/>
      <c r="AB764" s="642">
        <f t="shared" si="235"/>
        <v>0</v>
      </c>
      <c r="AC764" s="642">
        <f t="shared" si="236"/>
        <v>0</v>
      </c>
      <c r="AD764" s="641">
        <v>0</v>
      </c>
      <c r="AE764" s="643">
        <v>0</v>
      </c>
      <c r="AF764" s="639" t="s">
        <v>276</v>
      </c>
      <c r="AG764" s="639" t="s">
        <v>277</v>
      </c>
      <c r="AH764" s="639"/>
      <c r="AI764" s="626" t="str">
        <f>IFERROR(VLOOKUP(AH764,Listas!$A$77:$C$83,2,FALSE),"Alerta: Seleccione primero el responsable")</f>
        <v>Alerta: Seleccione primero el responsable</v>
      </c>
      <c r="AJ764" s="640" t="str">
        <f>IFERROR(VLOOKUP(AH764,Listas!$A$77:$C$83,3,FALSE),"Alerta: Seleccione primero el responsable")</f>
        <v>Alerta: Seleccione primero el responsable</v>
      </c>
      <c r="AK764" s="640" t="str">
        <f>IF(J764="Funcionamiento Gastos Generales","No aplica",IF(J764="Funcionamiento Servicios Personales indirectos","No aplica",IFERROR(VLOOKUP(J764,Listas!$A$127:$E$139,3,FALSE),"Alerta: Seleccione la celda en la comumna B con el nombre del proyecto")))</f>
        <v>Alerta: Seleccione la celda en la comumna B con el nombre del proyecto</v>
      </c>
      <c r="AL764" s="640" t="str">
        <f>IF(J764="Funcionamiento Gastos Generales","No aplica",IF(J764="Funcionamiento Servicios Personales","No aplica",IFERROR(VLOOKUP(J764,Listas!$A$220:$D$224,2,FALSE),"Alerta: Seleccione la celda en la comumna B con el nombre del proyecto")))</f>
        <v>Alerta: Seleccione la celda en la comumna B con el nombre del proyecto</v>
      </c>
      <c r="AM764" s="640" t="str">
        <f>IF(J764="Funcionamiento Gastos Generales","No aplica",IF(J764="Funcionamiento Servicios Personales","No aplica",IFERROR(VLOOKUP(J764,Listas!$A$220:$D$224,3,FALSE),"Alerta: Seleccione la celda en la comumna B con el nombre del proyecto")))</f>
        <v>Alerta: Seleccione la celda en la comumna B con el nombre del proyecto</v>
      </c>
      <c r="AN764" s="633"/>
      <c r="AO764" s="633"/>
      <c r="AP764" s="634" t="str">
        <f>IFERROR(VLOOKUP(J764,Listas!$A$182:$E$215,5,FALSE),"Alerta: Seleccione la celda en la comumna B con el nombre del proyecto")</f>
        <v>Alerta: Seleccione la celda en la comumna B con el nombre del proyecto</v>
      </c>
      <c r="AQ764" s="634" t="str">
        <f>IF(J764="Funcionamiento Gastos Generales","No aplica",IF(J764="Funcionamiento Servicios Personales","No aplica",IFERROR(VLOOKUP(J764,Listas!$A$220:$D$224,4,FALSE),"Alerta: Seleccione la celda en la comumna B con el nombre del proyecto")))</f>
        <v>Alerta: Seleccione la celda en la comumna B con el nombre del proyecto</v>
      </c>
      <c r="AR764" s="633"/>
      <c r="AS764" s="634" t="str">
        <f>IFERROR(VLOOKUP(AU764,Listas!$E$85:$L$105,7,FALSE),"Alerta: Seleccione la celda en la comumna AI con el concepto de gasto")</f>
        <v>Alerta: Seleccione la celda en la comumna AI con el concepto de gasto</v>
      </c>
      <c r="AT764" s="634" t="str">
        <f>IFERROR(VLOOKUP(AU764,Listas!$E$85:$L$105,8,FALSE),"Alerta: Seleccione la celda en la comumna AI con el concepto de gasto")</f>
        <v>Alerta: Seleccione la celda en la comumna AI con el concepto de gasto</v>
      </c>
      <c r="AU764" s="633"/>
      <c r="AV764" s="634" t="str">
        <f>IFERROR(VLOOKUP(AU764,Listas!$E$85:$F$105,2,FALSE),"Alerta: Seleccione el Concepto de Gasto primero")</f>
        <v>Alerta: Seleccione el Concepto de Gasto primero</v>
      </c>
      <c r="AW764" s="644"/>
      <c r="AX764" s="645"/>
      <c r="AY764" s="645"/>
      <c r="AZ764" s="645"/>
      <c r="BA764" s="646">
        <f t="shared" si="237"/>
        <v>0</v>
      </c>
      <c r="BB764" s="647"/>
      <c r="BC764" s="648"/>
      <c r="BD764" s="649"/>
      <c r="BE764" s="647"/>
      <c r="BF764" s="644"/>
      <c r="BG764" s="646">
        <f t="shared" si="238"/>
        <v>0</v>
      </c>
      <c r="BH764" s="650"/>
      <c r="BI764" s="647"/>
      <c r="BJ764" s="644"/>
      <c r="BK764" s="646">
        <f t="shared" si="239"/>
        <v>0</v>
      </c>
      <c r="BL764" s="651"/>
      <c r="BM764" s="652">
        <f t="shared" si="240"/>
        <v>1</v>
      </c>
      <c r="BN764" s="628"/>
      <c r="BO764" s="670"/>
      <c r="BP764" s="644"/>
      <c r="BQ764" s="644"/>
      <c r="BR764" s="644"/>
      <c r="BS764" s="644"/>
      <c r="BT764" s="644"/>
      <c r="BU764" s="644"/>
      <c r="BV764" s="644"/>
      <c r="BW764" s="644"/>
      <c r="BX764" s="644"/>
      <c r="BY764" s="644"/>
      <c r="BZ764" s="644"/>
      <c r="CA764" s="644"/>
      <c r="CB764" s="646">
        <f t="shared" si="241"/>
        <v>0</v>
      </c>
      <c r="CC764" s="646">
        <f t="shared" si="242"/>
        <v>0</v>
      </c>
      <c r="CD764" s="614"/>
    </row>
    <row r="765" spans="1:82" s="561" customFormat="1" ht="61.5" customHeight="1">
      <c r="A765" s="625" t="str">
        <f t="shared" si="224"/>
        <v>proyecto-Alerta: Seleccione la celda en la comumna B con el nombre del proyecto-Al-Al--</v>
      </c>
      <c r="B765" s="626" t="str">
        <f t="shared" si="225"/>
        <v>proyecto-Alerta: Seleccione la celda en la comumna B con el nombre del proyecto-Al-Al-</v>
      </c>
      <c r="C765" s="626" t="str">
        <f t="shared" si="226"/>
        <v>proyecto-Alerta: Seleccione la celda en la comumna B con el nombre del proyecto-</v>
      </c>
      <c r="D765" s="626" t="str">
        <f t="shared" si="227"/>
        <v>proyecto--Al-Al-</v>
      </c>
      <c r="E765" s="626" t="str">
        <f t="shared" si="228"/>
        <v>--</v>
      </c>
      <c r="F765" s="627"/>
      <c r="G765" s="628">
        <f t="shared" si="229"/>
        <v>0</v>
      </c>
      <c r="H765" s="629" t="b">
        <f t="shared" si="230"/>
        <v>1</v>
      </c>
      <c r="I765" s="630"/>
      <c r="J765" s="627"/>
      <c r="K765" s="631" t="str">
        <f>+IFERROR(VLOOKUP(J765,Listas!$A$108:$B$114,2,FALSE),"Alerta: Seleccione la celda en la comumna B con el nombre del proyecto")</f>
        <v>Alerta: Seleccione la celda en la comumna B con el nombre del proyecto</v>
      </c>
      <c r="L765" s="632"/>
      <c r="M765" s="633"/>
      <c r="N765" s="634" t="str">
        <f t="shared" si="231"/>
        <v xml:space="preserve">(Cód. ) </v>
      </c>
      <c r="O765" s="635"/>
      <c r="P765" s="636">
        <f>IFERROR(VLOOKUP(W765,'Estimación CRP'!$D$21:$E$30,2,FALSE),0)</f>
        <v>0</v>
      </c>
      <c r="Q765" s="637">
        <f>IF(O765="No aplica","No aplica",WORKDAY.INTL(O765,P765,1,'Estimación CRP'!A951:A967))</f>
        <v>0</v>
      </c>
      <c r="R765" s="636">
        <f t="shared" si="232"/>
        <v>1</v>
      </c>
      <c r="S765" s="636">
        <f t="shared" si="233"/>
        <v>1</v>
      </c>
      <c r="T765" s="636">
        <f t="shared" si="234"/>
        <v>1</v>
      </c>
      <c r="U765" s="638"/>
      <c r="V765" s="638"/>
      <c r="W765" s="639"/>
      <c r="X765" s="640" t="str">
        <f>IFERROR(VLOOKUP(W765,Listas!$A$60:$B$73,2,FALSE),"Alerta: Seleccione primero Modalidad de selección")</f>
        <v>Alerta: Seleccione primero Modalidad de selección</v>
      </c>
      <c r="Y765" s="641">
        <v>0</v>
      </c>
      <c r="Z765" s="641"/>
      <c r="AA765" s="641"/>
      <c r="AB765" s="642">
        <f t="shared" si="235"/>
        <v>0</v>
      </c>
      <c r="AC765" s="642">
        <f t="shared" si="236"/>
        <v>0</v>
      </c>
      <c r="AD765" s="641">
        <v>0</v>
      </c>
      <c r="AE765" s="643">
        <v>0</v>
      </c>
      <c r="AF765" s="639" t="s">
        <v>276</v>
      </c>
      <c r="AG765" s="639" t="s">
        <v>277</v>
      </c>
      <c r="AH765" s="639"/>
      <c r="AI765" s="626" t="str">
        <f>IFERROR(VLOOKUP(AH765,Listas!$A$77:$C$83,2,FALSE),"Alerta: Seleccione primero el responsable")</f>
        <v>Alerta: Seleccione primero el responsable</v>
      </c>
      <c r="AJ765" s="640" t="str">
        <f>IFERROR(VLOOKUP(AH765,Listas!$A$77:$C$83,3,FALSE),"Alerta: Seleccione primero el responsable")</f>
        <v>Alerta: Seleccione primero el responsable</v>
      </c>
      <c r="AK765" s="640" t="str">
        <f>IF(J765="Funcionamiento Gastos Generales","No aplica",IF(J765="Funcionamiento Servicios Personales indirectos","No aplica",IFERROR(VLOOKUP(J765,Listas!$A$127:$E$139,3,FALSE),"Alerta: Seleccione la celda en la comumna B con el nombre del proyecto")))</f>
        <v>Alerta: Seleccione la celda en la comumna B con el nombre del proyecto</v>
      </c>
      <c r="AL765" s="640" t="str">
        <f>IF(J765="Funcionamiento Gastos Generales","No aplica",IF(J765="Funcionamiento Servicios Personales","No aplica",IFERROR(VLOOKUP(J765,Listas!$A$220:$D$224,2,FALSE),"Alerta: Seleccione la celda en la comumna B con el nombre del proyecto")))</f>
        <v>Alerta: Seleccione la celda en la comumna B con el nombre del proyecto</v>
      </c>
      <c r="AM765" s="640" t="str">
        <f>IF(J765="Funcionamiento Gastos Generales","No aplica",IF(J765="Funcionamiento Servicios Personales","No aplica",IFERROR(VLOOKUP(J765,Listas!$A$220:$D$224,3,FALSE),"Alerta: Seleccione la celda en la comumna B con el nombre del proyecto")))</f>
        <v>Alerta: Seleccione la celda en la comumna B con el nombre del proyecto</v>
      </c>
      <c r="AN765" s="633"/>
      <c r="AO765" s="633"/>
      <c r="AP765" s="634" t="str">
        <f>IFERROR(VLOOKUP(J765,Listas!$A$182:$E$215,5,FALSE),"Alerta: Seleccione la celda en la comumna B con el nombre del proyecto")</f>
        <v>Alerta: Seleccione la celda en la comumna B con el nombre del proyecto</v>
      </c>
      <c r="AQ765" s="634" t="str">
        <f>IF(J765="Funcionamiento Gastos Generales","No aplica",IF(J765="Funcionamiento Servicios Personales","No aplica",IFERROR(VLOOKUP(J765,Listas!$A$220:$D$224,4,FALSE),"Alerta: Seleccione la celda en la comumna B con el nombre del proyecto")))</f>
        <v>Alerta: Seleccione la celda en la comumna B con el nombre del proyecto</v>
      </c>
      <c r="AR765" s="633"/>
      <c r="AS765" s="634" t="str">
        <f>IFERROR(VLOOKUP(AU765,Listas!$E$85:$L$105,7,FALSE),"Alerta: Seleccione la celda en la comumna AI con el concepto de gasto")</f>
        <v>Alerta: Seleccione la celda en la comumna AI con el concepto de gasto</v>
      </c>
      <c r="AT765" s="634" t="str">
        <f>IFERROR(VLOOKUP(AU765,Listas!$E$85:$L$105,8,FALSE),"Alerta: Seleccione la celda en la comumna AI con el concepto de gasto")</f>
        <v>Alerta: Seleccione la celda en la comumna AI con el concepto de gasto</v>
      </c>
      <c r="AU765" s="633"/>
      <c r="AV765" s="634" t="str">
        <f>IFERROR(VLOOKUP(AU765,Listas!$E$85:$F$105,2,FALSE),"Alerta: Seleccione el Concepto de Gasto primero")</f>
        <v>Alerta: Seleccione el Concepto de Gasto primero</v>
      </c>
      <c r="AW765" s="644"/>
      <c r="AX765" s="645"/>
      <c r="AY765" s="645"/>
      <c r="AZ765" s="645"/>
      <c r="BA765" s="646">
        <f t="shared" si="237"/>
        <v>0</v>
      </c>
      <c r="BB765" s="647"/>
      <c r="BC765" s="648"/>
      <c r="BD765" s="649"/>
      <c r="BE765" s="647"/>
      <c r="BF765" s="644"/>
      <c r="BG765" s="646">
        <f t="shared" si="238"/>
        <v>0</v>
      </c>
      <c r="BH765" s="650"/>
      <c r="BI765" s="647"/>
      <c r="BJ765" s="644"/>
      <c r="BK765" s="646">
        <f t="shared" si="239"/>
        <v>0</v>
      </c>
      <c r="BL765" s="651"/>
      <c r="BM765" s="652">
        <f t="shared" si="240"/>
        <v>1</v>
      </c>
      <c r="BN765" s="628"/>
      <c r="BO765" s="670"/>
      <c r="BP765" s="644"/>
      <c r="BQ765" s="644"/>
      <c r="BR765" s="644"/>
      <c r="BS765" s="644"/>
      <c r="BT765" s="644"/>
      <c r="BU765" s="644"/>
      <c r="BV765" s="644"/>
      <c r="BW765" s="644"/>
      <c r="BX765" s="644"/>
      <c r="BY765" s="644"/>
      <c r="BZ765" s="644"/>
      <c r="CA765" s="644"/>
      <c r="CB765" s="646">
        <f t="shared" si="241"/>
        <v>0</v>
      </c>
      <c r="CC765" s="646">
        <f t="shared" si="242"/>
        <v>0</v>
      </c>
      <c r="CD765" s="614"/>
    </row>
    <row r="766" spans="1:82" s="561" customFormat="1" ht="61.5" customHeight="1">
      <c r="A766" s="625" t="str">
        <f t="shared" si="224"/>
        <v>proyecto-Alerta: Seleccione la celda en la comumna B con el nombre del proyecto-Al-Al--</v>
      </c>
      <c r="B766" s="626" t="str">
        <f t="shared" si="225"/>
        <v>proyecto-Alerta: Seleccione la celda en la comumna B con el nombre del proyecto-Al-Al-</v>
      </c>
      <c r="C766" s="626" t="str">
        <f t="shared" si="226"/>
        <v>proyecto-Alerta: Seleccione la celda en la comumna B con el nombre del proyecto-</v>
      </c>
      <c r="D766" s="626" t="str">
        <f t="shared" si="227"/>
        <v>proyecto--Al-Al-</v>
      </c>
      <c r="E766" s="626" t="str">
        <f t="shared" si="228"/>
        <v>--</v>
      </c>
      <c r="F766" s="627"/>
      <c r="G766" s="628">
        <f t="shared" si="229"/>
        <v>0</v>
      </c>
      <c r="H766" s="629" t="b">
        <f t="shared" si="230"/>
        <v>1</v>
      </c>
      <c r="I766" s="630"/>
      <c r="J766" s="627"/>
      <c r="K766" s="631" t="str">
        <f>+IFERROR(VLOOKUP(J766,Listas!$A$108:$B$114,2,FALSE),"Alerta: Seleccione la celda en la comumna B con el nombre del proyecto")</f>
        <v>Alerta: Seleccione la celda en la comumna B con el nombre del proyecto</v>
      </c>
      <c r="L766" s="632"/>
      <c r="M766" s="633"/>
      <c r="N766" s="634" t="str">
        <f t="shared" si="231"/>
        <v xml:space="preserve">(Cód. ) </v>
      </c>
      <c r="O766" s="635"/>
      <c r="P766" s="636">
        <f>IFERROR(VLOOKUP(W766,'Estimación CRP'!$D$21:$E$30,2,FALSE),0)</f>
        <v>0</v>
      </c>
      <c r="Q766" s="637">
        <f>IF(O766="No aplica","No aplica",WORKDAY.INTL(O766,P766,1,'Estimación CRP'!A952:A968))</f>
        <v>0</v>
      </c>
      <c r="R766" s="636">
        <f t="shared" si="232"/>
        <v>1</v>
      </c>
      <c r="S766" s="636">
        <f t="shared" si="233"/>
        <v>1</v>
      </c>
      <c r="T766" s="636">
        <f t="shared" si="234"/>
        <v>1</v>
      </c>
      <c r="U766" s="638"/>
      <c r="V766" s="638"/>
      <c r="W766" s="639"/>
      <c r="X766" s="640" t="str">
        <f>IFERROR(VLOOKUP(W766,Listas!$A$60:$B$73,2,FALSE),"Alerta: Seleccione primero Modalidad de selección")</f>
        <v>Alerta: Seleccione primero Modalidad de selección</v>
      </c>
      <c r="Y766" s="641">
        <v>0</v>
      </c>
      <c r="Z766" s="641"/>
      <c r="AA766" s="641"/>
      <c r="AB766" s="642">
        <f t="shared" si="235"/>
        <v>0</v>
      </c>
      <c r="AC766" s="642">
        <f t="shared" si="236"/>
        <v>0</v>
      </c>
      <c r="AD766" s="641">
        <v>0</v>
      </c>
      <c r="AE766" s="643">
        <v>0</v>
      </c>
      <c r="AF766" s="639" t="s">
        <v>276</v>
      </c>
      <c r="AG766" s="639" t="s">
        <v>277</v>
      </c>
      <c r="AH766" s="639"/>
      <c r="AI766" s="626" t="str">
        <f>IFERROR(VLOOKUP(AH766,Listas!$A$77:$C$83,2,FALSE),"Alerta: Seleccione primero el responsable")</f>
        <v>Alerta: Seleccione primero el responsable</v>
      </c>
      <c r="AJ766" s="640" t="str">
        <f>IFERROR(VLOOKUP(AH766,Listas!$A$77:$C$83,3,FALSE),"Alerta: Seleccione primero el responsable")</f>
        <v>Alerta: Seleccione primero el responsable</v>
      </c>
      <c r="AK766" s="640" t="str">
        <f>IF(J766="Funcionamiento Gastos Generales","No aplica",IF(J766="Funcionamiento Servicios Personales indirectos","No aplica",IFERROR(VLOOKUP(J766,Listas!$A$127:$E$139,3,FALSE),"Alerta: Seleccione la celda en la comumna B con el nombre del proyecto")))</f>
        <v>Alerta: Seleccione la celda en la comumna B con el nombre del proyecto</v>
      </c>
      <c r="AL766" s="640" t="str">
        <f>IF(J766="Funcionamiento Gastos Generales","No aplica",IF(J766="Funcionamiento Servicios Personales","No aplica",IFERROR(VLOOKUP(J766,Listas!$A$220:$D$224,2,FALSE),"Alerta: Seleccione la celda en la comumna B con el nombre del proyecto")))</f>
        <v>Alerta: Seleccione la celda en la comumna B con el nombre del proyecto</v>
      </c>
      <c r="AM766" s="640" t="str">
        <f>IF(J766="Funcionamiento Gastos Generales","No aplica",IF(J766="Funcionamiento Servicios Personales","No aplica",IFERROR(VLOOKUP(J766,Listas!$A$220:$D$224,3,FALSE),"Alerta: Seleccione la celda en la comumna B con el nombre del proyecto")))</f>
        <v>Alerta: Seleccione la celda en la comumna B con el nombre del proyecto</v>
      </c>
      <c r="AN766" s="633"/>
      <c r="AO766" s="633"/>
      <c r="AP766" s="634" t="str">
        <f>IFERROR(VLOOKUP(J766,Listas!$A$182:$E$215,5,FALSE),"Alerta: Seleccione la celda en la comumna B con el nombre del proyecto")</f>
        <v>Alerta: Seleccione la celda en la comumna B con el nombre del proyecto</v>
      </c>
      <c r="AQ766" s="634" t="str">
        <f>IF(J766="Funcionamiento Gastos Generales","No aplica",IF(J766="Funcionamiento Servicios Personales","No aplica",IFERROR(VLOOKUP(J766,Listas!$A$220:$D$224,4,FALSE),"Alerta: Seleccione la celda en la comumna B con el nombre del proyecto")))</f>
        <v>Alerta: Seleccione la celda en la comumna B con el nombre del proyecto</v>
      </c>
      <c r="AR766" s="633"/>
      <c r="AS766" s="634" t="str">
        <f>IFERROR(VLOOKUP(AU766,Listas!$E$85:$L$105,7,FALSE),"Alerta: Seleccione la celda en la comumna AI con el concepto de gasto")</f>
        <v>Alerta: Seleccione la celda en la comumna AI con el concepto de gasto</v>
      </c>
      <c r="AT766" s="634" t="str">
        <f>IFERROR(VLOOKUP(AU766,Listas!$E$85:$L$105,8,FALSE),"Alerta: Seleccione la celda en la comumna AI con el concepto de gasto")</f>
        <v>Alerta: Seleccione la celda en la comumna AI con el concepto de gasto</v>
      </c>
      <c r="AU766" s="633"/>
      <c r="AV766" s="634" t="str">
        <f>IFERROR(VLOOKUP(AU766,Listas!$E$85:$F$105,2,FALSE),"Alerta: Seleccione el Concepto de Gasto primero")</f>
        <v>Alerta: Seleccione el Concepto de Gasto primero</v>
      </c>
      <c r="AW766" s="644"/>
      <c r="AX766" s="645"/>
      <c r="AY766" s="645"/>
      <c r="AZ766" s="645"/>
      <c r="BA766" s="646">
        <f t="shared" si="237"/>
        <v>0</v>
      </c>
      <c r="BB766" s="647"/>
      <c r="BC766" s="648"/>
      <c r="BD766" s="649"/>
      <c r="BE766" s="647"/>
      <c r="BF766" s="644"/>
      <c r="BG766" s="646">
        <f t="shared" si="238"/>
        <v>0</v>
      </c>
      <c r="BH766" s="650"/>
      <c r="BI766" s="647"/>
      <c r="BJ766" s="644"/>
      <c r="BK766" s="646">
        <f t="shared" si="239"/>
        <v>0</v>
      </c>
      <c r="BL766" s="651"/>
      <c r="BM766" s="652">
        <f t="shared" si="240"/>
        <v>1</v>
      </c>
      <c r="BN766" s="628"/>
      <c r="BO766" s="670"/>
      <c r="BP766" s="644"/>
      <c r="BQ766" s="644"/>
      <c r="BR766" s="644"/>
      <c r="BS766" s="644"/>
      <c r="BT766" s="644"/>
      <c r="BU766" s="644"/>
      <c r="BV766" s="644"/>
      <c r="BW766" s="644"/>
      <c r="BX766" s="644"/>
      <c r="BY766" s="644"/>
      <c r="BZ766" s="644"/>
      <c r="CA766" s="644"/>
      <c r="CB766" s="646">
        <f t="shared" si="241"/>
        <v>0</v>
      </c>
      <c r="CC766" s="646">
        <f t="shared" si="242"/>
        <v>0</v>
      </c>
      <c r="CD766" s="614"/>
    </row>
    <row r="767" spans="1:82" s="561" customFormat="1" ht="61.5" customHeight="1">
      <c r="A767" s="625" t="str">
        <f t="shared" si="224"/>
        <v>proyecto-Alerta: Seleccione la celda en la comumna B con el nombre del proyecto-Al-Al--</v>
      </c>
      <c r="B767" s="626" t="str">
        <f t="shared" si="225"/>
        <v>proyecto-Alerta: Seleccione la celda en la comumna B con el nombre del proyecto-Al-Al-</v>
      </c>
      <c r="C767" s="626" t="str">
        <f t="shared" si="226"/>
        <v>proyecto-Alerta: Seleccione la celda en la comumna B con el nombre del proyecto-</v>
      </c>
      <c r="D767" s="626" t="str">
        <f t="shared" si="227"/>
        <v>proyecto--Al-Al-</v>
      </c>
      <c r="E767" s="626" t="str">
        <f t="shared" si="228"/>
        <v>--</v>
      </c>
      <c r="F767" s="627"/>
      <c r="G767" s="628">
        <f t="shared" si="229"/>
        <v>0</v>
      </c>
      <c r="H767" s="629" t="b">
        <f t="shared" si="230"/>
        <v>1</v>
      </c>
      <c r="I767" s="630"/>
      <c r="J767" s="627"/>
      <c r="K767" s="631" t="str">
        <f>+IFERROR(VLOOKUP(J767,Listas!$A$108:$B$114,2,FALSE),"Alerta: Seleccione la celda en la comumna B con el nombre del proyecto")</f>
        <v>Alerta: Seleccione la celda en la comumna B con el nombre del proyecto</v>
      </c>
      <c r="L767" s="632"/>
      <c r="M767" s="633"/>
      <c r="N767" s="634" t="str">
        <f t="shared" si="231"/>
        <v xml:space="preserve">(Cód. ) </v>
      </c>
      <c r="O767" s="635"/>
      <c r="P767" s="636">
        <f>IFERROR(VLOOKUP(W767,'Estimación CRP'!$D$21:$E$30,2,FALSE),0)</f>
        <v>0</v>
      </c>
      <c r="Q767" s="637">
        <f>IF(O767="No aplica","No aplica",WORKDAY.INTL(O767,P767,1,'Estimación CRP'!A953:A969))</f>
        <v>0</v>
      </c>
      <c r="R767" s="636">
        <f t="shared" si="232"/>
        <v>1</v>
      </c>
      <c r="S767" s="636">
        <f t="shared" si="233"/>
        <v>1</v>
      </c>
      <c r="T767" s="636">
        <f t="shared" si="234"/>
        <v>1</v>
      </c>
      <c r="U767" s="638"/>
      <c r="V767" s="638"/>
      <c r="W767" s="639"/>
      <c r="X767" s="640" t="str">
        <f>IFERROR(VLOOKUP(W767,Listas!$A$60:$B$73,2,FALSE),"Alerta: Seleccione primero Modalidad de selección")</f>
        <v>Alerta: Seleccione primero Modalidad de selección</v>
      </c>
      <c r="Y767" s="641">
        <v>0</v>
      </c>
      <c r="Z767" s="641"/>
      <c r="AA767" s="641"/>
      <c r="AB767" s="642">
        <f t="shared" si="235"/>
        <v>0</v>
      </c>
      <c r="AC767" s="642">
        <f t="shared" si="236"/>
        <v>0</v>
      </c>
      <c r="AD767" s="641">
        <v>0</v>
      </c>
      <c r="AE767" s="643">
        <v>0</v>
      </c>
      <c r="AF767" s="639" t="s">
        <v>276</v>
      </c>
      <c r="AG767" s="639" t="s">
        <v>277</v>
      </c>
      <c r="AH767" s="639"/>
      <c r="AI767" s="626" t="str">
        <f>IFERROR(VLOOKUP(AH767,Listas!$A$77:$C$83,2,FALSE),"Alerta: Seleccione primero el responsable")</f>
        <v>Alerta: Seleccione primero el responsable</v>
      </c>
      <c r="AJ767" s="640" t="str">
        <f>IFERROR(VLOOKUP(AH767,Listas!$A$77:$C$83,3,FALSE),"Alerta: Seleccione primero el responsable")</f>
        <v>Alerta: Seleccione primero el responsable</v>
      </c>
      <c r="AK767" s="640" t="str">
        <f>IF(J767="Funcionamiento Gastos Generales","No aplica",IF(J767="Funcionamiento Servicios Personales indirectos","No aplica",IFERROR(VLOOKUP(J767,Listas!$A$127:$E$139,3,FALSE),"Alerta: Seleccione la celda en la comumna B con el nombre del proyecto")))</f>
        <v>Alerta: Seleccione la celda en la comumna B con el nombre del proyecto</v>
      </c>
      <c r="AL767" s="640" t="str">
        <f>IF(J767="Funcionamiento Gastos Generales","No aplica",IF(J767="Funcionamiento Servicios Personales","No aplica",IFERROR(VLOOKUP(J767,Listas!$A$220:$D$224,2,FALSE),"Alerta: Seleccione la celda en la comumna B con el nombre del proyecto")))</f>
        <v>Alerta: Seleccione la celda en la comumna B con el nombre del proyecto</v>
      </c>
      <c r="AM767" s="640" t="str">
        <f>IF(J767="Funcionamiento Gastos Generales","No aplica",IF(J767="Funcionamiento Servicios Personales","No aplica",IFERROR(VLOOKUP(J767,Listas!$A$220:$D$224,3,FALSE),"Alerta: Seleccione la celda en la comumna B con el nombre del proyecto")))</f>
        <v>Alerta: Seleccione la celda en la comumna B con el nombre del proyecto</v>
      </c>
      <c r="AN767" s="633"/>
      <c r="AO767" s="633"/>
      <c r="AP767" s="634" t="str">
        <f>IFERROR(VLOOKUP(J767,Listas!$A$182:$E$215,5,FALSE),"Alerta: Seleccione la celda en la comumna B con el nombre del proyecto")</f>
        <v>Alerta: Seleccione la celda en la comumna B con el nombre del proyecto</v>
      </c>
      <c r="AQ767" s="634" t="str">
        <f>IF(J767="Funcionamiento Gastos Generales","No aplica",IF(J767="Funcionamiento Servicios Personales","No aplica",IFERROR(VLOOKUP(J767,Listas!$A$220:$D$224,4,FALSE),"Alerta: Seleccione la celda en la comumna B con el nombre del proyecto")))</f>
        <v>Alerta: Seleccione la celda en la comumna B con el nombre del proyecto</v>
      </c>
      <c r="AR767" s="633"/>
      <c r="AS767" s="634" t="str">
        <f>IFERROR(VLOOKUP(AU767,Listas!$E$85:$L$105,7,FALSE),"Alerta: Seleccione la celda en la comumna AI con el concepto de gasto")</f>
        <v>Alerta: Seleccione la celda en la comumna AI con el concepto de gasto</v>
      </c>
      <c r="AT767" s="634" t="str">
        <f>IFERROR(VLOOKUP(AU767,Listas!$E$85:$L$105,8,FALSE),"Alerta: Seleccione la celda en la comumna AI con el concepto de gasto")</f>
        <v>Alerta: Seleccione la celda en la comumna AI con el concepto de gasto</v>
      </c>
      <c r="AU767" s="633"/>
      <c r="AV767" s="634" t="str">
        <f>IFERROR(VLOOKUP(AU767,Listas!$E$85:$F$105,2,FALSE),"Alerta: Seleccione el Concepto de Gasto primero")</f>
        <v>Alerta: Seleccione el Concepto de Gasto primero</v>
      </c>
      <c r="AW767" s="644"/>
      <c r="AX767" s="645"/>
      <c r="AY767" s="645"/>
      <c r="AZ767" s="645"/>
      <c r="BA767" s="646">
        <f t="shared" si="237"/>
        <v>0</v>
      </c>
      <c r="BB767" s="647"/>
      <c r="BC767" s="648"/>
      <c r="BD767" s="649"/>
      <c r="BE767" s="647"/>
      <c r="BF767" s="644"/>
      <c r="BG767" s="646">
        <f t="shared" si="238"/>
        <v>0</v>
      </c>
      <c r="BH767" s="650"/>
      <c r="BI767" s="647"/>
      <c r="BJ767" s="644"/>
      <c r="BK767" s="646">
        <f t="shared" si="239"/>
        <v>0</v>
      </c>
      <c r="BL767" s="651"/>
      <c r="BM767" s="652">
        <f t="shared" si="240"/>
        <v>1</v>
      </c>
      <c r="BN767" s="628"/>
      <c r="BO767" s="670"/>
      <c r="BP767" s="644"/>
      <c r="BQ767" s="644"/>
      <c r="BR767" s="644"/>
      <c r="BS767" s="644"/>
      <c r="BT767" s="644"/>
      <c r="BU767" s="644"/>
      <c r="BV767" s="644"/>
      <c r="BW767" s="644"/>
      <c r="BX767" s="644"/>
      <c r="BY767" s="644"/>
      <c r="BZ767" s="644"/>
      <c r="CA767" s="644"/>
      <c r="CB767" s="646">
        <f t="shared" si="241"/>
        <v>0</v>
      </c>
      <c r="CC767" s="646">
        <f t="shared" si="242"/>
        <v>0</v>
      </c>
      <c r="CD767" s="614"/>
    </row>
    <row r="768" spans="1:82" s="561" customFormat="1" ht="61.5" customHeight="1">
      <c r="A768" s="625" t="str">
        <f t="shared" si="224"/>
        <v>proyecto-Alerta: Seleccione la celda en la comumna B con el nombre del proyecto-Al-Al--</v>
      </c>
      <c r="B768" s="626" t="str">
        <f t="shared" si="225"/>
        <v>proyecto-Alerta: Seleccione la celda en la comumna B con el nombre del proyecto-Al-Al-</v>
      </c>
      <c r="C768" s="626" t="str">
        <f t="shared" si="226"/>
        <v>proyecto-Alerta: Seleccione la celda en la comumna B con el nombre del proyecto-</v>
      </c>
      <c r="D768" s="626" t="str">
        <f t="shared" si="227"/>
        <v>proyecto--Al-Al-</v>
      </c>
      <c r="E768" s="626" t="str">
        <f t="shared" si="228"/>
        <v>--</v>
      </c>
      <c r="F768" s="627"/>
      <c r="G768" s="628">
        <f t="shared" si="229"/>
        <v>0</v>
      </c>
      <c r="H768" s="629" t="b">
        <f t="shared" si="230"/>
        <v>1</v>
      </c>
      <c r="I768" s="630"/>
      <c r="J768" s="627"/>
      <c r="K768" s="631" t="str">
        <f>+IFERROR(VLOOKUP(J768,Listas!$A$108:$B$114,2,FALSE),"Alerta: Seleccione la celda en la comumna B con el nombre del proyecto")</f>
        <v>Alerta: Seleccione la celda en la comumna B con el nombre del proyecto</v>
      </c>
      <c r="L768" s="632"/>
      <c r="M768" s="633"/>
      <c r="N768" s="634" t="str">
        <f t="shared" si="231"/>
        <v xml:space="preserve">(Cód. ) </v>
      </c>
      <c r="O768" s="635"/>
      <c r="P768" s="636">
        <f>IFERROR(VLOOKUP(W768,'Estimación CRP'!$D$21:$E$30,2,FALSE),0)</f>
        <v>0</v>
      </c>
      <c r="Q768" s="637">
        <f>IF(O768="No aplica","No aplica",WORKDAY.INTL(O768,P768,1,'Estimación CRP'!A954:A970))</f>
        <v>0</v>
      </c>
      <c r="R768" s="636">
        <f t="shared" si="232"/>
        <v>1</v>
      </c>
      <c r="S768" s="636">
        <f t="shared" si="233"/>
        <v>1</v>
      </c>
      <c r="T768" s="636">
        <f t="shared" si="234"/>
        <v>1</v>
      </c>
      <c r="U768" s="638"/>
      <c r="V768" s="638"/>
      <c r="W768" s="639"/>
      <c r="X768" s="640" t="str">
        <f>IFERROR(VLOOKUP(W768,Listas!$A$60:$B$73,2,FALSE),"Alerta: Seleccione primero Modalidad de selección")</f>
        <v>Alerta: Seleccione primero Modalidad de selección</v>
      </c>
      <c r="Y768" s="641">
        <v>0</v>
      </c>
      <c r="Z768" s="641"/>
      <c r="AA768" s="641"/>
      <c r="AB768" s="642">
        <f t="shared" si="235"/>
        <v>0</v>
      </c>
      <c r="AC768" s="642">
        <f t="shared" si="236"/>
        <v>0</v>
      </c>
      <c r="AD768" s="641">
        <v>0</v>
      </c>
      <c r="AE768" s="643">
        <v>0</v>
      </c>
      <c r="AF768" s="639" t="s">
        <v>276</v>
      </c>
      <c r="AG768" s="639" t="s">
        <v>277</v>
      </c>
      <c r="AH768" s="639"/>
      <c r="AI768" s="626" t="str">
        <f>IFERROR(VLOOKUP(AH768,Listas!$A$77:$C$83,2,FALSE),"Alerta: Seleccione primero el responsable")</f>
        <v>Alerta: Seleccione primero el responsable</v>
      </c>
      <c r="AJ768" s="640" t="str">
        <f>IFERROR(VLOOKUP(AH768,Listas!$A$77:$C$83,3,FALSE),"Alerta: Seleccione primero el responsable")</f>
        <v>Alerta: Seleccione primero el responsable</v>
      </c>
      <c r="AK768" s="640" t="str">
        <f>IF(J768="Funcionamiento Gastos Generales","No aplica",IF(J768="Funcionamiento Servicios Personales indirectos","No aplica",IFERROR(VLOOKUP(J768,Listas!$A$127:$E$139,3,FALSE),"Alerta: Seleccione la celda en la comumna B con el nombre del proyecto")))</f>
        <v>Alerta: Seleccione la celda en la comumna B con el nombre del proyecto</v>
      </c>
      <c r="AL768" s="640" t="str">
        <f>IF(J768="Funcionamiento Gastos Generales","No aplica",IF(J768="Funcionamiento Servicios Personales","No aplica",IFERROR(VLOOKUP(J768,Listas!$A$220:$D$224,2,FALSE),"Alerta: Seleccione la celda en la comumna B con el nombre del proyecto")))</f>
        <v>Alerta: Seleccione la celda en la comumna B con el nombre del proyecto</v>
      </c>
      <c r="AM768" s="640" t="str">
        <f>IF(J768="Funcionamiento Gastos Generales","No aplica",IF(J768="Funcionamiento Servicios Personales","No aplica",IFERROR(VLOOKUP(J768,Listas!$A$220:$D$224,3,FALSE),"Alerta: Seleccione la celda en la comumna B con el nombre del proyecto")))</f>
        <v>Alerta: Seleccione la celda en la comumna B con el nombre del proyecto</v>
      </c>
      <c r="AN768" s="633"/>
      <c r="AO768" s="633"/>
      <c r="AP768" s="634" t="str">
        <f>IFERROR(VLOOKUP(J768,Listas!$A$182:$E$215,5,FALSE),"Alerta: Seleccione la celda en la comumna B con el nombre del proyecto")</f>
        <v>Alerta: Seleccione la celda en la comumna B con el nombre del proyecto</v>
      </c>
      <c r="AQ768" s="634" t="str">
        <f>IF(J768="Funcionamiento Gastos Generales","No aplica",IF(J768="Funcionamiento Servicios Personales","No aplica",IFERROR(VLOOKUP(J768,Listas!$A$220:$D$224,4,FALSE),"Alerta: Seleccione la celda en la comumna B con el nombre del proyecto")))</f>
        <v>Alerta: Seleccione la celda en la comumna B con el nombre del proyecto</v>
      </c>
      <c r="AR768" s="633"/>
      <c r="AS768" s="634" t="str">
        <f>IFERROR(VLOOKUP(AU768,Listas!$E$85:$L$105,7,FALSE),"Alerta: Seleccione la celda en la comumna AI con el concepto de gasto")</f>
        <v>Alerta: Seleccione la celda en la comumna AI con el concepto de gasto</v>
      </c>
      <c r="AT768" s="634" t="str">
        <f>IFERROR(VLOOKUP(AU768,Listas!$E$85:$L$105,8,FALSE),"Alerta: Seleccione la celda en la comumna AI con el concepto de gasto")</f>
        <v>Alerta: Seleccione la celda en la comumna AI con el concepto de gasto</v>
      </c>
      <c r="AU768" s="633"/>
      <c r="AV768" s="634" t="str">
        <f>IFERROR(VLOOKUP(AU768,Listas!$E$85:$F$105,2,FALSE),"Alerta: Seleccione el Concepto de Gasto primero")</f>
        <v>Alerta: Seleccione el Concepto de Gasto primero</v>
      </c>
      <c r="AW768" s="644"/>
      <c r="AX768" s="645"/>
      <c r="AY768" s="645"/>
      <c r="AZ768" s="645"/>
      <c r="BA768" s="646">
        <f t="shared" si="237"/>
        <v>0</v>
      </c>
      <c r="BB768" s="647"/>
      <c r="BC768" s="648"/>
      <c r="BD768" s="649"/>
      <c r="BE768" s="647"/>
      <c r="BF768" s="644"/>
      <c r="BG768" s="646">
        <f t="shared" si="238"/>
        <v>0</v>
      </c>
      <c r="BH768" s="650"/>
      <c r="BI768" s="647"/>
      <c r="BJ768" s="644"/>
      <c r="BK768" s="646">
        <f t="shared" si="239"/>
        <v>0</v>
      </c>
      <c r="BL768" s="651"/>
      <c r="BM768" s="652">
        <f t="shared" si="240"/>
        <v>1</v>
      </c>
      <c r="BN768" s="628"/>
      <c r="BO768" s="670"/>
      <c r="BP768" s="644"/>
      <c r="BQ768" s="644"/>
      <c r="BR768" s="644"/>
      <c r="BS768" s="644"/>
      <c r="BT768" s="644"/>
      <c r="BU768" s="644"/>
      <c r="BV768" s="644"/>
      <c r="BW768" s="644"/>
      <c r="BX768" s="644"/>
      <c r="BY768" s="644"/>
      <c r="BZ768" s="644"/>
      <c r="CA768" s="644"/>
      <c r="CB768" s="646">
        <f t="shared" si="241"/>
        <v>0</v>
      </c>
      <c r="CC768" s="646">
        <f t="shared" si="242"/>
        <v>0</v>
      </c>
      <c r="CD768" s="614"/>
    </row>
    <row r="769" spans="1:82" s="659" customFormat="1" ht="61.5" customHeight="1">
      <c r="A769" s="625" t="str">
        <f t="shared" si="224"/>
        <v>proyecto-Alerta: Seleccione la celda en la comumna B con el nombre del proyecto-Al-Al--</v>
      </c>
      <c r="B769" s="626" t="str">
        <f t="shared" si="225"/>
        <v>proyecto-Alerta: Seleccione la celda en la comumna B con el nombre del proyecto-Al-Al-</v>
      </c>
      <c r="C769" s="626" t="str">
        <f t="shared" si="226"/>
        <v>proyecto-Alerta: Seleccione la celda en la comumna B con el nombre del proyecto-</v>
      </c>
      <c r="D769" s="626" t="str">
        <f t="shared" si="227"/>
        <v>proyecto--Al-Al-</v>
      </c>
      <c r="E769" s="626" t="str">
        <f t="shared" si="228"/>
        <v>--</v>
      </c>
      <c r="F769" s="627"/>
      <c r="G769" s="628">
        <f t="shared" si="229"/>
        <v>0</v>
      </c>
      <c r="H769" s="629" t="b">
        <f t="shared" si="230"/>
        <v>1</v>
      </c>
      <c r="I769" s="630"/>
      <c r="J769" s="627"/>
      <c r="K769" s="631" t="str">
        <f>+IFERROR(VLOOKUP(J769,Listas!$A$108:$B$114,2,FALSE),"Alerta: Seleccione la celda en la comumna B con el nombre del proyecto")</f>
        <v>Alerta: Seleccione la celda en la comumna B con el nombre del proyecto</v>
      </c>
      <c r="L769" s="632"/>
      <c r="M769" s="633"/>
      <c r="N769" s="634" t="str">
        <f t="shared" si="231"/>
        <v xml:space="preserve">(Cód. ) </v>
      </c>
      <c r="O769" s="635"/>
      <c r="P769" s="636">
        <f>IFERROR(VLOOKUP(W769,'Estimación CRP'!$D$21:$E$30,2,FALSE),0)</f>
        <v>0</v>
      </c>
      <c r="Q769" s="637">
        <f>IF(O769="No aplica","No aplica",WORKDAY.INTL(O769,P769,1,'Estimación CRP'!A955:A971))</f>
        <v>0</v>
      </c>
      <c r="R769" s="636">
        <f t="shared" si="232"/>
        <v>1</v>
      </c>
      <c r="S769" s="636">
        <f t="shared" si="233"/>
        <v>1</v>
      </c>
      <c r="T769" s="636">
        <f t="shared" si="234"/>
        <v>1</v>
      </c>
      <c r="U769" s="638"/>
      <c r="V769" s="638"/>
      <c r="W769" s="639"/>
      <c r="X769" s="640" t="str">
        <f>IFERROR(VLOOKUP(W769,Listas!$A$60:$B$73,2,FALSE),"Alerta: Seleccione primero Modalidad de selección")</f>
        <v>Alerta: Seleccione primero Modalidad de selección</v>
      </c>
      <c r="Y769" s="641">
        <v>0</v>
      </c>
      <c r="Z769" s="641"/>
      <c r="AA769" s="641"/>
      <c r="AB769" s="642">
        <f t="shared" si="235"/>
        <v>0</v>
      </c>
      <c r="AC769" s="642">
        <f t="shared" si="236"/>
        <v>0</v>
      </c>
      <c r="AD769" s="641">
        <v>0</v>
      </c>
      <c r="AE769" s="643">
        <v>0</v>
      </c>
      <c r="AF769" s="639" t="s">
        <v>276</v>
      </c>
      <c r="AG769" s="639" t="s">
        <v>277</v>
      </c>
      <c r="AH769" s="639"/>
      <c r="AI769" s="626" t="str">
        <f>IFERROR(VLOOKUP(AH769,Listas!$A$77:$C$83,2,FALSE),"Alerta: Seleccione primero el responsable")</f>
        <v>Alerta: Seleccione primero el responsable</v>
      </c>
      <c r="AJ769" s="640" t="str">
        <f>IFERROR(VLOOKUP(AH769,Listas!$A$77:$C$83,3,FALSE),"Alerta: Seleccione primero el responsable")</f>
        <v>Alerta: Seleccione primero el responsable</v>
      </c>
      <c r="AK769" s="640" t="str">
        <f>IF(J769="Funcionamiento Gastos Generales","No aplica",IF(J769="Funcionamiento Servicios Personales indirectos","No aplica",IFERROR(VLOOKUP(J769,Listas!$A$127:$E$139,3,FALSE),"Alerta: Seleccione la celda en la comumna B con el nombre del proyecto")))</f>
        <v>Alerta: Seleccione la celda en la comumna B con el nombre del proyecto</v>
      </c>
      <c r="AL769" s="640" t="str">
        <f>IF(J769="Funcionamiento Gastos Generales","No aplica",IF(J769="Funcionamiento Servicios Personales","No aplica",IFERROR(VLOOKUP(J769,Listas!$A$220:$D$224,2,FALSE),"Alerta: Seleccione la celda en la comumna B con el nombre del proyecto")))</f>
        <v>Alerta: Seleccione la celda en la comumna B con el nombre del proyecto</v>
      </c>
      <c r="AM769" s="640" t="str">
        <f>IF(J769="Funcionamiento Gastos Generales","No aplica",IF(J769="Funcionamiento Servicios Personales","No aplica",IFERROR(VLOOKUP(J769,Listas!$A$220:$D$224,3,FALSE),"Alerta: Seleccione la celda en la comumna B con el nombre del proyecto")))</f>
        <v>Alerta: Seleccione la celda en la comumna B con el nombre del proyecto</v>
      </c>
      <c r="AN769" s="633"/>
      <c r="AO769" s="633"/>
      <c r="AP769" s="634" t="str">
        <f>IFERROR(VLOOKUP(J769,Listas!$A$182:$E$215,5,FALSE),"Alerta: Seleccione la celda en la comumna B con el nombre del proyecto")</f>
        <v>Alerta: Seleccione la celda en la comumna B con el nombre del proyecto</v>
      </c>
      <c r="AQ769" s="634" t="str">
        <f>IF(J769="Funcionamiento Gastos Generales","No aplica",IF(J769="Funcionamiento Servicios Personales","No aplica",IFERROR(VLOOKUP(J769,Listas!$A$220:$D$224,4,FALSE),"Alerta: Seleccione la celda en la comumna B con el nombre del proyecto")))</f>
        <v>Alerta: Seleccione la celda en la comumna B con el nombre del proyecto</v>
      </c>
      <c r="AR769" s="633"/>
      <c r="AS769" s="634" t="str">
        <f>IFERROR(VLOOKUP(AU769,Listas!$E$85:$L$105,7,FALSE),"Alerta: Seleccione la celda en la comumna AI con el concepto de gasto")</f>
        <v>Alerta: Seleccione la celda en la comumna AI con el concepto de gasto</v>
      </c>
      <c r="AT769" s="634" t="str">
        <f>IFERROR(VLOOKUP(AU769,Listas!$E$85:$L$105,8,FALSE),"Alerta: Seleccione la celda en la comumna AI con el concepto de gasto")</f>
        <v>Alerta: Seleccione la celda en la comumna AI con el concepto de gasto</v>
      </c>
      <c r="AU769" s="633"/>
      <c r="AV769" s="634" t="str">
        <f>IFERROR(VLOOKUP(AU769,Listas!$E$85:$F$105,2,FALSE),"Alerta: Seleccione el Concepto de Gasto primero")</f>
        <v>Alerta: Seleccione el Concepto de Gasto primero</v>
      </c>
      <c r="AW769" s="644"/>
      <c r="AX769" s="645"/>
      <c r="AY769" s="645"/>
      <c r="AZ769" s="645"/>
      <c r="BA769" s="646">
        <f t="shared" si="237"/>
        <v>0</v>
      </c>
      <c r="BB769" s="647"/>
      <c r="BC769" s="648"/>
      <c r="BD769" s="649"/>
      <c r="BE769" s="647"/>
      <c r="BF769" s="644"/>
      <c r="BG769" s="646">
        <f t="shared" si="238"/>
        <v>0</v>
      </c>
      <c r="BH769" s="650"/>
      <c r="BI769" s="647"/>
      <c r="BJ769" s="644"/>
      <c r="BK769" s="646">
        <f t="shared" si="239"/>
        <v>0</v>
      </c>
      <c r="BL769" s="651"/>
      <c r="BM769" s="652">
        <f t="shared" si="240"/>
        <v>1</v>
      </c>
      <c r="BN769" s="628"/>
      <c r="BO769" s="670"/>
      <c r="BP769" s="644"/>
      <c r="BQ769" s="644"/>
      <c r="BR769" s="644"/>
      <c r="BS769" s="644"/>
      <c r="BT769" s="644"/>
      <c r="BU769" s="644"/>
      <c r="BV769" s="644"/>
      <c r="BW769" s="644"/>
      <c r="BX769" s="644"/>
      <c r="BY769" s="644"/>
      <c r="BZ769" s="644"/>
      <c r="CA769" s="644"/>
      <c r="CB769" s="646">
        <f t="shared" si="241"/>
        <v>0</v>
      </c>
      <c r="CC769" s="646">
        <f t="shared" si="242"/>
        <v>0</v>
      </c>
      <c r="CD769" s="614"/>
    </row>
    <row r="770" spans="1:82" s="659" customFormat="1" ht="61.5" customHeight="1">
      <c r="A770" s="625" t="str">
        <f t="shared" si="224"/>
        <v>proyecto-Alerta: Seleccione la celda en la comumna B con el nombre del proyecto-Al-Al--</v>
      </c>
      <c r="B770" s="626" t="str">
        <f t="shared" si="225"/>
        <v>proyecto-Alerta: Seleccione la celda en la comumna B con el nombre del proyecto-Al-Al-</v>
      </c>
      <c r="C770" s="626" t="str">
        <f t="shared" si="226"/>
        <v>proyecto-Alerta: Seleccione la celda en la comumna B con el nombre del proyecto-</v>
      </c>
      <c r="D770" s="626" t="str">
        <f t="shared" si="227"/>
        <v>proyecto--Al-Al-</v>
      </c>
      <c r="E770" s="626" t="str">
        <f t="shared" si="228"/>
        <v>--</v>
      </c>
      <c r="F770" s="627"/>
      <c r="G770" s="628">
        <f t="shared" si="229"/>
        <v>0</v>
      </c>
      <c r="H770" s="629" t="b">
        <f t="shared" si="230"/>
        <v>1</v>
      </c>
      <c r="I770" s="630"/>
      <c r="J770" s="627"/>
      <c r="K770" s="631" t="str">
        <f>+IFERROR(VLOOKUP(J770,Listas!$A$108:$B$114,2,FALSE),"Alerta: Seleccione la celda en la comumna B con el nombre del proyecto")</f>
        <v>Alerta: Seleccione la celda en la comumna B con el nombre del proyecto</v>
      </c>
      <c r="L770" s="632"/>
      <c r="M770" s="633"/>
      <c r="N770" s="634" t="str">
        <f t="shared" si="231"/>
        <v xml:space="preserve">(Cód. ) </v>
      </c>
      <c r="O770" s="635"/>
      <c r="P770" s="636">
        <f>IFERROR(VLOOKUP(W770,'Estimación CRP'!$D$21:$E$30,2,FALSE),0)</f>
        <v>0</v>
      </c>
      <c r="Q770" s="637">
        <f>IF(O770="No aplica","No aplica",WORKDAY.INTL(O770,P770,1,'Estimación CRP'!A956:A972))</f>
        <v>0</v>
      </c>
      <c r="R770" s="636">
        <f t="shared" si="232"/>
        <v>1</v>
      </c>
      <c r="S770" s="636">
        <f t="shared" si="233"/>
        <v>1</v>
      </c>
      <c r="T770" s="636">
        <f t="shared" si="234"/>
        <v>1</v>
      </c>
      <c r="U770" s="638"/>
      <c r="V770" s="638"/>
      <c r="W770" s="639"/>
      <c r="X770" s="640" t="str">
        <f>IFERROR(VLOOKUP(W770,Listas!$A$60:$B$73,2,FALSE),"Alerta: Seleccione primero Modalidad de selección")</f>
        <v>Alerta: Seleccione primero Modalidad de selección</v>
      </c>
      <c r="Y770" s="641">
        <v>0</v>
      </c>
      <c r="Z770" s="641"/>
      <c r="AA770" s="641"/>
      <c r="AB770" s="642">
        <f t="shared" si="235"/>
        <v>0</v>
      </c>
      <c r="AC770" s="642">
        <f t="shared" si="236"/>
        <v>0</v>
      </c>
      <c r="AD770" s="641">
        <v>0</v>
      </c>
      <c r="AE770" s="643">
        <v>0</v>
      </c>
      <c r="AF770" s="639" t="s">
        <v>276</v>
      </c>
      <c r="AG770" s="639" t="s">
        <v>277</v>
      </c>
      <c r="AH770" s="639"/>
      <c r="AI770" s="626" t="str">
        <f>IFERROR(VLOOKUP(AH770,Listas!$A$77:$C$83,2,FALSE),"Alerta: Seleccione primero el responsable")</f>
        <v>Alerta: Seleccione primero el responsable</v>
      </c>
      <c r="AJ770" s="640" t="str">
        <f>IFERROR(VLOOKUP(AH770,Listas!$A$77:$C$83,3,FALSE),"Alerta: Seleccione primero el responsable")</f>
        <v>Alerta: Seleccione primero el responsable</v>
      </c>
      <c r="AK770" s="640" t="str">
        <f>IF(J770="Funcionamiento Gastos Generales","No aplica",IF(J770="Funcionamiento Servicios Personales indirectos","No aplica",IFERROR(VLOOKUP(J770,Listas!$A$127:$E$139,3,FALSE),"Alerta: Seleccione la celda en la comumna B con el nombre del proyecto")))</f>
        <v>Alerta: Seleccione la celda en la comumna B con el nombre del proyecto</v>
      </c>
      <c r="AL770" s="640" t="str">
        <f>IF(J770="Funcionamiento Gastos Generales","No aplica",IF(J770="Funcionamiento Servicios Personales","No aplica",IFERROR(VLOOKUP(J770,Listas!$A$220:$D$224,2,FALSE),"Alerta: Seleccione la celda en la comumna B con el nombre del proyecto")))</f>
        <v>Alerta: Seleccione la celda en la comumna B con el nombre del proyecto</v>
      </c>
      <c r="AM770" s="640" t="str">
        <f>IF(J770="Funcionamiento Gastos Generales","No aplica",IF(J770="Funcionamiento Servicios Personales","No aplica",IFERROR(VLOOKUP(J770,Listas!$A$220:$D$224,3,FALSE),"Alerta: Seleccione la celda en la comumna B con el nombre del proyecto")))</f>
        <v>Alerta: Seleccione la celda en la comumna B con el nombre del proyecto</v>
      </c>
      <c r="AN770" s="633"/>
      <c r="AO770" s="633"/>
      <c r="AP770" s="634" t="str">
        <f>IFERROR(VLOOKUP(J770,Listas!$A$182:$E$215,5,FALSE),"Alerta: Seleccione la celda en la comumna B con el nombre del proyecto")</f>
        <v>Alerta: Seleccione la celda en la comumna B con el nombre del proyecto</v>
      </c>
      <c r="AQ770" s="634" t="str">
        <f>IF(J770="Funcionamiento Gastos Generales","No aplica",IF(J770="Funcionamiento Servicios Personales","No aplica",IFERROR(VLOOKUP(J770,Listas!$A$220:$D$224,4,FALSE),"Alerta: Seleccione la celda en la comumna B con el nombre del proyecto")))</f>
        <v>Alerta: Seleccione la celda en la comumna B con el nombre del proyecto</v>
      </c>
      <c r="AR770" s="633"/>
      <c r="AS770" s="634" t="str">
        <f>IFERROR(VLOOKUP(AU770,Listas!$E$85:$L$105,7,FALSE),"Alerta: Seleccione la celda en la comumna AI con el concepto de gasto")</f>
        <v>Alerta: Seleccione la celda en la comumna AI con el concepto de gasto</v>
      </c>
      <c r="AT770" s="634" t="str">
        <f>IFERROR(VLOOKUP(AU770,Listas!$E$85:$L$105,8,FALSE),"Alerta: Seleccione la celda en la comumna AI con el concepto de gasto")</f>
        <v>Alerta: Seleccione la celda en la comumna AI con el concepto de gasto</v>
      </c>
      <c r="AU770" s="633"/>
      <c r="AV770" s="634" t="str">
        <f>IFERROR(VLOOKUP(AU770,Listas!$E$85:$F$105,2,FALSE),"Alerta: Seleccione el Concepto de Gasto primero")</f>
        <v>Alerta: Seleccione el Concepto de Gasto primero</v>
      </c>
      <c r="AW770" s="644"/>
      <c r="AX770" s="645"/>
      <c r="AY770" s="645"/>
      <c r="AZ770" s="645"/>
      <c r="BA770" s="646">
        <f t="shared" si="237"/>
        <v>0</v>
      </c>
      <c r="BB770" s="647"/>
      <c r="BC770" s="648"/>
      <c r="BD770" s="649"/>
      <c r="BE770" s="647"/>
      <c r="BF770" s="644"/>
      <c r="BG770" s="646">
        <f t="shared" si="238"/>
        <v>0</v>
      </c>
      <c r="BH770" s="650"/>
      <c r="BI770" s="647"/>
      <c r="BJ770" s="644"/>
      <c r="BK770" s="646">
        <f t="shared" si="239"/>
        <v>0</v>
      </c>
      <c r="BL770" s="651"/>
      <c r="BM770" s="652">
        <f t="shared" si="240"/>
        <v>1</v>
      </c>
      <c r="BN770" s="628"/>
      <c r="BO770" s="670"/>
      <c r="BP770" s="644"/>
      <c r="BQ770" s="644"/>
      <c r="BR770" s="644"/>
      <c r="BS770" s="644"/>
      <c r="BT770" s="644"/>
      <c r="BU770" s="644"/>
      <c r="BV770" s="644"/>
      <c r="BW770" s="644"/>
      <c r="BX770" s="644"/>
      <c r="BY770" s="644"/>
      <c r="BZ770" s="644"/>
      <c r="CA770" s="644"/>
      <c r="CB770" s="646">
        <f t="shared" si="241"/>
        <v>0</v>
      </c>
      <c r="CC770" s="646">
        <f t="shared" si="242"/>
        <v>0</v>
      </c>
      <c r="CD770" s="614"/>
    </row>
    <row r="771" spans="1:82" s="561" customFormat="1" ht="61.5" customHeight="1">
      <c r="A771" s="625" t="str">
        <f t="shared" si="224"/>
        <v>proyecto-Alerta: Seleccione la celda en la comumna B con el nombre del proyecto-Al-Al--</v>
      </c>
      <c r="B771" s="626" t="str">
        <f t="shared" si="225"/>
        <v>proyecto-Alerta: Seleccione la celda en la comumna B con el nombre del proyecto-Al-Al-</v>
      </c>
      <c r="C771" s="626" t="str">
        <f t="shared" si="226"/>
        <v>proyecto-Alerta: Seleccione la celda en la comumna B con el nombre del proyecto-</v>
      </c>
      <c r="D771" s="626" t="str">
        <f t="shared" si="227"/>
        <v>proyecto--Al-Al-</v>
      </c>
      <c r="E771" s="626" t="str">
        <f t="shared" si="228"/>
        <v>--</v>
      </c>
      <c r="F771" s="627"/>
      <c r="G771" s="628">
        <f t="shared" si="229"/>
        <v>0</v>
      </c>
      <c r="H771" s="629" t="b">
        <f t="shared" si="230"/>
        <v>1</v>
      </c>
      <c r="I771" s="630"/>
      <c r="J771" s="627"/>
      <c r="K771" s="631" t="str">
        <f>+IFERROR(VLOOKUP(J771,Listas!$A$108:$B$114,2,FALSE),"Alerta: Seleccione la celda en la comumna B con el nombre del proyecto")</f>
        <v>Alerta: Seleccione la celda en la comumna B con el nombre del proyecto</v>
      </c>
      <c r="L771" s="632"/>
      <c r="M771" s="633"/>
      <c r="N771" s="634" t="str">
        <f t="shared" si="231"/>
        <v xml:space="preserve">(Cód. ) </v>
      </c>
      <c r="O771" s="635"/>
      <c r="P771" s="636">
        <f>IFERROR(VLOOKUP(W771,'Estimación CRP'!$D$21:$E$30,2,FALSE),0)</f>
        <v>0</v>
      </c>
      <c r="Q771" s="637">
        <f>IF(O771="No aplica","No aplica",WORKDAY.INTL(O771,P771,1,'Estimación CRP'!A957:A973))</f>
        <v>0</v>
      </c>
      <c r="R771" s="636">
        <f t="shared" si="232"/>
        <v>1</v>
      </c>
      <c r="S771" s="636">
        <f t="shared" si="233"/>
        <v>1</v>
      </c>
      <c r="T771" s="636">
        <f t="shared" si="234"/>
        <v>1</v>
      </c>
      <c r="U771" s="638"/>
      <c r="V771" s="638"/>
      <c r="W771" s="639"/>
      <c r="X771" s="640" t="str">
        <f>IFERROR(VLOOKUP(W771,Listas!$A$60:$B$73,2,FALSE),"Alerta: Seleccione primero Modalidad de selección")</f>
        <v>Alerta: Seleccione primero Modalidad de selección</v>
      </c>
      <c r="Y771" s="641">
        <v>0</v>
      </c>
      <c r="Z771" s="641"/>
      <c r="AA771" s="641"/>
      <c r="AB771" s="642">
        <f t="shared" si="235"/>
        <v>0</v>
      </c>
      <c r="AC771" s="642">
        <f t="shared" si="236"/>
        <v>0</v>
      </c>
      <c r="AD771" s="641">
        <v>0</v>
      </c>
      <c r="AE771" s="643">
        <v>0</v>
      </c>
      <c r="AF771" s="639" t="s">
        <v>276</v>
      </c>
      <c r="AG771" s="639" t="s">
        <v>277</v>
      </c>
      <c r="AH771" s="639"/>
      <c r="AI771" s="626" t="str">
        <f>IFERROR(VLOOKUP(AH771,Listas!$A$77:$C$83,2,FALSE),"Alerta: Seleccione primero el responsable")</f>
        <v>Alerta: Seleccione primero el responsable</v>
      </c>
      <c r="AJ771" s="640" t="str">
        <f>IFERROR(VLOOKUP(AH771,Listas!$A$77:$C$83,3,FALSE),"Alerta: Seleccione primero el responsable")</f>
        <v>Alerta: Seleccione primero el responsable</v>
      </c>
      <c r="AK771" s="640" t="str">
        <f>IF(J771="Funcionamiento Gastos Generales","No aplica",IF(J771="Funcionamiento Servicios Personales indirectos","No aplica",IFERROR(VLOOKUP(J771,Listas!$A$127:$E$139,3,FALSE),"Alerta: Seleccione la celda en la comumna B con el nombre del proyecto")))</f>
        <v>Alerta: Seleccione la celda en la comumna B con el nombre del proyecto</v>
      </c>
      <c r="AL771" s="640" t="str">
        <f>IF(J771="Funcionamiento Gastos Generales","No aplica",IF(J771="Funcionamiento Servicios Personales","No aplica",IFERROR(VLOOKUP(J771,Listas!$A$220:$D$224,2,FALSE),"Alerta: Seleccione la celda en la comumna B con el nombre del proyecto")))</f>
        <v>Alerta: Seleccione la celda en la comumna B con el nombre del proyecto</v>
      </c>
      <c r="AM771" s="640" t="str">
        <f>IF(J771="Funcionamiento Gastos Generales","No aplica",IF(J771="Funcionamiento Servicios Personales","No aplica",IFERROR(VLOOKUP(J771,Listas!$A$220:$D$224,3,FALSE),"Alerta: Seleccione la celda en la comumna B con el nombre del proyecto")))</f>
        <v>Alerta: Seleccione la celda en la comumna B con el nombre del proyecto</v>
      </c>
      <c r="AN771" s="633"/>
      <c r="AO771" s="633"/>
      <c r="AP771" s="634" t="str">
        <f>IFERROR(VLOOKUP(J771,Listas!$A$182:$E$215,5,FALSE),"Alerta: Seleccione la celda en la comumna B con el nombre del proyecto")</f>
        <v>Alerta: Seleccione la celda en la comumna B con el nombre del proyecto</v>
      </c>
      <c r="AQ771" s="634" t="str">
        <f>IF(J771="Funcionamiento Gastos Generales","No aplica",IF(J771="Funcionamiento Servicios Personales","No aplica",IFERROR(VLOOKUP(J771,Listas!$A$220:$D$224,4,FALSE),"Alerta: Seleccione la celda en la comumna B con el nombre del proyecto")))</f>
        <v>Alerta: Seleccione la celda en la comumna B con el nombre del proyecto</v>
      </c>
      <c r="AR771" s="633"/>
      <c r="AS771" s="634" t="str">
        <f>IFERROR(VLOOKUP(AU771,Listas!$E$85:$L$105,7,FALSE),"Alerta: Seleccione la celda en la comumna AI con el concepto de gasto")</f>
        <v>Alerta: Seleccione la celda en la comumna AI con el concepto de gasto</v>
      </c>
      <c r="AT771" s="634" t="str">
        <f>IFERROR(VLOOKUP(AU771,Listas!$E$85:$L$105,8,FALSE),"Alerta: Seleccione la celda en la comumna AI con el concepto de gasto")</f>
        <v>Alerta: Seleccione la celda en la comumna AI con el concepto de gasto</v>
      </c>
      <c r="AU771" s="633"/>
      <c r="AV771" s="634" t="str">
        <f>IFERROR(VLOOKUP(AU771,Listas!$E$85:$F$105,2,FALSE),"Alerta: Seleccione el Concepto de Gasto primero")</f>
        <v>Alerta: Seleccione el Concepto de Gasto primero</v>
      </c>
      <c r="AW771" s="644"/>
      <c r="AX771" s="645"/>
      <c r="AY771" s="645"/>
      <c r="AZ771" s="645"/>
      <c r="BA771" s="646">
        <f t="shared" si="237"/>
        <v>0</v>
      </c>
      <c r="BB771" s="647"/>
      <c r="BC771" s="648"/>
      <c r="BD771" s="649"/>
      <c r="BE771" s="647"/>
      <c r="BF771" s="644"/>
      <c r="BG771" s="646">
        <f t="shared" si="238"/>
        <v>0</v>
      </c>
      <c r="BH771" s="650"/>
      <c r="BI771" s="647"/>
      <c r="BJ771" s="644"/>
      <c r="BK771" s="646">
        <f t="shared" si="239"/>
        <v>0</v>
      </c>
      <c r="BL771" s="651"/>
      <c r="BM771" s="652">
        <f t="shared" si="240"/>
        <v>1</v>
      </c>
      <c r="BN771" s="628"/>
      <c r="BO771" s="670"/>
      <c r="BP771" s="644"/>
      <c r="BQ771" s="644"/>
      <c r="BR771" s="644"/>
      <c r="BS771" s="644"/>
      <c r="BT771" s="644"/>
      <c r="BU771" s="644"/>
      <c r="BV771" s="644"/>
      <c r="BW771" s="644"/>
      <c r="BX771" s="644"/>
      <c r="BY771" s="644"/>
      <c r="BZ771" s="644"/>
      <c r="CA771" s="644"/>
      <c r="CB771" s="646">
        <f t="shared" si="241"/>
        <v>0</v>
      </c>
      <c r="CC771" s="646">
        <f t="shared" si="242"/>
        <v>0</v>
      </c>
      <c r="CD771" s="614"/>
    </row>
    <row r="772" spans="1:82" s="561" customFormat="1" ht="61.5" customHeight="1">
      <c r="A772" s="625" t="str">
        <f t="shared" si="224"/>
        <v>proyecto-Alerta: Seleccione la celda en la comumna B con el nombre del proyecto-Al-Al--</v>
      </c>
      <c r="B772" s="626" t="str">
        <f t="shared" si="225"/>
        <v>proyecto-Alerta: Seleccione la celda en la comumna B con el nombre del proyecto-Al-Al-</v>
      </c>
      <c r="C772" s="626" t="str">
        <f t="shared" si="226"/>
        <v>proyecto-Alerta: Seleccione la celda en la comumna B con el nombre del proyecto-</v>
      </c>
      <c r="D772" s="626" t="str">
        <f t="shared" si="227"/>
        <v>proyecto--Al-Al-</v>
      </c>
      <c r="E772" s="626" t="str">
        <f t="shared" si="228"/>
        <v>--</v>
      </c>
      <c r="F772" s="627"/>
      <c r="G772" s="628">
        <f t="shared" si="229"/>
        <v>0</v>
      </c>
      <c r="H772" s="629" t="b">
        <f t="shared" si="230"/>
        <v>1</v>
      </c>
      <c r="I772" s="630"/>
      <c r="J772" s="627"/>
      <c r="K772" s="631" t="str">
        <f>+IFERROR(VLOOKUP(J772,Listas!$A$108:$B$114,2,FALSE),"Alerta: Seleccione la celda en la comumna B con el nombre del proyecto")</f>
        <v>Alerta: Seleccione la celda en la comumna B con el nombre del proyecto</v>
      </c>
      <c r="L772" s="632"/>
      <c r="M772" s="633"/>
      <c r="N772" s="634" t="str">
        <f t="shared" si="231"/>
        <v xml:space="preserve">(Cód. ) </v>
      </c>
      <c r="O772" s="635"/>
      <c r="P772" s="636">
        <f>IFERROR(VLOOKUP(W772,'Estimación CRP'!$D$21:$E$30,2,FALSE),0)</f>
        <v>0</v>
      </c>
      <c r="Q772" s="637">
        <f>IF(O772="No aplica","No aplica",WORKDAY.INTL(O772,P772,1,'Estimación CRP'!A958:A974))</f>
        <v>0</v>
      </c>
      <c r="R772" s="636">
        <f t="shared" si="232"/>
        <v>1</v>
      </c>
      <c r="S772" s="636">
        <f t="shared" si="233"/>
        <v>1</v>
      </c>
      <c r="T772" s="636">
        <f t="shared" si="234"/>
        <v>1</v>
      </c>
      <c r="U772" s="638"/>
      <c r="V772" s="638"/>
      <c r="W772" s="639"/>
      <c r="X772" s="640" t="str">
        <f>IFERROR(VLOOKUP(W772,Listas!$A$60:$B$73,2,FALSE),"Alerta: Seleccione primero Modalidad de selección")</f>
        <v>Alerta: Seleccione primero Modalidad de selección</v>
      </c>
      <c r="Y772" s="641">
        <v>0</v>
      </c>
      <c r="Z772" s="641"/>
      <c r="AA772" s="641"/>
      <c r="AB772" s="642">
        <f t="shared" si="235"/>
        <v>0</v>
      </c>
      <c r="AC772" s="642">
        <f t="shared" si="236"/>
        <v>0</v>
      </c>
      <c r="AD772" s="641">
        <v>0</v>
      </c>
      <c r="AE772" s="643">
        <v>0</v>
      </c>
      <c r="AF772" s="639" t="s">
        <v>276</v>
      </c>
      <c r="AG772" s="639" t="s">
        <v>277</v>
      </c>
      <c r="AH772" s="639"/>
      <c r="AI772" s="626" t="str">
        <f>IFERROR(VLOOKUP(AH772,Listas!$A$77:$C$83,2,FALSE),"Alerta: Seleccione primero el responsable")</f>
        <v>Alerta: Seleccione primero el responsable</v>
      </c>
      <c r="AJ772" s="640" t="str">
        <f>IFERROR(VLOOKUP(AH772,Listas!$A$77:$C$83,3,FALSE),"Alerta: Seleccione primero el responsable")</f>
        <v>Alerta: Seleccione primero el responsable</v>
      </c>
      <c r="AK772" s="640" t="str">
        <f>IF(J772="Funcionamiento Gastos Generales","No aplica",IF(J772="Funcionamiento Servicios Personales indirectos","No aplica",IFERROR(VLOOKUP(J772,Listas!$A$127:$E$139,3,FALSE),"Alerta: Seleccione la celda en la comumna B con el nombre del proyecto")))</f>
        <v>Alerta: Seleccione la celda en la comumna B con el nombre del proyecto</v>
      </c>
      <c r="AL772" s="640" t="str">
        <f>IF(J772="Funcionamiento Gastos Generales","No aplica",IF(J772="Funcionamiento Servicios Personales","No aplica",IFERROR(VLOOKUP(J772,Listas!$A$220:$D$224,2,FALSE),"Alerta: Seleccione la celda en la comumna B con el nombre del proyecto")))</f>
        <v>Alerta: Seleccione la celda en la comumna B con el nombre del proyecto</v>
      </c>
      <c r="AM772" s="640" t="str">
        <f>IF(J772="Funcionamiento Gastos Generales","No aplica",IF(J772="Funcionamiento Servicios Personales","No aplica",IFERROR(VLOOKUP(J772,Listas!$A$220:$D$224,3,FALSE),"Alerta: Seleccione la celda en la comumna B con el nombre del proyecto")))</f>
        <v>Alerta: Seleccione la celda en la comumna B con el nombre del proyecto</v>
      </c>
      <c r="AN772" s="633"/>
      <c r="AO772" s="633"/>
      <c r="AP772" s="634" t="str">
        <f>IFERROR(VLOOKUP(J772,Listas!$A$182:$E$215,5,FALSE),"Alerta: Seleccione la celda en la comumna B con el nombre del proyecto")</f>
        <v>Alerta: Seleccione la celda en la comumna B con el nombre del proyecto</v>
      </c>
      <c r="AQ772" s="634" t="str">
        <f>IF(J772="Funcionamiento Gastos Generales","No aplica",IF(J772="Funcionamiento Servicios Personales","No aplica",IFERROR(VLOOKUP(J772,Listas!$A$220:$D$224,4,FALSE),"Alerta: Seleccione la celda en la comumna B con el nombre del proyecto")))</f>
        <v>Alerta: Seleccione la celda en la comumna B con el nombre del proyecto</v>
      </c>
      <c r="AR772" s="633"/>
      <c r="AS772" s="634" t="str">
        <f>IFERROR(VLOOKUP(AU772,Listas!$E$85:$L$105,7,FALSE),"Alerta: Seleccione la celda en la comumna AI con el concepto de gasto")</f>
        <v>Alerta: Seleccione la celda en la comumna AI con el concepto de gasto</v>
      </c>
      <c r="AT772" s="634" t="str">
        <f>IFERROR(VLOOKUP(AU772,Listas!$E$85:$L$105,8,FALSE),"Alerta: Seleccione la celda en la comumna AI con el concepto de gasto")</f>
        <v>Alerta: Seleccione la celda en la comumna AI con el concepto de gasto</v>
      </c>
      <c r="AU772" s="633"/>
      <c r="AV772" s="634" t="str">
        <f>IFERROR(VLOOKUP(AU772,Listas!$E$85:$F$105,2,FALSE),"Alerta: Seleccione el Concepto de Gasto primero")</f>
        <v>Alerta: Seleccione el Concepto de Gasto primero</v>
      </c>
      <c r="AW772" s="644"/>
      <c r="AX772" s="645"/>
      <c r="AY772" s="645"/>
      <c r="AZ772" s="645"/>
      <c r="BA772" s="646">
        <f t="shared" si="237"/>
        <v>0</v>
      </c>
      <c r="BB772" s="647"/>
      <c r="BC772" s="648"/>
      <c r="BD772" s="649"/>
      <c r="BE772" s="647"/>
      <c r="BF772" s="644"/>
      <c r="BG772" s="646">
        <f t="shared" si="238"/>
        <v>0</v>
      </c>
      <c r="BH772" s="650"/>
      <c r="BI772" s="647"/>
      <c r="BJ772" s="644"/>
      <c r="BK772" s="646">
        <f t="shared" si="239"/>
        <v>0</v>
      </c>
      <c r="BL772" s="651"/>
      <c r="BM772" s="652">
        <f t="shared" si="240"/>
        <v>1</v>
      </c>
      <c r="BN772" s="628"/>
      <c r="BO772" s="670"/>
      <c r="BP772" s="644"/>
      <c r="BQ772" s="644"/>
      <c r="BR772" s="644"/>
      <c r="BS772" s="644"/>
      <c r="BT772" s="644"/>
      <c r="BU772" s="644"/>
      <c r="BV772" s="644"/>
      <c r="BW772" s="644"/>
      <c r="BX772" s="644"/>
      <c r="BY772" s="644"/>
      <c r="BZ772" s="644"/>
      <c r="CA772" s="644"/>
      <c r="CB772" s="646">
        <f t="shared" si="241"/>
        <v>0</v>
      </c>
      <c r="CC772" s="646">
        <f t="shared" si="242"/>
        <v>0</v>
      </c>
      <c r="CD772" s="614"/>
    </row>
    <row r="773" spans="1:82" s="561" customFormat="1" ht="61.5" customHeight="1">
      <c r="A773" s="625" t="str">
        <f t="shared" si="224"/>
        <v>proyecto-Alerta: Seleccione la celda en la comumna B con el nombre del proyecto-Al-Al--</v>
      </c>
      <c r="B773" s="626" t="str">
        <f t="shared" si="225"/>
        <v>proyecto-Alerta: Seleccione la celda en la comumna B con el nombre del proyecto-Al-Al-</v>
      </c>
      <c r="C773" s="626" t="str">
        <f t="shared" si="226"/>
        <v>proyecto-Alerta: Seleccione la celda en la comumna B con el nombre del proyecto-</v>
      </c>
      <c r="D773" s="626" t="str">
        <f t="shared" si="227"/>
        <v>proyecto--Al-Al-</v>
      </c>
      <c r="E773" s="626" t="str">
        <f t="shared" si="228"/>
        <v>--</v>
      </c>
      <c r="F773" s="627"/>
      <c r="G773" s="628">
        <f t="shared" si="229"/>
        <v>0</v>
      </c>
      <c r="H773" s="629" t="b">
        <f t="shared" si="230"/>
        <v>1</v>
      </c>
      <c r="I773" s="630"/>
      <c r="J773" s="627"/>
      <c r="K773" s="631" t="str">
        <f>+IFERROR(VLOOKUP(J773,Listas!$A$108:$B$114,2,FALSE),"Alerta: Seleccione la celda en la comumna B con el nombre del proyecto")</f>
        <v>Alerta: Seleccione la celda en la comumna B con el nombre del proyecto</v>
      </c>
      <c r="L773" s="632"/>
      <c r="M773" s="633"/>
      <c r="N773" s="634" t="str">
        <f t="shared" si="231"/>
        <v xml:space="preserve">(Cód. ) </v>
      </c>
      <c r="O773" s="635"/>
      <c r="P773" s="636">
        <f>IFERROR(VLOOKUP(W773,'Estimación CRP'!$D$21:$E$30,2,FALSE),0)</f>
        <v>0</v>
      </c>
      <c r="Q773" s="637">
        <f>IF(O773="No aplica","No aplica",WORKDAY.INTL(O773,P773,1,'Estimación CRP'!A959:A975))</f>
        <v>0</v>
      </c>
      <c r="R773" s="636">
        <f t="shared" si="232"/>
        <v>1</v>
      </c>
      <c r="S773" s="636">
        <f t="shared" si="233"/>
        <v>1</v>
      </c>
      <c r="T773" s="636">
        <f t="shared" si="234"/>
        <v>1</v>
      </c>
      <c r="U773" s="638"/>
      <c r="V773" s="638"/>
      <c r="W773" s="639"/>
      <c r="X773" s="640" t="str">
        <f>IFERROR(VLOOKUP(W773,Listas!$A$60:$B$73,2,FALSE),"Alerta: Seleccione primero Modalidad de selección")</f>
        <v>Alerta: Seleccione primero Modalidad de selección</v>
      </c>
      <c r="Y773" s="641">
        <v>0</v>
      </c>
      <c r="Z773" s="641"/>
      <c r="AA773" s="641"/>
      <c r="AB773" s="642">
        <f t="shared" si="235"/>
        <v>0</v>
      </c>
      <c r="AC773" s="642">
        <f t="shared" si="236"/>
        <v>0</v>
      </c>
      <c r="AD773" s="641">
        <v>0</v>
      </c>
      <c r="AE773" s="643">
        <v>0</v>
      </c>
      <c r="AF773" s="639" t="s">
        <v>276</v>
      </c>
      <c r="AG773" s="639" t="s">
        <v>277</v>
      </c>
      <c r="AH773" s="639"/>
      <c r="AI773" s="626" t="str">
        <f>IFERROR(VLOOKUP(AH773,Listas!$A$77:$C$83,2,FALSE),"Alerta: Seleccione primero el responsable")</f>
        <v>Alerta: Seleccione primero el responsable</v>
      </c>
      <c r="AJ773" s="640" t="str">
        <f>IFERROR(VLOOKUP(AH773,Listas!$A$77:$C$83,3,FALSE),"Alerta: Seleccione primero el responsable")</f>
        <v>Alerta: Seleccione primero el responsable</v>
      </c>
      <c r="AK773" s="640" t="str">
        <f>IF(J773="Funcionamiento Gastos Generales","No aplica",IF(J773="Funcionamiento Servicios Personales indirectos","No aplica",IFERROR(VLOOKUP(J773,Listas!$A$127:$E$139,3,FALSE),"Alerta: Seleccione la celda en la comumna B con el nombre del proyecto")))</f>
        <v>Alerta: Seleccione la celda en la comumna B con el nombre del proyecto</v>
      </c>
      <c r="AL773" s="640" t="str">
        <f>IF(J773="Funcionamiento Gastos Generales","No aplica",IF(J773="Funcionamiento Servicios Personales","No aplica",IFERROR(VLOOKUP(J773,Listas!$A$220:$D$224,2,FALSE),"Alerta: Seleccione la celda en la comumna B con el nombre del proyecto")))</f>
        <v>Alerta: Seleccione la celda en la comumna B con el nombre del proyecto</v>
      </c>
      <c r="AM773" s="640" t="str">
        <f>IF(J773="Funcionamiento Gastos Generales","No aplica",IF(J773="Funcionamiento Servicios Personales","No aplica",IFERROR(VLOOKUP(J773,Listas!$A$220:$D$224,3,FALSE),"Alerta: Seleccione la celda en la comumna B con el nombre del proyecto")))</f>
        <v>Alerta: Seleccione la celda en la comumna B con el nombre del proyecto</v>
      </c>
      <c r="AN773" s="633"/>
      <c r="AO773" s="633"/>
      <c r="AP773" s="634" t="str">
        <f>IFERROR(VLOOKUP(J773,Listas!$A$182:$E$215,5,FALSE),"Alerta: Seleccione la celda en la comumna B con el nombre del proyecto")</f>
        <v>Alerta: Seleccione la celda en la comumna B con el nombre del proyecto</v>
      </c>
      <c r="AQ773" s="634" t="str">
        <f>IF(J773="Funcionamiento Gastos Generales","No aplica",IF(J773="Funcionamiento Servicios Personales","No aplica",IFERROR(VLOOKUP(J773,Listas!$A$220:$D$224,4,FALSE),"Alerta: Seleccione la celda en la comumna B con el nombre del proyecto")))</f>
        <v>Alerta: Seleccione la celda en la comumna B con el nombre del proyecto</v>
      </c>
      <c r="AR773" s="633"/>
      <c r="AS773" s="634" t="str">
        <f>IFERROR(VLOOKUP(AU773,Listas!$E$85:$L$105,7,FALSE),"Alerta: Seleccione la celda en la comumna AI con el concepto de gasto")</f>
        <v>Alerta: Seleccione la celda en la comumna AI con el concepto de gasto</v>
      </c>
      <c r="AT773" s="634" t="str">
        <f>IFERROR(VLOOKUP(AU773,Listas!$E$85:$L$105,8,FALSE),"Alerta: Seleccione la celda en la comumna AI con el concepto de gasto")</f>
        <v>Alerta: Seleccione la celda en la comumna AI con el concepto de gasto</v>
      </c>
      <c r="AU773" s="633"/>
      <c r="AV773" s="634" t="str">
        <f>IFERROR(VLOOKUP(AU773,Listas!$E$85:$F$105,2,FALSE),"Alerta: Seleccione el Concepto de Gasto primero")</f>
        <v>Alerta: Seleccione el Concepto de Gasto primero</v>
      </c>
      <c r="AW773" s="644"/>
      <c r="AX773" s="645"/>
      <c r="AY773" s="645"/>
      <c r="AZ773" s="645"/>
      <c r="BA773" s="646">
        <f t="shared" si="237"/>
        <v>0</v>
      </c>
      <c r="BB773" s="647"/>
      <c r="BC773" s="648"/>
      <c r="BD773" s="649"/>
      <c r="BE773" s="647"/>
      <c r="BF773" s="644"/>
      <c r="BG773" s="646">
        <f t="shared" si="238"/>
        <v>0</v>
      </c>
      <c r="BH773" s="650"/>
      <c r="BI773" s="647"/>
      <c r="BJ773" s="644"/>
      <c r="BK773" s="646">
        <f t="shared" si="239"/>
        <v>0</v>
      </c>
      <c r="BL773" s="651"/>
      <c r="BM773" s="652">
        <f t="shared" si="240"/>
        <v>1</v>
      </c>
      <c r="BN773" s="628"/>
      <c r="BO773" s="670"/>
      <c r="BP773" s="644"/>
      <c r="BQ773" s="644"/>
      <c r="BR773" s="644"/>
      <c r="BS773" s="644"/>
      <c r="BT773" s="644"/>
      <c r="BU773" s="644"/>
      <c r="BV773" s="644"/>
      <c r="BW773" s="644"/>
      <c r="BX773" s="644"/>
      <c r="BY773" s="644"/>
      <c r="BZ773" s="644"/>
      <c r="CA773" s="644"/>
      <c r="CB773" s="646">
        <f t="shared" si="241"/>
        <v>0</v>
      </c>
      <c r="CC773" s="646">
        <f t="shared" si="242"/>
        <v>0</v>
      </c>
      <c r="CD773" s="614"/>
    </row>
    <row r="774" spans="1:82" s="561" customFormat="1" ht="61.5" customHeight="1">
      <c r="A774" s="625" t="str">
        <f t="shared" si="224"/>
        <v>proyecto-Alerta: Seleccione la celda en la comumna B con el nombre del proyecto-Al-Al--</v>
      </c>
      <c r="B774" s="626" t="str">
        <f t="shared" si="225"/>
        <v>proyecto-Alerta: Seleccione la celda en la comumna B con el nombre del proyecto-Al-Al-</v>
      </c>
      <c r="C774" s="626" t="str">
        <f t="shared" si="226"/>
        <v>proyecto-Alerta: Seleccione la celda en la comumna B con el nombre del proyecto-</v>
      </c>
      <c r="D774" s="626" t="str">
        <f t="shared" si="227"/>
        <v>proyecto--Al-Al-</v>
      </c>
      <c r="E774" s="626" t="str">
        <f t="shared" si="228"/>
        <v>--</v>
      </c>
      <c r="F774" s="627"/>
      <c r="G774" s="628">
        <f t="shared" si="229"/>
        <v>0</v>
      </c>
      <c r="H774" s="629" t="b">
        <f t="shared" si="230"/>
        <v>1</v>
      </c>
      <c r="I774" s="630"/>
      <c r="J774" s="627"/>
      <c r="K774" s="631" t="str">
        <f>+IFERROR(VLOOKUP(J774,Listas!$A$108:$B$114,2,FALSE),"Alerta: Seleccione la celda en la comumna B con el nombre del proyecto")</f>
        <v>Alerta: Seleccione la celda en la comumna B con el nombre del proyecto</v>
      </c>
      <c r="L774" s="632"/>
      <c r="M774" s="633"/>
      <c r="N774" s="634" t="str">
        <f t="shared" si="231"/>
        <v xml:space="preserve">(Cód. ) </v>
      </c>
      <c r="O774" s="635"/>
      <c r="P774" s="636">
        <f>IFERROR(VLOOKUP(W774,'Estimación CRP'!$D$21:$E$30,2,FALSE),0)</f>
        <v>0</v>
      </c>
      <c r="Q774" s="637">
        <f>IF(O774="No aplica","No aplica",WORKDAY.INTL(O774,P774,1,'Estimación CRP'!A960:A976))</f>
        <v>0</v>
      </c>
      <c r="R774" s="636">
        <f t="shared" si="232"/>
        <v>1</v>
      </c>
      <c r="S774" s="636">
        <f t="shared" si="233"/>
        <v>1</v>
      </c>
      <c r="T774" s="636">
        <f t="shared" si="234"/>
        <v>1</v>
      </c>
      <c r="U774" s="638"/>
      <c r="V774" s="638"/>
      <c r="W774" s="639"/>
      <c r="X774" s="640" t="str">
        <f>IFERROR(VLOOKUP(W774,Listas!$A$60:$B$73,2,FALSE),"Alerta: Seleccione primero Modalidad de selección")</f>
        <v>Alerta: Seleccione primero Modalidad de selección</v>
      </c>
      <c r="Y774" s="641">
        <v>0</v>
      </c>
      <c r="Z774" s="641"/>
      <c r="AA774" s="641"/>
      <c r="AB774" s="642">
        <f t="shared" si="235"/>
        <v>0</v>
      </c>
      <c r="AC774" s="642">
        <f t="shared" si="236"/>
        <v>0</v>
      </c>
      <c r="AD774" s="641">
        <v>0</v>
      </c>
      <c r="AE774" s="643">
        <v>0</v>
      </c>
      <c r="AF774" s="639" t="s">
        <v>276</v>
      </c>
      <c r="AG774" s="639" t="s">
        <v>277</v>
      </c>
      <c r="AH774" s="639"/>
      <c r="AI774" s="626" t="str">
        <f>IFERROR(VLOOKUP(AH774,Listas!$A$77:$C$83,2,FALSE),"Alerta: Seleccione primero el responsable")</f>
        <v>Alerta: Seleccione primero el responsable</v>
      </c>
      <c r="AJ774" s="640" t="str">
        <f>IFERROR(VLOOKUP(AH774,Listas!$A$77:$C$83,3,FALSE),"Alerta: Seleccione primero el responsable")</f>
        <v>Alerta: Seleccione primero el responsable</v>
      </c>
      <c r="AK774" s="640" t="str">
        <f>IF(J774="Funcionamiento Gastos Generales","No aplica",IF(J774="Funcionamiento Servicios Personales indirectos","No aplica",IFERROR(VLOOKUP(J774,Listas!$A$127:$E$139,3,FALSE),"Alerta: Seleccione la celda en la comumna B con el nombre del proyecto")))</f>
        <v>Alerta: Seleccione la celda en la comumna B con el nombre del proyecto</v>
      </c>
      <c r="AL774" s="640" t="str">
        <f>IF(J774="Funcionamiento Gastos Generales","No aplica",IF(J774="Funcionamiento Servicios Personales","No aplica",IFERROR(VLOOKUP(J774,Listas!$A$220:$D$224,2,FALSE),"Alerta: Seleccione la celda en la comumna B con el nombre del proyecto")))</f>
        <v>Alerta: Seleccione la celda en la comumna B con el nombre del proyecto</v>
      </c>
      <c r="AM774" s="640" t="str">
        <f>IF(J774="Funcionamiento Gastos Generales","No aplica",IF(J774="Funcionamiento Servicios Personales","No aplica",IFERROR(VLOOKUP(J774,Listas!$A$220:$D$224,3,FALSE),"Alerta: Seleccione la celda en la comumna B con el nombre del proyecto")))</f>
        <v>Alerta: Seleccione la celda en la comumna B con el nombre del proyecto</v>
      </c>
      <c r="AN774" s="633"/>
      <c r="AO774" s="633"/>
      <c r="AP774" s="634" t="str">
        <f>IFERROR(VLOOKUP(J774,Listas!$A$182:$E$215,5,FALSE),"Alerta: Seleccione la celda en la comumna B con el nombre del proyecto")</f>
        <v>Alerta: Seleccione la celda en la comumna B con el nombre del proyecto</v>
      </c>
      <c r="AQ774" s="634" t="str">
        <f>IF(J774="Funcionamiento Gastos Generales","No aplica",IF(J774="Funcionamiento Servicios Personales","No aplica",IFERROR(VLOOKUP(J774,Listas!$A$220:$D$224,4,FALSE),"Alerta: Seleccione la celda en la comumna B con el nombre del proyecto")))</f>
        <v>Alerta: Seleccione la celda en la comumna B con el nombre del proyecto</v>
      </c>
      <c r="AR774" s="633"/>
      <c r="AS774" s="634" t="str">
        <f>IFERROR(VLOOKUP(AU774,Listas!$E$85:$L$105,7,FALSE),"Alerta: Seleccione la celda en la comumna AI con el concepto de gasto")</f>
        <v>Alerta: Seleccione la celda en la comumna AI con el concepto de gasto</v>
      </c>
      <c r="AT774" s="634" t="str">
        <f>IFERROR(VLOOKUP(AU774,Listas!$E$85:$L$105,8,FALSE),"Alerta: Seleccione la celda en la comumna AI con el concepto de gasto")</f>
        <v>Alerta: Seleccione la celda en la comumna AI con el concepto de gasto</v>
      </c>
      <c r="AU774" s="633"/>
      <c r="AV774" s="634" t="str">
        <f>IFERROR(VLOOKUP(AU774,Listas!$E$85:$F$105,2,FALSE),"Alerta: Seleccione el Concepto de Gasto primero")</f>
        <v>Alerta: Seleccione el Concepto de Gasto primero</v>
      </c>
      <c r="AW774" s="644"/>
      <c r="AX774" s="645"/>
      <c r="AY774" s="645"/>
      <c r="AZ774" s="645"/>
      <c r="BA774" s="646">
        <f t="shared" si="237"/>
        <v>0</v>
      </c>
      <c r="BB774" s="647"/>
      <c r="BC774" s="648"/>
      <c r="BD774" s="649"/>
      <c r="BE774" s="647"/>
      <c r="BF774" s="644"/>
      <c r="BG774" s="646">
        <f t="shared" si="238"/>
        <v>0</v>
      </c>
      <c r="BH774" s="650"/>
      <c r="BI774" s="647"/>
      <c r="BJ774" s="644"/>
      <c r="BK774" s="646">
        <f t="shared" si="239"/>
        <v>0</v>
      </c>
      <c r="BL774" s="651"/>
      <c r="BM774" s="652">
        <f t="shared" si="240"/>
        <v>1</v>
      </c>
      <c r="BN774" s="628"/>
      <c r="BO774" s="670"/>
      <c r="BP774" s="644"/>
      <c r="BQ774" s="644"/>
      <c r="BR774" s="644"/>
      <c r="BS774" s="644"/>
      <c r="BT774" s="644"/>
      <c r="BU774" s="644"/>
      <c r="BV774" s="644"/>
      <c r="BW774" s="644"/>
      <c r="BX774" s="644"/>
      <c r="BY774" s="644"/>
      <c r="BZ774" s="644"/>
      <c r="CA774" s="644"/>
      <c r="CB774" s="646">
        <f t="shared" si="241"/>
        <v>0</v>
      </c>
      <c r="CC774" s="646">
        <f t="shared" si="242"/>
        <v>0</v>
      </c>
      <c r="CD774" s="614"/>
    </row>
    <row r="775" spans="1:82" s="561" customFormat="1" ht="61.5" customHeight="1">
      <c r="A775" s="625" t="str">
        <f t="shared" si="224"/>
        <v>proyecto-Alerta: Seleccione la celda en la comumna B con el nombre del proyecto-Al-Al--</v>
      </c>
      <c r="B775" s="626" t="str">
        <f t="shared" si="225"/>
        <v>proyecto-Alerta: Seleccione la celda en la comumna B con el nombre del proyecto-Al-Al-</v>
      </c>
      <c r="C775" s="626" t="str">
        <f t="shared" si="226"/>
        <v>proyecto-Alerta: Seleccione la celda en la comumna B con el nombre del proyecto-</v>
      </c>
      <c r="D775" s="626" t="str">
        <f t="shared" si="227"/>
        <v>proyecto--Al-Al-</v>
      </c>
      <c r="E775" s="626" t="str">
        <f t="shared" si="228"/>
        <v>--</v>
      </c>
      <c r="F775" s="627"/>
      <c r="G775" s="628">
        <f t="shared" si="229"/>
        <v>0</v>
      </c>
      <c r="H775" s="629" t="b">
        <f t="shared" si="230"/>
        <v>1</v>
      </c>
      <c r="I775" s="630"/>
      <c r="J775" s="627"/>
      <c r="K775" s="631" t="str">
        <f>+IFERROR(VLOOKUP(J775,Listas!$A$108:$B$114,2,FALSE),"Alerta: Seleccione la celda en la comumna B con el nombre del proyecto")</f>
        <v>Alerta: Seleccione la celda en la comumna B con el nombre del proyecto</v>
      </c>
      <c r="L775" s="632"/>
      <c r="M775" s="633"/>
      <c r="N775" s="634" t="str">
        <f t="shared" si="231"/>
        <v xml:space="preserve">(Cód. ) </v>
      </c>
      <c r="O775" s="635"/>
      <c r="P775" s="636">
        <f>IFERROR(VLOOKUP(W775,'Estimación CRP'!$D$21:$E$30,2,FALSE),0)</f>
        <v>0</v>
      </c>
      <c r="Q775" s="637">
        <f>IF(O775="No aplica","No aplica",WORKDAY.INTL(O775,P775,1,'Estimación CRP'!A961:A977))</f>
        <v>0</v>
      </c>
      <c r="R775" s="636">
        <f t="shared" si="232"/>
        <v>1</v>
      </c>
      <c r="S775" s="636">
        <f t="shared" si="233"/>
        <v>1</v>
      </c>
      <c r="T775" s="636">
        <f t="shared" si="234"/>
        <v>1</v>
      </c>
      <c r="U775" s="638"/>
      <c r="V775" s="638"/>
      <c r="W775" s="639"/>
      <c r="X775" s="640" t="str">
        <f>IFERROR(VLOOKUP(W775,Listas!$A$60:$B$73,2,FALSE),"Alerta: Seleccione primero Modalidad de selección")</f>
        <v>Alerta: Seleccione primero Modalidad de selección</v>
      </c>
      <c r="Y775" s="641">
        <v>0</v>
      </c>
      <c r="Z775" s="641"/>
      <c r="AA775" s="641"/>
      <c r="AB775" s="642">
        <f t="shared" si="235"/>
        <v>0</v>
      </c>
      <c r="AC775" s="642">
        <f t="shared" si="236"/>
        <v>0</v>
      </c>
      <c r="AD775" s="641">
        <v>0</v>
      </c>
      <c r="AE775" s="643">
        <v>0</v>
      </c>
      <c r="AF775" s="639" t="s">
        <v>276</v>
      </c>
      <c r="AG775" s="639" t="s">
        <v>277</v>
      </c>
      <c r="AH775" s="639"/>
      <c r="AI775" s="626" t="str">
        <f>IFERROR(VLOOKUP(AH775,Listas!$A$77:$C$83,2,FALSE),"Alerta: Seleccione primero el responsable")</f>
        <v>Alerta: Seleccione primero el responsable</v>
      </c>
      <c r="AJ775" s="640" t="str">
        <f>IFERROR(VLOOKUP(AH775,Listas!$A$77:$C$83,3,FALSE),"Alerta: Seleccione primero el responsable")</f>
        <v>Alerta: Seleccione primero el responsable</v>
      </c>
      <c r="AK775" s="640" t="str">
        <f>IF(J775="Funcionamiento Gastos Generales","No aplica",IF(J775="Funcionamiento Servicios Personales indirectos","No aplica",IFERROR(VLOOKUP(J775,Listas!$A$127:$E$139,3,FALSE),"Alerta: Seleccione la celda en la comumna B con el nombre del proyecto")))</f>
        <v>Alerta: Seleccione la celda en la comumna B con el nombre del proyecto</v>
      </c>
      <c r="AL775" s="640" t="str">
        <f>IF(J775="Funcionamiento Gastos Generales","No aplica",IF(J775="Funcionamiento Servicios Personales","No aplica",IFERROR(VLOOKUP(J775,Listas!$A$220:$D$224,2,FALSE),"Alerta: Seleccione la celda en la comumna B con el nombre del proyecto")))</f>
        <v>Alerta: Seleccione la celda en la comumna B con el nombre del proyecto</v>
      </c>
      <c r="AM775" s="640" t="str">
        <f>IF(J775="Funcionamiento Gastos Generales","No aplica",IF(J775="Funcionamiento Servicios Personales","No aplica",IFERROR(VLOOKUP(J775,Listas!$A$220:$D$224,3,FALSE),"Alerta: Seleccione la celda en la comumna B con el nombre del proyecto")))</f>
        <v>Alerta: Seleccione la celda en la comumna B con el nombre del proyecto</v>
      </c>
      <c r="AN775" s="633"/>
      <c r="AO775" s="633"/>
      <c r="AP775" s="634" t="str">
        <f>IFERROR(VLOOKUP(J775,Listas!$A$182:$E$215,5,FALSE),"Alerta: Seleccione la celda en la comumna B con el nombre del proyecto")</f>
        <v>Alerta: Seleccione la celda en la comumna B con el nombre del proyecto</v>
      </c>
      <c r="AQ775" s="634" t="str">
        <f>IF(J775="Funcionamiento Gastos Generales","No aplica",IF(J775="Funcionamiento Servicios Personales","No aplica",IFERROR(VLOOKUP(J775,Listas!$A$220:$D$224,4,FALSE),"Alerta: Seleccione la celda en la comumna B con el nombre del proyecto")))</f>
        <v>Alerta: Seleccione la celda en la comumna B con el nombre del proyecto</v>
      </c>
      <c r="AR775" s="633"/>
      <c r="AS775" s="634" t="str">
        <f>IFERROR(VLOOKUP(AU775,Listas!$E$85:$L$105,7,FALSE),"Alerta: Seleccione la celda en la comumna AI con el concepto de gasto")</f>
        <v>Alerta: Seleccione la celda en la comumna AI con el concepto de gasto</v>
      </c>
      <c r="AT775" s="634" t="str">
        <f>IFERROR(VLOOKUP(AU775,Listas!$E$85:$L$105,8,FALSE),"Alerta: Seleccione la celda en la comumna AI con el concepto de gasto")</f>
        <v>Alerta: Seleccione la celda en la comumna AI con el concepto de gasto</v>
      </c>
      <c r="AU775" s="633"/>
      <c r="AV775" s="634" t="str">
        <f>IFERROR(VLOOKUP(AU775,Listas!$E$85:$F$105,2,FALSE),"Alerta: Seleccione el Concepto de Gasto primero")</f>
        <v>Alerta: Seleccione el Concepto de Gasto primero</v>
      </c>
      <c r="AW775" s="644"/>
      <c r="AX775" s="645"/>
      <c r="AY775" s="645"/>
      <c r="AZ775" s="645"/>
      <c r="BA775" s="646">
        <f t="shared" si="237"/>
        <v>0</v>
      </c>
      <c r="BB775" s="647"/>
      <c r="BC775" s="648"/>
      <c r="BD775" s="649"/>
      <c r="BE775" s="647"/>
      <c r="BF775" s="644"/>
      <c r="BG775" s="646">
        <f t="shared" si="238"/>
        <v>0</v>
      </c>
      <c r="BH775" s="650"/>
      <c r="BI775" s="647"/>
      <c r="BJ775" s="644"/>
      <c r="BK775" s="646">
        <f t="shared" si="239"/>
        <v>0</v>
      </c>
      <c r="BL775" s="651"/>
      <c r="BM775" s="652">
        <f t="shared" si="240"/>
        <v>1</v>
      </c>
      <c r="BN775" s="628"/>
      <c r="BO775" s="670"/>
      <c r="BP775" s="644"/>
      <c r="BQ775" s="644"/>
      <c r="BR775" s="644"/>
      <c r="BS775" s="644"/>
      <c r="BT775" s="644"/>
      <c r="BU775" s="644"/>
      <c r="BV775" s="644"/>
      <c r="BW775" s="644"/>
      <c r="BX775" s="644"/>
      <c r="BY775" s="644"/>
      <c r="BZ775" s="644"/>
      <c r="CA775" s="644"/>
      <c r="CB775" s="646">
        <f t="shared" si="241"/>
        <v>0</v>
      </c>
      <c r="CC775" s="646">
        <f t="shared" si="242"/>
        <v>0</v>
      </c>
      <c r="CD775" s="614"/>
    </row>
    <row r="776" spans="1:82" s="561" customFormat="1" ht="61.5" customHeight="1">
      <c r="A776" s="625" t="str">
        <f t="shared" si="224"/>
        <v>proyecto-Alerta: Seleccione la celda en la comumna B con el nombre del proyecto-Al-Al--</v>
      </c>
      <c r="B776" s="626" t="str">
        <f t="shared" si="225"/>
        <v>proyecto-Alerta: Seleccione la celda en la comumna B con el nombre del proyecto-Al-Al-</v>
      </c>
      <c r="C776" s="626" t="str">
        <f t="shared" si="226"/>
        <v>proyecto-Alerta: Seleccione la celda en la comumna B con el nombre del proyecto-</v>
      </c>
      <c r="D776" s="626" t="str">
        <f t="shared" si="227"/>
        <v>proyecto--Al-Al-</v>
      </c>
      <c r="E776" s="626" t="str">
        <f t="shared" si="228"/>
        <v>--</v>
      </c>
      <c r="F776" s="627"/>
      <c r="G776" s="628">
        <f t="shared" si="229"/>
        <v>0</v>
      </c>
      <c r="H776" s="629" t="b">
        <f t="shared" si="230"/>
        <v>1</v>
      </c>
      <c r="I776" s="630"/>
      <c r="J776" s="627"/>
      <c r="K776" s="631" t="str">
        <f>+IFERROR(VLOOKUP(J776,Listas!$A$108:$B$114,2,FALSE),"Alerta: Seleccione la celda en la comumna B con el nombre del proyecto")</f>
        <v>Alerta: Seleccione la celda en la comumna B con el nombre del proyecto</v>
      </c>
      <c r="L776" s="632"/>
      <c r="M776" s="633"/>
      <c r="N776" s="634" t="str">
        <f t="shared" si="231"/>
        <v xml:space="preserve">(Cód. ) </v>
      </c>
      <c r="O776" s="635"/>
      <c r="P776" s="636">
        <f>IFERROR(VLOOKUP(W776,'Estimación CRP'!$D$21:$E$30,2,FALSE),0)</f>
        <v>0</v>
      </c>
      <c r="Q776" s="637">
        <f>IF(O776="No aplica","No aplica",WORKDAY.INTL(O776,P776,1,'Estimación CRP'!A962:A978))</f>
        <v>0</v>
      </c>
      <c r="R776" s="636">
        <f t="shared" si="232"/>
        <v>1</v>
      </c>
      <c r="S776" s="636">
        <f t="shared" si="233"/>
        <v>1</v>
      </c>
      <c r="T776" s="636">
        <f t="shared" si="234"/>
        <v>1</v>
      </c>
      <c r="U776" s="638"/>
      <c r="V776" s="638"/>
      <c r="W776" s="639"/>
      <c r="X776" s="640" t="str">
        <f>IFERROR(VLOOKUP(W776,Listas!$A$60:$B$73,2,FALSE),"Alerta: Seleccione primero Modalidad de selección")</f>
        <v>Alerta: Seleccione primero Modalidad de selección</v>
      </c>
      <c r="Y776" s="641">
        <v>0</v>
      </c>
      <c r="Z776" s="641"/>
      <c r="AA776" s="641"/>
      <c r="AB776" s="642">
        <f t="shared" si="235"/>
        <v>0</v>
      </c>
      <c r="AC776" s="642">
        <f t="shared" si="236"/>
        <v>0</v>
      </c>
      <c r="AD776" s="641">
        <v>0</v>
      </c>
      <c r="AE776" s="643">
        <v>0</v>
      </c>
      <c r="AF776" s="639" t="s">
        <v>276</v>
      </c>
      <c r="AG776" s="639" t="s">
        <v>277</v>
      </c>
      <c r="AH776" s="639"/>
      <c r="AI776" s="626" t="str">
        <f>IFERROR(VLOOKUP(AH776,Listas!$A$77:$C$83,2,FALSE),"Alerta: Seleccione primero el responsable")</f>
        <v>Alerta: Seleccione primero el responsable</v>
      </c>
      <c r="AJ776" s="640" t="str">
        <f>IFERROR(VLOOKUP(AH776,Listas!$A$77:$C$83,3,FALSE),"Alerta: Seleccione primero el responsable")</f>
        <v>Alerta: Seleccione primero el responsable</v>
      </c>
      <c r="AK776" s="640" t="str">
        <f>IF(J776="Funcionamiento Gastos Generales","No aplica",IF(J776="Funcionamiento Servicios Personales indirectos","No aplica",IFERROR(VLOOKUP(J776,Listas!$A$127:$E$139,3,FALSE),"Alerta: Seleccione la celda en la comumna B con el nombre del proyecto")))</f>
        <v>Alerta: Seleccione la celda en la comumna B con el nombre del proyecto</v>
      </c>
      <c r="AL776" s="640" t="str">
        <f>IF(J776="Funcionamiento Gastos Generales","No aplica",IF(J776="Funcionamiento Servicios Personales","No aplica",IFERROR(VLOOKUP(J776,Listas!$A$220:$D$224,2,FALSE),"Alerta: Seleccione la celda en la comumna B con el nombre del proyecto")))</f>
        <v>Alerta: Seleccione la celda en la comumna B con el nombre del proyecto</v>
      </c>
      <c r="AM776" s="640" t="str">
        <f>IF(J776="Funcionamiento Gastos Generales","No aplica",IF(J776="Funcionamiento Servicios Personales","No aplica",IFERROR(VLOOKUP(J776,Listas!$A$220:$D$224,3,FALSE),"Alerta: Seleccione la celda en la comumna B con el nombre del proyecto")))</f>
        <v>Alerta: Seleccione la celda en la comumna B con el nombre del proyecto</v>
      </c>
      <c r="AN776" s="633"/>
      <c r="AO776" s="633"/>
      <c r="AP776" s="634" t="str">
        <f>IFERROR(VLOOKUP(J776,Listas!$A$182:$E$215,5,FALSE),"Alerta: Seleccione la celda en la comumna B con el nombre del proyecto")</f>
        <v>Alerta: Seleccione la celda en la comumna B con el nombre del proyecto</v>
      </c>
      <c r="AQ776" s="634" t="str">
        <f>IF(J776="Funcionamiento Gastos Generales","No aplica",IF(J776="Funcionamiento Servicios Personales","No aplica",IFERROR(VLOOKUP(J776,Listas!$A$220:$D$224,4,FALSE),"Alerta: Seleccione la celda en la comumna B con el nombre del proyecto")))</f>
        <v>Alerta: Seleccione la celda en la comumna B con el nombre del proyecto</v>
      </c>
      <c r="AR776" s="633"/>
      <c r="AS776" s="634" t="str">
        <f>IFERROR(VLOOKUP(AU776,Listas!$E$85:$L$105,7,FALSE),"Alerta: Seleccione la celda en la comumna AI con el concepto de gasto")</f>
        <v>Alerta: Seleccione la celda en la comumna AI con el concepto de gasto</v>
      </c>
      <c r="AT776" s="634" t="str">
        <f>IFERROR(VLOOKUP(AU776,Listas!$E$85:$L$105,8,FALSE),"Alerta: Seleccione la celda en la comumna AI con el concepto de gasto")</f>
        <v>Alerta: Seleccione la celda en la comumna AI con el concepto de gasto</v>
      </c>
      <c r="AU776" s="633"/>
      <c r="AV776" s="634" t="str">
        <f>IFERROR(VLOOKUP(AU776,Listas!$E$85:$F$105,2,FALSE),"Alerta: Seleccione el Concepto de Gasto primero")</f>
        <v>Alerta: Seleccione el Concepto de Gasto primero</v>
      </c>
      <c r="AW776" s="644"/>
      <c r="AX776" s="645"/>
      <c r="AY776" s="645"/>
      <c r="AZ776" s="645"/>
      <c r="BA776" s="646">
        <f t="shared" si="237"/>
        <v>0</v>
      </c>
      <c r="BB776" s="647"/>
      <c r="BC776" s="648"/>
      <c r="BD776" s="649"/>
      <c r="BE776" s="647"/>
      <c r="BF776" s="644"/>
      <c r="BG776" s="646">
        <f t="shared" si="238"/>
        <v>0</v>
      </c>
      <c r="BH776" s="650"/>
      <c r="BI776" s="647"/>
      <c r="BJ776" s="644"/>
      <c r="BK776" s="646">
        <f t="shared" si="239"/>
        <v>0</v>
      </c>
      <c r="BL776" s="651"/>
      <c r="BM776" s="652">
        <f t="shared" si="240"/>
        <v>1</v>
      </c>
      <c r="BN776" s="628"/>
      <c r="BO776" s="670"/>
      <c r="BP776" s="644"/>
      <c r="BQ776" s="644"/>
      <c r="BR776" s="644"/>
      <c r="BS776" s="644"/>
      <c r="BT776" s="644"/>
      <c r="BU776" s="644"/>
      <c r="BV776" s="644"/>
      <c r="BW776" s="644"/>
      <c r="BX776" s="644"/>
      <c r="BY776" s="644"/>
      <c r="BZ776" s="644"/>
      <c r="CA776" s="644"/>
      <c r="CB776" s="646">
        <f t="shared" si="241"/>
        <v>0</v>
      </c>
      <c r="CC776" s="646">
        <f t="shared" si="242"/>
        <v>0</v>
      </c>
      <c r="CD776" s="614"/>
    </row>
    <row r="777" spans="1:82" s="561" customFormat="1" ht="61.5" customHeight="1">
      <c r="A777" s="625" t="str">
        <f t="shared" si="224"/>
        <v>proyecto-Alerta: Seleccione la celda en la comumna B con el nombre del proyecto-Al-Al--</v>
      </c>
      <c r="B777" s="626" t="str">
        <f t="shared" si="225"/>
        <v>proyecto-Alerta: Seleccione la celda en la comumna B con el nombre del proyecto-Al-Al-</v>
      </c>
      <c r="C777" s="626" t="str">
        <f t="shared" si="226"/>
        <v>proyecto-Alerta: Seleccione la celda en la comumna B con el nombre del proyecto-</v>
      </c>
      <c r="D777" s="626" t="str">
        <f t="shared" si="227"/>
        <v>proyecto--Al-Al-</v>
      </c>
      <c r="E777" s="626" t="str">
        <f t="shared" si="228"/>
        <v>--</v>
      </c>
      <c r="F777" s="627"/>
      <c r="G777" s="628">
        <f t="shared" si="229"/>
        <v>0</v>
      </c>
      <c r="H777" s="629" t="b">
        <f t="shared" si="230"/>
        <v>1</v>
      </c>
      <c r="I777" s="630"/>
      <c r="J777" s="627"/>
      <c r="K777" s="631" t="str">
        <f>+IFERROR(VLOOKUP(J777,Listas!$A$108:$B$114,2,FALSE),"Alerta: Seleccione la celda en la comumna B con el nombre del proyecto")</f>
        <v>Alerta: Seleccione la celda en la comumna B con el nombre del proyecto</v>
      </c>
      <c r="L777" s="632"/>
      <c r="M777" s="633"/>
      <c r="N777" s="634" t="str">
        <f t="shared" si="231"/>
        <v xml:space="preserve">(Cód. ) </v>
      </c>
      <c r="O777" s="635"/>
      <c r="P777" s="636">
        <f>IFERROR(VLOOKUP(W777,'Estimación CRP'!$D$21:$E$30,2,FALSE),0)</f>
        <v>0</v>
      </c>
      <c r="Q777" s="637">
        <f>IF(O777="No aplica","No aplica",WORKDAY.INTL(O777,P777,1,'Estimación CRP'!A963:A979))</f>
        <v>0</v>
      </c>
      <c r="R777" s="636">
        <f t="shared" si="232"/>
        <v>1</v>
      </c>
      <c r="S777" s="636">
        <f t="shared" si="233"/>
        <v>1</v>
      </c>
      <c r="T777" s="636">
        <f t="shared" si="234"/>
        <v>1</v>
      </c>
      <c r="U777" s="638"/>
      <c r="V777" s="638"/>
      <c r="W777" s="639"/>
      <c r="X777" s="640" t="str">
        <f>IFERROR(VLOOKUP(W777,Listas!$A$60:$B$73,2,FALSE),"Alerta: Seleccione primero Modalidad de selección")</f>
        <v>Alerta: Seleccione primero Modalidad de selección</v>
      </c>
      <c r="Y777" s="641">
        <v>0</v>
      </c>
      <c r="Z777" s="641"/>
      <c r="AA777" s="641"/>
      <c r="AB777" s="642">
        <f t="shared" si="235"/>
        <v>0</v>
      </c>
      <c r="AC777" s="642">
        <f t="shared" si="236"/>
        <v>0</v>
      </c>
      <c r="AD777" s="641">
        <v>0</v>
      </c>
      <c r="AE777" s="643">
        <v>0</v>
      </c>
      <c r="AF777" s="639" t="s">
        <v>276</v>
      </c>
      <c r="AG777" s="639" t="s">
        <v>277</v>
      </c>
      <c r="AH777" s="639"/>
      <c r="AI777" s="626" t="str">
        <f>IFERROR(VLOOKUP(AH777,Listas!$A$77:$C$83,2,FALSE),"Alerta: Seleccione primero el responsable")</f>
        <v>Alerta: Seleccione primero el responsable</v>
      </c>
      <c r="AJ777" s="640" t="str">
        <f>IFERROR(VLOOKUP(AH777,Listas!$A$77:$C$83,3,FALSE),"Alerta: Seleccione primero el responsable")</f>
        <v>Alerta: Seleccione primero el responsable</v>
      </c>
      <c r="AK777" s="640" t="str">
        <f>IF(J777="Funcionamiento Gastos Generales","No aplica",IF(J777="Funcionamiento Servicios Personales indirectos","No aplica",IFERROR(VLOOKUP(J777,Listas!$A$127:$E$139,3,FALSE),"Alerta: Seleccione la celda en la comumna B con el nombre del proyecto")))</f>
        <v>Alerta: Seleccione la celda en la comumna B con el nombre del proyecto</v>
      </c>
      <c r="AL777" s="640" t="str">
        <f>IF(J777="Funcionamiento Gastos Generales","No aplica",IF(J777="Funcionamiento Servicios Personales","No aplica",IFERROR(VLOOKUP(J777,Listas!$A$220:$D$224,2,FALSE),"Alerta: Seleccione la celda en la comumna B con el nombre del proyecto")))</f>
        <v>Alerta: Seleccione la celda en la comumna B con el nombre del proyecto</v>
      </c>
      <c r="AM777" s="640" t="str">
        <f>IF(J777="Funcionamiento Gastos Generales","No aplica",IF(J777="Funcionamiento Servicios Personales","No aplica",IFERROR(VLOOKUP(J777,Listas!$A$220:$D$224,3,FALSE),"Alerta: Seleccione la celda en la comumna B con el nombre del proyecto")))</f>
        <v>Alerta: Seleccione la celda en la comumna B con el nombre del proyecto</v>
      </c>
      <c r="AN777" s="633"/>
      <c r="AO777" s="633"/>
      <c r="AP777" s="634" t="str">
        <f>IFERROR(VLOOKUP(J777,Listas!$A$182:$E$215,5,FALSE),"Alerta: Seleccione la celda en la comumna B con el nombre del proyecto")</f>
        <v>Alerta: Seleccione la celda en la comumna B con el nombre del proyecto</v>
      </c>
      <c r="AQ777" s="634" t="str">
        <f>IF(J777="Funcionamiento Gastos Generales","No aplica",IF(J777="Funcionamiento Servicios Personales","No aplica",IFERROR(VLOOKUP(J777,Listas!$A$220:$D$224,4,FALSE),"Alerta: Seleccione la celda en la comumna B con el nombre del proyecto")))</f>
        <v>Alerta: Seleccione la celda en la comumna B con el nombre del proyecto</v>
      </c>
      <c r="AR777" s="633"/>
      <c r="AS777" s="634" t="str">
        <f>IFERROR(VLOOKUP(AU777,Listas!$E$85:$L$105,7,FALSE),"Alerta: Seleccione la celda en la comumna AI con el concepto de gasto")</f>
        <v>Alerta: Seleccione la celda en la comumna AI con el concepto de gasto</v>
      </c>
      <c r="AT777" s="634" t="str">
        <f>IFERROR(VLOOKUP(AU777,Listas!$E$85:$L$105,8,FALSE),"Alerta: Seleccione la celda en la comumna AI con el concepto de gasto")</f>
        <v>Alerta: Seleccione la celda en la comumna AI con el concepto de gasto</v>
      </c>
      <c r="AU777" s="633"/>
      <c r="AV777" s="634" t="str">
        <f>IFERROR(VLOOKUP(AU777,Listas!$E$85:$F$105,2,FALSE),"Alerta: Seleccione el Concepto de Gasto primero")</f>
        <v>Alerta: Seleccione el Concepto de Gasto primero</v>
      </c>
      <c r="AW777" s="644"/>
      <c r="AX777" s="645"/>
      <c r="AY777" s="645"/>
      <c r="AZ777" s="645"/>
      <c r="BA777" s="646">
        <f t="shared" si="237"/>
        <v>0</v>
      </c>
      <c r="BB777" s="647"/>
      <c r="BC777" s="648"/>
      <c r="BD777" s="649"/>
      <c r="BE777" s="647"/>
      <c r="BF777" s="644"/>
      <c r="BG777" s="646">
        <f t="shared" si="238"/>
        <v>0</v>
      </c>
      <c r="BH777" s="650"/>
      <c r="BI777" s="647"/>
      <c r="BJ777" s="644"/>
      <c r="BK777" s="646">
        <f t="shared" si="239"/>
        <v>0</v>
      </c>
      <c r="BL777" s="651"/>
      <c r="BM777" s="652">
        <f t="shared" si="240"/>
        <v>1</v>
      </c>
      <c r="BN777" s="628"/>
      <c r="BO777" s="670"/>
      <c r="BP777" s="644"/>
      <c r="BQ777" s="644"/>
      <c r="BR777" s="644"/>
      <c r="BS777" s="644"/>
      <c r="BT777" s="644"/>
      <c r="BU777" s="644"/>
      <c r="BV777" s="644"/>
      <c r="BW777" s="644"/>
      <c r="BX777" s="644"/>
      <c r="BY777" s="644"/>
      <c r="BZ777" s="644"/>
      <c r="CA777" s="644"/>
      <c r="CB777" s="646">
        <f t="shared" si="241"/>
        <v>0</v>
      </c>
      <c r="CC777" s="646">
        <f t="shared" si="242"/>
        <v>0</v>
      </c>
      <c r="CD777" s="614"/>
    </row>
    <row r="778" spans="1:82" s="659" customFormat="1" ht="61.5" customHeight="1">
      <c r="A778" s="625" t="str">
        <f t="shared" si="224"/>
        <v>proyecto-Alerta: Seleccione la celda en la comumna B con el nombre del proyecto-Al-Al--</v>
      </c>
      <c r="B778" s="626" t="str">
        <f t="shared" si="225"/>
        <v>proyecto-Alerta: Seleccione la celda en la comumna B con el nombre del proyecto-Al-Al-</v>
      </c>
      <c r="C778" s="626" t="str">
        <f t="shared" si="226"/>
        <v>proyecto-Alerta: Seleccione la celda en la comumna B con el nombre del proyecto-</v>
      </c>
      <c r="D778" s="626" t="str">
        <f t="shared" si="227"/>
        <v>proyecto--Al-Al-</v>
      </c>
      <c r="E778" s="626" t="str">
        <f t="shared" si="228"/>
        <v>--</v>
      </c>
      <c r="F778" s="627"/>
      <c r="G778" s="628">
        <f t="shared" si="229"/>
        <v>0</v>
      </c>
      <c r="H778" s="629" t="b">
        <f t="shared" si="230"/>
        <v>1</v>
      </c>
      <c r="I778" s="630"/>
      <c r="J778" s="627"/>
      <c r="K778" s="631" t="str">
        <f>+IFERROR(VLOOKUP(J778,Listas!$A$108:$B$114,2,FALSE),"Alerta: Seleccione la celda en la comumna B con el nombre del proyecto")</f>
        <v>Alerta: Seleccione la celda en la comumna B con el nombre del proyecto</v>
      </c>
      <c r="L778" s="632"/>
      <c r="M778" s="633"/>
      <c r="N778" s="634" t="str">
        <f t="shared" si="231"/>
        <v xml:space="preserve">(Cód. ) </v>
      </c>
      <c r="O778" s="635"/>
      <c r="P778" s="636">
        <f>IFERROR(VLOOKUP(W778,'Estimación CRP'!$D$21:$E$30,2,FALSE),0)</f>
        <v>0</v>
      </c>
      <c r="Q778" s="637">
        <f>IF(O778="No aplica","No aplica",WORKDAY.INTL(O778,P778,1,'Estimación CRP'!A964:A980))</f>
        <v>0</v>
      </c>
      <c r="R778" s="636">
        <f t="shared" si="232"/>
        <v>1</v>
      </c>
      <c r="S778" s="636">
        <f t="shared" si="233"/>
        <v>1</v>
      </c>
      <c r="T778" s="636">
        <f t="shared" si="234"/>
        <v>1</v>
      </c>
      <c r="U778" s="638"/>
      <c r="V778" s="638"/>
      <c r="W778" s="639"/>
      <c r="X778" s="640" t="str">
        <f>IFERROR(VLOOKUP(W778,Listas!$A$60:$B$73,2,FALSE),"Alerta: Seleccione primero Modalidad de selección")</f>
        <v>Alerta: Seleccione primero Modalidad de selección</v>
      </c>
      <c r="Y778" s="641">
        <v>0</v>
      </c>
      <c r="Z778" s="641"/>
      <c r="AA778" s="641"/>
      <c r="AB778" s="642">
        <f t="shared" si="235"/>
        <v>0</v>
      </c>
      <c r="AC778" s="642">
        <f t="shared" si="236"/>
        <v>0</v>
      </c>
      <c r="AD778" s="641">
        <v>0</v>
      </c>
      <c r="AE778" s="643">
        <v>0</v>
      </c>
      <c r="AF778" s="639" t="s">
        <v>276</v>
      </c>
      <c r="AG778" s="639" t="s">
        <v>277</v>
      </c>
      <c r="AH778" s="639"/>
      <c r="AI778" s="626" t="str">
        <f>IFERROR(VLOOKUP(AH778,Listas!$A$77:$C$83,2,FALSE),"Alerta: Seleccione primero el responsable")</f>
        <v>Alerta: Seleccione primero el responsable</v>
      </c>
      <c r="AJ778" s="640" t="str">
        <f>IFERROR(VLOOKUP(AH778,Listas!$A$77:$C$83,3,FALSE),"Alerta: Seleccione primero el responsable")</f>
        <v>Alerta: Seleccione primero el responsable</v>
      </c>
      <c r="AK778" s="640" t="str">
        <f>IF(J778="Funcionamiento Gastos Generales","No aplica",IF(J778="Funcionamiento Servicios Personales indirectos","No aplica",IFERROR(VLOOKUP(J778,Listas!$A$127:$E$139,3,FALSE),"Alerta: Seleccione la celda en la comumna B con el nombre del proyecto")))</f>
        <v>Alerta: Seleccione la celda en la comumna B con el nombre del proyecto</v>
      </c>
      <c r="AL778" s="640" t="str">
        <f>IF(J778="Funcionamiento Gastos Generales","No aplica",IF(J778="Funcionamiento Servicios Personales","No aplica",IFERROR(VLOOKUP(J778,Listas!$A$220:$D$224,2,FALSE),"Alerta: Seleccione la celda en la comumna B con el nombre del proyecto")))</f>
        <v>Alerta: Seleccione la celda en la comumna B con el nombre del proyecto</v>
      </c>
      <c r="AM778" s="640" t="str">
        <f>IF(J778="Funcionamiento Gastos Generales","No aplica",IF(J778="Funcionamiento Servicios Personales","No aplica",IFERROR(VLOOKUP(J778,Listas!$A$220:$D$224,3,FALSE),"Alerta: Seleccione la celda en la comumna B con el nombre del proyecto")))</f>
        <v>Alerta: Seleccione la celda en la comumna B con el nombre del proyecto</v>
      </c>
      <c r="AN778" s="633"/>
      <c r="AO778" s="633"/>
      <c r="AP778" s="634" t="str">
        <f>IFERROR(VLOOKUP(J778,Listas!$A$182:$E$215,5,FALSE),"Alerta: Seleccione la celda en la comumna B con el nombre del proyecto")</f>
        <v>Alerta: Seleccione la celda en la comumna B con el nombre del proyecto</v>
      </c>
      <c r="AQ778" s="634" t="str">
        <f>IF(J778="Funcionamiento Gastos Generales","No aplica",IF(J778="Funcionamiento Servicios Personales","No aplica",IFERROR(VLOOKUP(J778,Listas!$A$220:$D$224,4,FALSE),"Alerta: Seleccione la celda en la comumna B con el nombre del proyecto")))</f>
        <v>Alerta: Seleccione la celda en la comumna B con el nombre del proyecto</v>
      </c>
      <c r="AR778" s="633"/>
      <c r="AS778" s="634" t="str">
        <f>IFERROR(VLOOKUP(AU778,Listas!$E$85:$L$105,7,FALSE),"Alerta: Seleccione la celda en la comumna AI con el concepto de gasto")</f>
        <v>Alerta: Seleccione la celda en la comumna AI con el concepto de gasto</v>
      </c>
      <c r="AT778" s="634" t="str">
        <f>IFERROR(VLOOKUP(AU778,Listas!$E$85:$L$105,8,FALSE),"Alerta: Seleccione la celda en la comumna AI con el concepto de gasto")</f>
        <v>Alerta: Seleccione la celda en la comumna AI con el concepto de gasto</v>
      </c>
      <c r="AU778" s="633"/>
      <c r="AV778" s="634" t="str">
        <f>IFERROR(VLOOKUP(AU778,Listas!$E$85:$F$105,2,FALSE),"Alerta: Seleccione el Concepto de Gasto primero")</f>
        <v>Alerta: Seleccione el Concepto de Gasto primero</v>
      </c>
      <c r="AW778" s="644"/>
      <c r="AX778" s="645"/>
      <c r="AY778" s="645"/>
      <c r="AZ778" s="645"/>
      <c r="BA778" s="646">
        <f t="shared" si="237"/>
        <v>0</v>
      </c>
      <c r="BB778" s="647"/>
      <c r="BC778" s="648"/>
      <c r="BD778" s="649"/>
      <c r="BE778" s="647"/>
      <c r="BF778" s="644"/>
      <c r="BG778" s="646">
        <f t="shared" si="238"/>
        <v>0</v>
      </c>
      <c r="BH778" s="650"/>
      <c r="BI778" s="647"/>
      <c r="BJ778" s="644"/>
      <c r="BK778" s="646">
        <f t="shared" si="239"/>
        <v>0</v>
      </c>
      <c r="BL778" s="651"/>
      <c r="BM778" s="652">
        <f t="shared" si="240"/>
        <v>1</v>
      </c>
      <c r="BN778" s="628"/>
      <c r="BO778" s="670"/>
      <c r="BP778" s="644"/>
      <c r="BQ778" s="644"/>
      <c r="BR778" s="644"/>
      <c r="BS778" s="644"/>
      <c r="BT778" s="644"/>
      <c r="BU778" s="644"/>
      <c r="BV778" s="644"/>
      <c r="BW778" s="644"/>
      <c r="BX778" s="644"/>
      <c r="BY778" s="644"/>
      <c r="BZ778" s="644"/>
      <c r="CA778" s="644"/>
      <c r="CB778" s="646">
        <f t="shared" si="241"/>
        <v>0</v>
      </c>
      <c r="CC778" s="646">
        <f t="shared" si="242"/>
        <v>0</v>
      </c>
      <c r="CD778" s="614"/>
    </row>
    <row r="779" spans="1:82" s="561" customFormat="1" ht="61.5" customHeight="1">
      <c r="A779" s="625" t="str">
        <f t="shared" si="224"/>
        <v>proyecto-Alerta: Seleccione la celda en la comumna B con el nombre del proyecto-Al-Al--</v>
      </c>
      <c r="B779" s="626" t="str">
        <f t="shared" si="225"/>
        <v>proyecto-Alerta: Seleccione la celda en la comumna B con el nombre del proyecto-Al-Al-</v>
      </c>
      <c r="C779" s="626" t="str">
        <f t="shared" si="226"/>
        <v>proyecto-Alerta: Seleccione la celda en la comumna B con el nombre del proyecto-</v>
      </c>
      <c r="D779" s="626" t="str">
        <f t="shared" si="227"/>
        <v>proyecto--Al-Al-</v>
      </c>
      <c r="E779" s="626" t="str">
        <f t="shared" si="228"/>
        <v>--</v>
      </c>
      <c r="F779" s="627"/>
      <c r="G779" s="628">
        <f t="shared" si="229"/>
        <v>0</v>
      </c>
      <c r="H779" s="629" t="b">
        <f t="shared" si="230"/>
        <v>1</v>
      </c>
      <c r="I779" s="630"/>
      <c r="J779" s="627"/>
      <c r="K779" s="631" t="str">
        <f>+IFERROR(VLOOKUP(J779,Listas!$A$108:$B$114,2,FALSE),"Alerta: Seleccione la celda en la comumna B con el nombre del proyecto")</f>
        <v>Alerta: Seleccione la celda en la comumna B con el nombre del proyecto</v>
      </c>
      <c r="L779" s="632"/>
      <c r="M779" s="633"/>
      <c r="N779" s="634" t="str">
        <f t="shared" si="231"/>
        <v xml:space="preserve">(Cód. ) </v>
      </c>
      <c r="O779" s="635"/>
      <c r="P779" s="636">
        <f>IFERROR(VLOOKUP(W779,'Estimación CRP'!$D$21:$E$30,2,FALSE),0)</f>
        <v>0</v>
      </c>
      <c r="Q779" s="637">
        <f>IF(O779="No aplica","No aplica",WORKDAY.INTL(O779,P779,1,'Estimación CRP'!A965:A981))</f>
        <v>0</v>
      </c>
      <c r="R779" s="636">
        <f t="shared" si="232"/>
        <v>1</v>
      </c>
      <c r="S779" s="636">
        <f t="shared" si="233"/>
        <v>1</v>
      </c>
      <c r="T779" s="636">
        <f t="shared" si="234"/>
        <v>1</v>
      </c>
      <c r="U779" s="638"/>
      <c r="V779" s="638"/>
      <c r="W779" s="639"/>
      <c r="X779" s="640" t="str">
        <f>IFERROR(VLOOKUP(W779,Listas!$A$60:$B$73,2,FALSE),"Alerta: Seleccione primero Modalidad de selección")</f>
        <v>Alerta: Seleccione primero Modalidad de selección</v>
      </c>
      <c r="Y779" s="641">
        <v>0</v>
      </c>
      <c r="Z779" s="641"/>
      <c r="AA779" s="641"/>
      <c r="AB779" s="642">
        <f t="shared" si="235"/>
        <v>0</v>
      </c>
      <c r="AC779" s="642">
        <f t="shared" si="236"/>
        <v>0</v>
      </c>
      <c r="AD779" s="641">
        <v>0</v>
      </c>
      <c r="AE779" s="643">
        <v>0</v>
      </c>
      <c r="AF779" s="639" t="s">
        <v>276</v>
      </c>
      <c r="AG779" s="639" t="s">
        <v>277</v>
      </c>
      <c r="AH779" s="639"/>
      <c r="AI779" s="626" t="str">
        <f>IFERROR(VLOOKUP(AH779,Listas!$A$77:$C$83,2,FALSE),"Alerta: Seleccione primero el responsable")</f>
        <v>Alerta: Seleccione primero el responsable</v>
      </c>
      <c r="AJ779" s="640" t="str">
        <f>IFERROR(VLOOKUP(AH779,Listas!$A$77:$C$83,3,FALSE),"Alerta: Seleccione primero el responsable")</f>
        <v>Alerta: Seleccione primero el responsable</v>
      </c>
      <c r="AK779" s="640" t="str">
        <f>IF(J779="Funcionamiento Gastos Generales","No aplica",IF(J779="Funcionamiento Servicios Personales indirectos","No aplica",IFERROR(VLOOKUP(J779,Listas!$A$127:$E$139,3,FALSE),"Alerta: Seleccione la celda en la comumna B con el nombre del proyecto")))</f>
        <v>Alerta: Seleccione la celda en la comumna B con el nombre del proyecto</v>
      </c>
      <c r="AL779" s="640" t="str">
        <f>IF(J779="Funcionamiento Gastos Generales","No aplica",IF(J779="Funcionamiento Servicios Personales","No aplica",IFERROR(VLOOKUP(J779,Listas!$A$220:$D$224,2,FALSE),"Alerta: Seleccione la celda en la comumna B con el nombre del proyecto")))</f>
        <v>Alerta: Seleccione la celda en la comumna B con el nombre del proyecto</v>
      </c>
      <c r="AM779" s="640" t="str">
        <f>IF(J779="Funcionamiento Gastos Generales","No aplica",IF(J779="Funcionamiento Servicios Personales","No aplica",IFERROR(VLOOKUP(J779,Listas!$A$220:$D$224,3,FALSE),"Alerta: Seleccione la celda en la comumna B con el nombre del proyecto")))</f>
        <v>Alerta: Seleccione la celda en la comumna B con el nombre del proyecto</v>
      </c>
      <c r="AN779" s="633"/>
      <c r="AO779" s="633"/>
      <c r="AP779" s="634" t="str">
        <f>IFERROR(VLOOKUP(J779,Listas!$A$182:$E$215,5,FALSE),"Alerta: Seleccione la celda en la comumna B con el nombre del proyecto")</f>
        <v>Alerta: Seleccione la celda en la comumna B con el nombre del proyecto</v>
      </c>
      <c r="AQ779" s="634" t="str">
        <f>IF(J779="Funcionamiento Gastos Generales","No aplica",IF(J779="Funcionamiento Servicios Personales","No aplica",IFERROR(VLOOKUP(J779,Listas!$A$220:$D$224,4,FALSE),"Alerta: Seleccione la celda en la comumna B con el nombre del proyecto")))</f>
        <v>Alerta: Seleccione la celda en la comumna B con el nombre del proyecto</v>
      </c>
      <c r="AR779" s="633"/>
      <c r="AS779" s="634" t="str">
        <f>IFERROR(VLOOKUP(AU779,Listas!$E$85:$L$105,7,FALSE),"Alerta: Seleccione la celda en la comumna AI con el concepto de gasto")</f>
        <v>Alerta: Seleccione la celda en la comumna AI con el concepto de gasto</v>
      </c>
      <c r="AT779" s="634" t="str">
        <f>IFERROR(VLOOKUP(AU779,Listas!$E$85:$L$105,8,FALSE),"Alerta: Seleccione la celda en la comumna AI con el concepto de gasto")</f>
        <v>Alerta: Seleccione la celda en la comumna AI con el concepto de gasto</v>
      </c>
      <c r="AU779" s="633"/>
      <c r="AV779" s="634" t="str">
        <f>IFERROR(VLOOKUP(AU779,Listas!$E$85:$F$105,2,FALSE),"Alerta: Seleccione el Concepto de Gasto primero")</f>
        <v>Alerta: Seleccione el Concepto de Gasto primero</v>
      </c>
      <c r="AW779" s="644"/>
      <c r="AX779" s="645"/>
      <c r="AY779" s="645"/>
      <c r="AZ779" s="645"/>
      <c r="BA779" s="646">
        <f t="shared" si="237"/>
        <v>0</v>
      </c>
      <c r="BB779" s="647"/>
      <c r="BC779" s="648"/>
      <c r="BD779" s="649"/>
      <c r="BE779" s="647"/>
      <c r="BF779" s="644"/>
      <c r="BG779" s="646">
        <f t="shared" si="238"/>
        <v>0</v>
      </c>
      <c r="BH779" s="650"/>
      <c r="BI779" s="647"/>
      <c r="BJ779" s="644"/>
      <c r="BK779" s="646">
        <f t="shared" si="239"/>
        <v>0</v>
      </c>
      <c r="BL779" s="651"/>
      <c r="BM779" s="652">
        <f t="shared" si="240"/>
        <v>1</v>
      </c>
      <c r="BN779" s="628"/>
      <c r="BO779" s="670"/>
      <c r="BP779" s="644"/>
      <c r="BQ779" s="644"/>
      <c r="BR779" s="644"/>
      <c r="BS779" s="644"/>
      <c r="BT779" s="644"/>
      <c r="BU779" s="644"/>
      <c r="BV779" s="644"/>
      <c r="BW779" s="644"/>
      <c r="BX779" s="644"/>
      <c r="BY779" s="644"/>
      <c r="BZ779" s="644"/>
      <c r="CA779" s="644"/>
      <c r="CB779" s="646">
        <f t="shared" si="241"/>
        <v>0</v>
      </c>
      <c r="CC779" s="646">
        <f t="shared" si="242"/>
        <v>0</v>
      </c>
      <c r="CD779" s="614"/>
    </row>
    <row r="780" spans="1:82" s="561" customFormat="1" ht="61.5" customHeight="1">
      <c r="A780" s="625" t="str">
        <f t="shared" si="224"/>
        <v>proyecto-Alerta: Seleccione la celda en la comumna B con el nombre del proyecto-Al-Al--</v>
      </c>
      <c r="B780" s="626" t="str">
        <f t="shared" si="225"/>
        <v>proyecto-Alerta: Seleccione la celda en la comumna B con el nombre del proyecto-Al-Al-</v>
      </c>
      <c r="C780" s="626" t="str">
        <f t="shared" si="226"/>
        <v>proyecto-Alerta: Seleccione la celda en la comumna B con el nombre del proyecto-</v>
      </c>
      <c r="D780" s="626" t="str">
        <f t="shared" si="227"/>
        <v>proyecto--Al-Al-</v>
      </c>
      <c r="E780" s="626" t="str">
        <f t="shared" si="228"/>
        <v>--</v>
      </c>
      <c r="F780" s="627"/>
      <c r="G780" s="628">
        <f t="shared" si="229"/>
        <v>0</v>
      </c>
      <c r="H780" s="629" t="b">
        <f t="shared" si="230"/>
        <v>1</v>
      </c>
      <c r="I780" s="630"/>
      <c r="J780" s="627"/>
      <c r="K780" s="631" t="str">
        <f>+IFERROR(VLOOKUP(J780,Listas!$A$108:$B$114,2,FALSE),"Alerta: Seleccione la celda en la comumna B con el nombre del proyecto")</f>
        <v>Alerta: Seleccione la celda en la comumna B con el nombre del proyecto</v>
      </c>
      <c r="L780" s="632"/>
      <c r="M780" s="633"/>
      <c r="N780" s="634" t="str">
        <f t="shared" si="231"/>
        <v xml:space="preserve">(Cód. ) </v>
      </c>
      <c r="O780" s="635"/>
      <c r="P780" s="636">
        <f>IFERROR(VLOOKUP(W780,'Estimación CRP'!$D$21:$E$30,2,FALSE),0)</f>
        <v>0</v>
      </c>
      <c r="Q780" s="637">
        <f>IF(O780="No aplica","No aplica",WORKDAY.INTL(O780,P780,1,'Estimación CRP'!A966:A982))</f>
        <v>0</v>
      </c>
      <c r="R780" s="636">
        <f t="shared" si="232"/>
        <v>1</v>
      </c>
      <c r="S780" s="636">
        <f t="shared" si="233"/>
        <v>1</v>
      </c>
      <c r="T780" s="636">
        <f t="shared" si="234"/>
        <v>1</v>
      </c>
      <c r="U780" s="638"/>
      <c r="V780" s="638"/>
      <c r="W780" s="639"/>
      <c r="X780" s="640" t="str">
        <f>IFERROR(VLOOKUP(W780,Listas!$A$60:$B$73,2,FALSE),"Alerta: Seleccione primero Modalidad de selección")</f>
        <v>Alerta: Seleccione primero Modalidad de selección</v>
      </c>
      <c r="Y780" s="641">
        <v>0</v>
      </c>
      <c r="Z780" s="641"/>
      <c r="AA780" s="641"/>
      <c r="AB780" s="642">
        <f t="shared" si="235"/>
        <v>0</v>
      </c>
      <c r="AC780" s="642">
        <f t="shared" si="236"/>
        <v>0</v>
      </c>
      <c r="AD780" s="641">
        <v>0</v>
      </c>
      <c r="AE780" s="643">
        <v>0</v>
      </c>
      <c r="AF780" s="639" t="s">
        <v>276</v>
      </c>
      <c r="AG780" s="639" t="s">
        <v>277</v>
      </c>
      <c r="AH780" s="639"/>
      <c r="AI780" s="626" t="str">
        <f>IFERROR(VLOOKUP(AH780,Listas!$A$77:$C$83,2,FALSE),"Alerta: Seleccione primero el responsable")</f>
        <v>Alerta: Seleccione primero el responsable</v>
      </c>
      <c r="AJ780" s="640" t="str">
        <f>IFERROR(VLOOKUP(AH780,Listas!$A$77:$C$83,3,FALSE),"Alerta: Seleccione primero el responsable")</f>
        <v>Alerta: Seleccione primero el responsable</v>
      </c>
      <c r="AK780" s="640" t="str">
        <f>IF(J780="Funcionamiento Gastos Generales","No aplica",IF(J780="Funcionamiento Servicios Personales indirectos","No aplica",IFERROR(VLOOKUP(J780,Listas!$A$127:$E$139,3,FALSE),"Alerta: Seleccione la celda en la comumna B con el nombre del proyecto")))</f>
        <v>Alerta: Seleccione la celda en la comumna B con el nombre del proyecto</v>
      </c>
      <c r="AL780" s="640" t="str">
        <f>IF(J780="Funcionamiento Gastos Generales","No aplica",IF(J780="Funcionamiento Servicios Personales","No aplica",IFERROR(VLOOKUP(J780,Listas!$A$220:$D$224,2,FALSE),"Alerta: Seleccione la celda en la comumna B con el nombre del proyecto")))</f>
        <v>Alerta: Seleccione la celda en la comumna B con el nombre del proyecto</v>
      </c>
      <c r="AM780" s="640" t="str">
        <f>IF(J780="Funcionamiento Gastos Generales","No aplica",IF(J780="Funcionamiento Servicios Personales","No aplica",IFERROR(VLOOKUP(J780,Listas!$A$220:$D$224,3,FALSE),"Alerta: Seleccione la celda en la comumna B con el nombre del proyecto")))</f>
        <v>Alerta: Seleccione la celda en la comumna B con el nombre del proyecto</v>
      </c>
      <c r="AN780" s="633"/>
      <c r="AO780" s="633"/>
      <c r="AP780" s="634" t="str">
        <f>IFERROR(VLOOKUP(J780,Listas!$A$182:$E$215,5,FALSE),"Alerta: Seleccione la celda en la comumna B con el nombre del proyecto")</f>
        <v>Alerta: Seleccione la celda en la comumna B con el nombre del proyecto</v>
      </c>
      <c r="AQ780" s="634" t="str">
        <f>IF(J780="Funcionamiento Gastos Generales","No aplica",IF(J780="Funcionamiento Servicios Personales","No aplica",IFERROR(VLOOKUP(J780,Listas!$A$220:$D$224,4,FALSE),"Alerta: Seleccione la celda en la comumna B con el nombre del proyecto")))</f>
        <v>Alerta: Seleccione la celda en la comumna B con el nombre del proyecto</v>
      </c>
      <c r="AR780" s="633"/>
      <c r="AS780" s="634" t="str">
        <f>IFERROR(VLOOKUP(AU780,Listas!$E$85:$L$105,7,FALSE),"Alerta: Seleccione la celda en la comumna AI con el concepto de gasto")</f>
        <v>Alerta: Seleccione la celda en la comumna AI con el concepto de gasto</v>
      </c>
      <c r="AT780" s="634" t="str">
        <f>IFERROR(VLOOKUP(AU780,Listas!$E$85:$L$105,8,FALSE),"Alerta: Seleccione la celda en la comumna AI con el concepto de gasto")</f>
        <v>Alerta: Seleccione la celda en la comumna AI con el concepto de gasto</v>
      </c>
      <c r="AU780" s="633"/>
      <c r="AV780" s="634" t="str">
        <f>IFERROR(VLOOKUP(AU780,Listas!$E$85:$F$105,2,FALSE),"Alerta: Seleccione el Concepto de Gasto primero")</f>
        <v>Alerta: Seleccione el Concepto de Gasto primero</v>
      </c>
      <c r="AW780" s="644"/>
      <c r="AX780" s="645"/>
      <c r="AY780" s="645"/>
      <c r="AZ780" s="645"/>
      <c r="BA780" s="646">
        <f t="shared" si="237"/>
        <v>0</v>
      </c>
      <c r="BB780" s="647"/>
      <c r="BC780" s="648"/>
      <c r="BD780" s="649"/>
      <c r="BE780" s="647"/>
      <c r="BF780" s="644"/>
      <c r="BG780" s="646">
        <f t="shared" si="238"/>
        <v>0</v>
      </c>
      <c r="BH780" s="650"/>
      <c r="BI780" s="647"/>
      <c r="BJ780" s="644"/>
      <c r="BK780" s="646">
        <f t="shared" si="239"/>
        <v>0</v>
      </c>
      <c r="BL780" s="651"/>
      <c r="BM780" s="652">
        <f t="shared" si="240"/>
        <v>1</v>
      </c>
      <c r="BN780" s="628"/>
      <c r="BO780" s="670"/>
      <c r="BP780" s="644"/>
      <c r="BQ780" s="644"/>
      <c r="BR780" s="644"/>
      <c r="BS780" s="644"/>
      <c r="BT780" s="644"/>
      <c r="BU780" s="644"/>
      <c r="BV780" s="644"/>
      <c r="BW780" s="644"/>
      <c r="BX780" s="644"/>
      <c r="BY780" s="644"/>
      <c r="BZ780" s="644"/>
      <c r="CA780" s="644"/>
      <c r="CB780" s="646">
        <f t="shared" si="241"/>
        <v>0</v>
      </c>
      <c r="CC780" s="646">
        <f t="shared" si="242"/>
        <v>0</v>
      </c>
      <c r="CD780" s="614"/>
    </row>
    <row r="781" spans="1:82" s="561" customFormat="1" ht="61.5" customHeight="1">
      <c r="A781" s="625" t="str">
        <f t="shared" si="224"/>
        <v>proyecto-Alerta: Seleccione la celda en la comumna B con el nombre del proyecto-Al-Al--</v>
      </c>
      <c r="B781" s="626" t="str">
        <f t="shared" si="225"/>
        <v>proyecto-Alerta: Seleccione la celda en la comumna B con el nombre del proyecto-Al-Al-</v>
      </c>
      <c r="C781" s="626" t="str">
        <f t="shared" si="226"/>
        <v>proyecto-Alerta: Seleccione la celda en la comumna B con el nombre del proyecto-</v>
      </c>
      <c r="D781" s="626" t="str">
        <f t="shared" si="227"/>
        <v>proyecto--Al-Al-</v>
      </c>
      <c r="E781" s="626" t="str">
        <f t="shared" si="228"/>
        <v>--</v>
      </c>
      <c r="F781" s="627"/>
      <c r="G781" s="628">
        <f t="shared" si="229"/>
        <v>0</v>
      </c>
      <c r="H781" s="629" t="b">
        <f t="shared" si="230"/>
        <v>1</v>
      </c>
      <c r="I781" s="630"/>
      <c r="J781" s="627"/>
      <c r="K781" s="631" t="str">
        <f>+IFERROR(VLOOKUP(J781,Listas!$A$108:$B$114,2,FALSE),"Alerta: Seleccione la celda en la comumna B con el nombre del proyecto")</f>
        <v>Alerta: Seleccione la celda en la comumna B con el nombre del proyecto</v>
      </c>
      <c r="L781" s="632"/>
      <c r="M781" s="633"/>
      <c r="N781" s="634" t="str">
        <f t="shared" si="231"/>
        <v xml:space="preserve">(Cód. ) </v>
      </c>
      <c r="O781" s="635"/>
      <c r="P781" s="636">
        <f>IFERROR(VLOOKUP(W781,'Estimación CRP'!$D$21:$E$30,2,FALSE),0)</f>
        <v>0</v>
      </c>
      <c r="Q781" s="637">
        <f>IF(O781="No aplica","No aplica",WORKDAY.INTL(O781,P781,1,'Estimación CRP'!A967:A983))</f>
        <v>0</v>
      </c>
      <c r="R781" s="636">
        <f t="shared" si="232"/>
        <v>1</v>
      </c>
      <c r="S781" s="636">
        <f t="shared" si="233"/>
        <v>1</v>
      </c>
      <c r="T781" s="636">
        <f t="shared" si="234"/>
        <v>1</v>
      </c>
      <c r="U781" s="638"/>
      <c r="V781" s="638"/>
      <c r="W781" s="639"/>
      <c r="X781" s="640" t="str">
        <f>IFERROR(VLOOKUP(W781,Listas!$A$60:$B$73,2,FALSE),"Alerta: Seleccione primero Modalidad de selección")</f>
        <v>Alerta: Seleccione primero Modalidad de selección</v>
      </c>
      <c r="Y781" s="641">
        <v>0</v>
      </c>
      <c r="Z781" s="641"/>
      <c r="AA781" s="641"/>
      <c r="AB781" s="642">
        <f t="shared" si="235"/>
        <v>0</v>
      </c>
      <c r="AC781" s="642">
        <f t="shared" si="236"/>
        <v>0</v>
      </c>
      <c r="AD781" s="641">
        <v>0</v>
      </c>
      <c r="AE781" s="643">
        <v>0</v>
      </c>
      <c r="AF781" s="639" t="s">
        <v>276</v>
      </c>
      <c r="AG781" s="639" t="s">
        <v>277</v>
      </c>
      <c r="AH781" s="639"/>
      <c r="AI781" s="626" t="str">
        <f>IFERROR(VLOOKUP(AH781,Listas!$A$77:$C$83,2,FALSE),"Alerta: Seleccione primero el responsable")</f>
        <v>Alerta: Seleccione primero el responsable</v>
      </c>
      <c r="AJ781" s="640" t="str">
        <f>IFERROR(VLOOKUP(AH781,Listas!$A$77:$C$83,3,FALSE),"Alerta: Seleccione primero el responsable")</f>
        <v>Alerta: Seleccione primero el responsable</v>
      </c>
      <c r="AK781" s="640" t="str">
        <f>IF(J781="Funcionamiento Gastos Generales","No aplica",IF(J781="Funcionamiento Servicios Personales indirectos","No aplica",IFERROR(VLOOKUP(J781,Listas!$A$127:$E$139,3,FALSE),"Alerta: Seleccione la celda en la comumna B con el nombre del proyecto")))</f>
        <v>Alerta: Seleccione la celda en la comumna B con el nombre del proyecto</v>
      </c>
      <c r="AL781" s="640" t="str">
        <f>IF(J781="Funcionamiento Gastos Generales","No aplica",IF(J781="Funcionamiento Servicios Personales","No aplica",IFERROR(VLOOKUP(J781,Listas!$A$220:$D$224,2,FALSE),"Alerta: Seleccione la celda en la comumna B con el nombre del proyecto")))</f>
        <v>Alerta: Seleccione la celda en la comumna B con el nombre del proyecto</v>
      </c>
      <c r="AM781" s="640" t="str">
        <f>IF(J781="Funcionamiento Gastos Generales","No aplica",IF(J781="Funcionamiento Servicios Personales","No aplica",IFERROR(VLOOKUP(J781,Listas!$A$220:$D$224,3,FALSE),"Alerta: Seleccione la celda en la comumna B con el nombre del proyecto")))</f>
        <v>Alerta: Seleccione la celda en la comumna B con el nombre del proyecto</v>
      </c>
      <c r="AN781" s="633"/>
      <c r="AO781" s="633"/>
      <c r="AP781" s="634" t="str">
        <f>IFERROR(VLOOKUP(J781,Listas!$A$182:$E$215,5,FALSE),"Alerta: Seleccione la celda en la comumna B con el nombre del proyecto")</f>
        <v>Alerta: Seleccione la celda en la comumna B con el nombre del proyecto</v>
      </c>
      <c r="AQ781" s="634" t="str">
        <f>IF(J781="Funcionamiento Gastos Generales","No aplica",IF(J781="Funcionamiento Servicios Personales","No aplica",IFERROR(VLOOKUP(J781,Listas!$A$220:$D$224,4,FALSE),"Alerta: Seleccione la celda en la comumna B con el nombre del proyecto")))</f>
        <v>Alerta: Seleccione la celda en la comumna B con el nombre del proyecto</v>
      </c>
      <c r="AR781" s="633"/>
      <c r="AS781" s="634" t="str">
        <f>IFERROR(VLOOKUP(AU781,Listas!$E$85:$L$105,7,FALSE),"Alerta: Seleccione la celda en la comumna AI con el concepto de gasto")</f>
        <v>Alerta: Seleccione la celda en la comumna AI con el concepto de gasto</v>
      </c>
      <c r="AT781" s="634" t="str">
        <f>IFERROR(VLOOKUP(AU781,Listas!$E$85:$L$105,8,FALSE),"Alerta: Seleccione la celda en la comumna AI con el concepto de gasto")</f>
        <v>Alerta: Seleccione la celda en la comumna AI con el concepto de gasto</v>
      </c>
      <c r="AU781" s="633"/>
      <c r="AV781" s="634" t="str">
        <f>IFERROR(VLOOKUP(AU781,Listas!$E$85:$F$105,2,FALSE),"Alerta: Seleccione el Concepto de Gasto primero")</f>
        <v>Alerta: Seleccione el Concepto de Gasto primero</v>
      </c>
      <c r="AW781" s="644"/>
      <c r="AX781" s="645"/>
      <c r="AY781" s="645"/>
      <c r="AZ781" s="645"/>
      <c r="BA781" s="646">
        <f t="shared" si="237"/>
        <v>0</v>
      </c>
      <c r="BB781" s="647"/>
      <c r="BC781" s="648"/>
      <c r="BD781" s="649"/>
      <c r="BE781" s="647"/>
      <c r="BF781" s="644"/>
      <c r="BG781" s="646">
        <f t="shared" si="238"/>
        <v>0</v>
      </c>
      <c r="BH781" s="650"/>
      <c r="BI781" s="647"/>
      <c r="BJ781" s="644"/>
      <c r="BK781" s="646">
        <f t="shared" si="239"/>
        <v>0</v>
      </c>
      <c r="BL781" s="651"/>
      <c r="BM781" s="652">
        <f t="shared" si="240"/>
        <v>1</v>
      </c>
      <c r="BN781" s="628"/>
      <c r="BO781" s="670"/>
      <c r="BP781" s="644"/>
      <c r="BQ781" s="644"/>
      <c r="BR781" s="644"/>
      <c r="BS781" s="644"/>
      <c r="BT781" s="644"/>
      <c r="BU781" s="644"/>
      <c r="BV781" s="644"/>
      <c r="BW781" s="644"/>
      <c r="BX781" s="644"/>
      <c r="BY781" s="644"/>
      <c r="BZ781" s="644"/>
      <c r="CA781" s="644"/>
      <c r="CB781" s="646">
        <f t="shared" si="241"/>
        <v>0</v>
      </c>
      <c r="CC781" s="646">
        <f t="shared" si="242"/>
        <v>0</v>
      </c>
      <c r="CD781" s="614"/>
    </row>
    <row r="782" spans="1:82" s="561" customFormat="1" ht="61.5" customHeight="1">
      <c r="A782" s="625" t="str">
        <f t="shared" si="224"/>
        <v>proyecto-Alerta: Seleccione la celda en la comumna B con el nombre del proyecto-Al-Al--</v>
      </c>
      <c r="B782" s="626" t="str">
        <f t="shared" si="225"/>
        <v>proyecto-Alerta: Seleccione la celda en la comumna B con el nombre del proyecto-Al-Al-</v>
      </c>
      <c r="C782" s="626" t="str">
        <f t="shared" si="226"/>
        <v>proyecto-Alerta: Seleccione la celda en la comumna B con el nombre del proyecto-</v>
      </c>
      <c r="D782" s="626" t="str">
        <f t="shared" si="227"/>
        <v>proyecto--Al-Al-</v>
      </c>
      <c r="E782" s="626" t="str">
        <f t="shared" si="228"/>
        <v>--</v>
      </c>
      <c r="F782" s="627"/>
      <c r="G782" s="628">
        <f t="shared" si="229"/>
        <v>0</v>
      </c>
      <c r="H782" s="629" t="b">
        <f t="shared" si="230"/>
        <v>1</v>
      </c>
      <c r="I782" s="630"/>
      <c r="J782" s="627"/>
      <c r="K782" s="631" t="str">
        <f>+IFERROR(VLOOKUP(J782,Listas!$A$108:$B$114,2,FALSE),"Alerta: Seleccione la celda en la comumna B con el nombre del proyecto")</f>
        <v>Alerta: Seleccione la celda en la comumna B con el nombre del proyecto</v>
      </c>
      <c r="L782" s="632"/>
      <c r="M782" s="633"/>
      <c r="N782" s="634" t="str">
        <f t="shared" si="231"/>
        <v xml:space="preserve">(Cód. ) </v>
      </c>
      <c r="O782" s="635"/>
      <c r="P782" s="636">
        <f>IFERROR(VLOOKUP(W782,'Estimación CRP'!$D$21:$E$30,2,FALSE),0)</f>
        <v>0</v>
      </c>
      <c r="Q782" s="637">
        <f>IF(O782="No aplica","No aplica",WORKDAY.INTL(O782,P782,1,'Estimación CRP'!A968:A984))</f>
        <v>0</v>
      </c>
      <c r="R782" s="636">
        <f t="shared" si="232"/>
        <v>1</v>
      </c>
      <c r="S782" s="636">
        <f t="shared" si="233"/>
        <v>1</v>
      </c>
      <c r="T782" s="636">
        <f t="shared" si="234"/>
        <v>1</v>
      </c>
      <c r="U782" s="638"/>
      <c r="V782" s="638"/>
      <c r="W782" s="639"/>
      <c r="X782" s="640" t="str">
        <f>IFERROR(VLOOKUP(W782,Listas!$A$60:$B$73,2,FALSE),"Alerta: Seleccione primero Modalidad de selección")</f>
        <v>Alerta: Seleccione primero Modalidad de selección</v>
      </c>
      <c r="Y782" s="641">
        <v>0</v>
      </c>
      <c r="Z782" s="641"/>
      <c r="AA782" s="641"/>
      <c r="AB782" s="642">
        <f t="shared" si="235"/>
        <v>0</v>
      </c>
      <c r="AC782" s="642">
        <f t="shared" si="236"/>
        <v>0</v>
      </c>
      <c r="AD782" s="641">
        <v>0</v>
      </c>
      <c r="AE782" s="643">
        <v>0</v>
      </c>
      <c r="AF782" s="639" t="s">
        <v>276</v>
      </c>
      <c r="AG782" s="639" t="s">
        <v>277</v>
      </c>
      <c r="AH782" s="639"/>
      <c r="AI782" s="626" t="str">
        <f>IFERROR(VLOOKUP(AH782,Listas!$A$77:$C$83,2,FALSE),"Alerta: Seleccione primero el responsable")</f>
        <v>Alerta: Seleccione primero el responsable</v>
      </c>
      <c r="AJ782" s="640" t="str">
        <f>IFERROR(VLOOKUP(AH782,Listas!$A$77:$C$83,3,FALSE),"Alerta: Seleccione primero el responsable")</f>
        <v>Alerta: Seleccione primero el responsable</v>
      </c>
      <c r="AK782" s="640" t="str">
        <f>IF(J782="Funcionamiento Gastos Generales","No aplica",IF(J782="Funcionamiento Servicios Personales indirectos","No aplica",IFERROR(VLOOKUP(J782,Listas!$A$127:$E$139,3,FALSE),"Alerta: Seleccione la celda en la comumna B con el nombre del proyecto")))</f>
        <v>Alerta: Seleccione la celda en la comumna B con el nombre del proyecto</v>
      </c>
      <c r="AL782" s="640" t="str">
        <f>IF(J782="Funcionamiento Gastos Generales","No aplica",IF(J782="Funcionamiento Servicios Personales","No aplica",IFERROR(VLOOKUP(J782,Listas!$A$220:$D$224,2,FALSE),"Alerta: Seleccione la celda en la comumna B con el nombre del proyecto")))</f>
        <v>Alerta: Seleccione la celda en la comumna B con el nombre del proyecto</v>
      </c>
      <c r="AM782" s="640" t="str">
        <f>IF(J782="Funcionamiento Gastos Generales","No aplica",IF(J782="Funcionamiento Servicios Personales","No aplica",IFERROR(VLOOKUP(J782,Listas!$A$220:$D$224,3,FALSE),"Alerta: Seleccione la celda en la comumna B con el nombre del proyecto")))</f>
        <v>Alerta: Seleccione la celda en la comumna B con el nombre del proyecto</v>
      </c>
      <c r="AN782" s="633"/>
      <c r="AO782" s="633"/>
      <c r="AP782" s="634" t="str">
        <f>IFERROR(VLOOKUP(J782,Listas!$A$182:$E$215,5,FALSE),"Alerta: Seleccione la celda en la comumna B con el nombre del proyecto")</f>
        <v>Alerta: Seleccione la celda en la comumna B con el nombre del proyecto</v>
      </c>
      <c r="AQ782" s="634" t="str">
        <f>IF(J782="Funcionamiento Gastos Generales","No aplica",IF(J782="Funcionamiento Servicios Personales","No aplica",IFERROR(VLOOKUP(J782,Listas!$A$220:$D$224,4,FALSE),"Alerta: Seleccione la celda en la comumna B con el nombre del proyecto")))</f>
        <v>Alerta: Seleccione la celda en la comumna B con el nombre del proyecto</v>
      </c>
      <c r="AR782" s="633"/>
      <c r="AS782" s="634" t="str">
        <f>IFERROR(VLOOKUP(AU782,Listas!$E$85:$L$105,7,FALSE),"Alerta: Seleccione la celda en la comumna AI con el concepto de gasto")</f>
        <v>Alerta: Seleccione la celda en la comumna AI con el concepto de gasto</v>
      </c>
      <c r="AT782" s="634" t="str">
        <f>IFERROR(VLOOKUP(AU782,Listas!$E$85:$L$105,8,FALSE),"Alerta: Seleccione la celda en la comumna AI con el concepto de gasto")</f>
        <v>Alerta: Seleccione la celda en la comumna AI con el concepto de gasto</v>
      </c>
      <c r="AU782" s="633"/>
      <c r="AV782" s="634" t="str">
        <f>IFERROR(VLOOKUP(AU782,Listas!$E$85:$F$105,2,FALSE),"Alerta: Seleccione el Concepto de Gasto primero")</f>
        <v>Alerta: Seleccione el Concepto de Gasto primero</v>
      </c>
      <c r="AW782" s="644"/>
      <c r="AX782" s="645"/>
      <c r="AY782" s="645"/>
      <c r="AZ782" s="645"/>
      <c r="BA782" s="646">
        <f t="shared" si="237"/>
        <v>0</v>
      </c>
      <c r="BB782" s="647"/>
      <c r="BC782" s="648"/>
      <c r="BD782" s="649"/>
      <c r="BE782" s="647"/>
      <c r="BF782" s="644"/>
      <c r="BG782" s="646">
        <f t="shared" si="238"/>
        <v>0</v>
      </c>
      <c r="BH782" s="650"/>
      <c r="BI782" s="647"/>
      <c r="BJ782" s="644"/>
      <c r="BK782" s="646">
        <f t="shared" si="239"/>
        <v>0</v>
      </c>
      <c r="BL782" s="651"/>
      <c r="BM782" s="652">
        <f t="shared" si="240"/>
        <v>1</v>
      </c>
      <c r="BN782" s="628"/>
      <c r="BO782" s="670"/>
      <c r="BP782" s="644"/>
      <c r="BQ782" s="644"/>
      <c r="BR782" s="644"/>
      <c r="BS782" s="644"/>
      <c r="BT782" s="644"/>
      <c r="BU782" s="644"/>
      <c r="BV782" s="644"/>
      <c r="BW782" s="644"/>
      <c r="BX782" s="644"/>
      <c r="BY782" s="644"/>
      <c r="BZ782" s="644"/>
      <c r="CA782" s="644"/>
      <c r="CB782" s="646">
        <f t="shared" si="241"/>
        <v>0</v>
      </c>
      <c r="CC782" s="646">
        <f t="shared" si="242"/>
        <v>0</v>
      </c>
      <c r="CD782" s="614"/>
    </row>
    <row r="783" spans="1:82" s="561" customFormat="1" ht="61.5" customHeight="1">
      <c r="A783" s="625" t="str">
        <f t="shared" si="224"/>
        <v>proyecto-Alerta: Seleccione la celda en la comumna B con el nombre del proyecto-Al-Al--</v>
      </c>
      <c r="B783" s="626" t="str">
        <f t="shared" si="225"/>
        <v>proyecto-Alerta: Seleccione la celda en la comumna B con el nombre del proyecto-Al-Al-</v>
      </c>
      <c r="C783" s="626" t="str">
        <f t="shared" si="226"/>
        <v>proyecto-Alerta: Seleccione la celda en la comumna B con el nombre del proyecto-</v>
      </c>
      <c r="D783" s="626" t="str">
        <f t="shared" si="227"/>
        <v>proyecto--Al-Al-</v>
      </c>
      <c r="E783" s="626" t="str">
        <f t="shared" si="228"/>
        <v>--</v>
      </c>
      <c r="F783" s="627"/>
      <c r="G783" s="628">
        <f t="shared" si="229"/>
        <v>0</v>
      </c>
      <c r="H783" s="629" t="b">
        <f t="shared" si="230"/>
        <v>1</v>
      </c>
      <c r="I783" s="630"/>
      <c r="J783" s="627"/>
      <c r="K783" s="631" t="str">
        <f>+IFERROR(VLOOKUP(J783,Listas!$A$108:$B$114,2,FALSE),"Alerta: Seleccione la celda en la comumna B con el nombre del proyecto")</f>
        <v>Alerta: Seleccione la celda en la comumna B con el nombre del proyecto</v>
      </c>
      <c r="L783" s="632"/>
      <c r="M783" s="633"/>
      <c r="N783" s="634" t="str">
        <f t="shared" si="231"/>
        <v xml:space="preserve">(Cód. ) </v>
      </c>
      <c r="O783" s="635"/>
      <c r="P783" s="636">
        <f>IFERROR(VLOOKUP(W783,'Estimación CRP'!$D$21:$E$30,2,FALSE),0)</f>
        <v>0</v>
      </c>
      <c r="Q783" s="637">
        <f>IF(O783="No aplica","No aplica",WORKDAY.INTL(O783,P783,1,'Estimación CRP'!A969:A985))</f>
        <v>0</v>
      </c>
      <c r="R783" s="636">
        <f t="shared" si="232"/>
        <v>1</v>
      </c>
      <c r="S783" s="636">
        <f t="shared" si="233"/>
        <v>1</v>
      </c>
      <c r="T783" s="636">
        <f t="shared" si="234"/>
        <v>1</v>
      </c>
      <c r="U783" s="638"/>
      <c r="V783" s="638"/>
      <c r="W783" s="639"/>
      <c r="X783" s="640" t="str">
        <f>IFERROR(VLOOKUP(W783,Listas!$A$60:$B$73,2,FALSE),"Alerta: Seleccione primero Modalidad de selección")</f>
        <v>Alerta: Seleccione primero Modalidad de selección</v>
      </c>
      <c r="Y783" s="641">
        <v>0</v>
      </c>
      <c r="Z783" s="641"/>
      <c r="AA783" s="641"/>
      <c r="AB783" s="642">
        <f t="shared" si="235"/>
        <v>0</v>
      </c>
      <c r="AC783" s="642">
        <f t="shared" si="236"/>
        <v>0</v>
      </c>
      <c r="AD783" s="641">
        <v>0</v>
      </c>
      <c r="AE783" s="643">
        <v>0</v>
      </c>
      <c r="AF783" s="639" t="s">
        <v>276</v>
      </c>
      <c r="AG783" s="639" t="s">
        <v>277</v>
      </c>
      <c r="AH783" s="639"/>
      <c r="AI783" s="626" t="str">
        <f>IFERROR(VLOOKUP(AH783,Listas!$A$77:$C$83,2,FALSE),"Alerta: Seleccione primero el responsable")</f>
        <v>Alerta: Seleccione primero el responsable</v>
      </c>
      <c r="AJ783" s="640" t="str">
        <f>IFERROR(VLOOKUP(AH783,Listas!$A$77:$C$83,3,FALSE),"Alerta: Seleccione primero el responsable")</f>
        <v>Alerta: Seleccione primero el responsable</v>
      </c>
      <c r="AK783" s="640" t="str">
        <f>IF(J783="Funcionamiento Gastos Generales","No aplica",IF(J783="Funcionamiento Servicios Personales indirectos","No aplica",IFERROR(VLOOKUP(J783,Listas!$A$127:$E$139,3,FALSE),"Alerta: Seleccione la celda en la comumna B con el nombre del proyecto")))</f>
        <v>Alerta: Seleccione la celda en la comumna B con el nombre del proyecto</v>
      </c>
      <c r="AL783" s="640" t="str">
        <f>IF(J783="Funcionamiento Gastos Generales","No aplica",IF(J783="Funcionamiento Servicios Personales","No aplica",IFERROR(VLOOKUP(J783,Listas!$A$220:$D$224,2,FALSE),"Alerta: Seleccione la celda en la comumna B con el nombre del proyecto")))</f>
        <v>Alerta: Seleccione la celda en la comumna B con el nombre del proyecto</v>
      </c>
      <c r="AM783" s="640" t="str">
        <f>IF(J783="Funcionamiento Gastos Generales","No aplica",IF(J783="Funcionamiento Servicios Personales","No aplica",IFERROR(VLOOKUP(J783,Listas!$A$220:$D$224,3,FALSE),"Alerta: Seleccione la celda en la comumna B con el nombre del proyecto")))</f>
        <v>Alerta: Seleccione la celda en la comumna B con el nombre del proyecto</v>
      </c>
      <c r="AN783" s="633"/>
      <c r="AO783" s="633"/>
      <c r="AP783" s="634" t="str">
        <f>IFERROR(VLOOKUP(J783,Listas!$A$182:$E$215,5,FALSE),"Alerta: Seleccione la celda en la comumna B con el nombre del proyecto")</f>
        <v>Alerta: Seleccione la celda en la comumna B con el nombre del proyecto</v>
      </c>
      <c r="AQ783" s="634" t="str">
        <f>IF(J783="Funcionamiento Gastos Generales","No aplica",IF(J783="Funcionamiento Servicios Personales","No aplica",IFERROR(VLOOKUP(J783,Listas!$A$220:$D$224,4,FALSE),"Alerta: Seleccione la celda en la comumna B con el nombre del proyecto")))</f>
        <v>Alerta: Seleccione la celda en la comumna B con el nombre del proyecto</v>
      </c>
      <c r="AR783" s="633"/>
      <c r="AS783" s="634" t="str">
        <f>IFERROR(VLOOKUP(AU783,Listas!$E$85:$L$105,7,FALSE),"Alerta: Seleccione la celda en la comumna AI con el concepto de gasto")</f>
        <v>Alerta: Seleccione la celda en la comumna AI con el concepto de gasto</v>
      </c>
      <c r="AT783" s="634" t="str">
        <f>IFERROR(VLOOKUP(AU783,Listas!$E$85:$L$105,8,FALSE),"Alerta: Seleccione la celda en la comumna AI con el concepto de gasto")</f>
        <v>Alerta: Seleccione la celda en la comumna AI con el concepto de gasto</v>
      </c>
      <c r="AU783" s="633"/>
      <c r="AV783" s="634" t="str">
        <f>IFERROR(VLOOKUP(AU783,Listas!$E$85:$F$105,2,FALSE),"Alerta: Seleccione el Concepto de Gasto primero")</f>
        <v>Alerta: Seleccione el Concepto de Gasto primero</v>
      </c>
      <c r="AW783" s="644"/>
      <c r="AX783" s="645"/>
      <c r="AY783" s="645"/>
      <c r="AZ783" s="645"/>
      <c r="BA783" s="646">
        <f t="shared" si="237"/>
        <v>0</v>
      </c>
      <c r="BB783" s="647"/>
      <c r="BC783" s="648"/>
      <c r="BD783" s="649"/>
      <c r="BE783" s="647"/>
      <c r="BF783" s="644"/>
      <c r="BG783" s="646">
        <f t="shared" si="238"/>
        <v>0</v>
      </c>
      <c r="BH783" s="650"/>
      <c r="BI783" s="647"/>
      <c r="BJ783" s="644"/>
      <c r="BK783" s="646">
        <f t="shared" si="239"/>
        <v>0</v>
      </c>
      <c r="BL783" s="651"/>
      <c r="BM783" s="652">
        <f t="shared" si="240"/>
        <v>1</v>
      </c>
      <c r="BN783" s="628"/>
      <c r="BO783" s="670"/>
      <c r="BP783" s="644"/>
      <c r="BQ783" s="644"/>
      <c r="BR783" s="644"/>
      <c r="BS783" s="644"/>
      <c r="BT783" s="644"/>
      <c r="BU783" s="644"/>
      <c r="BV783" s="644"/>
      <c r="BW783" s="644"/>
      <c r="BX783" s="644"/>
      <c r="BY783" s="644"/>
      <c r="BZ783" s="644"/>
      <c r="CA783" s="644"/>
      <c r="CB783" s="646">
        <f t="shared" si="241"/>
        <v>0</v>
      </c>
      <c r="CC783" s="646">
        <f t="shared" si="242"/>
        <v>0</v>
      </c>
      <c r="CD783" s="614"/>
    </row>
    <row r="784" spans="1:82" s="561" customFormat="1" ht="61.5" customHeight="1">
      <c r="A784" s="625" t="str">
        <f t="shared" si="224"/>
        <v>proyecto-Alerta: Seleccione la celda en la comumna B con el nombre del proyecto-Al-Al--</v>
      </c>
      <c r="B784" s="626" t="str">
        <f t="shared" si="225"/>
        <v>proyecto-Alerta: Seleccione la celda en la comumna B con el nombre del proyecto-Al-Al-</v>
      </c>
      <c r="C784" s="626" t="str">
        <f t="shared" si="226"/>
        <v>proyecto-Alerta: Seleccione la celda en la comumna B con el nombre del proyecto-</v>
      </c>
      <c r="D784" s="626" t="str">
        <f t="shared" si="227"/>
        <v>proyecto--Al-Al-</v>
      </c>
      <c r="E784" s="626" t="str">
        <f t="shared" si="228"/>
        <v>--</v>
      </c>
      <c r="F784" s="627"/>
      <c r="G784" s="628">
        <f t="shared" si="229"/>
        <v>0</v>
      </c>
      <c r="H784" s="629" t="b">
        <f t="shared" si="230"/>
        <v>1</v>
      </c>
      <c r="I784" s="630"/>
      <c r="J784" s="627"/>
      <c r="K784" s="631" t="str">
        <f>+IFERROR(VLOOKUP(J784,Listas!$A$108:$B$114,2,FALSE),"Alerta: Seleccione la celda en la comumna B con el nombre del proyecto")</f>
        <v>Alerta: Seleccione la celda en la comumna B con el nombre del proyecto</v>
      </c>
      <c r="L784" s="632"/>
      <c r="M784" s="633"/>
      <c r="N784" s="634" t="str">
        <f t="shared" si="231"/>
        <v xml:space="preserve">(Cód. ) </v>
      </c>
      <c r="O784" s="635"/>
      <c r="P784" s="636">
        <f>IFERROR(VLOOKUP(W784,'Estimación CRP'!$D$21:$E$30,2,FALSE),0)</f>
        <v>0</v>
      </c>
      <c r="Q784" s="637">
        <f>IF(O784="No aplica","No aplica",WORKDAY.INTL(O784,P784,1,'Estimación CRP'!A970:A986))</f>
        <v>0</v>
      </c>
      <c r="R784" s="636">
        <f t="shared" si="232"/>
        <v>1</v>
      </c>
      <c r="S784" s="636">
        <f t="shared" si="233"/>
        <v>1</v>
      </c>
      <c r="T784" s="636">
        <f t="shared" si="234"/>
        <v>1</v>
      </c>
      <c r="U784" s="638"/>
      <c r="V784" s="638"/>
      <c r="W784" s="639"/>
      <c r="X784" s="640" t="str">
        <f>IFERROR(VLOOKUP(W784,Listas!$A$60:$B$73,2,FALSE),"Alerta: Seleccione primero Modalidad de selección")</f>
        <v>Alerta: Seleccione primero Modalidad de selección</v>
      </c>
      <c r="Y784" s="641">
        <v>0</v>
      </c>
      <c r="Z784" s="641"/>
      <c r="AA784" s="641"/>
      <c r="AB784" s="642">
        <f t="shared" si="235"/>
        <v>0</v>
      </c>
      <c r="AC784" s="642">
        <f t="shared" si="236"/>
        <v>0</v>
      </c>
      <c r="AD784" s="641">
        <v>0</v>
      </c>
      <c r="AE784" s="643">
        <v>0</v>
      </c>
      <c r="AF784" s="639" t="s">
        <v>276</v>
      </c>
      <c r="AG784" s="639" t="s">
        <v>277</v>
      </c>
      <c r="AH784" s="639"/>
      <c r="AI784" s="626" t="str">
        <f>IFERROR(VLOOKUP(AH784,Listas!$A$77:$C$83,2,FALSE),"Alerta: Seleccione primero el responsable")</f>
        <v>Alerta: Seleccione primero el responsable</v>
      </c>
      <c r="AJ784" s="640" t="str">
        <f>IFERROR(VLOOKUP(AH784,Listas!$A$77:$C$83,3,FALSE),"Alerta: Seleccione primero el responsable")</f>
        <v>Alerta: Seleccione primero el responsable</v>
      </c>
      <c r="AK784" s="640" t="str">
        <f>IF(J784="Funcionamiento Gastos Generales","No aplica",IF(J784="Funcionamiento Servicios Personales indirectos","No aplica",IFERROR(VLOOKUP(J784,Listas!$A$127:$E$139,3,FALSE),"Alerta: Seleccione la celda en la comumna B con el nombre del proyecto")))</f>
        <v>Alerta: Seleccione la celda en la comumna B con el nombre del proyecto</v>
      </c>
      <c r="AL784" s="640" t="str">
        <f>IF(J784="Funcionamiento Gastos Generales","No aplica",IF(J784="Funcionamiento Servicios Personales","No aplica",IFERROR(VLOOKUP(J784,Listas!$A$220:$D$224,2,FALSE),"Alerta: Seleccione la celda en la comumna B con el nombre del proyecto")))</f>
        <v>Alerta: Seleccione la celda en la comumna B con el nombre del proyecto</v>
      </c>
      <c r="AM784" s="640" t="str">
        <f>IF(J784="Funcionamiento Gastos Generales","No aplica",IF(J784="Funcionamiento Servicios Personales","No aplica",IFERROR(VLOOKUP(J784,Listas!$A$220:$D$224,3,FALSE),"Alerta: Seleccione la celda en la comumna B con el nombre del proyecto")))</f>
        <v>Alerta: Seleccione la celda en la comumna B con el nombre del proyecto</v>
      </c>
      <c r="AN784" s="633"/>
      <c r="AO784" s="633"/>
      <c r="AP784" s="634" t="str">
        <f>IFERROR(VLOOKUP(J784,Listas!$A$182:$E$215,5,FALSE),"Alerta: Seleccione la celda en la comumna B con el nombre del proyecto")</f>
        <v>Alerta: Seleccione la celda en la comumna B con el nombre del proyecto</v>
      </c>
      <c r="AQ784" s="634" t="str">
        <f>IF(J784="Funcionamiento Gastos Generales","No aplica",IF(J784="Funcionamiento Servicios Personales","No aplica",IFERROR(VLOOKUP(J784,Listas!$A$220:$D$224,4,FALSE),"Alerta: Seleccione la celda en la comumna B con el nombre del proyecto")))</f>
        <v>Alerta: Seleccione la celda en la comumna B con el nombre del proyecto</v>
      </c>
      <c r="AR784" s="633"/>
      <c r="AS784" s="634" t="str">
        <f>IFERROR(VLOOKUP(AU784,Listas!$E$85:$L$105,7,FALSE),"Alerta: Seleccione la celda en la comumna AI con el concepto de gasto")</f>
        <v>Alerta: Seleccione la celda en la comumna AI con el concepto de gasto</v>
      </c>
      <c r="AT784" s="634" t="str">
        <f>IFERROR(VLOOKUP(AU784,Listas!$E$85:$L$105,8,FALSE),"Alerta: Seleccione la celda en la comumna AI con el concepto de gasto")</f>
        <v>Alerta: Seleccione la celda en la comumna AI con el concepto de gasto</v>
      </c>
      <c r="AU784" s="633"/>
      <c r="AV784" s="634" t="str">
        <f>IFERROR(VLOOKUP(AU784,Listas!$E$85:$F$105,2,FALSE),"Alerta: Seleccione el Concepto de Gasto primero")</f>
        <v>Alerta: Seleccione el Concepto de Gasto primero</v>
      </c>
      <c r="AW784" s="644"/>
      <c r="AX784" s="645"/>
      <c r="AY784" s="645"/>
      <c r="AZ784" s="645"/>
      <c r="BA784" s="646">
        <f t="shared" si="237"/>
        <v>0</v>
      </c>
      <c r="BB784" s="647"/>
      <c r="BC784" s="648"/>
      <c r="BD784" s="649"/>
      <c r="BE784" s="647"/>
      <c r="BF784" s="644"/>
      <c r="BG784" s="646">
        <f t="shared" si="238"/>
        <v>0</v>
      </c>
      <c r="BH784" s="650"/>
      <c r="BI784" s="647"/>
      <c r="BJ784" s="644"/>
      <c r="BK784" s="646">
        <f t="shared" si="239"/>
        <v>0</v>
      </c>
      <c r="BL784" s="651"/>
      <c r="BM784" s="652">
        <f t="shared" si="240"/>
        <v>1</v>
      </c>
      <c r="BN784" s="628"/>
      <c r="BO784" s="670"/>
      <c r="BP784" s="644"/>
      <c r="BQ784" s="644"/>
      <c r="BR784" s="644"/>
      <c r="BS784" s="644"/>
      <c r="BT784" s="644"/>
      <c r="BU784" s="644"/>
      <c r="BV784" s="644"/>
      <c r="BW784" s="644"/>
      <c r="BX784" s="644"/>
      <c r="BY784" s="644"/>
      <c r="BZ784" s="644"/>
      <c r="CA784" s="644"/>
      <c r="CB784" s="646">
        <f t="shared" si="241"/>
        <v>0</v>
      </c>
      <c r="CC784" s="646">
        <f t="shared" si="242"/>
        <v>0</v>
      </c>
      <c r="CD784" s="614"/>
    </row>
    <row r="785" spans="1:82" s="561" customFormat="1" ht="61.5" customHeight="1">
      <c r="A785" s="625" t="str">
        <f t="shared" si="224"/>
        <v>proyecto-Alerta: Seleccione la celda en la comumna B con el nombre del proyecto-Al-Al--</v>
      </c>
      <c r="B785" s="626" t="str">
        <f t="shared" si="225"/>
        <v>proyecto-Alerta: Seleccione la celda en la comumna B con el nombre del proyecto-Al-Al-</v>
      </c>
      <c r="C785" s="626" t="str">
        <f t="shared" si="226"/>
        <v>proyecto-Alerta: Seleccione la celda en la comumna B con el nombre del proyecto-</v>
      </c>
      <c r="D785" s="626" t="str">
        <f t="shared" si="227"/>
        <v>proyecto--Al-Al-</v>
      </c>
      <c r="E785" s="626" t="str">
        <f t="shared" si="228"/>
        <v>--</v>
      </c>
      <c r="F785" s="627"/>
      <c r="G785" s="628">
        <f t="shared" si="229"/>
        <v>0</v>
      </c>
      <c r="H785" s="629" t="b">
        <f t="shared" si="230"/>
        <v>1</v>
      </c>
      <c r="I785" s="630"/>
      <c r="J785" s="627"/>
      <c r="K785" s="631" t="str">
        <f>+IFERROR(VLOOKUP(J785,Listas!$A$108:$B$114,2,FALSE),"Alerta: Seleccione la celda en la comumna B con el nombre del proyecto")</f>
        <v>Alerta: Seleccione la celda en la comumna B con el nombre del proyecto</v>
      </c>
      <c r="L785" s="632"/>
      <c r="M785" s="633"/>
      <c r="N785" s="634" t="str">
        <f t="shared" si="231"/>
        <v xml:space="preserve">(Cód. ) </v>
      </c>
      <c r="O785" s="635"/>
      <c r="P785" s="636">
        <f>IFERROR(VLOOKUP(W785,'Estimación CRP'!$D$21:$E$30,2,FALSE),0)</f>
        <v>0</v>
      </c>
      <c r="Q785" s="637">
        <f>IF(O785="No aplica","No aplica",WORKDAY.INTL(O785,P785,1,'Estimación CRP'!A971:A987))</f>
        <v>0</v>
      </c>
      <c r="R785" s="636">
        <f t="shared" si="232"/>
        <v>1</v>
      </c>
      <c r="S785" s="636">
        <f t="shared" si="233"/>
        <v>1</v>
      </c>
      <c r="T785" s="636">
        <f t="shared" si="234"/>
        <v>1</v>
      </c>
      <c r="U785" s="638"/>
      <c r="V785" s="638"/>
      <c r="W785" s="639"/>
      <c r="X785" s="640" t="str">
        <f>IFERROR(VLOOKUP(W785,Listas!$A$60:$B$73,2,FALSE),"Alerta: Seleccione primero Modalidad de selección")</f>
        <v>Alerta: Seleccione primero Modalidad de selección</v>
      </c>
      <c r="Y785" s="641">
        <v>0</v>
      </c>
      <c r="Z785" s="641"/>
      <c r="AA785" s="641"/>
      <c r="AB785" s="642">
        <f t="shared" si="235"/>
        <v>0</v>
      </c>
      <c r="AC785" s="642">
        <f t="shared" si="236"/>
        <v>0</v>
      </c>
      <c r="AD785" s="641">
        <v>0</v>
      </c>
      <c r="AE785" s="643">
        <v>0</v>
      </c>
      <c r="AF785" s="639" t="s">
        <v>276</v>
      </c>
      <c r="AG785" s="639" t="s">
        <v>277</v>
      </c>
      <c r="AH785" s="639"/>
      <c r="AI785" s="626" t="str">
        <f>IFERROR(VLOOKUP(AH785,Listas!$A$77:$C$83,2,FALSE),"Alerta: Seleccione primero el responsable")</f>
        <v>Alerta: Seleccione primero el responsable</v>
      </c>
      <c r="AJ785" s="640" t="str">
        <f>IFERROR(VLOOKUP(AH785,Listas!$A$77:$C$83,3,FALSE),"Alerta: Seleccione primero el responsable")</f>
        <v>Alerta: Seleccione primero el responsable</v>
      </c>
      <c r="AK785" s="640" t="str">
        <f>IF(J785="Funcionamiento Gastos Generales","No aplica",IF(J785="Funcionamiento Servicios Personales indirectos","No aplica",IFERROR(VLOOKUP(J785,Listas!$A$127:$E$139,3,FALSE),"Alerta: Seleccione la celda en la comumna B con el nombre del proyecto")))</f>
        <v>Alerta: Seleccione la celda en la comumna B con el nombre del proyecto</v>
      </c>
      <c r="AL785" s="640" t="str">
        <f>IF(J785="Funcionamiento Gastos Generales","No aplica",IF(J785="Funcionamiento Servicios Personales","No aplica",IFERROR(VLOOKUP(J785,Listas!$A$220:$D$224,2,FALSE),"Alerta: Seleccione la celda en la comumna B con el nombre del proyecto")))</f>
        <v>Alerta: Seleccione la celda en la comumna B con el nombre del proyecto</v>
      </c>
      <c r="AM785" s="640" t="str">
        <f>IF(J785="Funcionamiento Gastos Generales","No aplica",IF(J785="Funcionamiento Servicios Personales","No aplica",IFERROR(VLOOKUP(J785,Listas!$A$220:$D$224,3,FALSE),"Alerta: Seleccione la celda en la comumna B con el nombre del proyecto")))</f>
        <v>Alerta: Seleccione la celda en la comumna B con el nombre del proyecto</v>
      </c>
      <c r="AN785" s="633"/>
      <c r="AO785" s="633"/>
      <c r="AP785" s="634" t="str">
        <f>IFERROR(VLOOKUP(J785,Listas!$A$182:$E$215,5,FALSE),"Alerta: Seleccione la celda en la comumna B con el nombre del proyecto")</f>
        <v>Alerta: Seleccione la celda en la comumna B con el nombre del proyecto</v>
      </c>
      <c r="AQ785" s="634" t="str">
        <f>IF(J785="Funcionamiento Gastos Generales","No aplica",IF(J785="Funcionamiento Servicios Personales","No aplica",IFERROR(VLOOKUP(J785,Listas!$A$220:$D$224,4,FALSE),"Alerta: Seleccione la celda en la comumna B con el nombre del proyecto")))</f>
        <v>Alerta: Seleccione la celda en la comumna B con el nombre del proyecto</v>
      </c>
      <c r="AR785" s="633"/>
      <c r="AS785" s="634" t="str">
        <f>IFERROR(VLOOKUP(AU785,Listas!$E$85:$L$105,7,FALSE),"Alerta: Seleccione la celda en la comumna AI con el concepto de gasto")</f>
        <v>Alerta: Seleccione la celda en la comumna AI con el concepto de gasto</v>
      </c>
      <c r="AT785" s="634" t="str">
        <f>IFERROR(VLOOKUP(AU785,Listas!$E$85:$L$105,8,FALSE),"Alerta: Seleccione la celda en la comumna AI con el concepto de gasto")</f>
        <v>Alerta: Seleccione la celda en la comumna AI con el concepto de gasto</v>
      </c>
      <c r="AU785" s="633"/>
      <c r="AV785" s="634" t="str">
        <f>IFERROR(VLOOKUP(AU785,Listas!$E$85:$F$105,2,FALSE),"Alerta: Seleccione el Concepto de Gasto primero")</f>
        <v>Alerta: Seleccione el Concepto de Gasto primero</v>
      </c>
      <c r="AW785" s="644"/>
      <c r="AX785" s="645"/>
      <c r="AY785" s="645"/>
      <c r="AZ785" s="645"/>
      <c r="BA785" s="646">
        <f t="shared" si="237"/>
        <v>0</v>
      </c>
      <c r="BB785" s="647"/>
      <c r="BC785" s="648"/>
      <c r="BD785" s="649"/>
      <c r="BE785" s="647"/>
      <c r="BF785" s="644"/>
      <c r="BG785" s="646">
        <f t="shared" si="238"/>
        <v>0</v>
      </c>
      <c r="BH785" s="650"/>
      <c r="BI785" s="647"/>
      <c r="BJ785" s="644"/>
      <c r="BK785" s="646">
        <f t="shared" si="239"/>
        <v>0</v>
      </c>
      <c r="BL785" s="651"/>
      <c r="BM785" s="652">
        <f t="shared" si="240"/>
        <v>1</v>
      </c>
      <c r="BN785" s="628"/>
      <c r="BO785" s="670"/>
      <c r="BP785" s="644"/>
      <c r="BQ785" s="644"/>
      <c r="BR785" s="644"/>
      <c r="BS785" s="644"/>
      <c r="BT785" s="644"/>
      <c r="BU785" s="644"/>
      <c r="BV785" s="644"/>
      <c r="BW785" s="644"/>
      <c r="BX785" s="644"/>
      <c r="BY785" s="644"/>
      <c r="BZ785" s="644"/>
      <c r="CA785" s="644"/>
      <c r="CB785" s="646">
        <f t="shared" si="241"/>
        <v>0</v>
      </c>
      <c r="CC785" s="646">
        <f t="shared" si="242"/>
        <v>0</v>
      </c>
      <c r="CD785" s="614"/>
    </row>
    <row r="786" spans="1:82" s="561" customFormat="1" ht="61.5" customHeight="1">
      <c r="A786" s="625" t="str">
        <f t="shared" si="224"/>
        <v>proyecto-Alerta: Seleccione la celda en la comumna B con el nombre del proyecto-Al-Al--</v>
      </c>
      <c r="B786" s="626" t="str">
        <f t="shared" si="225"/>
        <v>proyecto-Alerta: Seleccione la celda en la comumna B con el nombre del proyecto-Al-Al-</v>
      </c>
      <c r="C786" s="626" t="str">
        <f t="shared" si="226"/>
        <v>proyecto-Alerta: Seleccione la celda en la comumna B con el nombre del proyecto-</v>
      </c>
      <c r="D786" s="626" t="str">
        <f t="shared" si="227"/>
        <v>proyecto--Al-Al-</v>
      </c>
      <c r="E786" s="626" t="str">
        <f t="shared" si="228"/>
        <v>--</v>
      </c>
      <c r="F786" s="627"/>
      <c r="G786" s="628">
        <f t="shared" si="229"/>
        <v>0</v>
      </c>
      <c r="H786" s="629" t="b">
        <f t="shared" si="230"/>
        <v>1</v>
      </c>
      <c r="I786" s="630"/>
      <c r="J786" s="627"/>
      <c r="K786" s="631" t="str">
        <f>+IFERROR(VLOOKUP(J786,Listas!$A$108:$B$114,2,FALSE),"Alerta: Seleccione la celda en la comumna B con el nombre del proyecto")</f>
        <v>Alerta: Seleccione la celda en la comumna B con el nombre del proyecto</v>
      </c>
      <c r="L786" s="632"/>
      <c r="M786" s="633"/>
      <c r="N786" s="634" t="str">
        <f t="shared" si="231"/>
        <v xml:space="preserve">(Cód. ) </v>
      </c>
      <c r="O786" s="635"/>
      <c r="P786" s="636">
        <f>IFERROR(VLOOKUP(W786,'Estimación CRP'!$D$21:$E$30,2,FALSE),0)</f>
        <v>0</v>
      </c>
      <c r="Q786" s="637">
        <f>IF(O786="No aplica","No aplica",WORKDAY.INTL(O786,P786,1,'Estimación CRP'!A972:A988))</f>
        <v>0</v>
      </c>
      <c r="R786" s="636">
        <f t="shared" si="232"/>
        <v>1</v>
      </c>
      <c r="S786" s="636">
        <f t="shared" si="233"/>
        <v>1</v>
      </c>
      <c r="T786" s="636">
        <f t="shared" si="234"/>
        <v>1</v>
      </c>
      <c r="U786" s="638"/>
      <c r="V786" s="638"/>
      <c r="W786" s="639"/>
      <c r="X786" s="640" t="str">
        <f>IFERROR(VLOOKUP(W786,Listas!$A$60:$B$73,2,FALSE),"Alerta: Seleccione primero Modalidad de selección")</f>
        <v>Alerta: Seleccione primero Modalidad de selección</v>
      </c>
      <c r="Y786" s="641">
        <v>0</v>
      </c>
      <c r="Z786" s="641"/>
      <c r="AA786" s="641"/>
      <c r="AB786" s="642">
        <f t="shared" si="235"/>
        <v>0</v>
      </c>
      <c r="AC786" s="642">
        <f t="shared" si="236"/>
        <v>0</v>
      </c>
      <c r="AD786" s="641">
        <v>0</v>
      </c>
      <c r="AE786" s="643">
        <v>0</v>
      </c>
      <c r="AF786" s="639" t="s">
        <v>276</v>
      </c>
      <c r="AG786" s="639" t="s">
        <v>277</v>
      </c>
      <c r="AH786" s="639"/>
      <c r="AI786" s="626" t="str">
        <f>IFERROR(VLOOKUP(AH786,Listas!$A$77:$C$83,2,FALSE),"Alerta: Seleccione primero el responsable")</f>
        <v>Alerta: Seleccione primero el responsable</v>
      </c>
      <c r="AJ786" s="640" t="str">
        <f>IFERROR(VLOOKUP(AH786,Listas!$A$77:$C$83,3,FALSE),"Alerta: Seleccione primero el responsable")</f>
        <v>Alerta: Seleccione primero el responsable</v>
      </c>
      <c r="AK786" s="640" t="str">
        <f>IF(J786="Funcionamiento Gastos Generales","No aplica",IF(J786="Funcionamiento Servicios Personales indirectos","No aplica",IFERROR(VLOOKUP(J786,Listas!$A$127:$E$139,3,FALSE),"Alerta: Seleccione la celda en la comumna B con el nombre del proyecto")))</f>
        <v>Alerta: Seleccione la celda en la comumna B con el nombre del proyecto</v>
      </c>
      <c r="AL786" s="640" t="str">
        <f>IF(J786="Funcionamiento Gastos Generales","No aplica",IF(J786="Funcionamiento Servicios Personales","No aplica",IFERROR(VLOOKUP(J786,Listas!$A$220:$D$224,2,FALSE),"Alerta: Seleccione la celda en la comumna B con el nombre del proyecto")))</f>
        <v>Alerta: Seleccione la celda en la comumna B con el nombre del proyecto</v>
      </c>
      <c r="AM786" s="640" t="str">
        <f>IF(J786="Funcionamiento Gastos Generales","No aplica",IF(J786="Funcionamiento Servicios Personales","No aplica",IFERROR(VLOOKUP(J786,Listas!$A$220:$D$224,3,FALSE),"Alerta: Seleccione la celda en la comumna B con el nombre del proyecto")))</f>
        <v>Alerta: Seleccione la celda en la comumna B con el nombre del proyecto</v>
      </c>
      <c r="AN786" s="633"/>
      <c r="AO786" s="633"/>
      <c r="AP786" s="634" t="str">
        <f>IFERROR(VLOOKUP(J786,Listas!$A$182:$E$215,5,FALSE),"Alerta: Seleccione la celda en la comumna B con el nombre del proyecto")</f>
        <v>Alerta: Seleccione la celda en la comumna B con el nombre del proyecto</v>
      </c>
      <c r="AQ786" s="634" t="str">
        <f>IF(J786="Funcionamiento Gastos Generales","No aplica",IF(J786="Funcionamiento Servicios Personales","No aplica",IFERROR(VLOOKUP(J786,Listas!$A$220:$D$224,4,FALSE),"Alerta: Seleccione la celda en la comumna B con el nombre del proyecto")))</f>
        <v>Alerta: Seleccione la celda en la comumna B con el nombre del proyecto</v>
      </c>
      <c r="AR786" s="633"/>
      <c r="AS786" s="634" t="str">
        <f>IFERROR(VLOOKUP(AU786,Listas!$E$85:$L$105,7,FALSE),"Alerta: Seleccione la celda en la comumna AI con el concepto de gasto")</f>
        <v>Alerta: Seleccione la celda en la comumna AI con el concepto de gasto</v>
      </c>
      <c r="AT786" s="634" t="str">
        <f>IFERROR(VLOOKUP(AU786,Listas!$E$85:$L$105,8,FALSE),"Alerta: Seleccione la celda en la comumna AI con el concepto de gasto")</f>
        <v>Alerta: Seleccione la celda en la comumna AI con el concepto de gasto</v>
      </c>
      <c r="AU786" s="633"/>
      <c r="AV786" s="634" t="str">
        <f>IFERROR(VLOOKUP(AU786,Listas!$E$85:$F$105,2,FALSE),"Alerta: Seleccione el Concepto de Gasto primero")</f>
        <v>Alerta: Seleccione el Concepto de Gasto primero</v>
      </c>
      <c r="AW786" s="644"/>
      <c r="AX786" s="645"/>
      <c r="AY786" s="645"/>
      <c r="AZ786" s="645"/>
      <c r="BA786" s="646">
        <f t="shared" si="237"/>
        <v>0</v>
      </c>
      <c r="BB786" s="647"/>
      <c r="BC786" s="648"/>
      <c r="BD786" s="649"/>
      <c r="BE786" s="647"/>
      <c r="BF786" s="644"/>
      <c r="BG786" s="646">
        <f t="shared" si="238"/>
        <v>0</v>
      </c>
      <c r="BH786" s="650"/>
      <c r="BI786" s="647"/>
      <c r="BJ786" s="644"/>
      <c r="BK786" s="646">
        <f t="shared" si="239"/>
        <v>0</v>
      </c>
      <c r="BL786" s="651"/>
      <c r="BM786" s="652">
        <f t="shared" si="240"/>
        <v>1</v>
      </c>
      <c r="BN786" s="628"/>
      <c r="BO786" s="670"/>
      <c r="BP786" s="644"/>
      <c r="BQ786" s="644"/>
      <c r="BR786" s="644"/>
      <c r="BS786" s="644"/>
      <c r="BT786" s="644"/>
      <c r="BU786" s="644"/>
      <c r="BV786" s="644"/>
      <c r="BW786" s="644"/>
      <c r="BX786" s="644"/>
      <c r="BY786" s="644"/>
      <c r="BZ786" s="644"/>
      <c r="CA786" s="644"/>
      <c r="CB786" s="646">
        <f t="shared" si="241"/>
        <v>0</v>
      </c>
      <c r="CC786" s="646">
        <f t="shared" si="242"/>
        <v>0</v>
      </c>
      <c r="CD786" s="614"/>
    </row>
    <row r="787" spans="1:82" s="561" customFormat="1" ht="61.5" customHeight="1">
      <c r="A787" s="625" t="str">
        <f t="shared" si="224"/>
        <v>proyecto-Alerta: Seleccione la celda en la comumna B con el nombre del proyecto-Al-Al--</v>
      </c>
      <c r="B787" s="626" t="str">
        <f t="shared" si="225"/>
        <v>proyecto-Alerta: Seleccione la celda en la comumna B con el nombre del proyecto-Al-Al-</v>
      </c>
      <c r="C787" s="626" t="str">
        <f t="shared" si="226"/>
        <v>proyecto-Alerta: Seleccione la celda en la comumna B con el nombre del proyecto-</v>
      </c>
      <c r="D787" s="626" t="str">
        <f t="shared" si="227"/>
        <v>proyecto--Al-Al-</v>
      </c>
      <c r="E787" s="626" t="str">
        <f t="shared" si="228"/>
        <v>--</v>
      </c>
      <c r="F787" s="627"/>
      <c r="G787" s="628">
        <f t="shared" si="229"/>
        <v>0</v>
      </c>
      <c r="H787" s="629" t="b">
        <f t="shared" si="230"/>
        <v>1</v>
      </c>
      <c r="I787" s="630"/>
      <c r="J787" s="627"/>
      <c r="K787" s="631" t="str">
        <f>+IFERROR(VLOOKUP(J787,Listas!$A$108:$B$114,2,FALSE),"Alerta: Seleccione la celda en la comumna B con el nombre del proyecto")</f>
        <v>Alerta: Seleccione la celda en la comumna B con el nombre del proyecto</v>
      </c>
      <c r="L787" s="632"/>
      <c r="M787" s="633"/>
      <c r="N787" s="634" t="str">
        <f t="shared" si="231"/>
        <v xml:space="preserve">(Cód. ) </v>
      </c>
      <c r="O787" s="635"/>
      <c r="P787" s="636">
        <f>IFERROR(VLOOKUP(W787,'Estimación CRP'!$D$21:$E$30,2,FALSE),0)</f>
        <v>0</v>
      </c>
      <c r="Q787" s="637">
        <f>IF(O787="No aplica","No aplica",WORKDAY.INTL(O787,P787,1,'Estimación CRP'!A973:A989))</f>
        <v>0</v>
      </c>
      <c r="R787" s="636">
        <f t="shared" si="232"/>
        <v>1</v>
      </c>
      <c r="S787" s="636">
        <f t="shared" si="233"/>
        <v>1</v>
      </c>
      <c r="T787" s="636">
        <f t="shared" si="234"/>
        <v>1</v>
      </c>
      <c r="U787" s="638"/>
      <c r="V787" s="638"/>
      <c r="W787" s="639"/>
      <c r="X787" s="640" t="str">
        <f>IFERROR(VLOOKUP(W787,Listas!$A$60:$B$73,2,FALSE),"Alerta: Seleccione primero Modalidad de selección")</f>
        <v>Alerta: Seleccione primero Modalidad de selección</v>
      </c>
      <c r="Y787" s="641">
        <v>0</v>
      </c>
      <c r="Z787" s="641"/>
      <c r="AA787" s="641"/>
      <c r="AB787" s="642">
        <f t="shared" si="235"/>
        <v>0</v>
      </c>
      <c r="AC787" s="642">
        <f t="shared" si="236"/>
        <v>0</v>
      </c>
      <c r="AD787" s="641">
        <v>0</v>
      </c>
      <c r="AE787" s="643">
        <v>0</v>
      </c>
      <c r="AF787" s="639" t="s">
        <v>276</v>
      </c>
      <c r="AG787" s="639" t="s">
        <v>277</v>
      </c>
      <c r="AH787" s="639"/>
      <c r="AI787" s="626" t="str">
        <f>IFERROR(VLOOKUP(AH787,Listas!$A$77:$C$83,2,FALSE),"Alerta: Seleccione primero el responsable")</f>
        <v>Alerta: Seleccione primero el responsable</v>
      </c>
      <c r="AJ787" s="640" t="str">
        <f>IFERROR(VLOOKUP(AH787,Listas!$A$77:$C$83,3,FALSE),"Alerta: Seleccione primero el responsable")</f>
        <v>Alerta: Seleccione primero el responsable</v>
      </c>
      <c r="AK787" s="640" t="str">
        <f>IF(J787="Funcionamiento Gastos Generales","No aplica",IF(J787="Funcionamiento Servicios Personales indirectos","No aplica",IFERROR(VLOOKUP(J787,Listas!$A$127:$E$139,3,FALSE),"Alerta: Seleccione la celda en la comumna B con el nombre del proyecto")))</f>
        <v>Alerta: Seleccione la celda en la comumna B con el nombre del proyecto</v>
      </c>
      <c r="AL787" s="640" t="str">
        <f>IF(J787="Funcionamiento Gastos Generales","No aplica",IF(J787="Funcionamiento Servicios Personales","No aplica",IFERROR(VLOOKUP(J787,Listas!$A$220:$D$224,2,FALSE),"Alerta: Seleccione la celda en la comumna B con el nombre del proyecto")))</f>
        <v>Alerta: Seleccione la celda en la comumna B con el nombre del proyecto</v>
      </c>
      <c r="AM787" s="640" t="str">
        <f>IF(J787="Funcionamiento Gastos Generales","No aplica",IF(J787="Funcionamiento Servicios Personales","No aplica",IFERROR(VLOOKUP(J787,Listas!$A$220:$D$224,3,FALSE),"Alerta: Seleccione la celda en la comumna B con el nombre del proyecto")))</f>
        <v>Alerta: Seleccione la celda en la comumna B con el nombre del proyecto</v>
      </c>
      <c r="AN787" s="633"/>
      <c r="AO787" s="633"/>
      <c r="AP787" s="634" t="str">
        <f>IFERROR(VLOOKUP(J787,Listas!$A$182:$E$215,5,FALSE),"Alerta: Seleccione la celda en la comumna B con el nombre del proyecto")</f>
        <v>Alerta: Seleccione la celda en la comumna B con el nombre del proyecto</v>
      </c>
      <c r="AQ787" s="634" t="str">
        <f>IF(J787="Funcionamiento Gastos Generales","No aplica",IF(J787="Funcionamiento Servicios Personales","No aplica",IFERROR(VLOOKUP(J787,Listas!$A$220:$D$224,4,FALSE),"Alerta: Seleccione la celda en la comumna B con el nombre del proyecto")))</f>
        <v>Alerta: Seleccione la celda en la comumna B con el nombre del proyecto</v>
      </c>
      <c r="AR787" s="633"/>
      <c r="AS787" s="634" t="str">
        <f>IFERROR(VLOOKUP(AU787,Listas!$E$85:$L$105,7,FALSE),"Alerta: Seleccione la celda en la comumna AI con el concepto de gasto")</f>
        <v>Alerta: Seleccione la celda en la comumna AI con el concepto de gasto</v>
      </c>
      <c r="AT787" s="634" t="str">
        <f>IFERROR(VLOOKUP(AU787,Listas!$E$85:$L$105,8,FALSE),"Alerta: Seleccione la celda en la comumna AI con el concepto de gasto")</f>
        <v>Alerta: Seleccione la celda en la comumna AI con el concepto de gasto</v>
      </c>
      <c r="AU787" s="633"/>
      <c r="AV787" s="634" t="str">
        <f>IFERROR(VLOOKUP(AU787,Listas!$E$85:$F$105,2,FALSE),"Alerta: Seleccione el Concepto de Gasto primero")</f>
        <v>Alerta: Seleccione el Concepto de Gasto primero</v>
      </c>
      <c r="AW787" s="644"/>
      <c r="AX787" s="645"/>
      <c r="AY787" s="645"/>
      <c r="AZ787" s="645"/>
      <c r="BA787" s="646">
        <f t="shared" si="237"/>
        <v>0</v>
      </c>
      <c r="BB787" s="647"/>
      <c r="BC787" s="648"/>
      <c r="BD787" s="649"/>
      <c r="BE787" s="647"/>
      <c r="BF787" s="644"/>
      <c r="BG787" s="646">
        <f t="shared" si="238"/>
        <v>0</v>
      </c>
      <c r="BH787" s="650"/>
      <c r="BI787" s="647"/>
      <c r="BJ787" s="644"/>
      <c r="BK787" s="646">
        <f t="shared" si="239"/>
        <v>0</v>
      </c>
      <c r="BL787" s="651"/>
      <c r="BM787" s="652">
        <f t="shared" si="240"/>
        <v>1</v>
      </c>
      <c r="BN787" s="628"/>
      <c r="BO787" s="670"/>
      <c r="BP787" s="644"/>
      <c r="BQ787" s="644"/>
      <c r="BR787" s="644"/>
      <c r="BS787" s="644"/>
      <c r="BT787" s="644"/>
      <c r="BU787" s="644"/>
      <c r="BV787" s="644"/>
      <c r="BW787" s="644"/>
      <c r="BX787" s="644"/>
      <c r="BY787" s="644"/>
      <c r="BZ787" s="644"/>
      <c r="CA787" s="644"/>
      <c r="CB787" s="646">
        <f t="shared" si="241"/>
        <v>0</v>
      </c>
      <c r="CC787" s="646">
        <f t="shared" si="242"/>
        <v>0</v>
      </c>
      <c r="CD787" s="614"/>
    </row>
    <row r="788" spans="1:82" s="561" customFormat="1" ht="61.5" customHeight="1">
      <c r="A788" s="625" t="str">
        <f t="shared" si="224"/>
        <v>proyecto-Alerta: Seleccione la celda en la comumna B con el nombre del proyecto-Al-Al--</v>
      </c>
      <c r="B788" s="626" t="str">
        <f t="shared" si="225"/>
        <v>proyecto-Alerta: Seleccione la celda en la comumna B con el nombre del proyecto-Al-Al-</v>
      </c>
      <c r="C788" s="626" t="str">
        <f t="shared" si="226"/>
        <v>proyecto-Alerta: Seleccione la celda en la comumna B con el nombre del proyecto-</v>
      </c>
      <c r="D788" s="626" t="str">
        <f t="shared" si="227"/>
        <v>proyecto--Al-Al-</v>
      </c>
      <c r="E788" s="626" t="str">
        <f t="shared" si="228"/>
        <v>--</v>
      </c>
      <c r="F788" s="627"/>
      <c r="G788" s="628">
        <f t="shared" si="229"/>
        <v>0</v>
      </c>
      <c r="H788" s="629" t="b">
        <f t="shared" si="230"/>
        <v>1</v>
      </c>
      <c r="I788" s="630"/>
      <c r="J788" s="627"/>
      <c r="K788" s="631" t="str">
        <f>+IFERROR(VLOOKUP(J788,Listas!$A$108:$B$114,2,FALSE),"Alerta: Seleccione la celda en la comumna B con el nombre del proyecto")</f>
        <v>Alerta: Seleccione la celda en la comumna B con el nombre del proyecto</v>
      </c>
      <c r="L788" s="632"/>
      <c r="M788" s="633"/>
      <c r="N788" s="634" t="str">
        <f t="shared" si="231"/>
        <v xml:space="preserve">(Cód. ) </v>
      </c>
      <c r="O788" s="635"/>
      <c r="P788" s="636">
        <f>IFERROR(VLOOKUP(W788,'Estimación CRP'!$D$21:$E$30,2,FALSE),0)</f>
        <v>0</v>
      </c>
      <c r="Q788" s="637">
        <f>IF(O788="No aplica","No aplica",WORKDAY.INTL(O788,P788,1,'Estimación CRP'!A974:A990))</f>
        <v>0</v>
      </c>
      <c r="R788" s="636">
        <f t="shared" si="232"/>
        <v>1</v>
      </c>
      <c r="S788" s="636">
        <f t="shared" si="233"/>
        <v>1</v>
      </c>
      <c r="T788" s="636">
        <f t="shared" si="234"/>
        <v>1</v>
      </c>
      <c r="U788" s="638"/>
      <c r="V788" s="638"/>
      <c r="W788" s="639"/>
      <c r="X788" s="640" t="str">
        <f>IFERROR(VLOOKUP(W788,Listas!$A$60:$B$73,2,FALSE),"Alerta: Seleccione primero Modalidad de selección")</f>
        <v>Alerta: Seleccione primero Modalidad de selección</v>
      </c>
      <c r="Y788" s="641">
        <v>0</v>
      </c>
      <c r="Z788" s="641"/>
      <c r="AA788" s="641"/>
      <c r="AB788" s="642">
        <f t="shared" si="235"/>
        <v>0</v>
      </c>
      <c r="AC788" s="642">
        <f t="shared" si="236"/>
        <v>0</v>
      </c>
      <c r="AD788" s="641">
        <v>0</v>
      </c>
      <c r="AE788" s="643">
        <v>0</v>
      </c>
      <c r="AF788" s="639" t="s">
        <v>276</v>
      </c>
      <c r="AG788" s="639" t="s">
        <v>277</v>
      </c>
      <c r="AH788" s="639"/>
      <c r="AI788" s="626" t="str">
        <f>IFERROR(VLOOKUP(AH788,Listas!$A$77:$C$83,2,FALSE),"Alerta: Seleccione primero el responsable")</f>
        <v>Alerta: Seleccione primero el responsable</v>
      </c>
      <c r="AJ788" s="640" t="str">
        <f>IFERROR(VLOOKUP(AH788,Listas!$A$77:$C$83,3,FALSE),"Alerta: Seleccione primero el responsable")</f>
        <v>Alerta: Seleccione primero el responsable</v>
      </c>
      <c r="AK788" s="640" t="str">
        <f>IF(J788="Funcionamiento Gastos Generales","No aplica",IF(J788="Funcionamiento Servicios Personales indirectos","No aplica",IFERROR(VLOOKUP(J788,Listas!$A$127:$E$139,3,FALSE),"Alerta: Seleccione la celda en la comumna B con el nombre del proyecto")))</f>
        <v>Alerta: Seleccione la celda en la comumna B con el nombre del proyecto</v>
      </c>
      <c r="AL788" s="640" t="str">
        <f>IF(J788="Funcionamiento Gastos Generales","No aplica",IF(J788="Funcionamiento Servicios Personales","No aplica",IFERROR(VLOOKUP(J788,Listas!$A$220:$D$224,2,FALSE),"Alerta: Seleccione la celda en la comumna B con el nombre del proyecto")))</f>
        <v>Alerta: Seleccione la celda en la comumna B con el nombre del proyecto</v>
      </c>
      <c r="AM788" s="640" t="str">
        <f>IF(J788="Funcionamiento Gastos Generales","No aplica",IF(J788="Funcionamiento Servicios Personales","No aplica",IFERROR(VLOOKUP(J788,Listas!$A$220:$D$224,3,FALSE),"Alerta: Seleccione la celda en la comumna B con el nombre del proyecto")))</f>
        <v>Alerta: Seleccione la celda en la comumna B con el nombre del proyecto</v>
      </c>
      <c r="AN788" s="633"/>
      <c r="AO788" s="633"/>
      <c r="AP788" s="634" t="str">
        <f>IFERROR(VLOOKUP(J788,Listas!$A$182:$E$215,5,FALSE),"Alerta: Seleccione la celda en la comumna B con el nombre del proyecto")</f>
        <v>Alerta: Seleccione la celda en la comumna B con el nombre del proyecto</v>
      </c>
      <c r="AQ788" s="634" t="str">
        <f>IF(J788="Funcionamiento Gastos Generales","No aplica",IF(J788="Funcionamiento Servicios Personales","No aplica",IFERROR(VLOOKUP(J788,Listas!$A$220:$D$224,4,FALSE),"Alerta: Seleccione la celda en la comumna B con el nombre del proyecto")))</f>
        <v>Alerta: Seleccione la celda en la comumna B con el nombre del proyecto</v>
      </c>
      <c r="AR788" s="633"/>
      <c r="AS788" s="634" t="str">
        <f>IFERROR(VLOOKUP(AU788,Listas!$E$85:$L$105,7,FALSE),"Alerta: Seleccione la celda en la comumna AI con el concepto de gasto")</f>
        <v>Alerta: Seleccione la celda en la comumna AI con el concepto de gasto</v>
      </c>
      <c r="AT788" s="634" t="str">
        <f>IFERROR(VLOOKUP(AU788,Listas!$E$85:$L$105,8,FALSE),"Alerta: Seleccione la celda en la comumna AI con el concepto de gasto")</f>
        <v>Alerta: Seleccione la celda en la comumna AI con el concepto de gasto</v>
      </c>
      <c r="AU788" s="633"/>
      <c r="AV788" s="634" t="str">
        <f>IFERROR(VLOOKUP(AU788,Listas!$E$85:$F$105,2,FALSE),"Alerta: Seleccione el Concepto de Gasto primero")</f>
        <v>Alerta: Seleccione el Concepto de Gasto primero</v>
      </c>
      <c r="AW788" s="644"/>
      <c r="AX788" s="645"/>
      <c r="AY788" s="645"/>
      <c r="AZ788" s="645"/>
      <c r="BA788" s="646">
        <f t="shared" si="237"/>
        <v>0</v>
      </c>
      <c r="BB788" s="647"/>
      <c r="BC788" s="648"/>
      <c r="BD788" s="649"/>
      <c r="BE788" s="647"/>
      <c r="BF788" s="644"/>
      <c r="BG788" s="646">
        <f t="shared" si="238"/>
        <v>0</v>
      </c>
      <c r="BH788" s="650"/>
      <c r="BI788" s="647"/>
      <c r="BJ788" s="644"/>
      <c r="BK788" s="646">
        <f t="shared" si="239"/>
        <v>0</v>
      </c>
      <c r="BL788" s="651"/>
      <c r="BM788" s="652">
        <f t="shared" si="240"/>
        <v>1</v>
      </c>
      <c r="BN788" s="628"/>
      <c r="BO788" s="670"/>
      <c r="BP788" s="644"/>
      <c r="BQ788" s="644"/>
      <c r="BR788" s="644"/>
      <c r="BS788" s="644"/>
      <c r="BT788" s="644"/>
      <c r="BU788" s="644"/>
      <c r="BV788" s="644"/>
      <c r="BW788" s="644"/>
      <c r="BX788" s="644"/>
      <c r="BY788" s="644"/>
      <c r="BZ788" s="644"/>
      <c r="CA788" s="644"/>
      <c r="CB788" s="646">
        <f t="shared" si="241"/>
        <v>0</v>
      </c>
      <c r="CC788" s="646">
        <f t="shared" si="242"/>
        <v>0</v>
      </c>
      <c r="CD788" s="614"/>
    </row>
    <row r="789" spans="1:82" s="561" customFormat="1" ht="61.5" customHeight="1">
      <c r="A789" s="625" t="str">
        <f t="shared" si="224"/>
        <v>proyecto-Alerta: Seleccione la celda en la comumna B con el nombre del proyecto-Al-Al--</v>
      </c>
      <c r="B789" s="626" t="str">
        <f t="shared" si="225"/>
        <v>proyecto-Alerta: Seleccione la celda en la comumna B con el nombre del proyecto-Al-Al-</v>
      </c>
      <c r="C789" s="626" t="str">
        <f t="shared" si="226"/>
        <v>proyecto-Alerta: Seleccione la celda en la comumna B con el nombre del proyecto-</v>
      </c>
      <c r="D789" s="626" t="str">
        <f t="shared" si="227"/>
        <v>proyecto--Al-Al-</v>
      </c>
      <c r="E789" s="626" t="str">
        <f t="shared" si="228"/>
        <v>--</v>
      </c>
      <c r="F789" s="627"/>
      <c r="G789" s="628">
        <f t="shared" si="229"/>
        <v>0</v>
      </c>
      <c r="H789" s="629" t="b">
        <f t="shared" si="230"/>
        <v>1</v>
      </c>
      <c r="I789" s="630"/>
      <c r="J789" s="627"/>
      <c r="K789" s="631" t="str">
        <f>+IFERROR(VLOOKUP(J789,Listas!$A$108:$B$114,2,FALSE),"Alerta: Seleccione la celda en la comumna B con el nombre del proyecto")</f>
        <v>Alerta: Seleccione la celda en la comumna B con el nombre del proyecto</v>
      </c>
      <c r="L789" s="632"/>
      <c r="M789" s="633"/>
      <c r="N789" s="634" t="str">
        <f t="shared" si="231"/>
        <v xml:space="preserve">(Cód. ) </v>
      </c>
      <c r="O789" s="635"/>
      <c r="P789" s="636">
        <f>IFERROR(VLOOKUP(W789,'Estimación CRP'!$D$21:$E$30,2,FALSE),0)</f>
        <v>0</v>
      </c>
      <c r="Q789" s="637">
        <f>IF(O789="No aplica","No aplica",WORKDAY.INTL(O789,P789,1,'Estimación CRP'!A975:A991))</f>
        <v>0</v>
      </c>
      <c r="R789" s="636">
        <f t="shared" si="232"/>
        <v>1</v>
      </c>
      <c r="S789" s="636">
        <f t="shared" si="233"/>
        <v>1</v>
      </c>
      <c r="T789" s="636">
        <f t="shared" si="234"/>
        <v>1</v>
      </c>
      <c r="U789" s="638"/>
      <c r="V789" s="638"/>
      <c r="W789" s="639"/>
      <c r="X789" s="640" t="str">
        <f>IFERROR(VLOOKUP(W789,Listas!$A$60:$B$73,2,FALSE),"Alerta: Seleccione primero Modalidad de selección")</f>
        <v>Alerta: Seleccione primero Modalidad de selección</v>
      </c>
      <c r="Y789" s="641">
        <v>0</v>
      </c>
      <c r="Z789" s="641"/>
      <c r="AA789" s="641"/>
      <c r="AB789" s="642">
        <f t="shared" si="235"/>
        <v>0</v>
      </c>
      <c r="AC789" s="642">
        <f t="shared" si="236"/>
        <v>0</v>
      </c>
      <c r="AD789" s="641">
        <v>0</v>
      </c>
      <c r="AE789" s="643">
        <v>0</v>
      </c>
      <c r="AF789" s="639" t="s">
        <v>276</v>
      </c>
      <c r="AG789" s="639" t="s">
        <v>277</v>
      </c>
      <c r="AH789" s="639"/>
      <c r="AI789" s="626" t="str">
        <f>IFERROR(VLOOKUP(AH789,Listas!$A$77:$C$83,2,FALSE),"Alerta: Seleccione primero el responsable")</f>
        <v>Alerta: Seleccione primero el responsable</v>
      </c>
      <c r="AJ789" s="640" t="str">
        <f>IFERROR(VLOOKUP(AH789,Listas!$A$77:$C$83,3,FALSE),"Alerta: Seleccione primero el responsable")</f>
        <v>Alerta: Seleccione primero el responsable</v>
      </c>
      <c r="AK789" s="640" t="str">
        <f>IF(J789="Funcionamiento Gastos Generales","No aplica",IF(J789="Funcionamiento Servicios Personales indirectos","No aplica",IFERROR(VLOOKUP(J789,Listas!$A$127:$E$139,3,FALSE),"Alerta: Seleccione la celda en la comumna B con el nombre del proyecto")))</f>
        <v>Alerta: Seleccione la celda en la comumna B con el nombre del proyecto</v>
      </c>
      <c r="AL789" s="640" t="str">
        <f>IF(J789="Funcionamiento Gastos Generales","No aplica",IF(J789="Funcionamiento Servicios Personales","No aplica",IFERROR(VLOOKUP(J789,Listas!$A$220:$D$224,2,FALSE),"Alerta: Seleccione la celda en la comumna B con el nombre del proyecto")))</f>
        <v>Alerta: Seleccione la celda en la comumna B con el nombre del proyecto</v>
      </c>
      <c r="AM789" s="640" t="str">
        <f>IF(J789="Funcionamiento Gastos Generales","No aplica",IF(J789="Funcionamiento Servicios Personales","No aplica",IFERROR(VLOOKUP(J789,Listas!$A$220:$D$224,3,FALSE),"Alerta: Seleccione la celda en la comumna B con el nombre del proyecto")))</f>
        <v>Alerta: Seleccione la celda en la comumna B con el nombre del proyecto</v>
      </c>
      <c r="AN789" s="633"/>
      <c r="AO789" s="633"/>
      <c r="AP789" s="634" t="str">
        <f>IFERROR(VLOOKUP(J789,Listas!$A$182:$E$215,5,FALSE),"Alerta: Seleccione la celda en la comumna B con el nombre del proyecto")</f>
        <v>Alerta: Seleccione la celda en la comumna B con el nombre del proyecto</v>
      </c>
      <c r="AQ789" s="634" t="str">
        <f>IF(J789="Funcionamiento Gastos Generales","No aplica",IF(J789="Funcionamiento Servicios Personales","No aplica",IFERROR(VLOOKUP(J789,Listas!$A$220:$D$224,4,FALSE),"Alerta: Seleccione la celda en la comumna B con el nombre del proyecto")))</f>
        <v>Alerta: Seleccione la celda en la comumna B con el nombre del proyecto</v>
      </c>
      <c r="AR789" s="633"/>
      <c r="AS789" s="634" t="str">
        <f>IFERROR(VLOOKUP(AU789,Listas!$E$85:$L$105,7,FALSE),"Alerta: Seleccione la celda en la comumna AI con el concepto de gasto")</f>
        <v>Alerta: Seleccione la celda en la comumna AI con el concepto de gasto</v>
      </c>
      <c r="AT789" s="634" t="str">
        <f>IFERROR(VLOOKUP(AU789,Listas!$E$85:$L$105,8,FALSE),"Alerta: Seleccione la celda en la comumna AI con el concepto de gasto")</f>
        <v>Alerta: Seleccione la celda en la comumna AI con el concepto de gasto</v>
      </c>
      <c r="AU789" s="633"/>
      <c r="AV789" s="634" t="str">
        <f>IFERROR(VLOOKUP(AU789,Listas!$E$85:$F$105,2,FALSE),"Alerta: Seleccione el Concepto de Gasto primero")</f>
        <v>Alerta: Seleccione el Concepto de Gasto primero</v>
      </c>
      <c r="AW789" s="644"/>
      <c r="AX789" s="645"/>
      <c r="AY789" s="645"/>
      <c r="AZ789" s="645"/>
      <c r="BA789" s="646">
        <f t="shared" si="237"/>
        <v>0</v>
      </c>
      <c r="BB789" s="647"/>
      <c r="BC789" s="648"/>
      <c r="BD789" s="649"/>
      <c r="BE789" s="647"/>
      <c r="BF789" s="644"/>
      <c r="BG789" s="646">
        <f t="shared" si="238"/>
        <v>0</v>
      </c>
      <c r="BH789" s="650"/>
      <c r="BI789" s="647"/>
      <c r="BJ789" s="644"/>
      <c r="BK789" s="646">
        <f t="shared" si="239"/>
        <v>0</v>
      </c>
      <c r="BL789" s="651"/>
      <c r="BM789" s="652">
        <f t="shared" si="240"/>
        <v>1</v>
      </c>
      <c r="BN789" s="628"/>
      <c r="BO789" s="670"/>
      <c r="BP789" s="644"/>
      <c r="BQ789" s="644"/>
      <c r="BR789" s="644"/>
      <c r="BS789" s="644"/>
      <c r="BT789" s="644"/>
      <c r="BU789" s="644"/>
      <c r="BV789" s="644"/>
      <c r="BW789" s="644"/>
      <c r="BX789" s="644"/>
      <c r="BY789" s="644"/>
      <c r="BZ789" s="644"/>
      <c r="CA789" s="644"/>
      <c r="CB789" s="646">
        <f t="shared" si="241"/>
        <v>0</v>
      </c>
      <c r="CC789" s="646">
        <f t="shared" si="242"/>
        <v>0</v>
      </c>
      <c r="CD789" s="614"/>
    </row>
    <row r="790" spans="1:82" s="561" customFormat="1" ht="61.5" customHeight="1">
      <c r="A790" s="625" t="str">
        <f t="shared" si="224"/>
        <v>proyecto-Alerta: Seleccione la celda en la comumna B con el nombre del proyecto-Al-Al--</v>
      </c>
      <c r="B790" s="626" t="str">
        <f t="shared" si="225"/>
        <v>proyecto-Alerta: Seleccione la celda en la comumna B con el nombre del proyecto-Al-Al-</v>
      </c>
      <c r="C790" s="626" t="str">
        <f t="shared" si="226"/>
        <v>proyecto-Alerta: Seleccione la celda en la comumna B con el nombre del proyecto-</v>
      </c>
      <c r="D790" s="626" t="str">
        <f t="shared" si="227"/>
        <v>proyecto--Al-Al-</v>
      </c>
      <c r="E790" s="626" t="str">
        <f t="shared" si="228"/>
        <v>--</v>
      </c>
      <c r="F790" s="627"/>
      <c r="G790" s="628">
        <f t="shared" si="229"/>
        <v>0</v>
      </c>
      <c r="H790" s="629" t="b">
        <f t="shared" si="230"/>
        <v>1</v>
      </c>
      <c r="I790" s="630"/>
      <c r="J790" s="627"/>
      <c r="K790" s="631" t="str">
        <f>+IFERROR(VLOOKUP(J790,Listas!$A$108:$B$114,2,FALSE),"Alerta: Seleccione la celda en la comumna B con el nombre del proyecto")</f>
        <v>Alerta: Seleccione la celda en la comumna B con el nombre del proyecto</v>
      </c>
      <c r="L790" s="632"/>
      <c r="M790" s="633"/>
      <c r="N790" s="634" t="str">
        <f t="shared" si="231"/>
        <v xml:space="preserve">(Cód. ) </v>
      </c>
      <c r="O790" s="635"/>
      <c r="P790" s="636">
        <f>IFERROR(VLOOKUP(W790,'Estimación CRP'!$D$21:$E$30,2,FALSE),0)</f>
        <v>0</v>
      </c>
      <c r="Q790" s="637">
        <f>IF(O790="No aplica","No aplica",WORKDAY.INTL(O790,P790,1,'Estimación CRP'!A976:A992))</f>
        <v>0</v>
      </c>
      <c r="R790" s="636">
        <f t="shared" si="232"/>
        <v>1</v>
      </c>
      <c r="S790" s="636">
        <f t="shared" si="233"/>
        <v>1</v>
      </c>
      <c r="T790" s="636">
        <f t="shared" si="234"/>
        <v>1</v>
      </c>
      <c r="U790" s="638"/>
      <c r="V790" s="638"/>
      <c r="W790" s="639"/>
      <c r="X790" s="640" t="str">
        <f>IFERROR(VLOOKUP(W790,Listas!$A$60:$B$73,2,FALSE),"Alerta: Seleccione primero Modalidad de selección")</f>
        <v>Alerta: Seleccione primero Modalidad de selección</v>
      </c>
      <c r="Y790" s="641">
        <v>0</v>
      </c>
      <c r="Z790" s="641"/>
      <c r="AA790" s="641"/>
      <c r="AB790" s="642">
        <f t="shared" si="235"/>
        <v>0</v>
      </c>
      <c r="AC790" s="642">
        <f t="shared" si="236"/>
        <v>0</v>
      </c>
      <c r="AD790" s="641">
        <v>0</v>
      </c>
      <c r="AE790" s="643">
        <v>0</v>
      </c>
      <c r="AF790" s="639" t="s">
        <v>276</v>
      </c>
      <c r="AG790" s="639" t="s">
        <v>277</v>
      </c>
      <c r="AH790" s="639"/>
      <c r="AI790" s="626" t="str">
        <f>IFERROR(VLOOKUP(AH790,Listas!$A$77:$C$83,2,FALSE),"Alerta: Seleccione primero el responsable")</f>
        <v>Alerta: Seleccione primero el responsable</v>
      </c>
      <c r="AJ790" s="640" t="str">
        <f>IFERROR(VLOOKUP(AH790,Listas!$A$77:$C$83,3,FALSE),"Alerta: Seleccione primero el responsable")</f>
        <v>Alerta: Seleccione primero el responsable</v>
      </c>
      <c r="AK790" s="640" t="str">
        <f>IF(J790="Funcionamiento Gastos Generales","No aplica",IF(J790="Funcionamiento Servicios Personales indirectos","No aplica",IFERROR(VLOOKUP(J790,Listas!$A$127:$E$139,3,FALSE),"Alerta: Seleccione la celda en la comumna B con el nombre del proyecto")))</f>
        <v>Alerta: Seleccione la celda en la comumna B con el nombre del proyecto</v>
      </c>
      <c r="AL790" s="640" t="str">
        <f>IF(J790="Funcionamiento Gastos Generales","No aplica",IF(J790="Funcionamiento Servicios Personales","No aplica",IFERROR(VLOOKUP(J790,Listas!$A$220:$D$224,2,FALSE),"Alerta: Seleccione la celda en la comumna B con el nombre del proyecto")))</f>
        <v>Alerta: Seleccione la celda en la comumna B con el nombre del proyecto</v>
      </c>
      <c r="AM790" s="640" t="str">
        <f>IF(J790="Funcionamiento Gastos Generales","No aplica",IF(J790="Funcionamiento Servicios Personales","No aplica",IFERROR(VLOOKUP(J790,Listas!$A$220:$D$224,3,FALSE),"Alerta: Seleccione la celda en la comumna B con el nombre del proyecto")))</f>
        <v>Alerta: Seleccione la celda en la comumna B con el nombre del proyecto</v>
      </c>
      <c r="AN790" s="633"/>
      <c r="AO790" s="633"/>
      <c r="AP790" s="634" t="str">
        <f>IFERROR(VLOOKUP(J790,Listas!$A$182:$E$215,5,FALSE),"Alerta: Seleccione la celda en la comumna B con el nombre del proyecto")</f>
        <v>Alerta: Seleccione la celda en la comumna B con el nombre del proyecto</v>
      </c>
      <c r="AQ790" s="634" t="str">
        <f>IF(J790="Funcionamiento Gastos Generales","No aplica",IF(J790="Funcionamiento Servicios Personales","No aplica",IFERROR(VLOOKUP(J790,Listas!$A$220:$D$224,4,FALSE),"Alerta: Seleccione la celda en la comumna B con el nombre del proyecto")))</f>
        <v>Alerta: Seleccione la celda en la comumna B con el nombre del proyecto</v>
      </c>
      <c r="AR790" s="633"/>
      <c r="AS790" s="634" t="str">
        <f>IFERROR(VLOOKUP(AU790,Listas!$E$85:$L$105,7,FALSE),"Alerta: Seleccione la celda en la comumna AI con el concepto de gasto")</f>
        <v>Alerta: Seleccione la celda en la comumna AI con el concepto de gasto</v>
      </c>
      <c r="AT790" s="634" t="str">
        <f>IFERROR(VLOOKUP(AU790,Listas!$E$85:$L$105,8,FALSE),"Alerta: Seleccione la celda en la comumna AI con el concepto de gasto")</f>
        <v>Alerta: Seleccione la celda en la comumna AI con el concepto de gasto</v>
      </c>
      <c r="AU790" s="633"/>
      <c r="AV790" s="634" t="str">
        <f>IFERROR(VLOOKUP(AU790,Listas!$E$85:$F$105,2,FALSE),"Alerta: Seleccione el Concepto de Gasto primero")</f>
        <v>Alerta: Seleccione el Concepto de Gasto primero</v>
      </c>
      <c r="AW790" s="644"/>
      <c r="AX790" s="645"/>
      <c r="AY790" s="645"/>
      <c r="AZ790" s="645"/>
      <c r="BA790" s="646">
        <f t="shared" si="237"/>
        <v>0</v>
      </c>
      <c r="BB790" s="647"/>
      <c r="BC790" s="648"/>
      <c r="BD790" s="649"/>
      <c r="BE790" s="647"/>
      <c r="BF790" s="644"/>
      <c r="BG790" s="646">
        <f t="shared" si="238"/>
        <v>0</v>
      </c>
      <c r="BH790" s="650"/>
      <c r="BI790" s="647"/>
      <c r="BJ790" s="644"/>
      <c r="BK790" s="646">
        <f t="shared" si="239"/>
        <v>0</v>
      </c>
      <c r="BL790" s="651"/>
      <c r="BM790" s="652">
        <f t="shared" si="240"/>
        <v>1</v>
      </c>
      <c r="BN790" s="628"/>
      <c r="BO790" s="670"/>
      <c r="BP790" s="644"/>
      <c r="BQ790" s="644"/>
      <c r="BR790" s="644"/>
      <c r="BS790" s="644"/>
      <c r="BT790" s="644"/>
      <c r="BU790" s="644"/>
      <c r="BV790" s="644"/>
      <c r="BW790" s="644"/>
      <c r="BX790" s="644"/>
      <c r="BY790" s="644"/>
      <c r="BZ790" s="644"/>
      <c r="CA790" s="644"/>
      <c r="CB790" s="646">
        <f t="shared" si="241"/>
        <v>0</v>
      </c>
      <c r="CC790" s="646">
        <f t="shared" si="242"/>
        <v>0</v>
      </c>
      <c r="CD790" s="614"/>
    </row>
    <row r="791" spans="1:82" s="561" customFormat="1" ht="61.5" customHeight="1">
      <c r="A791" s="625" t="str">
        <f t="shared" si="224"/>
        <v>proyecto-Alerta: Seleccione la celda en la comumna B con el nombre del proyecto-Al-Al--</v>
      </c>
      <c r="B791" s="626" t="str">
        <f t="shared" si="225"/>
        <v>proyecto-Alerta: Seleccione la celda en la comumna B con el nombre del proyecto-Al-Al-</v>
      </c>
      <c r="C791" s="626" t="str">
        <f t="shared" si="226"/>
        <v>proyecto-Alerta: Seleccione la celda en la comumna B con el nombre del proyecto-</v>
      </c>
      <c r="D791" s="626" t="str">
        <f t="shared" si="227"/>
        <v>proyecto--Al-Al-</v>
      </c>
      <c r="E791" s="626" t="str">
        <f t="shared" si="228"/>
        <v>--</v>
      </c>
      <c r="F791" s="627"/>
      <c r="G791" s="628">
        <f t="shared" si="229"/>
        <v>0</v>
      </c>
      <c r="H791" s="629" t="b">
        <f t="shared" si="230"/>
        <v>1</v>
      </c>
      <c r="I791" s="630"/>
      <c r="J791" s="627"/>
      <c r="K791" s="631" t="str">
        <f>+IFERROR(VLOOKUP(J791,Listas!$A$108:$B$114,2,FALSE),"Alerta: Seleccione la celda en la comumna B con el nombre del proyecto")</f>
        <v>Alerta: Seleccione la celda en la comumna B con el nombre del proyecto</v>
      </c>
      <c r="L791" s="632"/>
      <c r="M791" s="633"/>
      <c r="N791" s="634" t="str">
        <f t="shared" si="231"/>
        <v xml:space="preserve">(Cód. ) </v>
      </c>
      <c r="O791" s="635"/>
      <c r="P791" s="636">
        <f>IFERROR(VLOOKUP(W791,'Estimación CRP'!$D$21:$E$30,2,FALSE),0)</f>
        <v>0</v>
      </c>
      <c r="Q791" s="637">
        <f>IF(O791="No aplica","No aplica",WORKDAY.INTL(O791,P791,1,'Estimación CRP'!A977:A993))</f>
        <v>0</v>
      </c>
      <c r="R791" s="636">
        <f t="shared" si="232"/>
        <v>1</v>
      </c>
      <c r="S791" s="636">
        <f t="shared" si="233"/>
        <v>1</v>
      </c>
      <c r="T791" s="636">
        <f t="shared" si="234"/>
        <v>1</v>
      </c>
      <c r="U791" s="638"/>
      <c r="V791" s="638"/>
      <c r="W791" s="639"/>
      <c r="X791" s="640" t="str">
        <f>IFERROR(VLOOKUP(W791,Listas!$A$60:$B$73,2,FALSE),"Alerta: Seleccione primero Modalidad de selección")</f>
        <v>Alerta: Seleccione primero Modalidad de selección</v>
      </c>
      <c r="Y791" s="641">
        <v>0</v>
      </c>
      <c r="Z791" s="641"/>
      <c r="AA791" s="641"/>
      <c r="AB791" s="642">
        <f t="shared" si="235"/>
        <v>0</v>
      </c>
      <c r="AC791" s="642">
        <f t="shared" si="236"/>
        <v>0</v>
      </c>
      <c r="AD791" s="641">
        <v>0</v>
      </c>
      <c r="AE791" s="643">
        <v>0</v>
      </c>
      <c r="AF791" s="639" t="s">
        <v>276</v>
      </c>
      <c r="AG791" s="639" t="s">
        <v>277</v>
      </c>
      <c r="AH791" s="639"/>
      <c r="AI791" s="626" t="str">
        <f>IFERROR(VLOOKUP(AH791,Listas!$A$77:$C$83,2,FALSE),"Alerta: Seleccione primero el responsable")</f>
        <v>Alerta: Seleccione primero el responsable</v>
      </c>
      <c r="AJ791" s="640" t="str">
        <f>IFERROR(VLOOKUP(AH791,Listas!$A$77:$C$83,3,FALSE),"Alerta: Seleccione primero el responsable")</f>
        <v>Alerta: Seleccione primero el responsable</v>
      </c>
      <c r="AK791" s="640" t="str">
        <f>IF(J791="Funcionamiento Gastos Generales","No aplica",IF(J791="Funcionamiento Servicios Personales indirectos","No aplica",IFERROR(VLOOKUP(J791,Listas!$A$127:$E$139,3,FALSE),"Alerta: Seleccione la celda en la comumna B con el nombre del proyecto")))</f>
        <v>Alerta: Seleccione la celda en la comumna B con el nombre del proyecto</v>
      </c>
      <c r="AL791" s="640" t="str">
        <f>IF(J791="Funcionamiento Gastos Generales","No aplica",IF(J791="Funcionamiento Servicios Personales","No aplica",IFERROR(VLOOKUP(J791,Listas!$A$220:$D$224,2,FALSE),"Alerta: Seleccione la celda en la comumna B con el nombre del proyecto")))</f>
        <v>Alerta: Seleccione la celda en la comumna B con el nombre del proyecto</v>
      </c>
      <c r="AM791" s="640" t="str">
        <f>IF(J791="Funcionamiento Gastos Generales","No aplica",IF(J791="Funcionamiento Servicios Personales","No aplica",IFERROR(VLOOKUP(J791,Listas!$A$220:$D$224,3,FALSE),"Alerta: Seleccione la celda en la comumna B con el nombre del proyecto")))</f>
        <v>Alerta: Seleccione la celda en la comumna B con el nombre del proyecto</v>
      </c>
      <c r="AN791" s="633"/>
      <c r="AO791" s="633"/>
      <c r="AP791" s="634" t="str">
        <f>IFERROR(VLOOKUP(J791,Listas!$A$182:$E$215,5,FALSE),"Alerta: Seleccione la celda en la comumna B con el nombre del proyecto")</f>
        <v>Alerta: Seleccione la celda en la comumna B con el nombre del proyecto</v>
      </c>
      <c r="AQ791" s="634" t="str">
        <f>IF(J791="Funcionamiento Gastos Generales","No aplica",IF(J791="Funcionamiento Servicios Personales","No aplica",IFERROR(VLOOKUP(J791,Listas!$A$220:$D$224,4,FALSE),"Alerta: Seleccione la celda en la comumna B con el nombre del proyecto")))</f>
        <v>Alerta: Seleccione la celda en la comumna B con el nombre del proyecto</v>
      </c>
      <c r="AR791" s="633"/>
      <c r="AS791" s="634" t="str">
        <f>IFERROR(VLOOKUP(AU791,Listas!$E$85:$L$105,7,FALSE),"Alerta: Seleccione la celda en la comumna AI con el concepto de gasto")</f>
        <v>Alerta: Seleccione la celda en la comumna AI con el concepto de gasto</v>
      </c>
      <c r="AT791" s="634" t="str">
        <f>IFERROR(VLOOKUP(AU791,Listas!$E$85:$L$105,8,FALSE),"Alerta: Seleccione la celda en la comumna AI con el concepto de gasto")</f>
        <v>Alerta: Seleccione la celda en la comumna AI con el concepto de gasto</v>
      </c>
      <c r="AU791" s="633"/>
      <c r="AV791" s="634" t="str">
        <f>IFERROR(VLOOKUP(AU791,Listas!$E$85:$F$105,2,FALSE),"Alerta: Seleccione el Concepto de Gasto primero")</f>
        <v>Alerta: Seleccione el Concepto de Gasto primero</v>
      </c>
      <c r="AW791" s="644"/>
      <c r="AX791" s="645"/>
      <c r="AY791" s="645"/>
      <c r="AZ791" s="645"/>
      <c r="BA791" s="646">
        <f t="shared" si="237"/>
        <v>0</v>
      </c>
      <c r="BB791" s="647"/>
      <c r="BC791" s="648"/>
      <c r="BD791" s="649"/>
      <c r="BE791" s="647"/>
      <c r="BF791" s="644"/>
      <c r="BG791" s="646">
        <f t="shared" si="238"/>
        <v>0</v>
      </c>
      <c r="BH791" s="650"/>
      <c r="BI791" s="647"/>
      <c r="BJ791" s="644"/>
      <c r="BK791" s="646">
        <f t="shared" si="239"/>
        <v>0</v>
      </c>
      <c r="BL791" s="651"/>
      <c r="BM791" s="652">
        <f t="shared" si="240"/>
        <v>1</v>
      </c>
      <c r="BN791" s="628"/>
      <c r="BO791" s="670"/>
      <c r="BP791" s="644"/>
      <c r="BQ791" s="644"/>
      <c r="BR791" s="644"/>
      <c r="BS791" s="644"/>
      <c r="BT791" s="644"/>
      <c r="BU791" s="644"/>
      <c r="BV791" s="644"/>
      <c r="BW791" s="644"/>
      <c r="BX791" s="644"/>
      <c r="BY791" s="644"/>
      <c r="BZ791" s="644"/>
      <c r="CA791" s="644"/>
      <c r="CB791" s="646">
        <f t="shared" si="241"/>
        <v>0</v>
      </c>
      <c r="CC791" s="646">
        <f t="shared" si="242"/>
        <v>0</v>
      </c>
      <c r="CD791" s="614"/>
    </row>
    <row r="792" spans="1:82" s="561" customFormat="1" ht="61.5" customHeight="1">
      <c r="A792" s="625" t="str">
        <f t="shared" si="224"/>
        <v>proyecto-Alerta: Seleccione la celda en la comumna B con el nombre del proyecto-Al-Al--</v>
      </c>
      <c r="B792" s="626" t="str">
        <f t="shared" si="225"/>
        <v>proyecto-Alerta: Seleccione la celda en la comumna B con el nombre del proyecto-Al-Al-</v>
      </c>
      <c r="C792" s="626" t="str">
        <f t="shared" si="226"/>
        <v>proyecto-Alerta: Seleccione la celda en la comumna B con el nombre del proyecto-</v>
      </c>
      <c r="D792" s="626" t="str">
        <f t="shared" si="227"/>
        <v>proyecto--Al-Al-</v>
      </c>
      <c r="E792" s="626" t="str">
        <f t="shared" si="228"/>
        <v>--</v>
      </c>
      <c r="F792" s="627"/>
      <c r="G792" s="628">
        <f t="shared" si="229"/>
        <v>0</v>
      </c>
      <c r="H792" s="629" t="b">
        <f t="shared" si="230"/>
        <v>1</v>
      </c>
      <c r="I792" s="630"/>
      <c r="J792" s="627"/>
      <c r="K792" s="631" t="str">
        <f>+IFERROR(VLOOKUP(J792,Listas!$A$108:$B$114,2,FALSE),"Alerta: Seleccione la celda en la comumna B con el nombre del proyecto")</f>
        <v>Alerta: Seleccione la celda en la comumna B con el nombre del proyecto</v>
      </c>
      <c r="L792" s="632"/>
      <c r="M792" s="633"/>
      <c r="N792" s="634" t="str">
        <f t="shared" si="231"/>
        <v xml:space="preserve">(Cód. ) </v>
      </c>
      <c r="O792" s="635"/>
      <c r="P792" s="636">
        <f>IFERROR(VLOOKUP(W792,'Estimación CRP'!$D$21:$E$30,2,FALSE),0)</f>
        <v>0</v>
      </c>
      <c r="Q792" s="637">
        <f>IF(O792="No aplica","No aplica",WORKDAY.INTL(O792,P792,1,'Estimación CRP'!A978:A994))</f>
        <v>0</v>
      </c>
      <c r="R792" s="636">
        <f t="shared" si="232"/>
        <v>1</v>
      </c>
      <c r="S792" s="636">
        <f t="shared" si="233"/>
        <v>1</v>
      </c>
      <c r="T792" s="636">
        <f t="shared" si="234"/>
        <v>1</v>
      </c>
      <c r="U792" s="638"/>
      <c r="V792" s="638"/>
      <c r="W792" s="639"/>
      <c r="X792" s="640" t="str">
        <f>IFERROR(VLOOKUP(W792,Listas!$A$60:$B$73,2,FALSE),"Alerta: Seleccione primero Modalidad de selección")</f>
        <v>Alerta: Seleccione primero Modalidad de selección</v>
      </c>
      <c r="Y792" s="641">
        <v>0</v>
      </c>
      <c r="Z792" s="641"/>
      <c r="AA792" s="641"/>
      <c r="AB792" s="642">
        <f t="shared" si="235"/>
        <v>0</v>
      </c>
      <c r="AC792" s="642">
        <f t="shared" si="236"/>
        <v>0</v>
      </c>
      <c r="AD792" s="641">
        <v>0</v>
      </c>
      <c r="AE792" s="643">
        <v>0</v>
      </c>
      <c r="AF792" s="639" t="s">
        <v>276</v>
      </c>
      <c r="AG792" s="639" t="s">
        <v>277</v>
      </c>
      <c r="AH792" s="639"/>
      <c r="AI792" s="626" t="str">
        <f>IFERROR(VLOOKUP(AH792,Listas!$A$77:$C$83,2,FALSE),"Alerta: Seleccione primero el responsable")</f>
        <v>Alerta: Seleccione primero el responsable</v>
      </c>
      <c r="AJ792" s="640" t="str">
        <f>IFERROR(VLOOKUP(AH792,Listas!$A$77:$C$83,3,FALSE),"Alerta: Seleccione primero el responsable")</f>
        <v>Alerta: Seleccione primero el responsable</v>
      </c>
      <c r="AK792" s="640" t="str">
        <f>IF(J792="Funcionamiento Gastos Generales","No aplica",IF(J792="Funcionamiento Servicios Personales indirectos","No aplica",IFERROR(VLOOKUP(J792,Listas!$A$127:$E$139,3,FALSE),"Alerta: Seleccione la celda en la comumna B con el nombre del proyecto")))</f>
        <v>Alerta: Seleccione la celda en la comumna B con el nombre del proyecto</v>
      </c>
      <c r="AL792" s="640" t="str">
        <f>IF(J792="Funcionamiento Gastos Generales","No aplica",IF(J792="Funcionamiento Servicios Personales","No aplica",IFERROR(VLOOKUP(J792,Listas!$A$220:$D$224,2,FALSE),"Alerta: Seleccione la celda en la comumna B con el nombre del proyecto")))</f>
        <v>Alerta: Seleccione la celda en la comumna B con el nombre del proyecto</v>
      </c>
      <c r="AM792" s="640" t="str">
        <f>IF(J792="Funcionamiento Gastos Generales","No aplica",IF(J792="Funcionamiento Servicios Personales","No aplica",IFERROR(VLOOKUP(J792,Listas!$A$220:$D$224,3,FALSE),"Alerta: Seleccione la celda en la comumna B con el nombre del proyecto")))</f>
        <v>Alerta: Seleccione la celda en la comumna B con el nombre del proyecto</v>
      </c>
      <c r="AN792" s="633"/>
      <c r="AO792" s="633"/>
      <c r="AP792" s="634" t="str">
        <f>IFERROR(VLOOKUP(J792,Listas!$A$182:$E$215,5,FALSE),"Alerta: Seleccione la celda en la comumna B con el nombre del proyecto")</f>
        <v>Alerta: Seleccione la celda en la comumna B con el nombre del proyecto</v>
      </c>
      <c r="AQ792" s="634" t="str">
        <f>IF(J792="Funcionamiento Gastos Generales","No aplica",IF(J792="Funcionamiento Servicios Personales","No aplica",IFERROR(VLOOKUP(J792,Listas!$A$220:$D$224,4,FALSE),"Alerta: Seleccione la celda en la comumna B con el nombre del proyecto")))</f>
        <v>Alerta: Seleccione la celda en la comumna B con el nombre del proyecto</v>
      </c>
      <c r="AR792" s="633"/>
      <c r="AS792" s="634" t="str">
        <f>IFERROR(VLOOKUP(AU792,Listas!$E$85:$L$105,7,FALSE),"Alerta: Seleccione la celda en la comumna AI con el concepto de gasto")</f>
        <v>Alerta: Seleccione la celda en la comumna AI con el concepto de gasto</v>
      </c>
      <c r="AT792" s="634" t="str">
        <f>IFERROR(VLOOKUP(AU792,Listas!$E$85:$L$105,8,FALSE),"Alerta: Seleccione la celda en la comumna AI con el concepto de gasto")</f>
        <v>Alerta: Seleccione la celda en la comumna AI con el concepto de gasto</v>
      </c>
      <c r="AU792" s="633"/>
      <c r="AV792" s="634" t="str">
        <f>IFERROR(VLOOKUP(AU792,Listas!$E$85:$F$105,2,FALSE),"Alerta: Seleccione el Concepto de Gasto primero")</f>
        <v>Alerta: Seleccione el Concepto de Gasto primero</v>
      </c>
      <c r="AW792" s="644"/>
      <c r="AX792" s="645"/>
      <c r="AY792" s="645"/>
      <c r="AZ792" s="645"/>
      <c r="BA792" s="646">
        <f t="shared" si="237"/>
        <v>0</v>
      </c>
      <c r="BB792" s="647"/>
      <c r="BC792" s="648"/>
      <c r="BD792" s="649"/>
      <c r="BE792" s="647"/>
      <c r="BF792" s="644"/>
      <c r="BG792" s="646">
        <f t="shared" si="238"/>
        <v>0</v>
      </c>
      <c r="BH792" s="650"/>
      <c r="BI792" s="647"/>
      <c r="BJ792" s="644"/>
      <c r="BK792" s="646">
        <f t="shared" si="239"/>
        <v>0</v>
      </c>
      <c r="BL792" s="651"/>
      <c r="BM792" s="652">
        <f t="shared" si="240"/>
        <v>1</v>
      </c>
      <c r="BN792" s="628"/>
      <c r="BO792" s="670"/>
      <c r="BP792" s="644"/>
      <c r="BQ792" s="644"/>
      <c r="BR792" s="644"/>
      <c r="BS792" s="644"/>
      <c r="BT792" s="644"/>
      <c r="BU792" s="644"/>
      <c r="BV792" s="644"/>
      <c r="BW792" s="644"/>
      <c r="BX792" s="644"/>
      <c r="BY792" s="644"/>
      <c r="BZ792" s="644"/>
      <c r="CA792" s="644"/>
      <c r="CB792" s="646">
        <f t="shared" si="241"/>
        <v>0</v>
      </c>
      <c r="CC792" s="646">
        <f t="shared" si="242"/>
        <v>0</v>
      </c>
      <c r="CD792" s="614"/>
    </row>
    <row r="793" spans="1:82" s="561" customFormat="1" ht="61.5" customHeight="1">
      <c r="A793" s="625" t="str">
        <f t="shared" si="224"/>
        <v>proyecto-Alerta: Seleccione la celda en la comumna B con el nombre del proyecto-Al-Al--</v>
      </c>
      <c r="B793" s="626" t="str">
        <f t="shared" si="225"/>
        <v>proyecto-Alerta: Seleccione la celda en la comumna B con el nombre del proyecto-Al-Al-</v>
      </c>
      <c r="C793" s="626" t="str">
        <f t="shared" si="226"/>
        <v>proyecto-Alerta: Seleccione la celda en la comumna B con el nombre del proyecto-</v>
      </c>
      <c r="D793" s="626" t="str">
        <f t="shared" si="227"/>
        <v>proyecto--Al-Al-</v>
      </c>
      <c r="E793" s="626" t="str">
        <f t="shared" si="228"/>
        <v>--</v>
      </c>
      <c r="F793" s="627"/>
      <c r="G793" s="628">
        <f t="shared" si="229"/>
        <v>0</v>
      </c>
      <c r="H793" s="629" t="b">
        <f t="shared" si="230"/>
        <v>1</v>
      </c>
      <c r="I793" s="630"/>
      <c r="J793" s="627"/>
      <c r="K793" s="631" t="str">
        <f>+IFERROR(VLOOKUP(J793,Listas!$A$108:$B$114,2,FALSE),"Alerta: Seleccione la celda en la comumna B con el nombre del proyecto")</f>
        <v>Alerta: Seleccione la celda en la comumna B con el nombre del proyecto</v>
      </c>
      <c r="L793" s="632"/>
      <c r="M793" s="633"/>
      <c r="N793" s="634" t="str">
        <f t="shared" si="231"/>
        <v xml:space="preserve">(Cód. ) </v>
      </c>
      <c r="O793" s="635"/>
      <c r="P793" s="636">
        <f>IFERROR(VLOOKUP(W793,'Estimación CRP'!$D$21:$E$30,2,FALSE),0)</f>
        <v>0</v>
      </c>
      <c r="Q793" s="637">
        <f>IF(O793="No aplica","No aplica",WORKDAY.INTL(O793,P793,1,'Estimación CRP'!A979:A995))</f>
        <v>0</v>
      </c>
      <c r="R793" s="636">
        <f t="shared" si="232"/>
        <v>1</v>
      </c>
      <c r="S793" s="636">
        <f t="shared" si="233"/>
        <v>1</v>
      </c>
      <c r="T793" s="636">
        <f t="shared" si="234"/>
        <v>1</v>
      </c>
      <c r="U793" s="638"/>
      <c r="V793" s="638"/>
      <c r="W793" s="639"/>
      <c r="X793" s="640" t="str">
        <f>IFERROR(VLOOKUP(W793,Listas!$A$60:$B$73,2,FALSE),"Alerta: Seleccione primero Modalidad de selección")</f>
        <v>Alerta: Seleccione primero Modalidad de selección</v>
      </c>
      <c r="Y793" s="641">
        <v>0</v>
      </c>
      <c r="Z793" s="641"/>
      <c r="AA793" s="641"/>
      <c r="AB793" s="642">
        <f t="shared" si="235"/>
        <v>0</v>
      </c>
      <c r="AC793" s="642">
        <f t="shared" si="236"/>
        <v>0</v>
      </c>
      <c r="AD793" s="641">
        <v>0</v>
      </c>
      <c r="AE793" s="643">
        <v>0</v>
      </c>
      <c r="AF793" s="639" t="s">
        <v>276</v>
      </c>
      <c r="AG793" s="639" t="s">
        <v>277</v>
      </c>
      <c r="AH793" s="639"/>
      <c r="AI793" s="626" t="str">
        <f>IFERROR(VLOOKUP(AH793,Listas!$A$77:$C$83,2,FALSE),"Alerta: Seleccione primero el responsable")</f>
        <v>Alerta: Seleccione primero el responsable</v>
      </c>
      <c r="AJ793" s="640" t="str">
        <f>IFERROR(VLOOKUP(AH793,Listas!$A$77:$C$83,3,FALSE),"Alerta: Seleccione primero el responsable")</f>
        <v>Alerta: Seleccione primero el responsable</v>
      </c>
      <c r="AK793" s="640" t="str">
        <f>IF(J793="Funcionamiento Gastos Generales","No aplica",IF(J793="Funcionamiento Servicios Personales indirectos","No aplica",IFERROR(VLOOKUP(J793,Listas!$A$127:$E$139,3,FALSE),"Alerta: Seleccione la celda en la comumna B con el nombre del proyecto")))</f>
        <v>Alerta: Seleccione la celda en la comumna B con el nombre del proyecto</v>
      </c>
      <c r="AL793" s="640" t="str">
        <f>IF(J793="Funcionamiento Gastos Generales","No aplica",IF(J793="Funcionamiento Servicios Personales","No aplica",IFERROR(VLOOKUP(J793,Listas!$A$220:$D$224,2,FALSE),"Alerta: Seleccione la celda en la comumna B con el nombre del proyecto")))</f>
        <v>Alerta: Seleccione la celda en la comumna B con el nombre del proyecto</v>
      </c>
      <c r="AM793" s="640" t="str">
        <f>IF(J793="Funcionamiento Gastos Generales","No aplica",IF(J793="Funcionamiento Servicios Personales","No aplica",IFERROR(VLOOKUP(J793,Listas!$A$220:$D$224,3,FALSE),"Alerta: Seleccione la celda en la comumna B con el nombre del proyecto")))</f>
        <v>Alerta: Seleccione la celda en la comumna B con el nombre del proyecto</v>
      </c>
      <c r="AN793" s="633"/>
      <c r="AO793" s="633"/>
      <c r="AP793" s="634" t="str">
        <f>IFERROR(VLOOKUP(J793,Listas!$A$182:$E$215,5,FALSE),"Alerta: Seleccione la celda en la comumna B con el nombre del proyecto")</f>
        <v>Alerta: Seleccione la celda en la comumna B con el nombre del proyecto</v>
      </c>
      <c r="AQ793" s="634" t="str">
        <f>IF(J793="Funcionamiento Gastos Generales","No aplica",IF(J793="Funcionamiento Servicios Personales","No aplica",IFERROR(VLOOKUP(J793,Listas!$A$220:$D$224,4,FALSE),"Alerta: Seleccione la celda en la comumna B con el nombre del proyecto")))</f>
        <v>Alerta: Seleccione la celda en la comumna B con el nombre del proyecto</v>
      </c>
      <c r="AR793" s="633"/>
      <c r="AS793" s="634" t="str">
        <f>IFERROR(VLOOKUP(AU793,Listas!$E$85:$L$105,7,FALSE),"Alerta: Seleccione la celda en la comumna AI con el concepto de gasto")</f>
        <v>Alerta: Seleccione la celda en la comumna AI con el concepto de gasto</v>
      </c>
      <c r="AT793" s="634" t="str">
        <f>IFERROR(VLOOKUP(AU793,Listas!$E$85:$L$105,8,FALSE),"Alerta: Seleccione la celda en la comumna AI con el concepto de gasto")</f>
        <v>Alerta: Seleccione la celda en la comumna AI con el concepto de gasto</v>
      </c>
      <c r="AU793" s="633"/>
      <c r="AV793" s="634" t="str">
        <f>IFERROR(VLOOKUP(AU793,Listas!$E$85:$F$105,2,FALSE),"Alerta: Seleccione el Concepto de Gasto primero")</f>
        <v>Alerta: Seleccione el Concepto de Gasto primero</v>
      </c>
      <c r="AW793" s="644"/>
      <c r="AX793" s="645"/>
      <c r="AY793" s="645"/>
      <c r="AZ793" s="645"/>
      <c r="BA793" s="646">
        <f t="shared" si="237"/>
        <v>0</v>
      </c>
      <c r="BB793" s="647"/>
      <c r="BC793" s="648"/>
      <c r="BD793" s="649"/>
      <c r="BE793" s="647"/>
      <c r="BF793" s="644"/>
      <c r="BG793" s="646">
        <f t="shared" si="238"/>
        <v>0</v>
      </c>
      <c r="BH793" s="650"/>
      <c r="BI793" s="647"/>
      <c r="BJ793" s="644"/>
      <c r="BK793" s="646">
        <f t="shared" si="239"/>
        <v>0</v>
      </c>
      <c r="BL793" s="651"/>
      <c r="BM793" s="652">
        <f t="shared" si="240"/>
        <v>1</v>
      </c>
      <c r="BN793" s="628"/>
      <c r="BO793" s="670"/>
      <c r="BP793" s="644"/>
      <c r="BQ793" s="644"/>
      <c r="BR793" s="644"/>
      <c r="BS793" s="644"/>
      <c r="BT793" s="644"/>
      <c r="BU793" s="644"/>
      <c r="BV793" s="644"/>
      <c r="BW793" s="644"/>
      <c r="BX793" s="644"/>
      <c r="BY793" s="644"/>
      <c r="BZ793" s="644"/>
      <c r="CA793" s="644"/>
      <c r="CB793" s="646">
        <f t="shared" si="241"/>
        <v>0</v>
      </c>
      <c r="CC793" s="646">
        <f t="shared" si="242"/>
        <v>0</v>
      </c>
      <c r="CD793" s="614"/>
    </row>
    <row r="794" spans="1:82" s="561" customFormat="1" ht="61.5" customHeight="1">
      <c r="A794" s="625" t="str">
        <f t="shared" si="224"/>
        <v>proyecto-Alerta: Seleccione la celda en la comumna B con el nombre del proyecto-Al-Al--</v>
      </c>
      <c r="B794" s="626" t="str">
        <f t="shared" si="225"/>
        <v>proyecto-Alerta: Seleccione la celda en la comumna B con el nombre del proyecto-Al-Al-</v>
      </c>
      <c r="C794" s="626" t="str">
        <f t="shared" si="226"/>
        <v>proyecto-Alerta: Seleccione la celda en la comumna B con el nombre del proyecto-</v>
      </c>
      <c r="D794" s="626" t="str">
        <f t="shared" si="227"/>
        <v>proyecto--Al-Al-</v>
      </c>
      <c r="E794" s="626" t="str">
        <f t="shared" si="228"/>
        <v>--</v>
      </c>
      <c r="F794" s="627"/>
      <c r="G794" s="628">
        <f t="shared" si="229"/>
        <v>0</v>
      </c>
      <c r="H794" s="629" t="b">
        <f t="shared" si="230"/>
        <v>1</v>
      </c>
      <c r="I794" s="630"/>
      <c r="J794" s="627"/>
      <c r="K794" s="631" t="str">
        <f>+IFERROR(VLOOKUP(J794,Listas!$A$108:$B$114,2,FALSE),"Alerta: Seleccione la celda en la comumna B con el nombre del proyecto")</f>
        <v>Alerta: Seleccione la celda en la comumna B con el nombre del proyecto</v>
      </c>
      <c r="L794" s="632"/>
      <c r="M794" s="633"/>
      <c r="N794" s="634" t="str">
        <f t="shared" si="231"/>
        <v xml:space="preserve">(Cód. ) </v>
      </c>
      <c r="O794" s="635"/>
      <c r="P794" s="636">
        <f>IFERROR(VLOOKUP(W794,'Estimación CRP'!$D$21:$E$30,2,FALSE),0)</f>
        <v>0</v>
      </c>
      <c r="Q794" s="637">
        <f>IF(O794="No aplica","No aplica",WORKDAY.INTL(O794,P794,1,'Estimación CRP'!A980:A996))</f>
        <v>0</v>
      </c>
      <c r="R794" s="636">
        <f t="shared" si="232"/>
        <v>1</v>
      </c>
      <c r="S794" s="636">
        <f t="shared" si="233"/>
        <v>1</v>
      </c>
      <c r="T794" s="636">
        <f t="shared" si="234"/>
        <v>1</v>
      </c>
      <c r="U794" s="638"/>
      <c r="V794" s="638"/>
      <c r="W794" s="639"/>
      <c r="X794" s="640" t="str">
        <f>IFERROR(VLOOKUP(W794,Listas!$A$60:$B$73,2,FALSE),"Alerta: Seleccione primero Modalidad de selección")</f>
        <v>Alerta: Seleccione primero Modalidad de selección</v>
      </c>
      <c r="Y794" s="641">
        <v>0</v>
      </c>
      <c r="Z794" s="641"/>
      <c r="AA794" s="641"/>
      <c r="AB794" s="642">
        <f t="shared" si="235"/>
        <v>0</v>
      </c>
      <c r="AC794" s="642">
        <f t="shared" si="236"/>
        <v>0</v>
      </c>
      <c r="AD794" s="641">
        <v>0</v>
      </c>
      <c r="AE794" s="643">
        <v>0</v>
      </c>
      <c r="AF794" s="639" t="s">
        <v>276</v>
      </c>
      <c r="AG794" s="639" t="s">
        <v>277</v>
      </c>
      <c r="AH794" s="639"/>
      <c r="AI794" s="626" t="str">
        <f>IFERROR(VLOOKUP(AH794,Listas!$A$77:$C$83,2,FALSE),"Alerta: Seleccione primero el responsable")</f>
        <v>Alerta: Seleccione primero el responsable</v>
      </c>
      <c r="AJ794" s="640" t="str">
        <f>IFERROR(VLOOKUP(AH794,Listas!$A$77:$C$83,3,FALSE),"Alerta: Seleccione primero el responsable")</f>
        <v>Alerta: Seleccione primero el responsable</v>
      </c>
      <c r="AK794" s="640" t="str">
        <f>IF(J794="Funcionamiento Gastos Generales","No aplica",IF(J794="Funcionamiento Servicios Personales indirectos","No aplica",IFERROR(VLOOKUP(J794,Listas!$A$127:$E$139,3,FALSE),"Alerta: Seleccione la celda en la comumna B con el nombre del proyecto")))</f>
        <v>Alerta: Seleccione la celda en la comumna B con el nombre del proyecto</v>
      </c>
      <c r="AL794" s="640" t="str">
        <f>IF(J794="Funcionamiento Gastos Generales","No aplica",IF(J794="Funcionamiento Servicios Personales","No aplica",IFERROR(VLOOKUP(J794,Listas!$A$220:$D$224,2,FALSE),"Alerta: Seleccione la celda en la comumna B con el nombre del proyecto")))</f>
        <v>Alerta: Seleccione la celda en la comumna B con el nombre del proyecto</v>
      </c>
      <c r="AM794" s="640" t="str">
        <f>IF(J794="Funcionamiento Gastos Generales","No aplica",IF(J794="Funcionamiento Servicios Personales","No aplica",IFERROR(VLOOKUP(J794,Listas!$A$220:$D$224,3,FALSE),"Alerta: Seleccione la celda en la comumna B con el nombre del proyecto")))</f>
        <v>Alerta: Seleccione la celda en la comumna B con el nombre del proyecto</v>
      </c>
      <c r="AN794" s="633"/>
      <c r="AO794" s="633"/>
      <c r="AP794" s="634" t="str">
        <f>IFERROR(VLOOKUP(J794,Listas!$A$182:$E$215,5,FALSE),"Alerta: Seleccione la celda en la comumna B con el nombre del proyecto")</f>
        <v>Alerta: Seleccione la celda en la comumna B con el nombre del proyecto</v>
      </c>
      <c r="AQ794" s="634" t="str">
        <f>IF(J794="Funcionamiento Gastos Generales","No aplica",IF(J794="Funcionamiento Servicios Personales","No aplica",IFERROR(VLOOKUP(J794,Listas!$A$220:$D$224,4,FALSE),"Alerta: Seleccione la celda en la comumna B con el nombre del proyecto")))</f>
        <v>Alerta: Seleccione la celda en la comumna B con el nombre del proyecto</v>
      </c>
      <c r="AR794" s="633"/>
      <c r="AS794" s="634" t="str">
        <f>IFERROR(VLOOKUP(AU794,Listas!$E$85:$L$105,7,FALSE),"Alerta: Seleccione la celda en la comumna AI con el concepto de gasto")</f>
        <v>Alerta: Seleccione la celda en la comumna AI con el concepto de gasto</v>
      </c>
      <c r="AT794" s="634" t="str">
        <f>IFERROR(VLOOKUP(AU794,Listas!$E$85:$L$105,8,FALSE),"Alerta: Seleccione la celda en la comumna AI con el concepto de gasto")</f>
        <v>Alerta: Seleccione la celda en la comumna AI con el concepto de gasto</v>
      </c>
      <c r="AU794" s="633"/>
      <c r="AV794" s="634" t="str">
        <f>IFERROR(VLOOKUP(AU794,Listas!$E$85:$F$105,2,FALSE),"Alerta: Seleccione el Concepto de Gasto primero")</f>
        <v>Alerta: Seleccione el Concepto de Gasto primero</v>
      </c>
      <c r="AW794" s="644"/>
      <c r="AX794" s="645"/>
      <c r="AY794" s="645"/>
      <c r="AZ794" s="645"/>
      <c r="BA794" s="646">
        <f t="shared" si="237"/>
        <v>0</v>
      </c>
      <c r="BB794" s="647"/>
      <c r="BC794" s="648"/>
      <c r="BD794" s="649"/>
      <c r="BE794" s="647"/>
      <c r="BF794" s="644"/>
      <c r="BG794" s="646">
        <f t="shared" si="238"/>
        <v>0</v>
      </c>
      <c r="BH794" s="650"/>
      <c r="BI794" s="647"/>
      <c r="BJ794" s="644"/>
      <c r="BK794" s="646">
        <f t="shared" si="239"/>
        <v>0</v>
      </c>
      <c r="BL794" s="651"/>
      <c r="BM794" s="652">
        <f t="shared" si="240"/>
        <v>1</v>
      </c>
      <c r="BN794" s="628"/>
      <c r="BO794" s="670"/>
      <c r="BP794" s="644"/>
      <c r="BQ794" s="644"/>
      <c r="BR794" s="644"/>
      <c r="BS794" s="644"/>
      <c r="BT794" s="644"/>
      <c r="BU794" s="644"/>
      <c r="BV794" s="644"/>
      <c r="BW794" s="644"/>
      <c r="BX794" s="644"/>
      <c r="BY794" s="644"/>
      <c r="BZ794" s="644"/>
      <c r="CA794" s="644"/>
      <c r="CB794" s="646">
        <f t="shared" si="241"/>
        <v>0</v>
      </c>
      <c r="CC794" s="646">
        <f t="shared" si="242"/>
        <v>0</v>
      </c>
      <c r="CD794" s="614"/>
    </row>
    <row r="795" spans="1:82" s="561" customFormat="1" ht="61.5" customHeight="1">
      <c r="A795" s="625" t="str">
        <f t="shared" si="224"/>
        <v>proyecto-Alerta: Seleccione la celda en la comumna B con el nombre del proyecto-Al-Al--</v>
      </c>
      <c r="B795" s="626" t="str">
        <f t="shared" si="225"/>
        <v>proyecto-Alerta: Seleccione la celda en la comumna B con el nombre del proyecto-Al-Al-</v>
      </c>
      <c r="C795" s="626" t="str">
        <f t="shared" si="226"/>
        <v>proyecto-Alerta: Seleccione la celda en la comumna B con el nombre del proyecto-</v>
      </c>
      <c r="D795" s="626" t="str">
        <f t="shared" si="227"/>
        <v>proyecto--Al-Al-</v>
      </c>
      <c r="E795" s="626" t="str">
        <f t="shared" si="228"/>
        <v>--</v>
      </c>
      <c r="F795" s="627"/>
      <c r="G795" s="628">
        <f t="shared" si="229"/>
        <v>0</v>
      </c>
      <c r="H795" s="629" t="b">
        <f t="shared" si="230"/>
        <v>1</v>
      </c>
      <c r="I795" s="630"/>
      <c r="J795" s="627"/>
      <c r="K795" s="631" t="str">
        <f>+IFERROR(VLOOKUP(J795,Listas!$A$108:$B$114,2,FALSE),"Alerta: Seleccione la celda en la comumna B con el nombre del proyecto")</f>
        <v>Alerta: Seleccione la celda en la comumna B con el nombre del proyecto</v>
      </c>
      <c r="L795" s="632"/>
      <c r="M795" s="633"/>
      <c r="N795" s="634" t="str">
        <f t="shared" si="231"/>
        <v xml:space="preserve">(Cód. ) </v>
      </c>
      <c r="O795" s="635"/>
      <c r="P795" s="636">
        <f>IFERROR(VLOOKUP(W795,'Estimación CRP'!$D$21:$E$30,2,FALSE),0)</f>
        <v>0</v>
      </c>
      <c r="Q795" s="637">
        <f>IF(O795="No aplica","No aplica",WORKDAY.INTL(O795,P795,1,'Estimación CRP'!A981:A997))</f>
        <v>0</v>
      </c>
      <c r="R795" s="636">
        <f t="shared" si="232"/>
        <v>1</v>
      </c>
      <c r="S795" s="636">
        <f t="shared" si="233"/>
        <v>1</v>
      </c>
      <c r="T795" s="636">
        <f t="shared" si="234"/>
        <v>1</v>
      </c>
      <c r="U795" s="638"/>
      <c r="V795" s="638"/>
      <c r="W795" s="639"/>
      <c r="X795" s="640" t="str">
        <f>IFERROR(VLOOKUP(W795,Listas!$A$60:$B$73,2,FALSE),"Alerta: Seleccione primero Modalidad de selección")</f>
        <v>Alerta: Seleccione primero Modalidad de selección</v>
      </c>
      <c r="Y795" s="641">
        <v>0</v>
      </c>
      <c r="Z795" s="641"/>
      <c r="AA795" s="641"/>
      <c r="AB795" s="642">
        <f t="shared" si="235"/>
        <v>0</v>
      </c>
      <c r="AC795" s="642">
        <f t="shared" si="236"/>
        <v>0</v>
      </c>
      <c r="AD795" s="641">
        <v>0</v>
      </c>
      <c r="AE795" s="643">
        <v>0</v>
      </c>
      <c r="AF795" s="639" t="s">
        <v>276</v>
      </c>
      <c r="AG795" s="639" t="s">
        <v>277</v>
      </c>
      <c r="AH795" s="639"/>
      <c r="AI795" s="626" t="str">
        <f>IFERROR(VLOOKUP(AH795,Listas!$A$77:$C$83,2,FALSE),"Alerta: Seleccione primero el responsable")</f>
        <v>Alerta: Seleccione primero el responsable</v>
      </c>
      <c r="AJ795" s="640" t="str">
        <f>IFERROR(VLOOKUP(AH795,Listas!$A$77:$C$83,3,FALSE),"Alerta: Seleccione primero el responsable")</f>
        <v>Alerta: Seleccione primero el responsable</v>
      </c>
      <c r="AK795" s="640" t="str">
        <f>IF(J795="Funcionamiento Gastos Generales","No aplica",IF(J795="Funcionamiento Servicios Personales indirectos","No aplica",IFERROR(VLOOKUP(J795,Listas!$A$127:$E$139,3,FALSE),"Alerta: Seleccione la celda en la comumna B con el nombre del proyecto")))</f>
        <v>Alerta: Seleccione la celda en la comumna B con el nombre del proyecto</v>
      </c>
      <c r="AL795" s="640" t="str">
        <f>IF(J795="Funcionamiento Gastos Generales","No aplica",IF(J795="Funcionamiento Servicios Personales","No aplica",IFERROR(VLOOKUP(J795,Listas!$A$220:$D$224,2,FALSE),"Alerta: Seleccione la celda en la comumna B con el nombre del proyecto")))</f>
        <v>Alerta: Seleccione la celda en la comumna B con el nombre del proyecto</v>
      </c>
      <c r="AM795" s="640" t="str">
        <f>IF(J795="Funcionamiento Gastos Generales","No aplica",IF(J795="Funcionamiento Servicios Personales","No aplica",IFERROR(VLOOKUP(J795,Listas!$A$220:$D$224,3,FALSE),"Alerta: Seleccione la celda en la comumna B con el nombre del proyecto")))</f>
        <v>Alerta: Seleccione la celda en la comumna B con el nombre del proyecto</v>
      </c>
      <c r="AN795" s="633"/>
      <c r="AO795" s="633"/>
      <c r="AP795" s="634" t="str">
        <f>IFERROR(VLOOKUP(J795,Listas!$A$182:$E$215,5,FALSE),"Alerta: Seleccione la celda en la comumna B con el nombre del proyecto")</f>
        <v>Alerta: Seleccione la celda en la comumna B con el nombre del proyecto</v>
      </c>
      <c r="AQ795" s="634" t="str">
        <f>IF(J795="Funcionamiento Gastos Generales","No aplica",IF(J795="Funcionamiento Servicios Personales","No aplica",IFERROR(VLOOKUP(J795,Listas!$A$220:$D$224,4,FALSE),"Alerta: Seleccione la celda en la comumna B con el nombre del proyecto")))</f>
        <v>Alerta: Seleccione la celda en la comumna B con el nombre del proyecto</v>
      </c>
      <c r="AR795" s="633"/>
      <c r="AS795" s="634" t="str">
        <f>IFERROR(VLOOKUP(AU795,Listas!$E$85:$L$105,7,FALSE),"Alerta: Seleccione la celda en la comumna AI con el concepto de gasto")</f>
        <v>Alerta: Seleccione la celda en la comumna AI con el concepto de gasto</v>
      </c>
      <c r="AT795" s="634" t="str">
        <f>IFERROR(VLOOKUP(AU795,Listas!$E$85:$L$105,8,FALSE),"Alerta: Seleccione la celda en la comumna AI con el concepto de gasto")</f>
        <v>Alerta: Seleccione la celda en la comumna AI con el concepto de gasto</v>
      </c>
      <c r="AU795" s="633"/>
      <c r="AV795" s="634" t="str">
        <f>IFERROR(VLOOKUP(AU795,Listas!$E$85:$F$105,2,FALSE),"Alerta: Seleccione el Concepto de Gasto primero")</f>
        <v>Alerta: Seleccione el Concepto de Gasto primero</v>
      </c>
      <c r="AW795" s="644"/>
      <c r="AX795" s="645"/>
      <c r="AY795" s="645"/>
      <c r="AZ795" s="645"/>
      <c r="BA795" s="646">
        <f t="shared" si="237"/>
        <v>0</v>
      </c>
      <c r="BB795" s="647"/>
      <c r="BC795" s="648"/>
      <c r="BD795" s="649"/>
      <c r="BE795" s="647"/>
      <c r="BF795" s="644"/>
      <c r="BG795" s="646">
        <f t="shared" si="238"/>
        <v>0</v>
      </c>
      <c r="BH795" s="650"/>
      <c r="BI795" s="647"/>
      <c r="BJ795" s="644"/>
      <c r="BK795" s="646">
        <f t="shared" si="239"/>
        <v>0</v>
      </c>
      <c r="BL795" s="651"/>
      <c r="BM795" s="652">
        <f t="shared" si="240"/>
        <v>1</v>
      </c>
      <c r="BN795" s="628"/>
      <c r="BO795" s="670"/>
      <c r="BP795" s="644"/>
      <c r="BQ795" s="644"/>
      <c r="BR795" s="644"/>
      <c r="BS795" s="644"/>
      <c r="BT795" s="644"/>
      <c r="BU795" s="644"/>
      <c r="BV795" s="644"/>
      <c r="BW795" s="644"/>
      <c r="BX795" s="644"/>
      <c r="BY795" s="644"/>
      <c r="BZ795" s="644"/>
      <c r="CA795" s="644"/>
      <c r="CB795" s="646">
        <f t="shared" si="241"/>
        <v>0</v>
      </c>
      <c r="CC795" s="646">
        <f t="shared" si="242"/>
        <v>0</v>
      </c>
      <c r="CD795" s="614"/>
    </row>
    <row r="796" spans="1:82" s="561" customFormat="1" ht="61.5" customHeight="1">
      <c r="A796" s="625" t="str">
        <f t="shared" si="224"/>
        <v>proyecto-Alerta: Seleccione la celda en la comumna B con el nombre del proyecto-Al-Al--</v>
      </c>
      <c r="B796" s="626" t="str">
        <f t="shared" si="225"/>
        <v>proyecto-Alerta: Seleccione la celda en la comumna B con el nombre del proyecto-Al-Al-</v>
      </c>
      <c r="C796" s="626" t="str">
        <f t="shared" si="226"/>
        <v>proyecto-Alerta: Seleccione la celda en la comumna B con el nombre del proyecto-</v>
      </c>
      <c r="D796" s="626" t="str">
        <f t="shared" si="227"/>
        <v>proyecto--Al-Al-</v>
      </c>
      <c r="E796" s="626" t="str">
        <f t="shared" si="228"/>
        <v>--</v>
      </c>
      <c r="F796" s="627"/>
      <c r="G796" s="628">
        <f t="shared" si="229"/>
        <v>0</v>
      </c>
      <c r="H796" s="629" t="b">
        <f t="shared" si="230"/>
        <v>1</v>
      </c>
      <c r="I796" s="630"/>
      <c r="J796" s="627"/>
      <c r="K796" s="631" t="str">
        <f>+IFERROR(VLOOKUP(J796,Listas!$A$108:$B$114,2,FALSE),"Alerta: Seleccione la celda en la comumna B con el nombre del proyecto")</f>
        <v>Alerta: Seleccione la celda en la comumna B con el nombre del proyecto</v>
      </c>
      <c r="L796" s="632"/>
      <c r="M796" s="633"/>
      <c r="N796" s="634" t="str">
        <f t="shared" si="231"/>
        <v xml:space="preserve">(Cód. ) </v>
      </c>
      <c r="O796" s="635"/>
      <c r="P796" s="636">
        <f>IFERROR(VLOOKUP(W796,'Estimación CRP'!$D$21:$E$30,2,FALSE),0)</f>
        <v>0</v>
      </c>
      <c r="Q796" s="637">
        <f>IF(O796="No aplica","No aplica",WORKDAY.INTL(O796,P796,1,'Estimación CRP'!A982:A998))</f>
        <v>0</v>
      </c>
      <c r="R796" s="636">
        <f t="shared" si="232"/>
        <v>1</v>
      </c>
      <c r="S796" s="636">
        <f t="shared" si="233"/>
        <v>1</v>
      </c>
      <c r="T796" s="636">
        <f t="shared" si="234"/>
        <v>1</v>
      </c>
      <c r="U796" s="638"/>
      <c r="V796" s="638"/>
      <c r="W796" s="639"/>
      <c r="X796" s="640" t="str">
        <f>IFERROR(VLOOKUP(W796,Listas!$A$60:$B$73,2,FALSE),"Alerta: Seleccione primero Modalidad de selección")</f>
        <v>Alerta: Seleccione primero Modalidad de selección</v>
      </c>
      <c r="Y796" s="641">
        <v>0</v>
      </c>
      <c r="Z796" s="641"/>
      <c r="AA796" s="641"/>
      <c r="AB796" s="642">
        <f t="shared" si="235"/>
        <v>0</v>
      </c>
      <c r="AC796" s="642">
        <f t="shared" si="236"/>
        <v>0</v>
      </c>
      <c r="AD796" s="641">
        <v>0</v>
      </c>
      <c r="AE796" s="643">
        <v>0</v>
      </c>
      <c r="AF796" s="639" t="s">
        <v>276</v>
      </c>
      <c r="AG796" s="639" t="s">
        <v>277</v>
      </c>
      <c r="AH796" s="639"/>
      <c r="AI796" s="626" t="str">
        <f>IFERROR(VLOOKUP(AH796,Listas!$A$77:$C$83,2,FALSE),"Alerta: Seleccione primero el responsable")</f>
        <v>Alerta: Seleccione primero el responsable</v>
      </c>
      <c r="AJ796" s="640" t="str">
        <f>IFERROR(VLOOKUP(AH796,Listas!$A$77:$C$83,3,FALSE),"Alerta: Seleccione primero el responsable")</f>
        <v>Alerta: Seleccione primero el responsable</v>
      </c>
      <c r="AK796" s="640" t="str">
        <f>IF(J796="Funcionamiento Gastos Generales","No aplica",IF(J796="Funcionamiento Servicios Personales indirectos","No aplica",IFERROR(VLOOKUP(J796,Listas!$A$127:$E$139,3,FALSE),"Alerta: Seleccione la celda en la comumna B con el nombre del proyecto")))</f>
        <v>Alerta: Seleccione la celda en la comumna B con el nombre del proyecto</v>
      </c>
      <c r="AL796" s="640" t="str">
        <f>IF(J796="Funcionamiento Gastos Generales","No aplica",IF(J796="Funcionamiento Servicios Personales","No aplica",IFERROR(VLOOKUP(J796,Listas!$A$220:$D$224,2,FALSE),"Alerta: Seleccione la celda en la comumna B con el nombre del proyecto")))</f>
        <v>Alerta: Seleccione la celda en la comumna B con el nombre del proyecto</v>
      </c>
      <c r="AM796" s="640" t="str">
        <f>IF(J796="Funcionamiento Gastos Generales","No aplica",IF(J796="Funcionamiento Servicios Personales","No aplica",IFERROR(VLOOKUP(J796,Listas!$A$220:$D$224,3,FALSE),"Alerta: Seleccione la celda en la comumna B con el nombre del proyecto")))</f>
        <v>Alerta: Seleccione la celda en la comumna B con el nombre del proyecto</v>
      </c>
      <c r="AN796" s="633"/>
      <c r="AO796" s="633"/>
      <c r="AP796" s="634" t="str">
        <f>IFERROR(VLOOKUP(J796,Listas!$A$182:$E$215,5,FALSE),"Alerta: Seleccione la celda en la comumna B con el nombre del proyecto")</f>
        <v>Alerta: Seleccione la celda en la comumna B con el nombre del proyecto</v>
      </c>
      <c r="AQ796" s="634" t="str">
        <f>IF(J796="Funcionamiento Gastos Generales","No aplica",IF(J796="Funcionamiento Servicios Personales","No aplica",IFERROR(VLOOKUP(J796,Listas!$A$220:$D$224,4,FALSE),"Alerta: Seleccione la celda en la comumna B con el nombre del proyecto")))</f>
        <v>Alerta: Seleccione la celda en la comumna B con el nombre del proyecto</v>
      </c>
      <c r="AR796" s="633"/>
      <c r="AS796" s="634" t="str">
        <f>IFERROR(VLOOKUP(AU796,Listas!$E$85:$L$105,7,FALSE),"Alerta: Seleccione la celda en la comumna AI con el concepto de gasto")</f>
        <v>Alerta: Seleccione la celda en la comumna AI con el concepto de gasto</v>
      </c>
      <c r="AT796" s="634" t="str">
        <f>IFERROR(VLOOKUP(AU796,Listas!$E$85:$L$105,8,FALSE),"Alerta: Seleccione la celda en la comumna AI con el concepto de gasto")</f>
        <v>Alerta: Seleccione la celda en la comumna AI con el concepto de gasto</v>
      </c>
      <c r="AU796" s="633"/>
      <c r="AV796" s="634" t="str">
        <f>IFERROR(VLOOKUP(AU796,Listas!$E$85:$F$105,2,FALSE),"Alerta: Seleccione el Concepto de Gasto primero")</f>
        <v>Alerta: Seleccione el Concepto de Gasto primero</v>
      </c>
      <c r="AW796" s="644"/>
      <c r="AX796" s="645"/>
      <c r="AY796" s="645"/>
      <c r="AZ796" s="645"/>
      <c r="BA796" s="646">
        <f t="shared" si="237"/>
        <v>0</v>
      </c>
      <c r="BB796" s="647"/>
      <c r="BC796" s="648"/>
      <c r="BD796" s="649"/>
      <c r="BE796" s="647"/>
      <c r="BF796" s="644"/>
      <c r="BG796" s="646">
        <f t="shared" si="238"/>
        <v>0</v>
      </c>
      <c r="BH796" s="650"/>
      <c r="BI796" s="647"/>
      <c r="BJ796" s="644"/>
      <c r="BK796" s="646">
        <f t="shared" si="239"/>
        <v>0</v>
      </c>
      <c r="BL796" s="651"/>
      <c r="BM796" s="652">
        <f t="shared" si="240"/>
        <v>1</v>
      </c>
      <c r="BN796" s="628"/>
      <c r="BO796" s="670"/>
      <c r="BP796" s="644"/>
      <c r="BQ796" s="644"/>
      <c r="BR796" s="644"/>
      <c r="BS796" s="644"/>
      <c r="BT796" s="644"/>
      <c r="BU796" s="644"/>
      <c r="BV796" s="644"/>
      <c r="BW796" s="644"/>
      <c r="BX796" s="644"/>
      <c r="BY796" s="644"/>
      <c r="BZ796" s="644"/>
      <c r="CA796" s="644"/>
      <c r="CB796" s="646">
        <f t="shared" si="241"/>
        <v>0</v>
      </c>
      <c r="CC796" s="646">
        <f t="shared" si="242"/>
        <v>0</v>
      </c>
      <c r="CD796" s="614"/>
    </row>
    <row r="797" spans="1:82" s="561" customFormat="1" ht="61.5" customHeight="1">
      <c r="A797" s="625" t="str">
        <f t="shared" si="224"/>
        <v>proyecto-Alerta: Seleccione la celda en la comumna B con el nombre del proyecto-Al-Al--</v>
      </c>
      <c r="B797" s="626" t="str">
        <f t="shared" si="225"/>
        <v>proyecto-Alerta: Seleccione la celda en la comumna B con el nombre del proyecto-Al-Al-</v>
      </c>
      <c r="C797" s="626" t="str">
        <f t="shared" si="226"/>
        <v>proyecto-Alerta: Seleccione la celda en la comumna B con el nombre del proyecto-</v>
      </c>
      <c r="D797" s="626" t="str">
        <f t="shared" si="227"/>
        <v>proyecto--Al-Al-</v>
      </c>
      <c r="E797" s="626" t="str">
        <f t="shared" si="228"/>
        <v>--</v>
      </c>
      <c r="F797" s="627"/>
      <c r="G797" s="628">
        <f t="shared" si="229"/>
        <v>0</v>
      </c>
      <c r="H797" s="629" t="b">
        <f t="shared" si="230"/>
        <v>1</v>
      </c>
      <c r="I797" s="630"/>
      <c r="J797" s="627"/>
      <c r="K797" s="631" t="str">
        <f>+IFERROR(VLOOKUP(J797,Listas!$A$108:$B$114,2,FALSE),"Alerta: Seleccione la celda en la comumna B con el nombre del proyecto")</f>
        <v>Alerta: Seleccione la celda en la comumna B con el nombre del proyecto</v>
      </c>
      <c r="L797" s="632"/>
      <c r="M797" s="633"/>
      <c r="N797" s="634" t="str">
        <f t="shared" si="231"/>
        <v xml:space="preserve">(Cód. ) </v>
      </c>
      <c r="O797" s="635"/>
      <c r="P797" s="636">
        <f>IFERROR(VLOOKUP(W797,'Estimación CRP'!$D$21:$E$30,2,FALSE),0)</f>
        <v>0</v>
      </c>
      <c r="Q797" s="637">
        <f>IF(O797="No aplica","No aplica",WORKDAY.INTL(O797,P797,1,'Estimación CRP'!A983:A999))</f>
        <v>0</v>
      </c>
      <c r="R797" s="636">
        <f t="shared" si="232"/>
        <v>1</v>
      </c>
      <c r="S797" s="636">
        <f t="shared" si="233"/>
        <v>1</v>
      </c>
      <c r="T797" s="636">
        <f t="shared" si="234"/>
        <v>1</v>
      </c>
      <c r="U797" s="638"/>
      <c r="V797" s="638"/>
      <c r="W797" s="639"/>
      <c r="X797" s="640" t="str">
        <f>IFERROR(VLOOKUP(W797,Listas!$A$60:$B$73,2,FALSE),"Alerta: Seleccione primero Modalidad de selección")</f>
        <v>Alerta: Seleccione primero Modalidad de selección</v>
      </c>
      <c r="Y797" s="641">
        <v>0</v>
      </c>
      <c r="Z797" s="641"/>
      <c r="AA797" s="641"/>
      <c r="AB797" s="642">
        <f t="shared" si="235"/>
        <v>0</v>
      </c>
      <c r="AC797" s="642">
        <f t="shared" si="236"/>
        <v>0</v>
      </c>
      <c r="AD797" s="641">
        <v>0</v>
      </c>
      <c r="AE797" s="643">
        <v>0</v>
      </c>
      <c r="AF797" s="639" t="s">
        <v>276</v>
      </c>
      <c r="AG797" s="639" t="s">
        <v>277</v>
      </c>
      <c r="AH797" s="639"/>
      <c r="AI797" s="626" t="str">
        <f>IFERROR(VLOOKUP(AH797,Listas!$A$77:$C$83,2,FALSE),"Alerta: Seleccione primero el responsable")</f>
        <v>Alerta: Seleccione primero el responsable</v>
      </c>
      <c r="AJ797" s="640" t="str">
        <f>IFERROR(VLOOKUP(AH797,Listas!$A$77:$C$83,3,FALSE),"Alerta: Seleccione primero el responsable")</f>
        <v>Alerta: Seleccione primero el responsable</v>
      </c>
      <c r="AK797" s="640" t="str">
        <f>IF(J797="Funcionamiento Gastos Generales","No aplica",IF(J797="Funcionamiento Servicios Personales indirectos","No aplica",IFERROR(VLOOKUP(J797,Listas!$A$127:$E$139,3,FALSE),"Alerta: Seleccione la celda en la comumna B con el nombre del proyecto")))</f>
        <v>Alerta: Seleccione la celda en la comumna B con el nombre del proyecto</v>
      </c>
      <c r="AL797" s="640" t="str">
        <f>IF(J797="Funcionamiento Gastos Generales","No aplica",IF(J797="Funcionamiento Servicios Personales","No aplica",IFERROR(VLOOKUP(J797,Listas!$A$220:$D$224,2,FALSE),"Alerta: Seleccione la celda en la comumna B con el nombre del proyecto")))</f>
        <v>Alerta: Seleccione la celda en la comumna B con el nombre del proyecto</v>
      </c>
      <c r="AM797" s="640" t="str">
        <f>IF(J797="Funcionamiento Gastos Generales","No aplica",IF(J797="Funcionamiento Servicios Personales","No aplica",IFERROR(VLOOKUP(J797,Listas!$A$220:$D$224,3,FALSE),"Alerta: Seleccione la celda en la comumna B con el nombre del proyecto")))</f>
        <v>Alerta: Seleccione la celda en la comumna B con el nombre del proyecto</v>
      </c>
      <c r="AN797" s="633"/>
      <c r="AO797" s="633"/>
      <c r="AP797" s="634" t="str">
        <f>IFERROR(VLOOKUP(J797,Listas!$A$182:$E$215,5,FALSE),"Alerta: Seleccione la celda en la comumna B con el nombre del proyecto")</f>
        <v>Alerta: Seleccione la celda en la comumna B con el nombre del proyecto</v>
      </c>
      <c r="AQ797" s="634" t="str">
        <f>IF(J797="Funcionamiento Gastos Generales","No aplica",IF(J797="Funcionamiento Servicios Personales","No aplica",IFERROR(VLOOKUP(J797,Listas!$A$220:$D$224,4,FALSE),"Alerta: Seleccione la celda en la comumna B con el nombre del proyecto")))</f>
        <v>Alerta: Seleccione la celda en la comumna B con el nombre del proyecto</v>
      </c>
      <c r="AR797" s="633"/>
      <c r="AS797" s="634" t="str">
        <f>IFERROR(VLOOKUP(AU797,Listas!$E$85:$L$105,7,FALSE),"Alerta: Seleccione la celda en la comumna AI con el concepto de gasto")</f>
        <v>Alerta: Seleccione la celda en la comumna AI con el concepto de gasto</v>
      </c>
      <c r="AT797" s="634" t="str">
        <f>IFERROR(VLOOKUP(AU797,Listas!$E$85:$L$105,8,FALSE),"Alerta: Seleccione la celda en la comumna AI con el concepto de gasto")</f>
        <v>Alerta: Seleccione la celda en la comumna AI con el concepto de gasto</v>
      </c>
      <c r="AU797" s="633"/>
      <c r="AV797" s="634" t="str">
        <f>IFERROR(VLOOKUP(AU797,Listas!$E$85:$F$105,2,FALSE),"Alerta: Seleccione el Concepto de Gasto primero")</f>
        <v>Alerta: Seleccione el Concepto de Gasto primero</v>
      </c>
      <c r="AW797" s="644"/>
      <c r="AX797" s="645"/>
      <c r="AY797" s="645"/>
      <c r="AZ797" s="645"/>
      <c r="BA797" s="646">
        <f t="shared" si="237"/>
        <v>0</v>
      </c>
      <c r="BB797" s="647"/>
      <c r="BC797" s="648"/>
      <c r="BD797" s="649"/>
      <c r="BE797" s="647"/>
      <c r="BF797" s="644"/>
      <c r="BG797" s="646">
        <f t="shared" si="238"/>
        <v>0</v>
      </c>
      <c r="BH797" s="650"/>
      <c r="BI797" s="647"/>
      <c r="BJ797" s="644"/>
      <c r="BK797" s="646">
        <f t="shared" si="239"/>
        <v>0</v>
      </c>
      <c r="BL797" s="651"/>
      <c r="BM797" s="652">
        <f t="shared" si="240"/>
        <v>1</v>
      </c>
      <c r="BN797" s="628"/>
      <c r="BO797" s="670"/>
      <c r="BP797" s="644"/>
      <c r="BQ797" s="644"/>
      <c r="BR797" s="644"/>
      <c r="BS797" s="644"/>
      <c r="BT797" s="644"/>
      <c r="BU797" s="644"/>
      <c r="BV797" s="644"/>
      <c r="BW797" s="644"/>
      <c r="BX797" s="644"/>
      <c r="BY797" s="644"/>
      <c r="BZ797" s="644"/>
      <c r="CA797" s="644"/>
      <c r="CB797" s="646">
        <f t="shared" si="241"/>
        <v>0</v>
      </c>
      <c r="CC797" s="646">
        <f t="shared" si="242"/>
        <v>0</v>
      </c>
      <c r="CD797" s="614"/>
    </row>
    <row r="798" spans="1:82" s="561" customFormat="1" ht="61.5" customHeight="1">
      <c r="A798" s="625" t="str">
        <f t="shared" si="224"/>
        <v>proyecto-Alerta: Seleccione la celda en la comumna B con el nombre del proyecto-Al-Al--</v>
      </c>
      <c r="B798" s="626" t="str">
        <f t="shared" si="225"/>
        <v>proyecto-Alerta: Seleccione la celda en la comumna B con el nombre del proyecto-Al-Al-</v>
      </c>
      <c r="C798" s="626" t="str">
        <f t="shared" si="226"/>
        <v>proyecto-Alerta: Seleccione la celda en la comumna B con el nombre del proyecto-</v>
      </c>
      <c r="D798" s="626" t="str">
        <f t="shared" si="227"/>
        <v>proyecto--Al-Al-</v>
      </c>
      <c r="E798" s="626" t="str">
        <f t="shared" si="228"/>
        <v>--</v>
      </c>
      <c r="F798" s="627"/>
      <c r="G798" s="628">
        <f t="shared" si="229"/>
        <v>0</v>
      </c>
      <c r="H798" s="629" t="b">
        <f t="shared" si="230"/>
        <v>1</v>
      </c>
      <c r="I798" s="630"/>
      <c r="J798" s="627"/>
      <c r="K798" s="631" t="str">
        <f>+IFERROR(VLOOKUP(J798,Listas!$A$108:$B$114,2,FALSE),"Alerta: Seleccione la celda en la comumna B con el nombre del proyecto")</f>
        <v>Alerta: Seleccione la celda en la comumna B con el nombre del proyecto</v>
      </c>
      <c r="L798" s="632"/>
      <c r="M798" s="633"/>
      <c r="N798" s="634" t="str">
        <f t="shared" si="231"/>
        <v xml:space="preserve">(Cód. ) </v>
      </c>
      <c r="O798" s="635"/>
      <c r="P798" s="636">
        <f>IFERROR(VLOOKUP(W798,'Estimación CRP'!$D$21:$E$30,2,FALSE),0)</f>
        <v>0</v>
      </c>
      <c r="Q798" s="637">
        <f>IF(O798="No aplica","No aplica",WORKDAY.INTL(O798,P798,1,'Estimación CRP'!A984:A1000))</f>
        <v>0</v>
      </c>
      <c r="R798" s="636">
        <f t="shared" si="232"/>
        <v>1</v>
      </c>
      <c r="S798" s="636">
        <f t="shared" si="233"/>
        <v>1</v>
      </c>
      <c r="T798" s="636">
        <f t="shared" si="234"/>
        <v>1</v>
      </c>
      <c r="U798" s="638"/>
      <c r="V798" s="638"/>
      <c r="W798" s="639"/>
      <c r="X798" s="640" t="str">
        <f>IFERROR(VLOOKUP(W798,Listas!$A$60:$B$73,2,FALSE),"Alerta: Seleccione primero Modalidad de selección")</f>
        <v>Alerta: Seleccione primero Modalidad de selección</v>
      </c>
      <c r="Y798" s="641">
        <v>0</v>
      </c>
      <c r="Z798" s="641"/>
      <c r="AA798" s="641"/>
      <c r="AB798" s="642">
        <f t="shared" si="235"/>
        <v>0</v>
      </c>
      <c r="AC798" s="642">
        <f t="shared" si="236"/>
        <v>0</v>
      </c>
      <c r="AD798" s="641">
        <v>0</v>
      </c>
      <c r="AE798" s="643">
        <v>0</v>
      </c>
      <c r="AF798" s="639" t="s">
        <v>276</v>
      </c>
      <c r="AG798" s="639" t="s">
        <v>277</v>
      </c>
      <c r="AH798" s="639"/>
      <c r="AI798" s="626" t="str">
        <f>IFERROR(VLOOKUP(AH798,Listas!$A$77:$C$83,2,FALSE),"Alerta: Seleccione primero el responsable")</f>
        <v>Alerta: Seleccione primero el responsable</v>
      </c>
      <c r="AJ798" s="640" t="str">
        <f>IFERROR(VLOOKUP(AH798,Listas!$A$77:$C$83,3,FALSE),"Alerta: Seleccione primero el responsable")</f>
        <v>Alerta: Seleccione primero el responsable</v>
      </c>
      <c r="AK798" s="640" t="str">
        <f>IF(J798="Funcionamiento Gastos Generales","No aplica",IF(J798="Funcionamiento Servicios Personales indirectos","No aplica",IFERROR(VLOOKUP(J798,Listas!$A$127:$E$139,3,FALSE),"Alerta: Seleccione la celda en la comumna B con el nombre del proyecto")))</f>
        <v>Alerta: Seleccione la celda en la comumna B con el nombre del proyecto</v>
      </c>
      <c r="AL798" s="640" t="str">
        <f>IF(J798="Funcionamiento Gastos Generales","No aplica",IF(J798="Funcionamiento Servicios Personales","No aplica",IFERROR(VLOOKUP(J798,Listas!$A$220:$D$224,2,FALSE),"Alerta: Seleccione la celda en la comumna B con el nombre del proyecto")))</f>
        <v>Alerta: Seleccione la celda en la comumna B con el nombre del proyecto</v>
      </c>
      <c r="AM798" s="640" t="str">
        <f>IF(J798="Funcionamiento Gastos Generales","No aplica",IF(J798="Funcionamiento Servicios Personales","No aplica",IFERROR(VLOOKUP(J798,Listas!$A$220:$D$224,3,FALSE),"Alerta: Seleccione la celda en la comumna B con el nombre del proyecto")))</f>
        <v>Alerta: Seleccione la celda en la comumna B con el nombre del proyecto</v>
      </c>
      <c r="AN798" s="633"/>
      <c r="AO798" s="633"/>
      <c r="AP798" s="634" t="str">
        <f>IFERROR(VLOOKUP(J798,Listas!$A$182:$E$215,5,FALSE),"Alerta: Seleccione la celda en la comumna B con el nombre del proyecto")</f>
        <v>Alerta: Seleccione la celda en la comumna B con el nombre del proyecto</v>
      </c>
      <c r="AQ798" s="634" t="str">
        <f>IF(J798="Funcionamiento Gastos Generales","No aplica",IF(J798="Funcionamiento Servicios Personales","No aplica",IFERROR(VLOOKUP(J798,Listas!$A$220:$D$224,4,FALSE),"Alerta: Seleccione la celda en la comumna B con el nombre del proyecto")))</f>
        <v>Alerta: Seleccione la celda en la comumna B con el nombre del proyecto</v>
      </c>
      <c r="AR798" s="633"/>
      <c r="AS798" s="634" t="str">
        <f>IFERROR(VLOOKUP(AU798,Listas!$E$85:$L$105,7,FALSE),"Alerta: Seleccione la celda en la comumna AI con el concepto de gasto")</f>
        <v>Alerta: Seleccione la celda en la comumna AI con el concepto de gasto</v>
      </c>
      <c r="AT798" s="634" t="str">
        <f>IFERROR(VLOOKUP(AU798,Listas!$E$85:$L$105,8,FALSE),"Alerta: Seleccione la celda en la comumna AI con el concepto de gasto")</f>
        <v>Alerta: Seleccione la celda en la comumna AI con el concepto de gasto</v>
      </c>
      <c r="AU798" s="633"/>
      <c r="AV798" s="634" t="str">
        <f>IFERROR(VLOOKUP(AU798,Listas!$E$85:$F$105,2,FALSE),"Alerta: Seleccione el Concepto de Gasto primero")</f>
        <v>Alerta: Seleccione el Concepto de Gasto primero</v>
      </c>
      <c r="AW798" s="644"/>
      <c r="AX798" s="645"/>
      <c r="AY798" s="645"/>
      <c r="AZ798" s="645"/>
      <c r="BA798" s="646">
        <f t="shared" si="237"/>
        <v>0</v>
      </c>
      <c r="BB798" s="647"/>
      <c r="BC798" s="648"/>
      <c r="BD798" s="649"/>
      <c r="BE798" s="647"/>
      <c r="BF798" s="644"/>
      <c r="BG798" s="646">
        <f t="shared" si="238"/>
        <v>0</v>
      </c>
      <c r="BH798" s="650"/>
      <c r="BI798" s="647"/>
      <c r="BJ798" s="644"/>
      <c r="BK798" s="646">
        <f t="shared" si="239"/>
        <v>0</v>
      </c>
      <c r="BL798" s="651"/>
      <c r="BM798" s="652">
        <f t="shared" si="240"/>
        <v>1</v>
      </c>
      <c r="BN798" s="628"/>
      <c r="BO798" s="670"/>
      <c r="BP798" s="644"/>
      <c r="BQ798" s="644"/>
      <c r="BR798" s="644"/>
      <c r="BS798" s="644"/>
      <c r="BT798" s="644"/>
      <c r="BU798" s="644"/>
      <c r="BV798" s="644"/>
      <c r="BW798" s="644"/>
      <c r="BX798" s="644"/>
      <c r="BY798" s="644"/>
      <c r="BZ798" s="644"/>
      <c r="CA798" s="644"/>
      <c r="CB798" s="646">
        <f t="shared" si="241"/>
        <v>0</v>
      </c>
      <c r="CC798" s="646">
        <f t="shared" si="242"/>
        <v>0</v>
      </c>
      <c r="CD798" s="614"/>
    </row>
    <row r="799" spans="1:82" s="561" customFormat="1" ht="61.5" customHeight="1">
      <c r="A799" s="625" t="str">
        <f t="shared" si="224"/>
        <v>proyecto-Alerta: Seleccione la celda en la comumna B con el nombre del proyecto-Al-Al--</v>
      </c>
      <c r="B799" s="626" t="str">
        <f t="shared" si="225"/>
        <v>proyecto-Alerta: Seleccione la celda en la comumna B con el nombre del proyecto-Al-Al-</v>
      </c>
      <c r="C799" s="626" t="str">
        <f t="shared" si="226"/>
        <v>proyecto-Alerta: Seleccione la celda en la comumna B con el nombre del proyecto-</v>
      </c>
      <c r="D799" s="626" t="str">
        <f t="shared" si="227"/>
        <v>proyecto--Al-Al-</v>
      </c>
      <c r="E799" s="626" t="str">
        <f t="shared" si="228"/>
        <v>--</v>
      </c>
      <c r="F799" s="627"/>
      <c r="G799" s="628">
        <f t="shared" si="229"/>
        <v>0</v>
      </c>
      <c r="H799" s="629" t="b">
        <f t="shared" si="230"/>
        <v>1</v>
      </c>
      <c r="I799" s="630"/>
      <c r="J799" s="627"/>
      <c r="K799" s="631" t="str">
        <f>+IFERROR(VLOOKUP(J799,Listas!$A$108:$B$114,2,FALSE),"Alerta: Seleccione la celda en la comumna B con el nombre del proyecto")</f>
        <v>Alerta: Seleccione la celda en la comumna B con el nombre del proyecto</v>
      </c>
      <c r="L799" s="632"/>
      <c r="M799" s="633"/>
      <c r="N799" s="634" t="str">
        <f t="shared" si="231"/>
        <v xml:space="preserve">(Cód. ) </v>
      </c>
      <c r="O799" s="635"/>
      <c r="P799" s="636">
        <f>IFERROR(VLOOKUP(W799,'Estimación CRP'!$D$21:$E$30,2,FALSE),0)</f>
        <v>0</v>
      </c>
      <c r="Q799" s="637">
        <f>IF(O799="No aplica","No aplica",WORKDAY.INTL(O799,P799,1,'Estimación CRP'!A985:A1001))</f>
        <v>0</v>
      </c>
      <c r="R799" s="636">
        <f t="shared" si="232"/>
        <v>1</v>
      </c>
      <c r="S799" s="636">
        <f t="shared" si="233"/>
        <v>1</v>
      </c>
      <c r="T799" s="636">
        <f t="shared" si="234"/>
        <v>1</v>
      </c>
      <c r="U799" s="638"/>
      <c r="V799" s="638"/>
      <c r="W799" s="639"/>
      <c r="X799" s="640" t="str">
        <f>IFERROR(VLOOKUP(W799,Listas!$A$60:$B$73,2,FALSE),"Alerta: Seleccione primero Modalidad de selección")</f>
        <v>Alerta: Seleccione primero Modalidad de selección</v>
      </c>
      <c r="Y799" s="641">
        <v>0</v>
      </c>
      <c r="Z799" s="641"/>
      <c r="AA799" s="641"/>
      <c r="AB799" s="642">
        <f t="shared" si="235"/>
        <v>0</v>
      </c>
      <c r="AC799" s="642">
        <f t="shared" si="236"/>
        <v>0</v>
      </c>
      <c r="AD799" s="641">
        <v>0</v>
      </c>
      <c r="AE799" s="643">
        <v>0</v>
      </c>
      <c r="AF799" s="639" t="s">
        <v>276</v>
      </c>
      <c r="AG799" s="639" t="s">
        <v>277</v>
      </c>
      <c r="AH799" s="639"/>
      <c r="AI799" s="626" t="str">
        <f>IFERROR(VLOOKUP(AH799,Listas!$A$77:$C$83,2,FALSE),"Alerta: Seleccione primero el responsable")</f>
        <v>Alerta: Seleccione primero el responsable</v>
      </c>
      <c r="AJ799" s="640" t="str">
        <f>IFERROR(VLOOKUP(AH799,Listas!$A$77:$C$83,3,FALSE),"Alerta: Seleccione primero el responsable")</f>
        <v>Alerta: Seleccione primero el responsable</v>
      </c>
      <c r="AK799" s="640" t="str">
        <f>IF(J799="Funcionamiento Gastos Generales","No aplica",IF(J799="Funcionamiento Servicios Personales indirectos","No aplica",IFERROR(VLOOKUP(J799,Listas!$A$127:$E$139,3,FALSE),"Alerta: Seleccione la celda en la comumna B con el nombre del proyecto")))</f>
        <v>Alerta: Seleccione la celda en la comumna B con el nombre del proyecto</v>
      </c>
      <c r="AL799" s="640" t="str">
        <f>IF(J799="Funcionamiento Gastos Generales","No aplica",IF(J799="Funcionamiento Servicios Personales","No aplica",IFERROR(VLOOKUP(J799,Listas!$A$220:$D$224,2,FALSE),"Alerta: Seleccione la celda en la comumna B con el nombre del proyecto")))</f>
        <v>Alerta: Seleccione la celda en la comumna B con el nombre del proyecto</v>
      </c>
      <c r="AM799" s="640" t="str">
        <f>IF(J799="Funcionamiento Gastos Generales","No aplica",IF(J799="Funcionamiento Servicios Personales","No aplica",IFERROR(VLOOKUP(J799,Listas!$A$220:$D$224,3,FALSE),"Alerta: Seleccione la celda en la comumna B con el nombre del proyecto")))</f>
        <v>Alerta: Seleccione la celda en la comumna B con el nombre del proyecto</v>
      </c>
      <c r="AN799" s="633"/>
      <c r="AO799" s="633"/>
      <c r="AP799" s="634" t="str">
        <f>IFERROR(VLOOKUP(J799,Listas!$A$182:$E$215,5,FALSE),"Alerta: Seleccione la celda en la comumna B con el nombre del proyecto")</f>
        <v>Alerta: Seleccione la celda en la comumna B con el nombre del proyecto</v>
      </c>
      <c r="AQ799" s="634" t="str">
        <f>IF(J799="Funcionamiento Gastos Generales","No aplica",IF(J799="Funcionamiento Servicios Personales","No aplica",IFERROR(VLOOKUP(J799,Listas!$A$220:$D$224,4,FALSE),"Alerta: Seleccione la celda en la comumna B con el nombre del proyecto")))</f>
        <v>Alerta: Seleccione la celda en la comumna B con el nombre del proyecto</v>
      </c>
      <c r="AR799" s="633"/>
      <c r="AS799" s="634" t="str">
        <f>IFERROR(VLOOKUP(AU799,Listas!$E$85:$L$105,7,FALSE),"Alerta: Seleccione la celda en la comumna AI con el concepto de gasto")</f>
        <v>Alerta: Seleccione la celda en la comumna AI con el concepto de gasto</v>
      </c>
      <c r="AT799" s="634" t="str">
        <f>IFERROR(VLOOKUP(AU799,Listas!$E$85:$L$105,8,FALSE),"Alerta: Seleccione la celda en la comumna AI con el concepto de gasto")</f>
        <v>Alerta: Seleccione la celda en la comumna AI con el concepto de gasto</v>
      </c>
      <c r="AU799" s="633"/>
      <c r="AV799" s="634" t="str">
        <f>IFERROR(VLOOKUP(AU799,Listas!$E$85:$F$105,2,FALSE),"Alerta: Seleccione el Concepto de Gasto primero")</f>
        <v>Alerta: Seleccione el Concepto de Gasto primero</v>
      </c>
      <c r="AW799" s="644"/>
      <c r="AX799" s="645"/>
      <c r="AY799" s="645"/>
      <c r="AZ799" s="645"/>
      <c r="BA799" s="646">
        <f t="shared" si="237"/>
        <v>0</v>
      </c>
      <c r="BB799" s="647"/>
      <c r="BC799" s="648"/>
      <c r="BD799" s="649"/>
      <c r="BE799" s="647"/>
      <c r="BF799" s="644"/>
      <c r="BG799" s="646">
        <f t="shared" si="238"/>
        <v>0</v>
      </c>
      <c r="BH799" s="650"/>
      <c r="BI799" s="647"/>
      <c r="BJ799" s="644"/>
      <c r="BK799" s="646">
        <f t="shared" si="239"/>
        <v>0</v>
      </c>
      <c r="BL799" s="651"/>
      <c r="BM799" s="652">
        <f t="shared" si="240"/>
        <v>1</v>
      </c>
      <c r="BN799" s="628"/>
      <c r="BO799" s="670"/>
      <c r="BP799" s="644"/>
      <c r="BQ799" s="644"/>
      <c r="BR799" s="644"/>
      <c r="BS799" s="644"/>
      <c r="BT799" s="644"/>
      <c r="BU799" s="644"/>
      <c r="BV799" s="644"/>
      <c r="BW799" s="644"/>
      <c r="BX799" s="644"/>
      <c r="BY799" s="644"/>
      <c r="BZ799" s="644"/>
      <c r="CA799" s="644"/>
      <c r="CB799" s="646">
        <f t="shared" si="241"/>
        <v>0</v>
      </c>
      <c r="CC799" s="646">
        <f t="shared" si="242"/>
        <v>0</v>
      </c>
      <c r="CD799" s="614"/>
    </row>
    <row r="800" spans="1:82" s="561" customFormat="1" ht="61.5" customHeight="1">
      <c r="A800" s="625" t="str">
        <f t="shared" ref="A800:A863" si="243">+CONCATENATE(B800,"-",AO800)</f>
        <v>proyecto-Alerta: Seleccione la celda en la comumna B con el nombre del proyecto-Al-Al--</v>
      </c>
      <c r="B800" s="626" t="str">
        <f t="shared" ref="B800:B863" si="244">CONCATENATE(RIGHT(K800,8),"-",AQ800,"-",LEFT(AS800,2),"-",LEFT(AT800,2),"-",LEFT(AU800,4))</f>
        <v>proyecto-Alerta: Seleccione la celda en la comumna B con el nombre del proyecto-Al-Al-</v>
      </c>
      <c r="C800" s="626" t="str">
        <f t="shared" ref="C800:C863" si="245">+CONCATENATE(RIGHT(K800,8),"-",AQ800,"-",AO800)</f>
        <v>proyecto-Alerta: Seleccione la celda en la comumna B con el nombre del proyecto-</v>
      </c>
      <c r="D800" s="626" t="str">
        <f t="shared" ref="D800:D863" si="246">+CONCATENATE(RIGHT(K800,8),"-",AR800,"-",LEFT(AS800,2),"-",LEFT(AT800,2),"-",LEFT(AU800,4))</f>
        <v>proyecto--Al-Al-</v>
      </c>
      <c r="E800" s="626" t="str">
        <f t="shared" si="228"/>
        <v>--</v>
      </c>
      <c r="F800" s="627"/>
      <c r="G800" s="628">
        <f t="shared" si="229"/>
        <v>0</v>
      </c>
      <c r="H800" s="629" t="b">
        <f t="shared" si="230"/>
        <v>1</v>
      </c>
      <c r="I800" s="630"/>
      <c r="J800" s="627"/>
      <c r="K800" s="631" t="str">
        <f>+IFERROR(VLOOKUP(J800,Listas!$A$108:$B$114,2,FALSE),"Alerta: Seleccione la celda en la comumna B con el nombre del proyecto")</f>
        <v>Alerta: Seleccione la celda en la comumna B con el nombre del proyecto</v>
      </c>
      <c r="L800" s="632"/>
      <c r="M800" s="633"/>
      <c r="N800" s="634" t="str">
        <f t="shared" si="231"/>
        <v xml:space="preserve">(Cód. ) </v>
      </c>
      <c r="O800" s="635"/>
      <c r="P800" s="636">
        <f>IFERROR(VLOOKUP(W800,'Estimación CRP'!$D$21:$E$30,2,FALSE),0)</f>
        <v>0</v>
      </c>
      <c r="Q800" s="637">
        <f>IF(O800="No aplica","No aplica",WORKDAY.INTL(O800,P800,1,'Estimación CRP'!A986:A1002))</f>
        <v>0</v>
      </c>
      <c r="R800" s="636">
        <f t="shared" si="232"/>
        <v>1</v>
      </c>
      <c r="S800" s="636">
        <f t="shared" si="233"/>
        <v>1</v>
      </c>
      <c r="T800" s="636">
        <f t="shared" si="234"/>
        <v>1</v>
      </c>
      <c r="U800" s="638"/>
      <c r="V800" s="638"/>
      <c r="W800" s="639"/>
      <c r="X800" s="640" t="str">
        <f>IFERROR(VLOOKUP(W800,Listas!$A$60:$B$73,2,FALSE),"Alerta: Seleccione primero Modalidad de selección")</f>
        <v>Alerta: Seleccione primero Modalidad de selección</v>
      </c>
      <c r="Y800" s="641">
        <v>0</v>
      </c>
      <c r="Z800" s="641"/>
      <c r="AA800" s="641"/>
      <c r="AB800" s="642">
        <f t="shared" si="235"/>
        <v>0</v>
      </c>
      <c r="AC800" s="642">
        <f t="shared" si="236"/>
        <v>0</v>
      </c>
      <c r="AD800" s="641">
        <v>0</v>
      </c>
      <c r="AE800" s="643">
        <v>0</v>
      </c>
      <c r="AF800" s="639" t="s">
        <v>276</v>
      </c>
      <c r="AG800" s="639" t="s">
        <v>277</v>
      </c>
      <c r="AH800" s="639"/>
      <c r="AI800" s="626" t="str">
        <f>IFERROR(VLOOKUP(AH800,Listas!$A$77:$C$83,2,FALSE),"Alerta: Seleccione primero el responsable")</f>
        <v>Alerta: Seleccione primero el responsable</v>
      </c>
      <c r="AJ800" s="640" t="str">
        <f>IFERROR(VLOOKUP(AH800,Listas!$A$77:$C$83,3,FALSE),"Alerta: Seleccione primero el responsable")</f>
        <v>Alerta: Seleccione primero el responsable</v>
      </c>
      <c r="AK800" s="640" t="str">
        <f>IF(J800="Funcionamiento Gastos Generales","No aplica",IF(J800="Funcionamiento Servicios Personales indirectos","No aplica",IFERROR(VLOOKUP(J800,Listas!$A$127:$E$139,3,FALSE),"Alerta: Seleccione la celda en la comumna B con el nombre del proyecto")))</f>
        <v>Alerta: Seleccione la celda en la comumna B con el nombre del proyecto</v>
      </c>
      <c r="AL800" s="640" t="str">
        <f>IF(J800="Funcionamiento Gastos Generales","No aplica",IF(J800="Funcionamiento Servicios Personales","No aplica",IFERROR(VLOOKUP(J800,Listas!$A$220:$D$224,2,FALSE),"Alerta: Seleccione la celda en la comumna B con el nombre del proyecto")))</f>
        <v>Alerta: Seleccione la celda en la comumna B con el nombre del proyecto</v>
      </c>
      <c r="AM800" s="640" t="str">
        <f>IF(J800="Funcionamiento Gastos Generales","No aplica",IF(J800="Funcionamiento Servicios Personales","No aplica",IFERROR(VLOOKUP(J800,Listas!$A$220:$D$224,3,FALSE),"Alerta: Seleccione la celda en la comumna B con el nombre del proyecto")))</f>
        <v>Alerta: Seleccione la celda en la comumna B con el nombre del proyecto</v>
      </c>
      <c r="AN800" s="633"/>
      <c r="AO800" s="633"/>
      <c r="AP800" s="634" t="str">
        <f>IFERROR(VLOOKUP(J800,Listas!$A$182:$E$215,5,FALSE),"Alerta: Seleccione la celda en la comumna B con el nombre del proyecto")</f>
        <v>Alerta: Seleccione la celda en la comumna B con el nombre del proyecto</v>
      </c>
      <c r="AQ800" s="634" t="str">
        <f>IF(J800="Funcionamiento Gastos Generales","No aplica",IF(J800="Funcionamiento Servicios Personales","No aplica",IFERROR(VLOOKUP(J800,Listas!$A$220:$D$224,4,FALSE),"Alerta: Seleccione la celda en la comumna B con el nombre del proyecto")))</f>
        <v>Alerta: Seleccione la celda en la comumna B con el nombre del proyecto</v>
      </c>
      <c r="AR800" s="633"/>
      <c r="AS800" s="634" t="str">
        <f>IFERROR(VLOOKUP(AU800,Listas!$E$85:$L$105,7,FALSE),"Alerta: Seleccione la celda en la comumna AI con el concepto de gasto")</f>
        <v>Alerta: Seleccione la celda en la comumna AI con el concepto de gasto</v>
      </c>
      <c r="AT800" s="634" t="str">
        <f>IFERROR(VLOOKUP(AU800,Listas!$E$85:$L$105,8,FALSE),"Alerta: Seleccione la celda en la comumna AI con el concepto de gasto")</f>
        <v>Alerta: Seleccione la celda en la comumna AI con el concepto de gasto</v>
      </c>
      <c r="AU800" s="633"/>
      <c r="AV800" s="634" t="str">
        <f>IFERROR(VLOOKUP(AU800,Listas!$E$85:$F$105,2,FALSE),"Alerta: Seleccione el Concepto de Gasto primero")</f>
        <v>Alerta: Seleccione el Concepto de Gasto primero</v>
      </c>
      <c r="AW800" s="644"/>
      <c r="AX800" s="645"/>
      <c r="AY800" s="645"/>
      <c r="AZ800" s="645"/>
      <c r="BA800" s="646">
        <f t="shared" si="237"/>
        <v>0</v>
      </c>
      <c r="BB800" s="647"/>
      <c r="BC800" s="648"/>
      <c r="BD800" s="649"/>
      <c r="BE800" s="647"/>
      <c r="BF800" s="644"/>
      <c r="BG800" s="646">
        <f t="shared" si="238"/>
        <v>0</v>
      </c>
      <c r="BH800" s="650"/>
      <c r="BI800" s="647"/>
      <c r="BJ800" s="644"/>
      <c r="BK800" s="646">
        <f t="shared" si="239"/>
        <v>0</v>
      </c>
      <c r="BL800" s="651"/>
      <c r="BM800" s="652">
        <f t="shared" si="240"/>
        <v>1</v>
      </c>
      <c r="BN800" s="628"/>
      <c r="BO800" s="670"/>
      <c r="BP800" s="644"/>
      <c r="BQ800" s="644"/>
      <c r="BR800" s="644"/>
      <c r="BS800" s="644"/>
      <c r="BT800" s="644"/>
      <c r="BU800" s="644"/>
      <c r="BV800" s="644"/>
      <c r="BW800" s="644"/>
      <c r="BX800" s="644"/>
      <c r="BY800" s="644"/>
      <c r="BZ800" s="644"/>
      <c r="CA800" s="644"/>
      <c r="CB800" s="646">
        <f t="shared" si="241"/>
        <v>0</v>
      </c>
      <c r="CC800" s="646">
        <f t="shared" si="242"/>
        <v>0</v>
      </c>
      <c r="CD800" s="614"/>
    </row>
    <row r="801" spans="1:82" s="561" customFormat="1" ht="61.5" customHeight="1">
      <c r="A801" s="625" t="str">
        <f t="shared" si="243"/>
        <v>proyecto-Alerta: Seleccione la celda en la comumna B con el nombre del proyecto-Al-Al--</v>
      </c>
      <c r="B801" s="626" t="str">
        <f t="shared" si="244"/>
        <v>proyecto-Alerta: Seleccione la celda en la comumna B con el nombre del proyecto-Al-Al-</v>
      </c>
      <c r="C801" s="626" t="str">
        <f t="shared" si="245"/>
        <v>proyecto-Alerta: Seleccione la celda en la comumna B con el nombre del proyecto-</v>
      </c>
      <c r="D801" s="626" t="str">
        <f t="shared" si="246"/>
        <v>proyecto--Al-Al-</v>
      </c>
      <c r="E801" s="626" t="str">
        <f t="shared" ref="E801:E864" si="247">+CONCATENATE(AO801,"-",AR801,"-",AU801)</f>
        <v>--</v>
      </c>
      <c r="F801" s="627"/>
      <c r="G801" s="628">
        <f t="shared" ref="G801:G864" si="248">+F801</f>
        <v>0</v>
      </c>
      <c r="H801" s="629" t="b">
        <f t="shared" ref="H801:H864" si="249">+G801=G800</f>
        <v>1</v>
      </c>
      <c r="I801" s="630"/>
      <c r="J801" s="627"/>
      <c r="K801" s="631" t="str">
        <f>+IFERROR(VLOOKUP(J801,Listas!$A$108:$B$114,2,FALSE),"Alerta: Seleccione la celda en la comumna B con el nombre del proyecto")</f>
        <v>Alerta: Seleccione la celda en la comumna B con el nombre del proyecto</v>
      </c>
      <c r="L801" s="632"/>
      <c r="M801" s="633"/>
      <c r="N801" s="634" t="str">
        <f t="shared" ref="N801:N864" si="250">+CONCATENATE("(Cód. ",F801,") ",M801)</f>
        <v xml:space="preserve">(Cód. ) </v>
      </c>
      <c r="O801" s="635"/>
      <c r="P801" s="636">
        <f>IFERROR(VLOOKUP(W801,'Estimación CRP'!$D$21:$E$30,2,FALSE),0)</f>
        <v>0</v>
      </c>
      <c r="Q801" s="637">
        <f>IF(O801="No aplica","No aplica",WORKDAY.INTL(O801,P801,1,'Estimación CRP'!A987:A1003))</f>
        <v>0</v>
      </c>
      <c r="R801" s="636">
        <f t="shared" ref="R801:R864" si="251">IF(O801="No aplica","No aplica",MONTH(Q801))</f>
        <v>1</v>
      </c>
      <c r="S801" s="636">
        <f t="shared" ref="S801:S864" si="252">IF(O801="No aplica","No aplica",MONTH(O801))</f>
        <v>1</v>
      </c>
      <c r="T801" s="636">
        <f t="shared" ref="T801:T864" si="253">IF(O801="No aplica","No aplica",S801)</f>
        <v>1</v>
      </c>
      <c r="U801" s="638"/>
      <c r="V801" s="638"/>
      <c r="W801" s="639"/>
      <c r="X801" s="640" t="str">
        <f>IFERROR(VLOOKUP(W801,Listas!$A$60:$B$73,2,FALSE),"Alerta: Seleccione primero Modalidad de selección")</f>
        <v>Alerta: Seleccione primero Modalidad de selección</v>
      </c>
      <c r="Y801" s="641">
        <v>0</v>
      </c>
      <c r="Z801" s="641"/>
      <c r="AA801" s="641"/>
      <c r="AB801" s="642">
        <f t="shared" ref="AB801:AB864" si="254">+BA801</f>
        <v>0</v>
      </c>
      <c r="AC801" s="642">
        <f t="shared" ref="AC801:AC864" si="255">+AB801</f>
        <v>0</v>
      </c>
      <c r="AD801" s="641">
        <v>0</v>
      </c>
      <c r="AE801" s="643">
        <v>0</v>
      </c>
      <c r="AF801" s="639" t="s">
        <v>276</v>
      </c>
      <c r="AG801" s="639" t="s">
        <v>277</v>
      </c>
      <c r="AH801" s="639"/>
      <c r="AI801" s="626" t="str">
        <f>IFERROR(VLOOKUP(AH801,Listas!$A$77:$C$83,2,FALSE),"Alerta: Seleccione primero el responsable")</f>
        <v>Alerta: Seleccione primero el responsable</v>
      </c>
      <c r="AJ801" s="640" t="str">
        <f>IFERROR(VLOOKUP(AH801,Listas!$A$77:$C$83,3,FALSE),"Alerta: Seleccione primero el responsable")</f>
        <v>Alerta: Seleccione primero el responsable</v>
      </c>
      <c r="AK801" s="640" t="str">
        <f>IF(J801="Funcionamiento Gastos Generales","No aplica",IF(J801="Funcionamiento Servicios Personales indirectos","No aplica",IFERROR(VLOOKUP(J801,Listas!$A$127:$E$139,3,FALSE),"Alerta: Seleccione la celda en la comumna B con el nombre del proyecto")))</f>
        <v>Alerta: Seleccione la celda en la comumna B con el nombre del proyecto</v>
      </c>
      <c r="AL801" s="640" t="str">
        <f>IF(J801="Funcionamiento Gastos Generales","No aplica",IF(J801="Funcionamiento Servicios Personales","No aplica",IFERROR(VLOOKUP(J801,Listas!$A$220:$D$224,2,FALSE),"Alerta: Seleccione la celda en la comumna B con el nombre del proyecto")))</f>
        <v>Alerta: Seleccione la celda en la comumna B con el nombre del proyecto</v>
      </c>
      <c r="AM801" s="640" t="str">
        <f>IF(J801="Funcionamiento Gastos Generales","No aplica",IF(J801="Funcionamiento Servicios Personales","No aplica",IFERROR(VLOOKUP(J801,Listas!$A$220:$D$224,3,FALSE),"Alerta: Seleccione la celda en la comumna B con el nombre del proyecto")))</f>
        <v>Alerta: Seleccione la celda en la comumna B con el nombre del proyecto</v>
      </c>
      <c r="AN801" s="633"/>
      <c r="AO801" s="633"/>
      <c r="AP801" s="634" t="str">
        <f>IFERROR(VLOOKUP(J801,Listas!$A$182:$E$215,5,FALSE),"Alerta: Seleccione la celda en la comumna B con el nombre del proyecto")</f>
        <v>Alerta: Seleccione la celda en la comumna B con el nombre del proyecto</v>
      </c>
      <c r="AQ801" s="634" t="str">
        <f>IF(J801="Funcionamiento Gastos Generales","No aplica",IF(J801="Funcionamiento Servicios Personales","No aplica",IFERROR(VLOOKUP(J801,Listas!$A$220:$D$224,4,FALSE),"Alerta: Seleccione la celda en la comumna B con el nombre del proyecto")))</f>
        <v>Alerta: Seleccione la celda en la comumna B con el nombre del proyecto</v>
      </c>
      <c r="AR801" s="633"/>
      <c r="AS801" s="634" t="str">
        <f>IFERROR(VLOOKUP(AU801,Listas!$E$85:$L$105,7,FALSE),"Alerta: Seleccione la celda en la comumna AI con el concepto de gasto")</f>
        <v>Alerta: Seleccione la celda en la comumna AI con el concepto de gasto</v>
      </c>
      <c r="AT801" s="634" t="str">
        <f>IFERROR(VLOOKUP(AU801,Listas!$E$85:$L$105,8,FALSE),"Alerta: Seleccione la celda en la comumna AI con el concepto de gasto")</f>
        <v>Alerta: Seleccione la celda en la comumna AI con el concepto de gasto</v>
      </c>
      <c r="AU801" s="633"/>
      <c r="AV801" s="634" t="str">
        <f>IFERROR(VLOOKUP(AU801,Listas!$E$85:$F$105,2,FALSE),"Alerta: Seleccione el Concepto de Gasto primero")</f>
        <v>Alerta: Seleccione el Concepto de Gasto primero</v>
      </c>
      <c r="AW801" s="644"/>
      <c r="AX801" s="645"/>
      <c r="AY801" s="645"/>
      <c r="AZ801" s="645"/>
      <c r="BA801" s="646">
        <f t="shared" ref="BA801:BA864" si="256">+AW801+AX801+AY801-AZ801</f>
        <v>0</v>
      </c>
      <c r="BB801" s="647"/>
      <c r="BC801" s="648"/>
      <c r="BD801" s="649"/>
      <c r="BE801" s="647"/>
      <c r="BF801" s="644"/>
      <c r="BG801" s="646">
        <f t="shared" ref="BG801:BG864" si="257">+BA801-BF801</f>
        <v>0</v>
      </c>
      <c r="BH801" s="650"/>
      <c r="BI801" s="647"/>
      <c r="BJ801" s="644"/>
      <c r="BK801" s="646">
        <f t="shared" ref="BK801:BK864" si="258">BF801-BJ801</f>
        <v>0</v>
      </c>
      <c r="BL801" s="651"/>
      <c r="BM801" s="652">
        <f t="shared" ref="BM801:BM864" si="259">MONTH(BL801)</f>
        <v>1</v>
      </c>
      <c r="BN801" s="628"/>
      <c r="BO801" s="670"/>
      <c r="BP801" s="644"/>
      <c r="BQ801" s="644"/>
      <c r="BR801" s="644"/>
      <c r="BS801" s="644"/>
      <c r="BT801" s="644"/>
      <c r="BU801" s="644"/>
      <c r="BV801" s="644"/>
      <c r="BW801" s="644"/>
      <c r="BX801" s="644"/>
      <c r="BY801" s="644"/>
      <c r="BZ801" s="644"/>
      <c r="CA801" s="644"/>
      <c r="CB801" s="646">
        <f t="shared" ref="CB801:CB864" si="260">+SUM(BP801:CA801)</f>
        <v>0</v>
      </c>
      <c r="CC801" s="646">
        <f t="shared" ref="CC801:CC864" si="261">BJ801-CB801</f>
        <v>0</v>
      </c>
      <c r="CD801" s="614"/>
    </row>
    <row r="802" spans="1:82" s="561" customFormat="1" ht="61.5" customHeight="1">
      <c r="A802" s="625" t="str">
        <f t="shared" si="243"/>
        <v>proyecto-Alerta: Seleccione la celda en la comumna B con el nombre del proyecto-Al-Al--</v>
      </c>
      <c r="B802" s="626" t="str">
        <f t="shared" si="244"/>
        <v>proyecto-Alerta: Seleccione la celda en la comumna B con el nombre del proyecto-Al-Al-</v>
      </c>
      <c r="C802" s="626" t="str">
        <f t="shared" si="245"/>
        <v>proyecto-Alerta: Seleccione la celda en la comumna B con el nombre del proyecto-</v>
      </c>
      <c r="D802" s="626" t="str">
        <f t="shared" si="246"/>
        <v>proyecto--Al-Al-</v>
      </c>
      <c r="E802" s="626" t="str">
        <f t="shared" si="247"/>
        <v>--</v>
      </c>
      <c r="F802" s="627"/>
      <c r="G802" s="628">
        <f t="shared" si="248"/>
        <v>0</v>
      </c>
      <c r="H802" s="629" t="b">
        <f t="shared" si="249"/>
        <v>1</v>
      </c>
      <c r="I802" s="630"/>
      <c r="J802" s="627"/>
      <c r="K802" s="631" t="str">
        <f>+IFERROR(VLOOKUP(J802,Listas!$A$108:$B$114,2,FALSE),"Alerta: Seleccione la celda en la comumna B con el nombre del proyecto")</f>
        <v>Alerta: Seleccione la celda en la comumna B con el nombre del proyecto</v>
      </c>
      <c r="L802" s="632"/>
      <c r="M802" s="633"/>
      <c r="N802" s="634" t="str">
        <f t="shared" si="250"/>
        <v xml:space="preserve">(Cód. ) </v>
      </c>
      <c r="O802" s="635"/>
      <c r="P802" s="636">
        <f>IFERROR(VLOOKUP(W802,'Estimación CRP'!$D$21:$E$30,2,FALSE),0)</f>
        <v>0</v>
      </c>
      <c r="Q802" s="637">
        <f>IF(O802="No aplica","No aplica",WORKDAY.INTL(O802,P802,1,'Estimación CRP'!A988:A1004))</f>
        <v>0</v>
      </c>
      <c r="R802" s="636">
        <f t="shared" si="251"/>
        <v>1</v>
      </c>
      <c r="S802" s="636">
        <f t="shared" si="252"/>
        <v>1</v>
      </c>
      <c r="T802" s="636">
        <f t="shared" si="253"/>
        <v>1</v>
      </c>
      <c r="U802" s="638"/>
      <c r="V802" s="638"/>
      <c r="W802" s="639"/>
      <c r="X802" s="640" t="str">
        <f>IFERROR(VLOOKUP(W802,Listas!$A$60:$B$73,2,FALSE),"Alerta: Seleccione primero Modalidad de selección")</f>
        <v>Alerta: Seleccione primero Modalidad de selección</v>
      </c>
      <c r="Y802" s="641">
        <v>0</v>
      </c>
      <c r="Z802" s="641"/>
      <c r="AA802" s="641"/>
      <c r="AB802" s="642">
        <f t="shared" si="254"/>
        <v>0</v>
      </c>
      <c r="AC802" s="642">
        <f t="shared" si="255"/>
        <v>0</v>
      </c>
      <c r="AD802" s="641">
        <v>0</v>
      </c>
      <c r="AE802" s="643">
        <v>0</v>
      </c>
      <c r="AF802" s="639" t="s">
        <v>276</v>
      </c>
      <c r="AG802" s="639" t="s">
        <v>277</v>
      </c>
      <c r="AH802" s="639"/>
      <c r="AI802" s="626" t="str">
        <f>IFERROR(VLOOKUP(AH802,Listas!$A$77:$C$83,2,FALSE),"Alerta: Seleccione primero el responsable")</f>
        <v>Alerta: Seleccione primero el responsable</v>
      </c>
      <c r="AJ802" s="640" t="str">
        <f>IFERROR(VLOOKUP(AH802,Listas!$A$77:$C$83,3,FALSE),"Alerta: Seleccione primero el responsable")</f>
        <v>Alerta: Seleccione primero el responsable</v>
      </c>
      <c r="AK802" s="640" t="str">
        <f>IF(J802="Funcionamiento Gastos Generales","No aplica",IF(J802="Funcionamiento Servicios Personales indirectos","No aplica",IFERROR(VLOOKUP(J802,Listas!$A$127:$E$139,3,FALSE),"Alerta: Seleccione la celda en la comumna B con el nombre del proyecto")))</f>
        <v>Alerta: Seleccione la celda en la comumna B con el nombre del proyecto</v>
      </c>
      <c r="AL802" s="640" t="str">
        <f>IF(J802="Funcionamiento Gastos Generales","No aplica",IF(J802="Funcionamiento Servicios Personales","No aplica",IFERROR(VLOOKUP(J802,Listas!$A$220:$D$224,2,FALSE),"Alerta: Seleccione la celda en la comumna B con el nombre del proyecto")))</f>
        <v>Alerta: Seleccione la celda en la comumna B con el nombre del proyecto</v>
      </c>
      <c r="AM802" s="640" t="str">
        <f>IF(J802="Funcionamiento Gastos Generales","No aplica",IF(J802="Funcionamiento Servicios Personales","No aplica",IFERROR(VLOOKUP(J802,Listas!$A$220:$D$224,3,FALSE),"Alerta: Seleccione la celda en la comumna B con el nombre del proyecto")))</f>
        <v>Alerta: Seleccione la celda en la comumna B con el nombre del proyecto</v>
      </c>
      <c r="AN802" s="633"/>
      <c r="AO802" s="633"/>
      <c r="AP802" s="634" t="str">
        <f>IFERROR(VLOOKUP(J802,Listas!$A$182:$E$215,5,FALSE),"Alerta: Seleccione la celda en la comumna B con el nombre del proyecto")</f>
        <v>Alerta: Seleccione la celda en la comumna B con el nombre del proyecto</v>
      </c>
      <c r="AQ802" s="634" t="str">
        <f>IF(J802="Funcionamiento Gastos Generales","No aplica",IF(J802="Funcionamiento Servicios Personales","No aplica",IFERROR(VLOOKUP(J802,Listas!$A$220:$D$224,4,FALSE),"Alerta: Seleccione la celda en la comumna B con el nombre del proyecto")))</f>
        <v>Alerta: Seleccione la celda en la comumna B con el nombre del proyecto</v>
      </c>
      <c r="AR802" s="633"/>
      <c r="AS802" s="634" t="str">
        <f>IFERROR(VLOOKUP(AU802,Listas!$E$85:$L$105,7,FALSE),"Alerta: Seleccione la celda en la comumna AI con el concepto de gasto")</f>
        <v>Alerta: Seleccione la celda en la comumna AI con el concepto de gasto</v>
      </c>
      <c r="AT802" s="634" t="str">
        <f>IFERROR(VLOOKUP(AU802,Listas!$E$85:$L$105,8,FALSE),"Alerta: Seleccione la celda en la comumna AI con el concepto de gasto")</f>
        <v>Alerta: Seleccione la celda en la comumna AI con el concepto de gasto</v>
      </c>
      <c r="AU802" s="633"/>
      <c r="AV802" s="634" t="str">
        <f>IFERROR(VLOOKUP(AU802,Listas!$E$85:$F$105,2,FALSE),"Alerta: Seleccione el Concepto de Gasto primero")</f>
        <v>Alerta: Seleccione el Concepto de Gasto primero</v>
      </c>
      <c r="AW802" s="644"/>
      <c r="AX802" s="645"/>
      <c r="AY802" s="645"/>
      <c r="AZ802" s="645"/>
      <c r="BA802" s="646">
        <f t="shared" si="256"/>
        <v>0</v>
      </c>
      <c r="BB802" s="647"/>
      <c r="BC802" s="648"/>
      <c r="BD802" s="649"/>
      <c r="BE802" s="647"/>
      <c r="BF802" s="644"/>
      <c r="BG802" s="646">
        <f t="shared" si="257"/>
        <v>0</v>
      </c>
      <c r="BH802" s="650"/>
      <c r="BI802" s="647"/>
      <c r="BJ802" s="644"/>
      <c r="BK802" s="646">
        <f t="shared" si="258"/>
        <v>0</v>
      </c>
      <c r="BL802" s="651"/>
      <c r="BM802" s="652">
        <f t="shared" si="259"/>
        <v>1</v>
      </c>
      <c r="BN802" s="628"/>
      <c r="BO802" s="670"/>
      <c r="BP802" s="644"/>
      <c r="BQ802" s="644"/>
      <c r="BR802" s="644"/>
      <c r="BS802" s="644"/>
      <c r="BT802" s="644"/>
      <c r="BU802" s="644"/>
      <c r="BV802" s="644"/>
      <c r="BW802" s="644"/>
      <c r="BX802" s="644"/>
      <c r="BY802" s="644"/>
      <c r="BZ802" s="644"/>
      <c r="CA802" s="644"/>
      <c r="CB802" s="646">
        <f t="shared" si="260"/>
        <v>0</v>
      </c>
      <c r="CC802" s="646">
        <f t="shared" si="261"/>
        <v>0</v>
      </c>
      <c r="CD802" s="614"/>
    </row>
    <row r="803" spans="1:82" s="561" customFormat="1" ht="61.5" customHeight="1">
      <c r="A803" s="625" t="str">
        <f t="shared" si="243"/>
        <v>proyecto-Alerta: Seleccione la celda en la comumna B con el nombre del proyecto-Al-Al--</v>
      </c>
      <c r="B803" s="626" t="str">
        <f t="shared" si="244"/>
        <v>proyecto-Alerta: Seleccione la celda en la comumna B con el nombre del proyecto-Al-Al-</v>
      </c>
      <c r="C803" s="626" t="str">
        <f t="shared" si="245"/>
        <v>proyecto-Alerta: Seleccione la celda en la comumna B con el nombre del proyecto-</v>
      </c>
      <c r="D803" s="626" t="str">
        <f t="shared" si="246"/>
        <v>proyecto--Al-Al-</v>
      </c>
      <c r="E803" s="626" t="str">
        <f t="shared" si="247"/>
        <v>--</v>
      </c>
      <c r="F803" s="627"/>
      <c r="G803" s="628">
        <f t="shared" si="248"/>
        <v>0</v>
      </c>
      <c r="H803" s="629" t="b">
        <f t="shared" si="249"/>
        <v>1</v>
      </c>
      <c r="I803" s="630"/>
      <c r="J803" s="627"/>
      <c r="K803" s="631" t="str">
        <f>+IFERROR(VLOOKUP(J803,Listas!$A$108:$B$114,2,FALSE),"Alerta: Seleccione la celda en la comumna B con el nombre del proyecto")</f>
        <v>Alerta: Seleccione la celda en la comumna B con el nombre del proyecto</v>
      </c>
      <c r="L803" s="632"/>
      <c r="M803" s="633"/>
      <c r="N803" s="634" t="str">
        <f t="shared" si="250"/>
        <v xml:space="preserve">(Cód. ) </v>
      </c>
      <c r="O803" s="635"/>
      <c r="P803" s="636">
        <f>IFERROR(VLOOKUP(W803,'Estimación CRP'!$D$21:$E$30,2,FALSE),0)</f>
        <v>0</v>
      </c>
      <c r="Q803" s="637">
        <f>IF(O803="No aplica","No aplica",WORKDAY.INTL(O803,P803,1,'Estimación CRP'!A989:A1005))</f>
        <v>0</v>
      </c>
      <c r="R803" s="636">
        <f t="shared" si="251"/>
        <v>1</v>
      </c>
      <c r="S803" s="636">
        <f t="shared" si="252"/>
        <v>1</v>
      </c>
      <c r="T803" s="636">
        <f t="shared" si="253"/>
        <v>1</v>
      </c>
      <c r="U803" s="638"/>
      <c r="V803" s="638"/>
      <c r="W803" s="639"/>
      <c r="X803" s="640" t="str">
        <f>IFERROR(VLOOKUP(W803,Listas!$A$60:$B$73,2,FALSE),"Alerta: Seleccione primero Modalidad de selección")</f>
        <v>Alerta: Seleccione primero Modalidad de selección</v>
      </c>
      <c r="Y803" s="641">
        <v>0</v>
      </c>
      <c r="Z803" s="641"/>
      <c r="AA803" s="641"/>
      <c r="AB803" s="642">
        <f t="shared" si="254"/>
        <v>0</v>
      </c>
      <c r="AC803" s="642">
        <f t="shared" si="255"/>
        <v>0</v>
      </c>
      <c r="AD803" s="641">
        <v>0</v>
      </c>
      <c r="AE803" s="643">
        <v>0</v>
      </c>
      <c r="AF803" s="639" t="s">
        <v>276</v>
      </c>
      <c r="AG803" s="639" t="s">
        <v>277</v>
      </c>
      <c r="AH803" s="639"/>
      <c r="AI803" s="626" t="str">
        <f>IFERROR(VLOOKUP(AH803,Listas!$A$77:$C$83,2,FALSE),"Alerta: Seleccione primero el responsable")</f>
        <v>Alerta: Seleccione primero el responsable</v>
      </c>
      <c r="AJ803" s="640" t="str">
        <f>IFERROR(VLOOKUP(AH803,Listas!$A$77:$C$83,3,FALSE),"Alerta: Seleccione primero el responsable")</f>
        <v>Alerta: Seleccione primero el responsable</v>
      </c>
      <c r="AK803" s="640" t="str">
        <f>IF(J803="Funcionamiento Gastos Generales","No aplica",IF(J803="Funcionamiento Servicios Personales indirectos","No aplica",IFERROR(VLOOKUP(J803,Listas!$A$127:$E$139,3,FALSE),"Alerta: Seleccione la celda en la comumna B con el nombre del proyecto")))</f>
        <v>Alerta: Seleccione la celda en la comumna B con el nombre del proyecto</v>
      </c>
      <c r="AL803" s="640" t="str">
        <f>IF(J803="Funcionamiento Gastos Generales","No aplica",IF(J803="Funcionamiento Servicios Personales","No aplica",IFERROR(VLOOKUP(J803,Listas!$A$220:$D$224,2,FALSE),"Alerta: Seleccione la celda en la comumna B con el nombre del proyecto")))</f>
        <v>Alerta: Seleccione la celda en la comumna B con el nombre del proyecto</v>
      </c>
      <c r="AM803" s="640" t="str">
        <f>IF(J803="Funcionamiento Gastos Generales","No aplica",IF(J803="Funcionamiento Servicios Personales","No aplica",IFERROR(VLOOKUP(J803,Listas!$A$220:$D$224,3,FALSE),"Alerta: Seleccione la celda en la comumna B con el nombre del proyecto")))</f>
        <v>Alerta: Seleccione la celda en la comumna B con el nombre del proyecto</v>
      </c>
      <c r="AN803" s="633"/>
      <c r="AO803" s="633"/>
      <c r="AP803" s="634" t="str">
        <f>IFERROR(VLOOKUP(J803,Listas!$A$182:$E$215,5,FALSE),"Alerta: Seleccione la celda en la comumna B con el nombre del proyecto")</f>
        <v>Alerta: Seleccione la celda en la comumna B con el nombre del proyecto</v>
      </c>
      <c r="AQ803" s="634" t="str">
        <f>IF(J803="Funcionamiento Gastos Generales","No aplica",IF(J803="Funcionamiento Servicios Personales","No aplica",IFERROR(VLOOKUP(J803,Listas!$A$220:$D$224,4,FALSE),"Alerta: Seleccione la celda en la comumna B con el nombre del proyecto")))</f>
        <v>Alerta: Seleccione la celda en la comumna B con el nombre del proyecto</v>
      </c>
      <c r="AR803" s="633"/>
      <c r="AS803" s="634" t="str">
        <f>IFERROR(VLOOKUP(AU803,Listas!$E$85:$L$105,7,FALSE),"Alerta: Seleccione la celda en la comumna AI con el concepto de gasto")</f>
        <v>Alerta: Seleccione la celda en la comumna AI con el concepto de gasto</v>
      </c>
      <c r="AT803" s="634" t="str">
        <f>IFERROR(VLOOKUP(AU803,Listas!$E$85:$L$105,8,FALSE),"Alerta: Seleccione la celda en la comumna AI con el concepto de gasto")</f>
        <v>Alerta: Seleccione la celda en la comumna AI con el concepto de gasto</v>
      </c>
      <c r="AU803" s="633"/>
      <c r="AV803" s="634" t="str">
        <f>IFERROR(VLOOKUP(AU803,Listas!$E$85:$F$105,2,FALSE),"Alerta: Seleccione el Concepto de Gasto primero")</f>
        <v>Alerta: Seleccione el Concepto de Gasto primero</v>
      </c>
      <c r="AW803" s="644"/>
      <c r="AX803" s="645"/>
      <c r="AY803" s="645"/>
      <c r="AZ803" s="645"/>
      <c r="BA803" s="646">
        <f t="shared" si="256"/>
        <v>0</v>
      </c>
      <c r="BB803" s="647"/>
      <c r="BC803" s="648"/>
      <c r="BD803" s="649"/>
      <c r="BE803" s="647"/>
      <c r="BF803" s="644"/>
      <c r="BG803" s="646">
        <f t="shared" si="257"/>
        <v>0</v>
      </c>
      <c r="BH803" s="650"/>
      <c r="BI803" s="647"/>
      <c r="BJ803" s="644"/>
      <c r="BK803" s="646">
        <f t="shared" si="258"/>
        <v>0</v>
      </c>
      <c r="BL803" s="651"/>
      <c r="BM803" s="652">
        <f t="shared" si="259"/>
        <v>1</v>
      </c>
      <c r="BN803" s="628"/>
      <c r="BO803" s="670"/>
      <c r="BP803" s="644"/>
      <c r="BQ803" s="644"/>
      <c r="BR803" s="644"/>
      <c r="BS803" s="644"/>
      <c r="BT803" s="644"/>
      <c r="BU803" s="644"/>
      <c r="BV803" s="644"/>
      <c r="BW803" s="644"/>
      <c r="BX803" s="644"/>
      <c r="BY803" s="644"/>
      <c r="BZ803" s="644"/>
      <c r="CA803" s="644"/>
      <c r="CB803" s="646">
        <f t="shared" si="260"/>
        <v>0</v>
      </c>
      <c r="CC803" s="646">
        <f t="shared" si="261"/>
        <v>0</v>
      </c>
      <c r="CD803" s="614"/>
    </row>
    <row r="804" spans="1:82" s="561" customFormat="1" ht="61.5" customHeight="1">
      <c r="A804" s="625" t="str">
        <f t="shared" si="243"/>
        <v>proyecto-Alerta: Seleccione la celda en la comumna B con el nombre del proyecto-Al-Al--</v>
      </c>
      <c r="B804" s="626" t="str">
        <f t="shared" si="244"/>
        <v>proyecto-Alerta: Seleccione la celda en la comumna B con el nombre del proyecto-Al-Al-</v>
      </c>
      <c r="C804" s="626" t="str">
        <f t="shared" si="245"/>
        <v>proyecto-Alerta: Seleccione la celda en la comumna B con el nombre del proyecto-</v>
      </c>
      <c r="D804" s="626" t="str">
        <f t="shared" si="246"/>
        <v>proyecto--Al-Al-</v>
      </c>
      <c r="E804" s="626" t="str">
        <f t="shared" si="247"/>
        <v>--</v>
      </c>
      <c r="F804" s="627"/>
      <c r="G804" s="628">
        <f t="shared" si="248"/>
        <v>0</v>
      </c>
      <c r="H804" s="629" t="b">
        <f t="shared" si="249"/>
        <v>1</v>
      </c>
      <c r="I804" s="630"/>
      <c r="J804" s="627"/>
      <c r="K804" s="631" t="str">
        <f>+IFERROR(VLOOKUP(J804,Listas!$A$108:$B$114,2,FALSE),"Alerta: Seleccione la celda en la comumna B con el nombre del proyecto")</f>
        <v>Alerta: Seleccione la celda en la comumna B con el nombre del proyecto</v>
      </c>
      <c r="L804" s="632"/>
      <c r="M804" s="633"/>
      <c r="N804" s="634" t="str">
        <f t="shared" si="250"/>
        <v xml:space="preserve">(Cód. ) </v>
      </c>
      <c r="O804" s="635"/>
      <c r="P804" s="636">
        <f>IFERROR(VLOOKUP(W804,'Estimación CRP'!$D$21:$E$30,2,FALSE),0)</f>
        <v>0</v>
      </c>
      <c r="Q804" s="637">
        <f>IF(O804="No aplica","No aplica",WORKDAY.INTL(O804,P804,1,'Estimación CRP'!A990:A1006))</f>
        <v>0</v>
      </c>
      <c r="R804" s="636">
        <f t="shared" si="251"/>
        <v>1</v>
      </c>
      <c r="S804" s="636">
        <f t="shared" si="252"/>
        <v>1</v>
      </c>
      <c r="T804" s="636">
        <f t="shared" si="253"/>
        <v>1</v>
      </c>
      <c r="U804" s="638"/>
      <c r="V804" s="638"/>
      <c r="W804" s="639"/>
      <c r="X804" s="640" t="str">
        <f>IFERROR(VLOOKUP(W804,Listas!$A$60:$B$73,2,FALSE),"Alerta: Seleccione primero Modalidad de selección")</f>
        <v>Alerta: Seleccione primero Modalidad de selección</v>
      </c>
      <c r="Y804" s="641">
        <v>0</v>
      </c>
      <c r="Z804" s="641"/>
      <c r="AA804" s="641"/>
      <c r="AB804" s="642">
        <f t="shared" si="254"/>
        <v>0</v>
      </c>
      <c r="AC804" s="642">
        <f t="shared" si="255"/>
        <v>0</v>
      </c>
      <c r="AD804" s="641">
        <v>0</v>
      </c>
      <c r="AE804" s="643">
        <v>0</v>
      </c>
      <c r="AF804" s="639" t="s">
        <v>276</v>
      </c>
      <c r="AG804" s="639" t="s">
        <v>277</v>
      </c>
      <c r="AH804" s="639"/>
      <c r="AI804" s="626" t="str">
        <f>IFERROR(VLOOKUP(AH804,Listas!$A$77:$C$83,2,FALSE),"Alerta: Seleccione primero el responsable")</f>
        <v>Alerta: Seleccione primero el responsable</v>
      </c>
      <c r="AJ804" s="640" t="str">
        <f>IFERROR(VLOOKUP(AH804,Listas!$A$77:$C$83,3,FALSE),"Alerta: Seleccione primero el responsable")</f>
        <v>Alerta: Seleccione primero el responsable</v>
      </c>
      <c r="AK804" s="640" t="str">
        <f>IF(J804="Funcionamiento Gastos Generales","No aplica",IF(J804="Funcionamiento Servicios Personales indirectos","No aplica",IFERROR(VLOOKUP(J804,Listas!$A$127:$E$139,3,FALSE),"Alerta: Seleccione la celda en la comumna B con el nombre del proyecto")))</f>
        <v>Alerta: Seleccione la celda en la comumna B con el nombre del proyecto</v>
      </c>
      <c r="AL804" s="640" t="str">
        <f>IF(J804="Funcionamiento Gastos Generales","No aplica",IF(J804="Funcionamiento Servicios Personales","No aplica",IFERROR(VLOOKUP(J804,Listas!$A$220:$D$224,2,FALSE),"Alerta: Seleccione la celda en la comumna B con el nombre del proyecto")))</f>
        <v>Alerta: Seleccione la celda en la comumna B con el nombre del proyecto</v>
      </c>
      <c r="AM804" s="640" t="str">
        <f>IF(J804="Funcionamiento Gastos Generales","No aplica",IF(J804="Funcionamiento Servicios Personales","No aplica",IFERROR(VLOOKUP(J804,Listas!$A$220:$D$224,3,FALSE),"Alerta: Seleccione la celda en la comumna B con el nombre del proyecto")))</f>
        <v>Alerta: Seleccione la celda en la comumna B con el nombre del proyecto</v>
      </c>
      <c r="AN804" s="633"/>
      <c r="AO804" s="633"/>
      <c r="AP804" s="634" t="str">
        <f>IFERROR(VLOOKUP(J804,Listas!$A$182:$E$215,5,FALSE),"Alerta: Seleccione la celda en la comumna B con el nombre del proyecto")</f>
        <v>Alerta: Seleccione la celda en la comumna B con el nombre del proyecto</v>
      </c>
      <c r="AQ804" s="634" t="str">
        <f>IF(J804="Funcionamiento Gastos Generales","No aplica",IF(J804="Funcionamiento Servicios Personales","No aplica",IFERROR(VLOOKUP(J804,Listas!$A$220:$D$224,4,FALSE),"Alerta: Seleccione la celda en la comumna B con el nombre del proyecto")))</f>
        <v>Alerta: Seleccione la celda en la comumna B con el nombre del proyecto</v>
      </c>
      <c r="AR804" s="633"/>
      <c r="AS804" s="634" t="str">
        <f>IFERROR(VLOOKUP(AU804,Listas!$E$85:$L$105,7,FALSE),"Alerta: Seleccione la celda en la comumna AI con el concepto de gasto")</f>
        <v>Alerta: Seleccione la celda en la comumna AI con el concepto de gasto</v>
      </c>
      <c r="AT804" s="634" t="str">
        <f>IFERROR(VLOOKUP(AU804,Listas!$E$85:$L$105,8,FALSE),"Alerta: Seleccione la celda en la comumna AI con el concepto de gasto")</f>
        <v>Alerta: Seleccione la celda en la comumna AI con el concepto de gasto</v>
      </c>
      <c r="AU804" s="633"/>
      <c r="AV804" s="634" t="str">
        <f>IFERROR(VLOOKUP(AU804,Listas!$E$85:$F$105,2,FALSE),"Alerta: Seleccione el Concepto de Gasto primero")</f>
        <v>Alerta: Seleccione el Concepto de Gasto primero</v>
      </c>
      <c r="AW804" s="644"/>
      <c r="AX804" s="645"/>
      <c r="AY804" s="645"/>
      <c r="AZ804" s="645"/>
      <c r="BA804" s="646">
        <f t="shared" si="256"/>
        <v>0</v>
      </c>
      <c r="BB804" s="647"/>
      <c r="BC804" s="648"/>
      <c r="BD804" s="649"/>
      <c r="BE804" s="647"/>
      <c r="BF804" s="644"/>
      <c r="BG804" s="646">
        <f t="shared" si="257"/>
        <v>0</v>
      </c>
      <c r="BH804" s="650"/>
      <c r="BI804" s="647"/>
      <c r="BJ804" s="644"/>
      <c r="BK804" s="646">
        <f t="shared" si="258"/>
        <v>0</v>
      </c>
      <c r="BL804" s="651"/>
      <c r="BM804" s="652">
        <f t="shared" si="259"/>
        <v>1</v>
      </c>
      <c r="BN804" s="628"/>
      <c r="BO804" s="670"/>
      <c r="BP804" s="644"/>
      <c r="BQ804" s="644"/>
      <c r="BR804" s="644"/>
      <c r="BS804" s="644"/>
      <c r="BT804" s="644"/>
      <c r="BU804" s="644"/>
      <c r="BV804" s="644"/>
      <c r="BW804" s="644"/>
      <c r="BX804" s="644"/>
      <c r="BY804" s="644"/>
      <c r="BZ804" s="644"/>
      <c r="CA804" s="644"/>
      <c r="CB804" s="646">
        <f t="shared" si="260"/>
        <v>0</v>
      </c>
      <c r="CC804" s="646">
        <f t="shared" si="261"/>
        <v>0</v>
      </c>
      <c r="CD804" s="614"/>
    </row>
    <row r="805" spans="1:82" s="561" customFormat="1" ht="61.5" customHeight="1">
      <c r="A805" s="625" t="str">
        <f t="shared" si="243"/>
        <v>proyecto-Alerta: Seleccione la celda en la comumna B con el nombre del proyecto-Al-Al--</v>
      </c>
      <c r="B805" s="626" t="str">
        <f t="shared" si="244"/>
        <v>proyecto-Alerta: Seleccione la celda en la comumna B con el nombre del proyecto-Al-Al-</v>
      </c>
      <c r="C805" s="626" t="str">
        <f t="shared" si="245"/>
        <v>proyecto-Alerta: Seleccione la celda en la comumna B con el nombre del proyecto-</v>
      </c>
      <c r="D805" s="626" t="str">
        <f t="shared" si="246"/>
        <v>proyecto--Al-Al-</v>
      </c>
      <c r="E805" s="626" t="str">
        <f t="shared" si="247"/>
        <v>--</v>
      </c>
      <c r="F805" s="627"/>
      <c r="G805" s="628">
        <f t="shared" si="248"/>
        <v>0</v>
      </c>
      <c r="H805" s="629" t="b">
        <f t="shared" si="249"/>
        <v>1</v>
      </c>
      <c r="I805" s="630"/>
      <c r="J805" s="627"/>
      <c r="K805" s="631" t="str">
        <f>+IFERROR(VLOOKUP(J805,Listas!$A$108:$B$114,2,FALSE),"Alerta: Seleccione la celda en la comumna B con el nombre del proyecto")</f>
        <v>Alerta: Seleccione la celda en la comumna B con el nombre del proyecto</v>
      </c>
      <c r="L805" s="632"/>
      <c r="M805" s="633"/>
      <c r="N805" s="634" t="str">
        <f t="shared" si="250"/>
        <v xml:space="preserve">(Cód. ) </v>
      </c>
      <c r="O805" s="635"/>
      <c r="P805" s="636">
        <f>IFERROR(VLOOKUP(W805,'Estimación CRP'!$D$21:$E$30,2,FALSE),0)</f>
        <v>0</v>
      </c>
      <c r="Q805" s="637">
        <f>IF(O805="No aplica","No aplica",WORKDAY.INTL(O805,P805,1,'Estimación CRP'!A991:A1007))</f>
        <v>0</v>
      </c>
      <c r="R805" s="636">
        <f t="shared" si="251"/>
        <v>1</v>
      </c>
      <c r="S805" s="636">
        <f t="shared" si="252"/>
        <v>1</v>
      </c>
      <c r="T805" s="636">
        <f t="shared" si="253"/>
        <v>1</v>
      </c>
      <c r="U805" s="638"/>
      <c r="V805" s="638"/>
      <c r="W805" s="639"/>
      <c r="X805" s="640" t="str">
        <f>IFERROR(VLOOKUP(W805,Listas!$A$60:$B$73,2,FALSE),"Alerta: Seleccione primero Modalidad de selección")</f>
        <v>Alerta: Seleccione primero Modalidad de selección</v>
      </c>
      <c r="Y805" s="641">
        <v>0</v>
      </c>
      <c r="Z805" s="641"/>
      <c r="AA805" s="641"/>
      <c r="AB805" s="642">
        <f t="shared" si="254"/>
        <v>0</v>
      </c>
      <c r="AC805" s="642">
        <f t="shared" si="255"/>
        <v>0</v>
      </c>
      <c r="AD805" s="641">
        <v>0</v>
      </c>
      <c r="AE805" s="643">
        <v>0</v>
      </c>
      <c r="AF805" s="639" t="s">
        <v>276</v>
      </c>
      <c r="AG805" s="639" t="s">
        <v>277</v>
      </c>
      <c r="AH805" s="639"/>
      <c r="AI805" s="626" t="str">
        <f>IFERROR(VLOOKUP(AH805,Listas!$A$77:$C$83,2,FALSE),"Alerta: Seleccione primero el responsable")</f>
        <v>Alerta: Seleccione primero el responsable</v>
      </c>
      <c r="AJ805" s="640" t="str">
        <f>IFERROR(VLOOKUP(AH805,Listas!$A$77:$C$83,3,FALSE),"Alerta: Seleccione primero el responsable")</f>
        <v>Alerta: Seleccione primero el responsable</v>
      </c>
      <c r="AK805" s="640" t="str">
        <f>IF(J805="Funcionamiento Gastos Generales","No aplica",IF(J805="Funcionamiento Servicios Personales indirectos","No aplica",IFERROR(VLOOKUP(J805,Listas!$A$127:$E$139,3,FALSE),"Alerta: Seleccione la celda en la comumna B con el nombre del proyecto")))</f>
        <v>Alerta: Seleccione la celda en la comumna B con el nombre del proyecto</v>
      </c>
      <c r="AL805" s="640" t="str">
        <f>IF(J805="Funcionamiento Gastos Generales","No aplica",IF(J805="Funcionamiento Servicios Personales","No aplica",IFERROR(VLOOKUP(J805,Listas!$A$220:$D$224,2,FALSE),"Alerta: Seleccione la celda en la comumna B con el nombre del proyecto")))</f>
        <v>Alerta: Seleccione la celda en la comumna B con el nombre del proyecto</v>
      </c>
      <c r="AM805" s="640" t="str">
        <f>IF(J805="Funcionamiento Gastos Generales","No aplica",IF(J805="Funcionamiento Servicios Personales","No aplica",IFERROR(VLOOKUP(J805,Listas!$A$220:$D$224,3,FALSE),"Alerta: Seleccione la celda en la comumna B con el nombre del proyecto")))</f>
        <v>Alerta: Seleccione la celda en la comumna B con el nombre del proyecto</v>
      </c>
      <c r="AN805" s="633"/>
      <c r="AO805" s="633"/>
      <c r="AP805" s="634" t="str">
        <f>IFERROR(VLOOKUP(J805,Listas!$A$182:$E$215,5,FALSE),"Alerta: Seleccione la celda en la comumna B con el nombre del proyecto")</f>
        <v>Alerta: Seleccione la celda en la comumna B con el nombre del proyecto</v>
      </c>
      <c r="AQ805" s="634" t="str">
        <f>IF(J805="Funcionamiento Gastos Generales","No aplica",IF(J805="Funcionamiento Servicios Personales","No aplica",IFERROR(VLOOKUP(J805,Listas!$A$220:$D$224,4,FALSE),"Alerta: Seleccione la celda en la comumna B con el nombre del proyecto")))</f>
        <v>Alerta: Seleccione la celda en la comumna B con el nombre del proyecto</v>
      </c>
      <c r="AR805" s="633"/>
      <c r="AS805" s="634" t="str">
        <f>IFERROR(VLOOKUP(AU805,Listas!$E$85:$L$105,7,FALSE),"Alerta: Seleccione la celda en la comumna AI con el concepto de gasto")</f>
        <v>Alerta: Seleccione la celda en la comumna AI con el concepto de gasto</v>
      </c>
      <c r="AT805" s="634" t="str">
        <f>IFERROR(VLOOKUP(AU805,Listas!$E$85:$L$105,8,FALSE),"Alerta: Seleccione la celda en la comumna AI con el concepto de gasto")</f>
        <v>Alerta: Seleccione la celda en la comumna AI con el concepto de gasto</v>
      </c>
      <c r="AU805" s="633"/>
      <c r="AV805" s="634" t="str">
        <f>IFERROR(VLOOKUP(AU805,Listas!$E$85:$F$105,2,FALSE),"Alerta: Seleccione el Concepto de Gasto primero")</f>
        <v>Alerta: Seleccione el Concepto de Gasto primero</v>
      </c>
      <c r="AW805" s="644"/>
      <c r="AX805" s="645"/>
      <c r="AY805" s="645"/>
      <c r="AZ805" s="645"/>
      <c r="BA805" s="646">
        <f t="shared" si="256"/>
        <v>0</v>
      </c>
      <c r="BB805" s="647"/>
      <c r="BC805" s="648"/>
      <c r="BD805" s="649"/>
      <c r="BE805" s="647"/>
      <c r="BF805" s="644"/>
      <c r="BG805" s="646">
        <f t="shared" si="257"/>
        <v>0</v>
      </c>
      <c r="BH805" s="650"/>
      <c r="BI805" s="647"/>
      <c r="BJ805" s="644"/>
      <c r="BK805" s="646">
        <f t="shared" si="258"/>
        <v>0</v>
      </c>
      <c r="BL805" s="651"/>
      <c r="BM805" s="652">
        <f t="shared" si="259"/>
        <v>1</v>
      </c>
      <c r="BN805" s="628"/>
      <c r="BO805" s="670"/>
      <c r="BP805" s="644"/>
      <c r="BQ805" s="644"/>
      <c r="BR805" s="644"/>
      <c r="BS805" s="644"/>
      <c r="BT805" s="644"/>
      <c r="BU805" s="644"/>
      <c r="BV805" s="644"/>
      <c r="BW805" s="644"/>
      <c r="BX805" s="644"/>
      <c r="BY805" s="644"/>
      <c r="BZ805" s="644"/>
      <c r="CA805" s="644"/>
      <c r="CB805" s="646">
        <f t="shared" si="260"/>
        <v>0</v>
      </c>
      <c r="CC805" s="646">
        <f t="shared" si="261"/>
        <v>0</v>
      </c>
      <c r="CD805" s="614"/>
    </row>
    <row r="806" spans="1:82" s="561" customFormat="1" ht="61.5" customHeight="1">
      <c r="A806" s="625" t="str">
        <f t="shared" si="243"/>
        <v>proyecto-Alerta: Seleccione la celda en la comumna B con el nombre del proyecto-Al-Al--</v>
      </c>
      <c r="B806" s="626" t="str">
        <f t="shared" si="244"/>
        <v>proyecto-Alerta: Seleccione la celda en la comumna B con el nombre del proyecto-Al-Al-</v>
      </c>
      <c r="C806" s="626" t="str">
        <f t="shared" si="245"/>
        <v>proyecto-Alerta: Seleccione la celda en la comumna B con el nombre del proyecto-</v>
      </c>
      <c r="D806" s="626" t="str">
        <f t="shared" si="246"/>
        <v>proyecto--Al-Al-</v>
      </c>
      <c r="E806" s="626" t="str">
        <f t="shared" si="247"/>
        <v>--</v>
      </c>
      <c r="F806" s="627"/>
      <c r="G806" s="628">
        <f t="shared" si="248"/>
        <v>0</v>
      </c>
      <c r="H806" s="629" t="b">
        <f t="shared" si="249"/>
        <v>1</v>
      </c>
      <c r="I806" s="630"/>
      <c r="J806" s="627"/>
      <c r="K806" s="631" t="str">
        <f>+IFERROR(VLOOKUP(J806,Listas!$A$108:$B$114,2,FALSE),"Alerta: Seleccione la celda en la comumna B con el nombre del proyecto")</f>
        <v>Alerta: Seleccione la celda en la comumna B con el nombre del proyecto</v>
      </c>
      <c r="L806" s="632"/>
      <c r="M806" s="633"/>
      <c r="N806" s="634" t="str">
        <f t="shared" si="250"/>
        <v xml:space="preserve">(Cód. ) </v>
      </c>
      <c r="O806" s="635"/>
      <c r="P806" s="636">
        <f>IFERROR(VLOOKUP(W806,'Estimación CRP'!$D$21:$E$30,2,FALSE),0)</f>
        <v>0</v>
      </c>
      <c r="Q806" s="637">
        <f>IF(O806="No aplica","No aplica",WORKDAY.INTL(O806,P806,1,'Estimación CRP'!A992:A1008))</f>
        <v>0</v>
      </c>
      <c r="R806" s="636">
        <f t="shared" si="251"/>
        <v>1</v>
      </c>
      <c r="S806" s="636">
        <f t="shared" si="252"/>
        <v>1</v>
      </c>
      <c r="T806" s="636">
        <f t="shared" si="253"/>
        <v>1</v>
      </c>
      <c r="U806" s="638"/>
      <c r="V806" s="638"/>
      <c r="W806" s="639"/>
      <c r="X806" s="640" t="str">
        <f>IFERROR(VLOOKUP(W806,Listas!$A$60:$B$73,2,FALSE),"Alerta: Seleccione primero Modalidad de selección")</f>
        <v>Alerta: Seleccione primero Modalidad de selección</v>
      </c>
      <c r="Y806" s="641">
        <v>0</v>
      </c>
      <c r="Z806" s="641"/>
      <c r="AA806" s="641"/>
      <c r="AB806" s="642">
        <f t="shared" si="254"/>
        <v>0</v>
      </c>
      <c r="AC806" s="642">
        <f t="shared" si="255"/>
        <v>0</v>
      </c>
      <c r="AD806" s="641">
        <v>0</v>
      </c>
      <c r="AE806" s="643">
        <v>0</v>
      </c>
      <c r="AF806" s="639" t="s">
        <v>276</v>
      </c>
      <c r="AG806" s="639" t="s">
        <v>277</v>
      </c>
      <c r="AH806" s="639"/>
      <c r="AI806" s="626" t="str">
        <f>IFERROR(VLOOKUP(AH806,Listas!$A$77:$C$83,2,FALSE),"Alerta: Seleccione primero el responsable")</f>
        <v>Alerta: Seleccione primero el responsable</v>
      </c>
      <c r="AJ806" s="640" t="str">
        <f>IFERROR(VLOOKUP(AH806,Listas!$A$77:$C$83,3,FALSE),"Alerta: Seleccione primero el responsable")</f>
        <v>Alerta: Seleccione primero el responsable</v>
      </c>
      <c r="AK806" s="640" t="str">
        <f>IF(J806="Funcionamiento Gastos Generales","No aplica",IF(J806="Funcionamiento Servicios Personales indirectos","No aplica",IFERROR(VLOOKUP(J806,Listas!$A$127:$E$139,3,FALSE),"Alerta: Seleccione la celda en la comumna B con el nombre del proyecto")))</f>
        <v>Alerta: Seleccione la celda en la comumna B con el nombre del proyecto</v>
      </c>
      <c r="AL806" s="640" t="str">
        <f>IF(J806="Funcionamiento Gastos Generales","No aplica",IF(J806="Funcionamiento Servicios Personales","No aplica",IFERROR(VLOOKUP(J806,Listas!$A$220:$D$224,2,FALSE),"Alerta: Seleccione la celda en la comumna B con el nombre del proyecto")))</f>
        <v>Alerta: Seleccione la celda en la comumna B con el nombre del proyecto</v>
      </c>
      <c r="AM806" s="640" t="str">
        <f>IF(J806="Funcionamiento Gastos Generales","No aplica",IF(J806="Funcionamiento Servicios Personales","No aplica",IFERROR(VLOOKUP(J806,Listas!$A$220:$D$224,3,FALSE),"Alerta: Seleccione la celda en la comumna B con el nombre del proyecto")))</f>
        <v>Alerta: Seleccione la celda en la comumna B con el nombre del proyecto</v>
      </c>
      <c r="AN806" s="633"/>
      <c r="AO806" s="633"/>
      <c r="AP806" s="634" t="str">
        <f>IFERROR(VLOOKUP(J806,Listas!$A$182:$E$215,5,FALSE),"Alerta: Seleccione la celda en la comumna B con el nombre del proyecto")</f>
        <v>Alerta: Seleccione la celda en la comumna B con el nombre del proyecto</v>
      </c>
      <c r="AQ806" s="634" t="str">
        <f>IF(J806="Funcionamiento Gastos Generales","No aplica",IF(J806="Funcionamiento Servicios Personales","No aplica",IFERROR(VLOOKUP(J806,Listas!$A$220:$D$224,4,FALSE),"Alerta: Seleccione la celda en la comumna B con el nombre del proyecto")))</f>
        <v>Alerta: Seleccione la celda en la comumna B con el nombre del proyecto</v>
      </c>
      <c r="AR806" s="633"/>
      <c r="AS806" s="634" t="str">
        <f>IFERROR(VLOOKUP(AU806,Listas!$E$85:$L$105,7,FALSE),"Alerta: Seleccione la celda en la comumna AI con el concepto de gasto")</f>
        <v>Alerta: Seleccione la celda en la comumna AI con el concepto de gasto</v>
      </c>
      <c r="AT806" s="634" t="str">
        <f>IFERROR(VLOOKUP(AU806,Listas!$E$85:$L$105,8,FALSE),"Alerta: Seleccione la celda en la comumna AI con el concepto de gasto")</f>
        <v>Alerta: Seleccione la celda en la comumna AI con el concepto de gasto</v>
      </c>
      <c r="AU806" s="633"/>
      <c r="AV806" s="634" t="str">
        <f>IFERROR(VLOOKUP(AU806,Listas!$E$85:$F$105,2,FALSE),"Alerta: Seleccione el Concepto de Gasto primero")</f>
        <v>Alerta: Seleccione el Concepto de Gasto primero</v>
      </c>
      <c r="AW806" s="644"/>
      <c r="AX806" s="645"/>
      <c r="AY806" s="645"/>
      <c r="AZ806" s="645"/>
      <c r="BA806" s="646">
        <f t="shared" si="256"/>
        <v>0</v>
      </c>
      <c r="BB806" s="647"/>
      <c r="BC806" s="648"/>
      <c r="BD806" s="649"/>
      <c r="BE806" s="647"/>
      <c r="BF806" s="644"/>
      <c r="BG806" s="646">
        <f t="shared" si="257"/>
        <v>0</v>
      </c>
      <c r="BH806" s="650"/>
      <c r="BI806" s="647"/>
      <c r="BJ806" s="644"/>
      <c r="BK806" s="646">
        <f t="shared" si="258"/>
        <v>0</v>
      </c>
      <c r="BL806" s="651"/>
      <c r="BM806" s="652">
        <f t="shared" si="259"/>
        <v>1</v>
      </c>
      <c r="BN806" s="628"/>
      <c r="BO806" s="670"/>
      <c r="BP806" s="644"/>
      <c r="BQ806" s="644"/>
      <c r="BR806" s="644"/>
      <c r="BS806" s="644"/>
      <c r="BT806" s="644"/>
      <c r="BU806" s="644"/>
      <c r="BV806" s="644"/>
      <c r="BW806" s="644"/>
      <c r="BX806" s="644"/>
      <c r="BY806" s="644"/>
      <c r="BZ806" s="644"/>
      <c r="CA806" s="644"/>
      <c r="CB806" s="646">
        <f t="shared" si="260"/>
        <v>0</v>
      </c>
      <c r="CC806" s="646">
        <f t="shared" si="261"/>
        <v>0</v>
      </c>
      <c r="CD806" s="614"/>
    </row>
    <row r="807" spans="1:82" s="561" customFormat="1" ht="61.5" customHeight="1">
      <c r="A807" s="625" t="str">
        <f t="shared" si="243"/>
        <v>proyecto-Alerta: Seleccione la celda en la comumna B con el nombre del proyecto-Al-Al--</v>
      </c>
      <c r="B807" s="626" t="str">
        <f t="shared" si="244"/>
        <v>proyecto-Alerta: Seleccione la celda en la comumna B con el nombre del proyecto-Al-Al-</v>
      </c>
      <c r="C807" s="626" t="str">
        <f t="shared" si="245"/>
        <v>proyecto-Alerta: Seleccione la celda en la comumna B con el nombre del proyecto-</v>
      </c>
      <c r="D807" s="626" t="str">
        <f t="shared" si="246"/>
        <v>proyecto--Al-Al-</v>
      </c>
      <c r="E807" s="626" t="str">
        <f t="shared" si="247"/>
        <v>--</v>
      </c>
      <c r="F807" s="627"/>
      <c r="G807" s="628">
        <f t="shared" si="248"/>
        <v>0</v>
      </c>
      <c r="H807" s="629" t="b">
        <f t="shared" si="249"/>
        <v>1</v>
      </c>
      <c r="I807" s="630"/>
      <c r="J807" s="627"/>
      <c r="K807" s="631" t="str">
        <f>+IFERROR(VLOOKUP(J807,Listas!$A$108:$B$114,2,FALSE),"Alerta: Seleccione la celda en la comumna B con el nombre del proyecto")</f>
        <v>Alerta: Seleccione la celda en la comumna B con el nombre del proyecto</v>
      </c>
      <c r="L807" s="632"/>
      <c r="M807" s="633"/>
      <c r="N807" s="634" t="str">
        <f t="shared" si="250"/>
        <v xml:space="preserve">(Cód. ) </v>
      </c>
      <c r="O807" s="635"/>
      <c r="P807" s="636">
        <f>IFERROR(VLOOKUP(W807,'Estimación CRP'!$D$21:$E$30,2,FALSE),0)</f>
        <v>0</v>
      </c>
      <c r="Q807" s="637">
        <f>IF(O807="No aplica","No aplica",WORKDAY.INTL(O807,P807,1,'Estimación CRP'!A993:A1009))</f>
        <v>0</v>
      </c>
      <c r="R807" s="636">
        <f t="shared" si="251"/>
        <v>1</v>
      </c>
      <c r="S807" s="636">
        <f t="shared" si="252"/>
        <v>1</v>
      </c>
      <c r="T807" s="636">
        <f t="shared" si="253"/>
        <v>1</v>
      </c>
      <c r="U807" s="638"/>
      <c r="V807" s="638"/>
      <c r="W807" s="639"/>
      <c r="X807" s="640" t="str">
        <f>IFERROR(VLOOKUP(W807,Listas!$A$60:$B$73,2,FALSE),"Alerta: Seleccione primero Modalidad de selección")</f>
        <v>Alerta: Seleccione primero Modalidad de selección</v>
      </c>
      <c r="Y807" s="641">
        <v>0</v>
      </c>
      <c r="Z807" s="641"/>
      <c r="AA807" s="641"/>
      <c r="AB807" s="642">
        <f t="shared" si="254"/>
        <v>0</v>
      </c>
      <c r="AC807" s="642">
        <f t="shared" si="255"/>
        <v>0</v>
      </c>
      <c r="AD807" s="641">
        <v>0</v>
      </c>
      <c r="AE807" s="643">
        <v>0</v>
      </c>
      <c r="AF807" s="639" t="s">
        <v>276</v>
      </c>
      <c r="AG807" s="639" t="s">
        <v>277</v>
      </c>
      <c r="AH807" s="639"/>
      <c r="AI807" s="626" t="str">
        <f>IFERROR(VLOOKUP(AH807,Listas!$A$77:$C$83,2,FALSE),"Alerta: Seleccione primero el responsable")</f>
        <v>Alerta: Seleccione primero el responsable</v>
      </c>
      <c r="AJ807" s="640" t="str">
        <f>IFERROR(VLOOKUP(AH807,Listas!$A$77:$C$83,3,FALSE),"Alerta: Seleccione primero el responsable")</f>
        <v>Alerta: Seleccione primero el responsable</v>
      </c>
      <c r="AK807" s="640" t="str">
        <f>IF(J807="Funcionamiento Gastos Generales","No aplica",IF(J807="Funcionamiento Servicios Personales indirectos","No aplica",IFERROR(VLOOKUP(J807,Listas!$A$127:$E$139,3,FALSE),"Alerta: Seleccione la celda en la comumna B con el nombre del proyecto")))</f>
        <v>Alerta: Seleccione la celda en la comumna B con el nombre del proyecto</v>
      </c>
      <c r="AL807" s="640" t="str">
        <f>IF(J807="Funcionamiento Gastos Generales","No aplica",IF(J807="Funcionamiento Servicios Personales","No aplica",IFERROR(VLOOKUP(J807,Listas!$A$220:$D$224,2,FALSE),"Alerta: Seleccione la celda en la comumna B con el nombre del proyecto")))</f>
        <v>Alerta: Seleccione la celda en la comumna B con el nombre del proyecto</v>
      </c>
      <c r="AM807" s="640" t="str">
        <f>IF(J807="Funcionamiento Gastos Generales","No aplica",IF(J807="Funcionamiento Servicios Personales","No aplica",IFERROR(VLOOKUP(J807,Listas!$A$220:$D$224,3,FALSE),"Alerta: Seleccione la celda en la comumna B con el nombre del proyecto")))</f>
        <v>Alerta: Seleccione la celda en la comumna B con el nombre del proyecto</v>
      </c>
      <c r="AN807" s="633"/>
      <c r="AO807" s="633"/>
      <c r="AP807" s="634" t="str">
        <f>IFERROR(VLOOKUP(J807,Listas!$A$182:$E$215,5,FALSE),"Alerta: Seleccione la celda en la comumna B con el nombre del proyecto")</f>
        <v>Alerta: Seleccione la celda en la comumna B con el nombre del proyecto</v>
      </c>
      <c r="AQ807" s="634" t="str">
        <f>IF(J807="Funcionamiento Gastos Generales","No aplica",IF(J807="Funcionamiento Servicios Personales","No aplica",IFERROR(VLOOKUP(J807,Listas!$A$220:$D$224,4,FALSE),"Alerta: Seleccione la celda en la comumna B con el nombre del proyecto")))</f>
        <v>Alerta: Seleccione la celda en la comumna B con el nombre del proyecto</v>
      </c>
      <c r="AR807" s="633"/>
      <c r="AS807" s="634" t="str">
        <f>IFERROR(VLOOKUP(AU807,Listas!$E$85:$L$105,7,FALSE),"Alerta: Seleccione la celda en la comumna AI con el concepto de gasto")</f>
        <v>Alerta: Seleccione la celda en la comumna AI con el concepto de gasto</v>
      </c>
      <c r="AT807" s="634" t="str">
        <f>IFERROR(VLOOKUP(AU807,Listas!$E$85:$L$105,8,FALSE),"Alerta: Seleccione la celda en la comumna AI con el concepto de gasto")</f>
        <v>Alerta: Seleccione la celda en la comumna AI con el concepto de gasto</v>
      </c>
      <c r="AU807" s="633"/>
      <c r="AV807" s="634" t="str">
        <f>IFERROR(VLOOKUP(AU807,Listas!$E$85:$F$105,2,FALSE),"Alerta: Seleccione el Concepto de Gasto primero")</f>
        <v>Alerta: Seleccione el Concepto de Gasto primero</v>
      </c>
      <c r="AW807" s="644"/>
      <c r="AX807" s="645"/>
      <c r="AY807" s="645"/>
      <c r="AZ807" s="645"/>
      <c r="BA807" s="646">
        <f t="shared" si="256"/>
        <v>0</v>
      </c>
      <c r="BB807" s="647"/>
      <c r="BC807" s="648"/>
      <c r="BD807" s="649"/>
      <c r="BE807" s="647"/>
      <c r="BF807" s="644"/>
      <c r="BG807" s="646">
        <f t="shared" si="257"/>
        <v>0</v>
      </c>
      <c r="BH807" s="650"/>
      <c r="BI807" s="647"/>
      <c r="BJ807" s="644"/>
      <c r="BK807" s="646">
        <f t="shared" si="258"/>
        <v>0</v>
      </c>
      <c r="BL807" s="651"/>
      <c r="BM807" s="652">
        <f t="shared" si="259"/>
        <v>1</v>
      </c>
      <c r="BN807" s="628"/>
      <c r="BO807" s="670"/>
      <c r="BP807" s="644"/>
      <c r="BQ807" s="644"/>
      <c r="BR807" s="644"/>
      <c r="BS807" s="644"/>
      <c r="BT807" s="644"/>
      <c r="BU807" s="644"/>
      <c r="BV807" s="644"/>
      <c r="BW807" s="644"/>
      <c r="BX807" s="644"/>
      <c r="BY807" s="644"/>
      <c r="BZ807" s="644"/>
      <c r="CA807" s="644"/>
      <c r="CB807" s="646">
        <f t="shared" si="260"/>
        <v>0</v>
      </c>
      <c r="CC807" s="646">
        <f t="shared" si="261"/>
        <v>0</v>
      </c>
      <c r="CD807" s="614"/>
    </row>
    <row r="808" spans="1:82" s="561" customFormat="1" ht="61.5" customHeight="1">
      <c r="A808" s="625" t="str">
        <f t="shared" si="243"/>
        <v>proyecto-Alerta: Seleccione la celda en la comumna B con el nombre del proyecto-Al-Al--</v>
      </c>
      <c r="B808" s="626" t="str">
        <f t="shared" si="244"/>
        <v>proyecto-Alerta: Seleccione la celda en la comumna B con el nombre del proyecto-Al-Al-</v>
      </c>
      <c r="C808" s="626" t="str">
        <f t="shared" si="245"/>
        <v>proyecto-Alerta: Seleccione la celda en la comumna B con el nombre del proyecto-</v>
      </c>
      <c r="D808" s="626" t="str">
        <f t="shared" si="246"/>
        <v>proyecto--Al-Al-</v>
      </c>
      <c r="E808" s="626" t="str">
        <f t="shared" si="247"/>
        <v>--</v>
      </c>
      <c r="F808" s="627"/>
      <c r="G808" s="628">
        <f t="shared" si="248"/>
        <v>0</v>
      </c>
      <c r="H808" s="629" t="b">
        <f t="shared" si="249"/>
        <v>1</v>
      </c>
      <c r="I808" s="630"/>
      <c r="J808" s="627"/>
      <c r="K808" s="631" t="str">
        <f>+IFERROR(VLOOKUP(J808,Listas!$A$108:$B$114,2,FALSE),"Alerta: Seleccione la celda en la comumna B con el nombre del proyecto")</f>
        <v>Alerta: Seleccione la celda en la comumna B con el nombre del proyecto</v>
      </c>
      <c r="L808" s="632"/>
      <c r="M808" s="633"/>
      <c r="N808" s="634" t="str">
        <f t="shared" si="250"/>
        <v xml:space="preserve">(Cód. ) </v>
      </c>
      <c r="O808" s="635"/>
      <c r="P808" s="636">
        <f>IFERROR(VLOOKUP(W808,'Estimación CRP'!$D$21:$E$30,2,FALSE),0)</f>
        <v>0</v>
      </c>
      <c r="Q808" s="637">
        <f>IF(O808="No aplica","No aplica",WORKDAY.INTL(O808,P808,1,'Estimación CRP'!A994:A1010))</f>
        <v>0</v>
      </c>
      <c r="R808" s="636">
        <f t="shared" si="251"/>
        <v>1</v>
      </c>
      <c r="S808" s="636">
        <f t="shared" si="252"/>
        <v>1</v>
      </c>
      <c r="T808" s="636">
        <f t="shared" si="253"/>
        <v>1</v>
      </c>
      <c r="U808" s="638"/>
      <c r="V808" s="638"/>
      <c r="W808" s="639"/>
      <c r="X808" s="640" t="str">
        <f>IFERROR(VLOOKUP(W808,Listas!$A$60:$B$73,2,FALSE),"Alerta: Seleccione primero Modalidad de selección")</f>
        <v>Alerta: Seleccione primero Modalidad de selección</v>
      </c>
      <c r="Y808" s="641">
        <v>0</v>
      </c>
      <c r="Z808" s="641"/>
      <c r="AA808" s="641"/>
      <c r="AB808" s="642">
        <f t="shared" si="254"/>
        <v>0</v>
      </c>
      <c r="AC808" s="642">
        <f t="shared" si="255"/>
        <v>0</v>
      </c>
      <c r="AD808" s="641">
        <v>0</v>
      </c>
      <c r="AE808" s="643">
        <v>0</v>
      </c>
      <c r="AF808" s="639" t="s">
        <v>276</v>
      </c>
      <c r="AG808" s="639" t="s">
        <v>277</v>
      </c>
      <c r="AH808" s="639"/>
      <c r="AI808" s="626" t="str">
        <f>IFERROR(VLOOKUP(AH808,Listas!$A$77:$C$83,2,FALSE),"Alerta: Seleccione primero el responsable")</f>
        <v>Alerta: Seleccione primero el responsable</v>
      </c>
      <c r="AJ808" s="640" t="str">
        <f>IFERROR(VLOOKUP(AH808,Listas!$A$77:$C$83,3,FALSE),"Alerta: Seleccione primero el responsable")</f>
        <v>Alerta: Seleccione primero el responsable</v>
      </c>
      <c r="AK808" s="640" t="str">
        <f>IF(J808="Funcionamiento Gastos Generales","No aplica",IF(J808="Funcionamiento Servicios Personales indirectos","No aplica",IFERROR(VLOOKUP(J808,Listas!$A$127:$E$139,3,FALSE),"Alerta: Seleccione la celda en la comumna B con el nombre del proyecto")))</f>
        <v>Alerta: Seleccione la celda en la comumna B con el nombre del proyecto</v>
      </c>
      <c r="AL808" s="640" t="str">
        <f>IF(J808="Funcionamiento Gastos Generales","No aplica",IF(J808="Funcionamiento Servicios Personales","No aplica",IFERROR(VLOOKUP(J808,Listas!$A$220:$D$224,2,FALSE),"Alerta: Seleccione la celda en la comumna B con el nombre del proyecto")))</f>
        <v>Alerta: Seleccione la celda en la comumna B con el nombre del proyecto</v>
      </c>
      <c r="AM808" s="640" t="str">
        <f>IF(J808="Funcionamiento Gastos Generales","No aplica",IF(J808="Funcionamiento Servicios Personales","No aplica",IFERROR(VLOOKUP(J808,Listas!$A$220:$D$224,3,FALSE),"Alerta: Seleccione la celda en la comumna B con el nombre del proyecto")))</f>
        <v>Alerta: Seleccione la celda en la comumna B con el nombre del proyecto</v>
      </c>
      <c r="AN808" s="633"/>
      <c r="AO808" s="633"/>
      <c r="AP808" s="634" t="str">
        <f>IFERROR(VLOOKUP(J808,Listas!$A$182:$E$215,5,FALSE),"Alerta: Seleccione la celda en la comumna B con el nombre del proyecto")</f>
        <v>Alerta: Seleccione la celda en la comumna B con el nombre del proyecto</v>
      </c>
      <c r="AQ808" s="634" t="str">
        <f>IF(J808="Funcionamiento Gastos Generales","No aplica",IF(J808="Funcionamiento Servicios Personales","No aplica",IFERROR(VLOOKUP(J808,Listas!$A$220:$D$224,4,FALSE),"Alerta: Seleccione la celda en la comumna B con el nombre del proyecto")))</f>
        <v>Alerta: Seleccione la celda en la comumna B con el nombre del proyecto</v>
      </c>
      <c r="AR808" s="633"/>
      <c r="AS808" s="634" t="str">
        <f>IFERROR(VLOOKUP(AU808,Listas!$E$85:$L$105,7,FALSE),"Alerta: Seleccione la celda en la comumna AI con el concepto de gasto")</f>
        <v>Alerta: Seleccione la celda en la comumna AI con el concepto de gasto</v>
      </c>
      <c r="AT808" s="634" t="str">
        <f>IFERROR(VLOOKUP(AU808,Listas!$E$85:$L$105,8,FALSE),"Alerta: Seleccione la celda en la comumna AI con el concepto de gasto")</f>
        <v>Alerta: Seleccione la celda en la comumna AI con el concepto de gasto</v>
      </c>
      <c r="AU808" s="633"/>
      <c r="AV808" s="634" t="str">
        <f>IFERROR(VLOOKUP(AU808,Listas!$E$85:$F$105,2,FALSE),"Alerta: Seleccione el Concepto de Gasto primero")</f>
        <v>Alerta: Seleccione el Concepto de Gasto primero</v>
      </c>
      <c r="AW808" s="644"/>
      <c r="AX808" s="645"/>
      <c r="AY808" s="645"/>
      <c r="AZ808" s="645"/>
      <c r="BA808" s="646">
        <f t="shared" si="256"/>
        <v>0</v>
      </c>
      <c r="BB808" s="647"/>
      <c r="BC808" s="648"/>
      <c r="BD808" s="649"/>
      <c r="BE808" s="647"/>
      <c r="BF808" s="644"/>
      <c r="BG808" s="646">
        <f t="shared" si="257"/>
        <v>0</v>
      </c>
      <c r="BH808" s="650"/>
      <c r="BI808" s="647"/>
      <c r="BJ808" s="644"/>
      <c r="BK808" s="646">
        <f t="shared" si="258"/>
        <v>0</v>
      </c>
      <c r="BL808" s="651"/>
      <c r="BM808" s="652">
        <f t="shared" si="259"/>
        <v>1</v>
      </c>
      <c r="BN808" s="628"/>
      <c r="BO808" s="670"/>
      <c r="BP808" s="644"/>
      <c r="BQ808" s="644"/>
      <c r="BR808" s="644"/>
      <c r="BS808" s="644"/>
      <c r="BT808" s="644"/>
      <c r="BU808" s="644"/>
      <c r="BV808" s="644"/>
      <c r="BW808" s="644"/>
      <c r="BX808" s="644"/>
      <c r="BY808" s="644"/>
      <c r="BZ808" s="644"/>
      <c r="CA808" s="644"/>
      <c r="CB808" s="646">
        <f t="shared" si="260"/>
        <v>0</v>
      </c>
      <c r="CC808" s="646">
        <f t="shared" si="261"/>
        <v>0</v>
      </c>
      <c r="CD808" s="614"/>
    </row>
    <row r="809" spans="1:82" s="561" customFormat="1" ht="61.5" customHeight="1">
      <c r="A809" s="625" t="str">
        <f t="shared" si="243"/>
        <v>proyecto-Alerta: Seleccione la celda en la comumna B con el nombre del proyecto-Al-Al--</v>
      </c>
      <c r="B809" s="626" t="str">
        <f t="shared" si="244"/>
        <v>proyecto-Alerta: Seleccione la celda en la comumna B con el nombre del proyecto-Al-Al-</v>
      </c>
      <c r="C809" s="626" t="str">
        <f t="shared" si="245"/>
        <v>proyecto-Alerta: Seleccione la celda en la comumna B con el nombre del proyecto-</v>
      </c>
      <c r="D809" s="626" t="str">
        <f t="shared" si="246"/>
        <v>proyecto--Al-Al-</v>
      </c>
      <c r="E809" s="626" t="str">
        <f t="shared" si="247"/>
        <v>--</v>
      </c>
      <c r="F809" s="627"/>
      <c r="G809" s="628">
        <f t="shared" si="248"/>
        <v>0</v>
      </c>
      <c r="H809" s="629" t="b">
        <f t="shared" si="249"/>
        <v>1</v>
      </c>
      <c r="I809" s="630"/>
      <c r="J809" s="627"/>
      <c r="K809" s="631" t="str">
        <f>+IFERROR(VLOOKUP(J809,Listas!$A$108:$B$114,2,FALSE),"Alerta: Seleccione la celda en la comumna B con el nombre del proyecto")</f>
        <v>Alerta: Seleccione la celda en la comumna B con el nombre del proyecto</v>
      </c>
      <c r="L809" s="632"/>
      <c r="M809" s="633"/>
      <c r="N809" s="634" t="str">
        <f t="shared" si="250"/>
        <v xml:space="preserve">(Cód. ) </v>
      </c>
      <c r="O809" s="635"/>
      <c r="P809" s="636">
        <f>IFERROR(VLOOKUP(W809,'Estimación CRP'!$D$21:$E$30,2,FALSE),0)</f>
        <v>0</v>
      </c>
      <c r="Q809" s="637">
        <f>IF(O809="No aplica","No aplica",WORKDAY.INTL(O809,P809,1,'Estimación CRP'!A995:A1011))</f>
        <v>0</v>
      </c>
      <c r="R809" s="636">
        <f t="shared" si="251"/>
        <v>1</v>
      </c>
      <c r="S809" s="636">
        <f t="shared" si="252"/>
        <v>1</v>
      </c>
      <c r="T809" s="636">
        <f t="shared" si="253"/>
        <v>1</v>
      </c>
      <c r="U809" s="638"/>
      <c r="V809" s="638"/>
      <c r="W809" s="639"/>
      <c r="X809" s="640" t="str">
        <f>IFERROR(VLOOKUP(W809,Listas!$A$60:$B$73,2,FALSE),"Alerta: Seleccione primero Modalidad de selección")</f>
        <v>Alerta: Seleccione primero Modalidad de selección</v>
      </c>
      <c r="Y809" s="641">
        <v>0</v>
      </c>
      <c r="Z809" s="641"/>
      <c r="AA809" s="641"/>
      <c r="AB809" s="642">
        <f t="shared" si="254"/>
        <v>0</v>
      </c>
      <c r="AC809" s="642">
        <f t="shared" si="255"/>
        <v>0</v>
      </c>
      <c r="AD809" s="641">
        <v>0</v>
      </c>
      <c r="AE809" s="643">
        <v>0</v>
      </c>
      <c r="AF809" s="639" t="s">
        <v>276</v>
      </c>
      <c r="AG809" s="639" t="s">
        <v>277</v>
      </c>
      <c r="AH809" s="639"/>
      <c r="AI809" s="626" t="str">
        <f>IFERROR(VLOOKUP(AH809,Listas!$A$77:$C$83,2,FALSE),"Alerta: Seleccione primero el responsable")</f>
        <v>Alerta: Seleccione primero el responsable</v>
      </c>
      <c r="AJ809" s="640" t="str">
        <f>IFERROR(VLOOKUP(AH809,Listas!$A$77:$C$83,3,FALSE),"Alerta: Seleccione primero el responsable")</f>
        <v>Alerta: Seleccione primero el responsable</v>
      </c>
      <c r="AK809" s="640" t="str">
        <f>IF(J809="Funcionamiento Gastos Generales","No aplica",IF(J809="Funcionamiento Servicios Personales indirectos","No aplica",IFERROR(VLOOKUP(J809,Listas!$A$127:$E$139,3,FALSE),"Alerta: Seleccione la celda en la comumna B con el nombre del proyecto")))</f>
        <v>Alerta: Seleccione la celda en la comumna B con el nombre del proyecto</v>
      </c>
      <c r="AL809" s="640" t="str">
        <f>IF(J809="Funcionamiento Gastos Generales","No aplica",IF(J809="Funcionamiento Servicios Personales","No aplica",IFERROR(VLOOKUP(J809,Listas!$A$220:$D$224,2,FALSE),"Alerta: Seleccione la celda en la comumna B con el nombre del proyecto")))</f>
        <v>Alerta: Seleccione la celda en la comumna B con el nombre del proyecto</v>
      </c>
      <c r="AM809" s="640" t="str">
        <f>IF(J809="Funcionamiento Gastos Generales","No aplica",IF(J809="Funcionamiento Servicios Personales","No aplica",IFERROR(VLOOKUP(J809,Listas!$A$220:$D$224,3,FALSE),"Alerta: Seleccione la celda en la comumna B con el nombre del proyecto")))</f>
        <v>Alerta: Seleccione la celda en la comumna B con el nombre del proyecto</v>
      </c>
      <c r="AN809" s="633"/>
      <c r="AO809" s="633"/>
      <c r="AP809" s="634" t="str">
        <f>IFERROR(VLOOKUP(J809,Listas!$A$182:$E$215,5,FALSE),"Alerta: Seleccione la celda en la comumna B con el nombre del proyecto")</f>
        <v>Alerta: Seleccione la celda en la comumna B con el nombre del proyecto</v>
      </c>
      <c r="AQ809" s="634" t="str">
        <f>IF(J809="Funcionamiento Gastos Generales","No aplica",IF(J809="Funcionamiento Servicios Personales","No aplica",IFERROR(VLOOKUP(J809,Listas!$A$220:$D$224,4,FALSE),"Alerta: Seleccione la celda en la comumna B con el nombre del proyecto")))</f>
        <v>Alerta: Seleccione la celda en la comumna B con el nombre del proyecto</v>
      </c>
      <c r="AR809" s="633"/>
      <c r="AS809" s="634" t="str">
        <f>IFERROR(VLOOKUP(AU809,Listas!$E$85:$L$105,7,FALSE),"Alerta: Seleccione la celda en la comumna AI con el concepto de gasto")</f>
        <v>Alerta: Seleccione la celda en la comumna AI con el concepto de gasto</v>
      </c>
      <c r="AT809" s="634" t="str">
        <f>IFERROR(VLOOKUP(AU809,Listas!$E$85:$L$105,8,FALSE),"Alerta: Seleccione la celda en la comumna AI con el concepto de gasto")</f>
        <v>Alerta: Seleccione la celda en la comumna AI con el concepto de gasto</v>
      </c>
      <c r="AU809" s="633"/>
      <c r="AV809" s="634" t="str">
        <f>IFERROR(VLOOKUP(AU809,Listas!$E$85:$F$105,2,FALSE),"Alerta: Seleccione el Concepto de Gasto primero")</f>
        <v>Alerta: Seleccione el Concepto de Gasto primero</v>
      </c>
      <c r="AW809" s="644"/>
      <c r="AX809" s="645"/>
      <c r="AY809" s="645"/>
      <c r="AZ809" s="645"/>
      <c r="BA809" s="646">
        <f t="shared" si="256"/>
        <v>0</v>
      </c>
      <c r="BB809" s="647"/>
      <c r="BC809" s="648"/>
      <c r="BD809" s="649"/>
      <c r="BE809" s="647"/>
      <c r="BF809" s="644"/>
      <c r="BG809" s="646">
        <f t="shared" si="257"/>
        <v>0</v>
      </c>
      <c r="BH809" s="650"/>
      <c r="BI809" s="647"/>
      <c r="BJ809" s="644"/>
      <c r="BK809" s="646">
        <f t="shared" si="258"/>
        <v>0</v>
      </c>
      <c r="BL809" s="651"/>
      <c r="BM809" s="652">
        <f t="shared" si="259"/>
        <v>1</v>
      </c>
      <c r="BN809" s="628"/>
      <c r="BO809" s="670"/>
      <c r="BP809" s="644"/>
      <c r="BQ809" s="644"/>
      <c r="BR809" s="644"/>
      <c r="BS809" s="644"/>
      <c r="BT809" s="644"/>
      <c r="BU809" s="644"/>
      <c r="BV809" s="644"/>
      <c r="BW809" s="644"/>
      <c r="BX809" s="644"/>
      <c r="BY809" s="644"/>
      <c r="BZ809" s="644"/>
      <c r="CA809" s="644"/>
      <c r="CB809" s="646">
        <f t="shared" si="260"/>
        <v>0</v>
      </c>
      <c r="CC809" s="646">
        <f t="shared" si="261"/>
        <v>0</v>
      </c>
      <c r="CD809" s="614"/>
    </row>
    <row r="810" spans="1:82" s="561" customFormat="1" ht="61.5" customHeight="1">
      <c r="A810" s="625" t="str">
        <f t="shared" si="243"/>
        <v>proyecto-Alerta: Seleccione la celda en la comumna B con el nombre del proyecto-Al-Al--</v>
      </c>
      <c r="B810" s="626" t="str">
        <f t="shared" si="244"/>
        <v>proyecto-Alerta: Seleccione la celda en la comumna B con el nombre del proyecto-Al-Al-</v>
      </c>
      <c r="C810" s="626" t="str">
        <f t="shared" si="245"/>
        <v>proyecto-Alerta: Seleccione la celda en la comumna B con el nombre del proyecto-</v>
      </c>
      <c r="D810" s="626" t="str">
        <f t="shared" si="246"/>
        <v>proyecto--Al-Al-</v>
      </c>
      <c r="E810" s="626" t="str">
        <f t="shared" si="247"/>
        <v>--</v>
      </c>
      <c r="F810" s="627"/>
      <c r="G810" s="628">
        <f t="shared" si="248"/>
        <v>0</v>
      </c>
      <c r="H810" s="629" t="b">
        <f t="shared" si="249"/>
        <v>1</v>
      </c>
      <c r="I810" s="630"/>
      <c r="J810" s="627"/>
      <c r="K810" s="631" t="str">
        <f>+IFERROR(VLOOKUP(J810,Listas!$A$108:$B$114,2,FALSE),"Alerta: Seleccione la celda en la comumna B con el nombre del proyecto")</f>
        <v>Alerta: Seleccione la celda en la comumna B con el nombre del proyecto</v>
      </c>
      <c r="L810" s="632"/>
      <c r="M810" s="633"/>
      <c r="N810" s="634" t="str">
        <f t="shared" si="250"/>
        <v xml:space="preserve">(Cód. ) </v>
      </c>
      <c r="O810" s="635"/>
      <c r="P810" s="636">
        <f>IFERROR(VLOOKUP(W810,'Estimación CRP'!$D$21:$E$30,2,FALSE),0)</f>
        <v>0</v>
      </c>
      <c r="Q810" s="637">
        <f>IF(O810="No aplica","No aplica",WORKDAY.INTL(O810,P810,1,'Estimación CRP'!A996:A1012))</f>
        <v>0</v>
      </c>
      <c r="R810" s="636">
        <f t="shared" si="251"/>
        <v>1</v>
      </c>
      <c r="S810" s="636">
        <f t="shared" si="252"/>
        <v>1</v>
      </c>
      <c r="T810" s="636">
        <f t="shared" si="253"/>
        <v>1</v>
      </c>
      <c r="U810" s="638"/>
      <c r="V810" s="638"/>
      <c r="W810" s="639"/>
      <c r="X810" s="640" t="str">
        <f>IFERROR(VLOOKUP(W810,Listas!$A$60:$B$73,2,FALSE),"Alerta: Seleccione primero Modalidad de selección")</f>
        <v>Alerta: Seleccione primero Modalidad de selección</v>
      </c>
      <c r="Y810" s="641">
        <v>0</v>
      </c>
      <c r="Z810" s="641"/>
      <c r="AA810" s="641"/>
      <c r="AB810" s="642">
        <f t="shared" si="254"/>
        <v>0</v>
      </c>
      <c r="AC810" s="642">
        <f t="shared" si="255"/>
        <v>0</v>
      </c>
      <c r="AD810" s="641">
        <v>0</v>
      </c>
      <c r="AE810" s="643">
        <v>0</v>
      </c>
      <c r="AF810" s="639" t="s">
        <v>276</v>
      </c>
      <c r="AG810" s="639" t="s">
        <v>277</v>
      </c>
      <c r="AH810" s="639"/>
      <c r="AI810" s="626" t="str">
        <f>IFERROR(VLOOKUP(AH810,Listas!$A$77:$C$83,2,FALSE),"Alerta: Seleccione primero el responsable")</f>
        <v>Alerta: Seleccione primero el responsable</v>
      </c>
      <c r="AJ810" s="640" t="str">
        <f>IFERROR(VLOOKUP(AH810,Listas!$A$77:$C$83,3,FALSE),"Alerta: Seleccione primero el responsable")</f>
        <v>Alerta: Seleccione primero el responsable</v>
      </c>
      <c r="AK810" s="640" t="str">
        <f>IF(J810="Funcionamiento Gastos Generales","No aplica",IF(J810="Funcionamiento Servicios Personales indirectos","No aplica",IFERROR(VLOOKUP(J810,Listas!$A$127:$E$139,3,FALSE),"Alerta: Seleccione la celda en la comumna B con el nombre del proyecto")))</f>
        <v>Alerta: Seleccione la celda en la comumna B con el nombre del proyecto</v>
      </c>
      <c r="AL810" s="640" t="str">
        <f>IF(J810="Funcionamiento Gastos Generales","No aplica",IF(J810="Funcionamiento Servicios Personales","No aplica",IFERROR(VLOOKUP(J810,Listas!$A$220:$D$224,2,FALSE),"Alerta: Seleccione la celda en la comumna B con el nombre del proyecto")))</f>
        <v>Alerta: Seleccione la celda en la comumna B con el nombre del proyecto</v>
      </c>
      <c r="AM810" s="640" t="str">
        <f>IF(J810="Funcionamiento Gastos Generales","No aplica",IF(J810="Funcionamiento Servicios Personales","No aplica",IFERROR(VLOOKUP(J810,Listas!$A$220:$D$224,3,FALSE),"Alerta: Seleccione la celda en la comumna B con el nombre del proyecto")))</f>
        <v>Alerta: Seleccione la celda en la comumna B con el nombre del proyecto</v>
      </c>
      <c r="AN810" s="633"/>
      <c r="AO810" s="633"/>
      <c r="AP810" s="634" t="str">
        <f>IFERROR(VLOOKUP(J810,Listas!$A$182:$E$215,5,FALSE),"Alerta: Seleccione la celda en la comumna B con el nombre del proyecto")</f>
        <v>Alerta: Seleccione la celda en la comumna B con el nombre del proyecto</v>
      </c>
      <c r="AQ810" s="634" t="str">
        <f>IF(J810="Funcionamiento Gastos Generales","No aplica",IF(J810="Funcionamiento Servicios Personales","No aplica",IFERROR(VLOOKUP(J810,Listas!$A$220:$D$224,4,FALSE),"Alerta: Seleccione la celda en la comumna B con el nombre del proyecto")))</f>
        <v>Alerta: Seleccione la celda en la comumna B con el nombre del proyecto</v>
      </c>
      <c r="AR810" s="633"/>
      <c r="AS810" s="634" t="str">
        <f>IFERROR(VLOOKUP(AU810,Listas!$E$85:$L$105,7,FALSE),"Alerta: Seleccione la celda en la comumna AI con el concepto de gasto")</f>
        <v>Alerta: Seleccione la celda en la comumna AI con el concepto de gasto</v>
      </c>
      <c r="AT810" s="634" t="str">
        <f>IFERROR(VLOOKUP(AU810,Listas!$E$85:$L$105,8,FALSE),"Alerta: Seleccione la celda en la comumna AI con el concepto de gasto")</f>
        <v>Alerta: Seleccione la celda en la comumna AI con el concepto de gasto</v>
      </c>
      <c r="AU810" s="633"/>
      <c r="AV810" s="634" t="str">
        <f>IFERROR(VLOOKUP(AU810,Listas!$E$85:$F$105,2,FALSE),"Alerta: Seleccione el Concepto de Gasto primero")</f>
        <v>Alerta: Seleccione el Concepto de Gasto primero</v>
      </c>
      <c r="AW810" s="644"/>
      <c r="AX810" s="645"/>
      <c r="AY810" s="645"/>
      <c r="AZ810" s="645"/>
      <c r="BA810" s="646">
        <f t="shared" si="256"/>
        <v>0</v>
      </c>
      <c r="BB810" s="647"/>
      <c r="BC810" s="648"/>
      <c r="BD810" s="649"/>
      <c r="BE810" s="647"/>
      <c r="BF810" s="644"/>
      <c r="BG810" s="646">
        <f t="shared" si="257"/>
        <v>0</v>
      </c>
      <c r="BH810" s="650"/>
      <c r="BI810" s="647"/>
      <c r="BJ810" s="644"/>
      <c r="BK810" s="646">
        <f t="shared" si="258"/>
        <v>0</v>
      </c>
      <c r="BL810" s="651"/>
      <c r="BM810" s="652">
        <f t="shared" si="259"/>
        <v>1</v>
      </c>
      <c r="BN810" s="628"/>
      <c r="BO810" s="670"/>
      <c r="BP810" s="644"/>
      <c r="BQ810" s="644"/>
      <c r="BR810" s="644"/>
      <c r="BS810" s="644"/>
      <c r="BT810" s="644"/>
      <c r="BU810" s="644"/>
      <c r="BV810" s="644"/>
      <c r="BW810" s="644"/>
      <c r="BX810" s="644"/>
      <c r="BY810" s="644"/>
      <c r="BZ810" s="644"/>
      <c r="CA810" s="644"/>
      <c r="CB810" s="646">
        <f t="shared" si="260"/>
        <v>0</v>
      </c>
      <c r="CC810" s="646">
        <f t="shared" si="261"/>
        <v>0</v>
      </c>
      <c r="CD810" s="614"/>
    </row>
    <row r="811" spans="1:82" s="561" customFormat="1" ht="61.5" customHeight="1">
      <c r="A811" s="625" t="str">
        <f t="shared" si="243"/>
        <v>proyecto-Alerta: Seleccione la celda en la comumna B con el nombre del proyecto-Al-Al--</v>
      </c>
      <c r="B811" s="626" t="str">
        <f t="shared" si="244"/>
        <v>proyecto-Alerta: Seleccione la celda en la comumna B con el nombre del proyecto-Al-Al-</v>
      </c>
      <c r="C811" s="626" t="str">
        <f t="shared" si="245"/>
        <v>proyecto-Alerta: Seleccione la celda en la comumna B con el nombre del proyecto-</v>
      </c>
      <c r="D811" s="626" t="str">
        <f t="shared" si="246"/>
        <v>proyecto--Al-Al-</v>
      </c>
      <c r="E811" s="626" t="str">
        <f t="shared" si="247"/>
        <v>--</v>
      </c>
      <c r="F811" s="627"/>
      <c r="G811" s="628">
        <f t="shared" si="248"/>
        <v>0</v>
      </c>
      <c r="H811" s="629" t="b">
        <f t="shared" si="249"/>
        <v>1</v>
      </c>
      <c r="I811" s="630"/>
      <c r="J811" s="627"/>
      <c r="K811" s="631" t="str">
        <f>+IFERROR(VLOOKUP(J811,Listas!$A$108:$B$114,2,FALSE),"Alerta: Seleccione la celda en la comumna B con el nombre del proyecto")</f>
        <v>Alerta: Seleccione la celda en la comumna B con el nombre del proyecto</v>
      </c>
      <c r="L811" s="632"/>
      <c r="M811" s="633"/>
      <c r="N811" s="634" t="str">
        <f t="shared" si="250"/>
        <v xml:space="preserve">(Cód. ) </v>
      </c>
      <c r="O811" s="635"/>
      <c r="P811" s="636">
        <f>IFERROR(VLOOKUP(W811,'Estimación CRP'!$D$21:$E$30,2,FALSE),0)</f>
        <v>0</v>
      </c>
      <c r="Q811" s="637">
        <f>IF(O811="No aplica","No aplica",WORKDAY.INTL(O811,P811,1,'Estimación CRP'!A997:A1013))</f>
        <v>0</v>
      </c>
      <c r="R811" s="636">
        <f t="shared" si="251"/>
        <v>1</v>
      </c>
      <c r="S811" s="636">
        <f t="shared" si="252"/>
        <v>1</v>
      </c>
      <c r="T811" s="636">
        <f t="shared" si="253"/>
        <v>1</v>
      </c>
      <c r="U811" s="638"/>
      <c r="V811" s="638"/>
      <c r="W811" s="639"/>
      <c r="X811" s="640" t="str">
        <f>IFERROR(VLOOKUP(W811,Listas!$A$60:$B$73,2,FALSE),"Alerta: Seleccione primero Modalidad de selección")</f>
        <v>Alerta: Seleccione primero Modalidad de selección</v>
      </c>
      <c r="Y811" s="641">
        <v>0</v>
      </c>
      <c r="Z811" s="641"/>
      <c r="AA811" s="641"/>
      <c r="AB811" s="642">
        <f t="shared" si="254"/>
        <v>0</v>
      </c>
      <c r="AC811" s="642">
        <f t="shared" si="255"/>
        <v>0</v>
      </c>
      <c r="AD811" s="641">
        <v>0</v>
      </c>
      <c r="AE811" s="643">
        <v>0</v>
      </c>
      <c r="AF811" s="639" t="s">
        <v>276</v>
      </c>
      <c r="AG811" s="639" t="s">
        <v>277</v>
      </c>
      <c r="AH811" s="639"/>
      <c r="AI811" s="626" t="str">
        <f>IFERROR(VLOOKUP(AH811,Listas!$A$77:$C$83,2,FALSE),"Alerta: Seleccione primero el responsable")</f>
        <v>Alerta: Seleccione primero el responsable</v>
      </c>
      <c r="AJ811" s="640" t="str">
        <f>IFERROR(VLOOKUP(AH811,Listas!$A$77:$C$83,3,FALSE),"Alerta: Seleccione primero el responsable")</f>
        <v>Alerta: Seleccione primero el responsable</v>
      </c>
      <c r="AK811" s="640" t="str">
        <f>IF(J811="Funcionamiento Gastos Generales","No aplica",IF(J811="Funcionamiento Servicios Personales indirectos","No aplica",IFERROR(VLOOKUP(J811,Listas!$A$127:$E$139,3,FALSE),"Alerta: Seleccione la celda en la comumna B con el nombre del proyecto")))</f>
        <v>Alerta: Seleccione la celda en la comumna B con el nombre del proyecto</v>
      </c>
      <c r="AL811" s="640" t="str">
        <f>IF(J811="Funcionamiento Gastos Generales","No aplica",IF(J811="Funcionamiento Servicios Personales","No aplica",IFERROR(VLOOKUP(J811,Listas!$A$220:$D$224,2,FALSE),"Alerta: Seleccione la celda en la comumna B con el nombre del proyecto")))</f>
        <v>Alerta: Seleccione la celda en la comumna B con el nombre del proyecto</v>
      </c>
      <c r="AM811" s="640" t="str">
        <f>IF(J811="Funcionamiento Gastos Generales","No aplica",IF(J811="Funcionamiento Servicios Personales","No aplica",IFERROR(VLOOKUP(J811,Listas!$A$220:$D$224,3,FALSE),"Alerta: Seleccione la celda en la comumna B con el nombre del proyecto")))</f>
        <v>Alerta: Seleccione la celda en la comumna B con el nombre del proyecto</v>
      </c>
      <c r="AN811" s="633"/>
      <c r="AO811" s="633"/>
      <c r="AP811" s="634" t="str">
        <f>IFERROR(VLOOKUP(J811,Listas!$A$182:$E$215,5,FALSE),"Alerta: Seleccione la celda en la comumna B con el nombre del proyecto")</f>
        <v>Alerta: Seleccione la celda en la comumna B con el nombre del proyecto</v>
      </c>
      <c r="AQ811" s="634" t="str">
        <f>IF(J811="Funcionamiento Gastos Generales","No aplica",IF(J811="Funcionamiento Servicios Personales","No aplica",IFERROR(VLOOKUP(J811,Listas!$A$220:$D$224,4,FALSE),"Alerta: Seleccione la celda en la comumna B con el nombre del proyecto")))</f>
        <v>Alerta: Seleccione la celda en la comumna B con el nombre del proyecto</v>
      </c>
      <c r="AR811" s="633"/>
      <c r="AS811" s="634" t="str">
        <f>IFERROR(VLOOKUP(AU811,Listas!$E$85:$L$105,7,FALSE),"Alerta: Seleccione la celda en la comumna AI con el concepto de gasto")</f>
        <v>Alerta: Seleccione la celda en la comumna AI con el concepto de gasto</v>
      </c>
      <c r="AT811" s="634" t="str">
        <f>IFERROR(VLOOKUP(AU811,Listas!$E$85:$L$105,8,FALSE),"Alerta: Seleccione la celda en la comumna AI con el concepto de gasto")</f>
        <v>Alerta: Seleccione la celda en la comumna AI con el concepto de gasto</v>
      </c>
      <c r="AU811" s="633"/>
      <c r="AV811" s="634" t="str">
        <f>IFERROR(VLOOKUP(AU811,Listas!$E$85:$F$105,2,FALSE),"Alerta: Seleccione el Concepto de Gasto primero")</f>
        <v>Alerta: Seleccione el Concepto de Gasto primero</v>
      </c>
      <c r="AW811" s="644"/>
      <c r="AX811" s="645"/>
      <c r="AY811" s="645"/>
      <c r="AZ811" s="645"/>
      <c r="BA811" s="646">
        <f t="shared" si="256"/>
        <v>0</v>
      </c>
      <c r="BB811" s="647"/>
      <c r="BC811" s="648"/>
      <c r="BD811" s="649"/>
      <c r="BE811" s="647"/>
      <c r="BF811" s="644"/>
      <c r="BG811" s="646">
        <f t="shared" si="257"/>
        <v>0</v>
      </c>
      <c r="BH811" s="650"/>
      <c r="BI811" s="647"/>
      <c r="BJ811" s="644"/>
      <c r="BK811" s="646">
        <f t="shared" si="258"/>
        <v>0</v>
      </c>
      <c r="BL811" s="651"/>
      <c r="BM811" s="652">
        <f t="shared" si="259"/>
        <v>1</v>
      </c>
      <c r="BN811" s="628"/>
      <c r="BO811" s="670"/>
      <c r="BP811" s="644"/>
      <c r="BQ811" s="644"/>
      <c r="BR811" s="644"/>
      <c r="BS811" s="644"/>
      <c r="BT811" s="644"/>
      <c r="BU811" s="644"/>
      <c r="BV811" s="644"/>
      <c r="BW811" s="644"/>
      <c r="BX811" s="644"/>
      <c r="BY811" s="644"/>
      <c r="BZ811" s="644"/>
      <c r="CA811" s="644"/>
      <c r="CB811" s="646">
        <f t="shared" si="260"/>
        <v>0</v>
      </c>
      <c r="CC811" s="646">
        <f t="shared" si="261"/>
        <v>0</v>
      </c>
      <c r="CD811" s="614"/>
    </row>
    <row r="812" spans="1:82" s="561" customFormat="1" ht="61.5" customHeight="1">
      <c r="A812" s="625" t="str">
        <f t="shared" si="243"/>
        <v>proyecto-Alerta: Seleccione la celda en la comumna B con el nombre del proyecto-Al-Al--</v>
      </c>
      <c r="B812" s="626" t="str">
        <f t="shared" si="244"/>
        <v>proyecto-Alerta: Seleccione la celda en la comumna B con el nombre del proyecto-Al-Al-</v>
      </c>
      <c r="C812" s="626" t="str">
        <f t="shared" si="245"/>
        <v>proyecto-Alerta: Seleccione la celda en la comumna B con el nombre del proyecto-</v>
      </c>
      <c r="D812" s="626" t="str">
        <f t="shared" si="246"/>
        <v>proyecto--Al-Al-</v>
      </c>
      <c r="E812" s="626" t="str">
        <f t="shared" si="247"/>
        <v>--</v>
      </c>
      <c r="F812" s="627"/>
      <c r="G812" s="628">
        <f t="shared" si="248"/>
        <v>0</v>
      </c>
      <c r="H812" s="629" t="b">
        <f t="shared" si="249"/>
        <v>1</v>
      </c>
      <c r="I812" s="630"/>
      <c r="J812" s="627"/>
      <c r="K812" s="631" t="str">
        <f>+IFERROR(VLOOKUP(J812,Listas!$A$108:$B$114,2,FALSE),"Alerta: Seleccione la celda en la comumna B con el nombre del proyecto")</f>
        <v>Alerta: Seleccione la celda en la comumna B con el nombre del proyecto</v>
      </c>
      <c r="L812" s="632"/>
      <c r="M812" s="633"/>
      <c r="N812" s="634" t="str">
        <f t="shared" si="250"/>
        <v xml:space="preserve">(Cód. ) </v>
      </c>
      <c r="O812" s="635"/>
      <c r="P812" s="636">
        <f>IFERROR(VLOOKUP(W812,'Estimación CRP'!$D$21:$E$30,2,FALSE),0)</f>
        <v>0</v>
      </c>
      <c r="Q812" s="637">
        <f>IF(O812="No aplica","No aplica",WORKDAY.INTL(O812,P812,1,'Estimación CRP'!A998:A1014))</f>
        <v>0</v>
      </c>
      <c r="R812" s="636">
        <f t="shared" si="251"/>
        <v>1</v>
      </c>
      <c r="S812" s="636">
        <f t="shared" si="252"/>
        <v>1</v>
      </c>
      <c r="T812" s="636">
        <f t="shared" si="253"/>
        <v>1</v>
      </c>
      <c r="U812" s="638"/>
      <c r="V812" s="638"/>
      <c r="W812" s="639"/>
      <c r="X812" s="640" t="str">
        <f>IFERROR(VLOOKUP(W812,Listas!$A$60:$B$73,2,FALSE),"Alerta: Seleccione primero Modalidad de selección")</f>
        <v>Alerta: Seleccione primero Modalidad de selección</v>
      </c>
      <c r="Y812" s="641">
        <v>0</v>
      </c>
      <c r="Z812" s="641"/>
      <c r="AA812" s="641"/>
      <c r="AB812" s="642">
        <f t="shared" si="254"/>
        <v>0</v>
      </c>
      <c r="AC812" s="642">
        <f t="shared" si="255"/>
        <v>0</v>
      </c>
      <c r="AD812" s="641">
        <v>0</v>
      </c>
      <c r="AE812" s="643">
        <v>0</v>
      </c>
      <c r="AF812" s="639" t="s">
        <v>276</v>
      </c>
      <c r="AG812" s="639" t="s">
        <v>277</v>
      </c>
      <c r="AH812" s="639"/>
      <c r="AI812" s="626" t="str">
        <f>IFERROR(VLOOKUP(AH812,Listas!$A$77:$C$83,2,FALSE),"Alerta: Seleccione primero el responsable")</f>
        <v>Alerta: Seleccione primero el responsable</v>
      </c>
      <c r="AJ812" s="640" t="str">
        <f>IFERROR(VLOOKUP(AH812,Listas!$A$77:$C$83,3,FALSE),"Alerta: Seleccione primero el responsable")</f>
        <v>Alerta: Seleccione primero el responsable</v>
      </c>
      <c r="AK812" s="640" t="str">
        <f>IF(J812="Funcionamiento Gastos Generales","No aplica",IF(J812="Funcionamiento Servicios Personales indirectos","No aplica",IFERROR(VLOOKUP(J812,Listas!$A$127:$E$139,3,FALSE),"Alerta: Seleccione la celda en la comumna B con el nombre del proyecto")))</f>
        <v>Alerta: Seleccione la celda en la comumna B con el nombre del proyecto</v>
      </c>
      <c r="AL812" s="640" t="str">
        <f>IF(J812="Funcionamiento Gastos Generales","No aplica",IF(J812="Funcionamiento Servicios Personales","No aplica",IFERROR(VLOOKUP(J812,Listas!$A$220:$D$224,2,FALSE),"Alerta: Seleccione la celda en la comumna B con el nombre del proyecto")))</f>
        <v>Alerta: Seleccione la celda en la comumna B con el nombre del proyecto</v>
      </c>
      <c r="AM812" s="640" t="str">
        <f>IF(J812="Funcionamiento Gastos Generales","No aplica",IF(J812="Funcionamiento Servicios Personales","No aplica",IFERROR(VLOOKUP(J812,Listas!$A$220:$D$224,3,FALSE),"Alerta: Seleccione la celda en la comumna B con el nombre del proyecto")))</f>
        <v>Alerta: Seleccione la celda en la comumna B con el nombre del proyecto</v>
      </c>
      <c r="AN812" s="633"/>
      <c r="AO812" s="633"/>
      <c r="AP812" s="634" t="str">
        <f>IFERROR(VLOOKUP(J812,Listas!$A$182:$E$215,5,FALSE),"Alerta: Seleccione la celda en la comumna B con el nombre del proyecto")</f>
        <v>Alerta: Seleccione la celda en la comumna B con el nombre del proyecto</v>
      </c>
      <c r="AQ812" s="634" t="str">
        <f>IF(J812="Funcionamiento Gastos Generales","No aplica",IF(J812="Funcionamiento Servicios Personales","No aplica",IFERROR(VLOOKUP(J812,Listas!$A$220:$D$224,4,FALSE),"Alerta: Seleccione la celda en la comumna B con el nombre del proyecto")))</f>
        <v>Alerta: Seleccione la celda en la comumna B con el nombre del proyecto</v>
      </c>
      <c r="AR812" s="633"/>
      <c r="AS812" s="634" t="str">
        <f>IFERROR(VLOOKUP(AU812,Listas!$E$85:$L$105,7,FALSE),"Alerta: Seleccione la celda en la comumna AI con el concepto de gasto")</f>
        <v>Alerta: Seleccione la celda en la comumna AI con el concepto de gasto</v>
      </c>
      <c r="AT812" s="634" t="str">
        <f>IFERROR(VLOOKUP(AU812,Listas!$E$85:$L$105,8,FALSE),"Alerta: Seleccione la celda en la comumna AI con el concepto de gasto")</f>
        <v>Alerta: Seleccione la celda en la comumna AI con el concepto de gasto</v>
      </c>
      <c r="AU812" s="633"/>
      <c r="AV812" s="634" t="str">
        <f>IFERROR(VLOOKUP(AU812,Listas!$E$85:$F$105,2,FALSE),"Alerta: Seleccione el Concepto de Gasto primero")</f>
        <v>Alerta: Seleccione el Concepto de Gasto primero</v>
      </c>
      <c r="AW812" s="644"/>
      <c r="AX812" s="645"/>
      <c r="AY812" s="645"/>
      <c r="AZ812" s="645"/>
      <c r="BA812" s="646">
        <f t="shared" si="256"/>
        <v>0</v>
      </c>
      <c r="BB812" s="647"/>
      <c r="BC812" s="648"/>
      <c r="BD812" s="649"/>
      <c r="BE812" s="647"/>
      <c r="BF812" s="644"/>
      <c r="BG812" s="646">
        <f t="shared" si="257"/>
        <v>0</v>
      </c>
      <c r="BH812" s="650"/>
      <c r="BI812" s="647"/>
      <c r="BJ812" s="644"/>
      <c r="BK812" s="646">
        <f t="shared" si="258"/>
        <v>0</v>
      </c>
      <c r="BL812" s="651"/>
      <c r="BM812" s="652">
        <f t="shared" si="259"/>
        <v>1</v>
      </c>
      <c r="BN812" s="628"/>
      <c r="BO812" s="670"/>
      <c r="BP812" s="644"/>
      <c r="BQ812" s="644"/>
      <c r="BR812" s="644"/>
      <c r="BS812" s="644"/>
      <c r="BT812" s="644"/>
      <c r="BU812" s="644"/>
      <c r="BV812" s="644"/>
      <c r="BW812" s="644"/>
      <c r="BX812" s="644"/>
      <c r="BY812" s="644"/>
      <c r="BZ812" s="644"/>
      <c r="CA812" s="644"/>
      <c r="CB812" s="646">
        <f t="shared" si="260"/>
        <v>0</v>
      </c>
      <c r="CC812" s="646">
        <f t="shared" si="261"/>
        <v>0</v>
      </c>
      <c r="CD812" s="614"/>
    </row>
    <row r="813" spans="1:82" s="561" customFormat="1" ht="61.5" customHeight="1">
      <c r="A813" s="625" t="str">
        <f t="shared" si="243"/>
        <v>proyecto-Alerta: Seleccione la celda en la comumna B con el nombre del proyecto-Al-Al--</v>
      </c>
      <c r="B813" s="626" t="str">
        <f t="shared" si="244"/>
        <v>proyecto-Alerta: Seleccione la celda en la comumna B con el nombre del proyecto-Al-Al-</v>
      </c>
      <c r="C813" s="626" t="str">
        <f t="shared" si="245"/>
        <v>proyecto-Alerta: Seleccione la celda en la comumna B con el nombre del proyecto-</v>
      </c>
      <c r="D813" s="626" t="str">
        <f t="shared" si="246"/>
        <v>proyecto--Al-Al-</v>
      </c>
      <c r="E813" s="626" t="str">
        <f t="shared" si="247"/>
        <v>--</v>
      </c>
      <c r="F813" s="627"/>
      <c r="G813" s="628">
        <f t="shared" si="248"/>
        <v>0</v>
      </c>
      <c r="H813" s="629" t="b">
        <f t="shared" si="249"/>
        <v>1</v>
      </c>
      <c r="I813" s="630"/>
      <c r="J813" s="627"/>
      <c r="K813" s="631" t="str">
        <f>+IFERROR(VLOOKUP(J813,Listas!$A$108:$B$114,2,FALSE),"Alerta: Seleccione la celda en la comumna B con el nombre del proyecto")</f>
        <v>Alerta: Seleccione la celda en la comumna B con el nombre del proyecto</v>
      </c>
      <c r="L813" s="632"/>
      <c r="M813" s="633"/>
      <c r="N813" s="634" t="str">
        <f t="shared" si="250"/>
        <v xml:space="preserve">(Cód. ) </v>
      </c>
      <c r="O813" s="635"/>
      <c r="P813" s="636">
        <f>IFERROR(VLOOKUP(W813,'Estimación CRP'!$D$21:$E$30,2,FALSE),0)</f>
        <v>0</v>
      </c>
      <c r="Q813" s="637">
        <f>IF(O813="No aplica","No aplica",WORKDAY.INTL(O813,P813,1,'Estimación CRP'!A999:A1015))</f>
        <v>0</v>
      </c>
      <c r="R813" s="636">
        <f t="shared" si="251"/>
        <v>1</v>
      </c>
      <c r="S813" s="636">
        <f t="shared" si="252"/>
        <v>1</v>
      </c>
      <c r="T813" s="636">
        <f t="shared" si="253"/>
        <v>1</v>
      </c>
      <c r="U813" s="638"/>
      <c r="V813" s="638"/>
      <c r="W813" s="639"/>
      <c r="X813" s="640" t="str">
        <f>IFERROR(VLOOKUP(W813,Listas!$A$60:$B$73,2,FALSE),"Alerta: Seleccione primero Modalidad de selección")</f>
        <v>Alerta: Seleccione primero Modalidad de selección</v>
      </c>
      <c r="Y813" s="641">
        <v>0</v>
      </c>
      <c r="Z813" s="641"/>
      <c r="AA813" s="641"/>
      <c r="AB813" s="642">
        <f t="shared" si="254"/>
        <v>0</v>
      </c>
      <c r="AC813" s="642">
        <f t="shared" si="255"/>
        <v>0</v>
      </c>
      <c r="AD813" s="641">
        <v>0</v>
      </c>
      <c r="AE813" s="643">
        <v>0</v>
      </c>
      <c r="AF813" s="639" t="s">
        <v>276</v>
      </c>
      <c r="AG813" s="639" t="s">
        <v>277</v>
      </c>
      <c r="AH813" s="639"/>
      <c r="AI813" s="626" t="str">
        <f>IFERROR(VLOOKUP(AH813,Listas!$A$77:$C$83,2,FALSE),"Alerta: Seleccione primero el responsable")</f>
        <v>Alerta: Seleccione primero el responsable</v>
      </c>
      <c r="AJ813" s="640" t="str">
        <f>IFERROR(VLOOKUP(AH813,Listas!$A$77:$C$83,3,FALSE),"Alerta: Seleccione primero el responsable")</f>
        <v>Alerta: Seleccione primero el responsable</v>
      </c>
      <c r="AK813" s="640" t="str">
        <f>IF(J813="Funcionamiento Gastos Generales","No aplica",IF(J813="Funcionamiento Servicios Personales indirectos","No aplica",IFERROR(VLOOKUP(J813,Listas!$A$127:$E$139,3,FALSE),"Alerta: Seleccione la celda en la comumna B con el nombre del proyecto")))</f>
        <v>Alerta: Seleccione la celda en la comumna B con el nombre del proyecto</v>
      </c>
      <c r="AL813" s="640" t="str">
        <f>IF(J813="Funcionamiento Gastos Generales","No aplica",IF(J813="Funcionamiento Servicios Personales","No aplica",IFERROR(VLOOKUP(J813,Listas!$A$220:$D$224,2,FALSE),"Alerta: Seleccione la celda en la comumna B con el nombre del proyecto")))</f>
        <v>Alerta: Seleccione la celda en la comumna B con el nombre del proyecto</v>
      </c>
      <c r="AM813" s="640" t="str">
        <f>IF(J813="Funcionamiento Gastos Generales","No aplica",IF(J813="Funcionamiento Servicios Personales","No aplica",IFERROR(VLOOKUP(J813,Listas!$A$220:$D$224,3,FALSE),"Alerta: Seleccione la celda en la comumna B con el nombre del proyecto")))</f>
        <v>Alerta: Seleccione la celda en la comumna B con el nombre del proyecto</v>
      </c>
      <c r="AN813" s="633"/>
      <c r="AO813" s="633"/>
      <c r="AP813" s="634" t="str">
        <f>IFERROR(VLOOKUP(J813,Listas!$A$182:$E$215,5,FALSE),"Alerta: Seleccione la celda en la comumna B con el nombre del proyecto")</f>
        <v>Alerta: Seleccione la celda en la comumna B con el nombre del proyecto</v>
      </c>
      <c r="AQ813" s="634" t="str">
        <f>IF(J813="Funcionamiento Gastos Generales","No aplica",IF(J813="Funcionamiento Servicios Personales","No aplica",IFERROR(VLOOKUP(J813,Listas!$A$220:$D$224,4,FALSE),"Alerta: Seleccione la celda en la comumna B con el nombre del proyecto")))</f>
        <v>Alerta: Seleccione la celda en la comumna B con el nombre del proyecto</v>
      </c>
      <c r="AR813" s="633"/>
      <c r="AS813" s="634" t="str">
        <f>IFERROR(VLOOKUP(AU813,Listas!$E$85:$L$105,7,FALSE),"Alerta: Seleccione la celda en la comumna AI con el concepto de gasto")</f>
        <v>Alerta: Seleccione la celda en la comumna AI con el concepto de gasto</v>
      </c>
      <c r="AT813" s="634" t="str">
        <f>IFERROR(VLOOKUP(AU813,Listas!$E$85:$L$105,8,FALSE),"Alerta: Seleccione la celda en la comumna AI con el concepto de gasto")</f>
        <v>Alerta: Seleccione la celda en la comumna AI con el concepto de gasto</v>
      </c>
      <c r="AU813" s="633"/>
      <c r="AV813" s="634" t="str">
        <f>IFERROR(VLOOKUP(AU813,Listas!$E$85:$F$105,2,FALSE),"Alerta: Seleccione el Concepto de Gasto primero")</f>
        <v>Alerta: Seleccione el Concepto de Gasto primero</v>
      </c>
      <c r="AW813" s="644"/>
      <c r="AX813" s="645"/>
      <c r="AY813" s="645"/>
      <c r="AZ813" s="645"/>
      <c r="BA813" s="646">
        <f t="shared" si="256"/>
        <v>0</v>
      </c>
      <c r="BB813" s="647"/>
      <c r="BC813" s="648"/>
      <c r="BD813" s="649"/>
      <c r="BE813" s="647"/>
      <c r="BF813" s="644"/>
      <c r="BG813" s="646">
        <f t="shared" si="257"/>
        <v>0</v>
      </c>
      <c r="BH813" s="650"/>
      <c r="BI813" s="647"/>
      <c r="BJ813" s="644"/>
      <c r="BK813" s="646">
        <f t="shared" si="258"/>
        <v>0</v>
      </c>
      <c r="BL813" s="651"/>
      <c r="BM813" s="652">
        <f t="shared" si="259"/>
        <v>1</v>
      </c>
      <c r="BN813" s="628"/>
      <c r="BO813" s="670"/>
      <c r="BP813" s="644"/>
      <c r="BQ813" s="644"/>
      <c r="BR813" s="644"/>
      <c r="BS813" s="644"/>
      <c r="BT813" s="644"/>
      <c r="BU813" s="644"/>
      <c r="BV813" s="644"/>
      <c r="BW813" s="644"/>
      <c r="BX813" s="644"/>
      <c r="BY813" s="644"/>
      <c r="BZ813" s="644"/>
      <c r="CA813" s="644"/>
      <c r="CB813" s="646">
        <f t="shared" si="260"/>
        <v>0</v>
      </c>
      <c r="CC813" s="646">
        <f t="shared" si="261"/>
        <v>0</v>
      </c>
      <c r="CD813" s="614"/>
    </row>
    <row r="814" spans="1:82" s="561" customFormat="1" ht="61.5" customHeight="1">
      <c r="A814" s="625" t="str">
        <f t="shared" si="243"/>
        <v>proyecto-Alerta: Seleccione la celda en la comumna B con el nombre del proyecto-Al-Al--</v>
      </c>
      <c r="B814" s="626" t="str">
        <f t="shared" si="244"/>
        <v>proyecto-Alerta: Seleccione la celda en la comumna B con el nombre del proyecto-Al-Al-</v>
      </c>
      <c r="C814" s="626" t="str">
        <f t="shared" si="245"/>
        <v>proyecto-Alerta: Seleccione la celda en la comumna B con el nombre del proyecto-</v>
      </c>
      <c r="D814" s="626" t="str">
        <f t="shared" si="246"/>
        <v>proyecto--Al-Al-</v>
      </c>
      <c r="E814" s="626" t="str">
        <f t="shared" si="247"/>
        <v>--</v>
      </c>
      <c r="F814" s="627"/>
      <c r="G814" s="628">
        <f t="shared" si="248"/>
        <v>0</v>
      </c>
      <c r="H814" s="629" t="b">
        <f t="shared" si="249"/>
        <v>1</v>
      </c>
      <c r="I814" s="630"/>
      <c r="J814" s="627"/>
      <c r="K814" s="631" t="str">
        <f>+IFERROR(VLOOKUP(J814,Listas!$A$108:$B$114,2,FALSE),"Alerta: Seleccione la celda en la comumna B con el nombre del proyecto")</f>
        <v>Alerta: Seleccione la celda en la comumna B con el nombre del proyecto</v>
      </c>
      <c r="L814" s="632"/>
      <c r="M814" s="633"/>
      <c r="N814" s="634" t="str">
        <f t="shared" si="250"/>
        <v xml:space="preserve">(Cód. ) </v>
      </c>
      <c r="O814" s="635"/>
      <c r="P814" s="636">
        <f>IFERROR(VLOOKUP(W814,'Estimación CRP'!$D$21:$E$30,2,FALSE),0)</f>
        <v>0</v>
      </c>
      <c r="Q814" s="637">
        <f>IF(O814="No aplica","No aplica",WORKDAY.INTL(O814,P814,1,'Estimación CRP'!A1000:A1016))</f>
        <v>0</v>
      </c>
      <c r="R814" s="636">
        <f t="shared" si="251"/>
        <v>1</v>
      </c>
      <c r="S814" s="636">
        <f t="shared" si="252"/>
        <v>1</v>
      </c>
      <c r="T814" s="636">
        <f t="shared" si="253"/>
        <v>1</v>
      </c>
      <c r="U814" s="638"/>
      <c r="V814" s="638"/>
      <c r="W814" s="639"/>
      <c r="X814" s="640" t="str">
        <f>IFERROR(VLOOKUP(W814,Listas!$A$60:$B$73,2,FALSE),"Alerta: Seleccione primero Modalidad de selección")</f>
        <v>Alerta: Seleccione primero Modalidad de selección</v>
      </c>
      <c r="Y814" s="641">
        <v>0</v>
      </c>
      <c r="Z814" s="641"/>
      <c r="AA814" s="641"/>
      <c r="AB814" s="642">
        <f t="shared" si="254"/>
        <v>0</v>
      </c>
      <c r="AC814" s="642">
        <f t="shared" si="255"/>
        <v>0</v>
      </c>
      <c r="AD814" s="641">
        <v>0</v>
      </c>
      <c r="AE814" s="643">
        <v>0</v>
      </c>
      <c r="AF814" s="639" t="s">
        <v>276</v>
      </c>
      <c r="AG814" s="639" t="s">
        <v>277</v>
      </c>
      <c r="AH814" s="639"/>
      <c r="AI814" s="626" t="str">
        <f>IFERROR(VLOOKUP(AH814,Listas!$A$77:$C$83,2,FALSE),"Alerta: Seleccione primero el responsable")</f>
        <v>Alerta: Seleccione primero el responsable</v>
      </c>
      <c r="AJ814" s="640" t="str">
        <f>IFERROR(VLOOKUP(AH814,Listas!$A$77:$C$83,3,FALSE),"Alerta: Seleccione primero el responsable")</f>
        <v>Alerta: Seleccione primero el responsable</v>
      </c>
      <c r="AK814" s="640" t="str">
        <f>IF(J814="Funcionamiento Gastos Generales","No aplica",IF(J814="Funcionamiento Servicios Personales indirectos","No aplica",IFERROR(VLOOKUP(J814,Listas!$A$127:$E$139,3,FALSE),"Alerta: Seleccione la celda en la comumna B con el nombre del proyecto")))</f>
        <v>Alerta: Seleccione la celda en la comumna B con el nombre del proyecto</v>
      </c>
      <c r="AL814" s="640" t="str">
        <f>IF(J814="Funcionamiento Gastos Generales","No aplica",IF(J814="Funcionamiento Servicios Personales","No aplica",IFERROR(VLOOKUP(J814,Listas!$A$220:$D$224,2,FALSE),"Alerta: Seleccione la celda en la comumna B con el nombre del proyecto")))</f>
        <v>Alerta: Seleccione la celda en la comumna B con el nombre del proyecto</v>
      </c>
      <c r="AM814" s="640" t="str">
        <f>IF(J814="Funcionamiento Gastos Generales","No aplica",IF(J814="Funcionamiento Servicios Personales","No aplica",IFERROR(VLOOKUP(J814,Listas!$A$220:$D$224,3,FALSE),"Alerta: Seleccione la celda en la comumna B con el nombre del proyecto")))</f>
        <v>Alerta: Seleccione la celda en la comumna B con el nombre del proyecto</v>
      </c>
      <c r="AN814" s="633"/>
      <c r="AO814" s="633"/>
      <c r="AP814" s="634" t="str">
        <f>IFERROR(VLOOKUP(J814,Listas!$A$182:$E$215,5,FALSE),"Alerta: Seleccione la celda en la comumna B con el nombre del proyecto")</f>
        <v>Alerta: Seleccione la celda en la comumna B con el nombre del proyecto</v>
      </c>
      <c r="AQ814" s="634" t="str">
        <f>IF(J814="Funcionamiento Gastos Generales","No aplica",IF(J814="Funcionamiento Servicios Personales","No aplica",IFERROR(VLOOKUP(J814,Listas!$A$220:$D$224,4,FALSE),"Alerta: Seleccione la celda en la comumna B con el nombre del proyecto")))</f>
        <v>Alerta: Seleccione la celda en la comumna B con el nombre del proyecto</v>
      </c>
      <c r="AR814" s="633"/>
      <c r="AS814" s="634" t="str">
        <f>IFERROR(VLOOKUP(AU814,Listas!$E$85:$L$105,7,FALSE),"Alerta: Seleccione la celda en la comumna AI con el concepto de gasto")</f>
        <v>Alerta: Seleccione la celda en la comumna AI con el concepto de gasto</v>
      </c>
      <c r="AT814" s="634" t="str">
        <f>IFERROR(VLOOKUP(AU814,Listas!$E$85:$L$105,8,FALSE),"Alerta: Seleccione la celda en la comumna AI con el concepto de gasto")</f>
        <v>Alerta: Seleccione la celda en la comumna AI con el concepto de gasto</v>
      </c>
      <c r="AU814" s="633"/>
      <c r="AV814" s="634" t="str">
        <f>IFERROR(VLOOKUP(AU814,Listas!$E$85:$F$105,2,FALSE),"Alerta: Seleccione el Concepto de Gasto primero")</f>
        <v>Alerta: Seleccione el Concepto de Gasto primero</v>
      </c>
      <c r="AW814" s="644"/>
      <c r="AX814" s="645"/>
      <c r="AY814" s="645"/>
      <c r="AZ814" s="645"/>
      <c r="BA814" s="646">
        <f t="shared" si="256"/>
        <v>0</v>
      </c>
      <c r="BB814" s="647"/>
      <c r="BC814" s="648"/>
      <c r="BD814" s="649"/>
      <c r="BE814" s="647"/>
      <c r="BF814" s="644"/>
      <c r="BG814" s="646">
        <f t="shared" si="257"/>
        <v>0</v>
      </c>
      <c r="BH814" s="650"/>
      <c r="BI814" s="647"/>
      <c r="BJ814" s="644"/>
      <c r="BK814" s="646">
        <f t="shared" si="258"/>
        <v>0</v>
      </c>
      <c r="BL814" s="651"/>
      <c r="BM814" s="652">
        <f t="shared" si="259"/>
        <v>1</v>
      </c>
      <c r="BN814" s="628"/>
      <c r="BO814" s="670"/>
      <c r="BP814" s="644"/>
      <c r="BQ814" s="644"/>
      <c r="BR814" s="644"/>
      <c r="BS814" s="644"/>
      <c r="BT814" s="644"/>
      <c r="BU814" s="644"/>
      <c r="BV814" s="644"/>
      <c r="BW814" s="644"/>
      <c r="BX814" s="644"/>
      <c r="BY814" s="644"/>
      <c r="BZ814" s="644"/>
      <c r="CA814" s="644"/>
      <c r="CB814" s="646">
        <f t="shared" si="260"/>
        <v>0</v>
      </c>
      <c r="CC814" s="646">
        <f t="shared" si="261"/>
        <v>0</v>
      </c>
      <c r="CD814" s="614"/>
    </row>
    <row r="815" spans="1:82" s="561" customFormat="1" ht="61.5" customHeight="1">
      <c r="A815" s="625" t="str">
        <f t="shared" si="243"/>
        <v>proyecto-Alerta: Seleccione la celda en la comumna B con el nombre del proyecto-Al-Al--</v>
      </c>
      <c r="B815" s="626" t="str">
        <f t="shared" si="244"/>
        <v>proyecto-Alerta: Seleccione la celda en la comumna B con el nombre del proyecto-Al-Al-</v>
      </c>
      <c r="C815" s="626" t="str">
        <f t="shared" si="245"/>
        <v>proyecto-Alerta: Seleccione la celda en la comumna B con el nombre del proyecto-</v>
      </c>
      <c r="D815" s="626" t="str">
        <f t="shared" si="246"/>
        <v>proyecto--Al-Al-</v>
      </c>
      <c r="E815" s="626" t="str">
        <f t="shared" si="247"/>
        <v>--</v>
      </c>
      <c r="F815" s="627"/>
      <c r="G815" s="628">
        <f t="shared" si="248"/>
        <v>0</v>
      </c>
      <c r="H815" s="629" t="b">
        <f t="shared" si="249"/>
        <v>1</v>
      </c>
      <c r="I815" s="630"/>
      <c r="J815" s="627"/>
      <c r="K815" s="631" t="str">
        <f>+IFERROR(VLOOKUP(J815,Listas!$A$108:$B$114,2,FALSE),"Alerta: Seleccione la celda en la comumna B con el nombre del proyecto")</f>
        <v>Alerta: Seleccione la celda en la comumna B con el nombre del proyecto</v>
      </c>
      <c r="L815" s="632"/>
      <c r="M815" s="633"/>
      <c r="N815" s="634" t="str">
        <f t="shared" si="250"/>
        <v xml:space="preserve">(Cód. ) </v>
      </c>
      <c r="O815" s="635"/>
      <c r="P815" s="636">
        <f>IFERROR(VLOOKUP(W815,'Estimación CRP'!$D$21:$E$30,2,FALSE),0)</f>
        <v>0</v>
      </c>
      <c r="Q815" s="637">
        <f>IF(O815="No aplica","No aplica",WORKDAY.INTL(O815,P815,1,'Estimación CRP'!A1001:A1017))</f>
        <v>0</v>
      </c>
      <c r="R815" s="636">
        <f t="shared" si="251"/>
        <v>1</v>
      </c>
      <c r="S815" s="636">
        <f t="shared" si="252"/>
        <v>1</v>
      </c>
      <c r="T815" s="636">
        <f t="shared" si="253"/>
        <v>1</v>
      </c>
      <c r="U815" s="638"/>
      <c r="V815" s="638"/>
      <c r="W815" s="639"/>
      <c r="X815" s="640" t="str">
        <f>IFERROR(VLOOKUP(W815,Listas!$A$60:$B$73,2,FALSE),"Alerta: Seleccione primero Modalidad de selección")</f>
        <v>Alerta: Seleccione primero Modalidad de selección</v>
      </c>
      <c r="Y815" s="641">
        <v>0</v>
      </c>
      <c r="Z815" s="641"/>
      <c r="AA815" s="641"/>
      <c r="AB815" s="642">
        <f t="shared" si="254"/>
        <v>0</v>
      </c>
      <c r="AC815" s="642">
        <f t="shared" si="255"/>
        <v>0</v>
      </c>
      <c r="AD815" s="641">
        <v>0</v>
      </c>
      <c r="AE815" s="643">
        <v>0</v>
      </c>
      <c r="AF815" s="639" t="s">
        <v>276</v>
      </c>
      <c r="AG815" s="639" t="s">
        <v>277</v>
      </c>
      <c r="AH815" s="639"/>
      <c r="AI815" s="626" t="str">
        <f>IFERROR(VLOOKUP(AH815,Listas!$A$77:$C$83,2,FALSE),"Alerta: Seleccione primero el responsable")</f>
        <v>Alerta: Seleccione primero el responsable</v>
      </c>
      <c r="AJ815" s="640" t="str">
        <f>IFERROR(VLOOKUP(AH815,Listas!$A$77:$C$83,3,FALSE),"Alerta: Seleccione primero el responsable")</f>
        <v>Alerta: Seleccione primero el responsable</v>
      </c>
      <c r="AK815" s="640" t="str">
        <f>IF(J815="Funcionamiento Gastos Generales","No aplica",IF(J815="Funcionamiento Servicios Personales indirectos","No aplica",IFERROR(VLOOKUP(J815,Listas!$A$127:$E$139,3,FALSE),"Alerta: Seleccione la celda en la comumna B con el nombre del proyecto")))</f>
        <v>Alerta: Seleccione la celda en la comumna B con el nombre del proyecto</v>
      </c>
      <c r="AL815" s="640" t="str">
        <f>IF(J815="Funcionamiento Gastos Generales","No aplica",IF(J815="Funcionamiento Servicios Personales","No aplica",IFERROR(VLOOKUP(J815,Listas!$A$220:$D$224,2,FALSE),"Alerta: Seleccione la celda en la comumna B con el nombre del proyecto")))</f>
        <v>Alerta: Seleccione la celda en la comumna B con el nombre del proyecto</v>
      </c>
      <c r="AM815" s="640" t="str">
        <f>IF(J815="Funcionamiento Gastos Generales","No aplica",IF(J815="Funcionamiento Servicios Personales","No aplica",IFERROR(VLOOKUP(J815,Listas!$A$220:$D$224,3,FALSE),"Alerta: Seleccione la celda en la comumna B con el nombre del proyecto")))</f>
        <v>Alerta: Seleccione la celda en la comumna B con el nombre del proyecto</v>
      </c>
      <c r="AN815" s="633"/>
      <c r="AO815" s="633"/>
      <c r="AP815" s="634" t="str">
        <f>IFERROR(VLOOKUP(J815,Listas!$A$182:$E$215,5,FALSE),"Alerta: Seleccione la celda en la comumna B con el nombre del proyecto")</f>
        <v>Alerta: Seleccione la celda en la comumna B con el nombre del proyecto</v>
      </c>
      <c r="AQ815" s="634" t="str">
        <f>IF(J815="Funcionamiento Gastos Generales","No aplica",IF(J815="Funcionamiento Servicios Personales","No aplica",IFERROR(VLOOKUP(J815,Listas!$A$220:$D$224,4,FALSE),"Alerta: Seleccione la celda en la comumna B con el nombre del proyecto")))</f>
        <v>Alerta: Seleccione la celda en la comumna B con el nombre del proyecto</v>
      </c>
      <c r="AR815" s="633"/>
      <c r="AS815" s="634" t="str">
        <f>IFERROR(VLOOKUP(AU815,Listas!$E$85:$L$105,7,FALSE),"Alerta: Seleccione la celda en la comumna AI con el concepto de gasto")</f>
        <v>Alerta: Seleccione la celda en la comumna AI con el concepto de gasto</v>
      </c>
      <c r="AT815" s="634" t="str">
        <f>IFERROR(VLOOKUP(AU815,Listas!$E$85:$L$105,8,FALSE),"Alerta: Seleccione la celda en la comumna AI con el concepto de gasto")</f>
        <v>Alerta: Seleccione la celda en la comumna AI con el concepto de gasto</v>
      </c>
      <c r="AU815" s="633"/>
      <c r="AV815" s="634" t="str">
        <f>IFERROR(VLOOKUP(AU815,Listas!$E$85:$F$105,2,FALSE),"Alerta: Seleccione el Concepto de Gasto primero")</f>
        <v>Alerta: Seleccione el Concepto de Gasto primero</v>
      </c>
      <c r="AW815" s="644"/>
      <c r="AX815" s="645"/>
      <c r="AY815" s="645"/>
      <c r="AZ815" s="645"/>
      <c r="BA815" s="646">
        <f t="shared" si="256"/>
        <v>0</v>
      </c>
      <c r="BB815" s="647"/>
      <c r="BC815" s="648"/>
      <c r="BD815" s="649"/>
      <c r="BE815" s="647"/>
      <c r="BF815" s="644"/>
      <c r="BG815" s="646">
        <f t="shared" si="257"/>
        <v>0</v>
      </c>
      <c r="BH815" s="650"/>
      <c r="BI815" s="647"/>
      <c r="BJ815" s="644"/>
      <c r="BK815" s="646">
        <f t="shared" si="258"/>
        <v>0</v>
      </c>
      <c r="BL815" s="651"/>
      <c r="BM815" s="652">
        <f t="shared" si="259"/>
        <v>1</v>
      </c>
      <c r="BN815" s="628"/>
      <c r="BO815" s="670"/>
      <c r="BP815" s="644"/>
      <c r="BQ815" s="644"/>
      <c r="BR815" s="644"/>
      <c r="BS815" s="644"/>
      <c r="BT815" s="644"/>
      <c r="BU815" s="644"/>
      <c r="BV815" s="644"/>
      <c r="BW815" s="644"/>
      <c r="BX815" s="644"/>
      <c r="BY815" s="644"/>
      <c r="BZ815" s="644"/>
      <c r="CA815" s="644"/>
      <c r="CB815" s="646">
        <f t="shared" si="260"/>
        <v>0</v>
      </c>
      <c r="CC815" s="646">
        <f t="shared" si="261"/>
        <v>0</v>
      </c>
      <c r="CD815" s="614"/>
    </row>
    <row r="816" spans="1:82" s="561" customFormat="1" ht="61.5" customHeight="1">
      <c r="A816" s="625" t="str">
        <f t="shared" si="243"/>
        <v>proyecto-Alerta: Seleccione la celda en la comumna B con el nombre del proyecto-Al-Al--</v>
      </c>
      <c r="B816" s="626" t="str">
        <f t="shared" si="244"/>
        <v>proyecto-Alerta: Seleccione la celda en la comumna B con el nombre del proyecto-Al-Al-</v>
      </c>
      <c r="C816" s="626" t="str">
        <f t="shared" si="245"/>
        <v>proyecto-Alerta: Seleccione la celda en la comumna B con el nombre del proyecto-</v>
      </c>
      <c r="D816" s="626" t="str">
        <f t="shared" si="246"/>
        <v>proyecto--Al-Al-</v>
      </c>
      <c r="E816" s="626" t="str">
        <f t="shared" si="247"/>
        <v>--</v>
      </c>
      <c r="F816" s="627"/>
      <c r="G816" s="628">
        <f t="shared" si="248"/>
        <v>0</v>
      </c>
      <c r="H816" s="629" t="b">
        <f t="shared" si="249"/>
        <v>1</v>
      </c>
      <c r="I816" s="630"/>
      <c r="J816" s="627"/>
      <c r="K816" s="631" t="str">
        <f>+IFERROR(VLOOKUP(J816,Listas!$A$108:$B$114,2,FALSE),"Alerta: Seleccione la celda en la comumna B con el nombre del proyecto")</f>
        <v>Alerta: Seleccione la celda en la comumna B con el nombre del proyecto</v>
      </c>
      <c r="L816" s="632"/>
      <c r="M816" s="633"/>
      <c r="N816" s="634" t="str">
        <f t="shared" si="250"/>
        <v xml:space="preserve">(Cód. ) </v>
      </c>
      <c r="O816" s="635"/>
      <c r="P816" s="636">
        <f>IFERROR(VLOOKUP(W816,'Estimación CRP'!$D$21:$E$30,2,FALSE),0)</f>
        <v>0</v>
      </c>
      <c r="Q816" s="637">
        <f>IF(O816="No aplica","No aplica",WORKDAY.INTL(O816,P816,1,'Estimación CRP'!A1002:A1018))</f>
        <v>0</v>
      </c>
      <c r="R816" s="636">
        <f t="shared" si="251"/>
        <v>1</v>
      </c>
      <c r="S816" s="636">
        <f t="shared" si="252"/>
        <v>1</v>
      </c>
      <c r="T816" s="636">
        <f t="shared" si="253"/>
        <v>1</v>
      </c>
      <c r="U816" s="638"/>
      <c r="V816" s="638"/>
      <c r="W816" s="639"/>
      <c r="X816" s="640" t="str">
        <f>IFERROR(VLOOKUP(W816,Listas!$A$60:$B$73,2,FALSE),"Alerta: Seleccione primero Modalidad de selección")</f>
        <v>Alerta: Seleccione primero Modalidad de selección</v>
      </c>
      <c r="Y816" s="641">
        <v>0</v>
      </c>
      <c r="Z816" s="641"/>
      <c r="AA816" s="641"/>
      <c r="AB816" s="642">
        <f t="shared" si="254"/>
        <v>0</v>
      </c>
      <c r="AC816" s="642">
        <f t="shared" si="255"/>
        <v>0</v>
      </c>
      <c r="AD816" s="641">
        <v>0</v>
      </c>
      <c r="AE816" s="643">
        <v>0</v>
      </c>
      <c r="AF816" s="639" t="s">
        <v>276</v>
      </c>
      <c r="AG816" s="639" t="s">
        <v>277</v>
      </c>
      <c r="AH816" s="639"/>
      <c r="AI816" s="626" t="str">
        <f>IFERROR(VLOOKUP(AH816,Listas!$A$77:$C$83,2,FALSE),"Alerta: Seleccione primero el responsable")</f>
        <v>Alerta: Seleccione primero el responsable</v>
      </c>
      <c r="AJ816" s="640" t="str">
        <f>IFERROR(VLOOKUP(AH816,Listas!$A$77:$C$83,3,FALSE),"Alerta: Seleccione primero el responsable")</f>
        <v>Alerta: Seleccione primero el responsable</v>
      </c>
      <c r="AK816" s="640" t="str">
        <f>IF(J816="Funcionamiento Gastos Generales","No aplica",IF(J816="Funcionamiento Servicios Personales indirectos","No aplica",IFERROR(VLOOKUP(J816,Listas!$A$127:$E$139,3,FALSE),"Alerta: Seleccione la celda en la comumna B con el nombre del proyecto")))</f>
        <v>Alerta: Seleccione la celda en la comumna B con el nombre del proyecto</v>
      </c>
      <c r="AL816" s="640" t="str">
        <f>IF(J816="Funcionamiento Gastos Generales","No aplica",IF(J816="Funcionamiento Servicios Personales","No aplica",IFERROR(VLOOKUP(J816,Listas!$A$220:$D$224,2,FALSE),"Alerta: Seleccione la celda en la comumna B con el nombre del proyecto")))</f>
        <v>Alerta: Seleccione la celda en la comumna B con el nombre del proyecto</v>
      </c>
      <c r="AM816" s="640" t="str">
        <f>IF(J816="Funcionamiento Gastos Generales","No aplica",IF(J816="Funcionamiento Servicios Personales","No aplica",IFERROR(VLOOKUP(J816,Listas!$A$220:$D$224,3,FALSE),"Alerta: Seleccione la celda en la comumna B con el nombre del proyecto")))</f>
        <v>Alerta: Seleccione la celda en la comumna B con el nombre del proyecto</v>
      </c>
      <c r="AN816" s="633"/>
      <c r="AO816" s="633"/>
      <c r="AP816" s="634" t="str">
        <f>IFERROR(VLOOKUP(J816,Listas!$A$182:$E$215,5,FALSE),"Alerta: Seleccione la celda en la comumna B con el nombre del proyecto")</f>
        <v>Alerta: Seleccione la celda en la comumna B con el nombre del proyecto</v>
      </c>
      <c r="AQ816" s="634" t="str">
        <f>IF(J816="Funcionamiento Gastos Generales","No aplica",IF(J816="Funcionamiento Servicios Personales","No aplica",IFERROR(VLOOKUP(J816,Listas!$A$220:$D$224,4,FALSE),"Alerta: Seleccione la celda en la comumna B con el nombre del proyecto")))</f>
        <v>Alerta: Seleccione la celda en la comumna B con el nombre del proyecto</v>
      </c>
      <c r="AR816" s="633"/>
      <c r="AS816" s="634" t="str">
        <f>IFERROR(VLOOKUP(AU816,Listas!$E$85:$L$105,7,FALSE),"Alerta: Seleccione la celda en la comumna AI con el concepto de gasto")</f>
        <v>Alerta: Seleccione la celda en la comumna AI con el concepto de gasto</v>
      </c>
      <c r="AT816" s="634" t="str">
        <f>IFERROR(VLOOKUP(AU816,Listas!$E$85:$L$105,8,FALSE),"Alerta: Seleccione la celda en la comumna AI con el concepto de gasto")</f>
        <v>Alerta: Seleccione la celda en la comumna AI con el concepto de gasto</v>
      </c>
      <c r="AU816" s="633"/>
      <c r="AV816" s="634" t="str">
        <f>IFERROR(VLOOKUP(AU816,Listas!$E$85:$F$105,2,FALSE),"Alerta: Seleccione el Concepto de Gasto primero")</f>
        <v>Alerta: Seleccione el Concepto de Gasto primero</v>
      </c>
      <c r="AW816" s="644"/>
      <c r="AX816" s="645"/>
      <c r="AY816" s="645"/>
      <c r="AZ816" s="645"/>
      <c r="BA816" s="646">
        <f t="shared" si="256"/>
        <v>0</v>
      </c>
      <c r="BB816" s="647"/>
      <c r="BC816" s="648"/>
      <c r="BD816" s="649"/>
      <c r="BE816" s="647"/>
      <c r="BF816" s="644"/>
      <c r="BG816" s="646">
        <f t="shared" si="257"/>
        <v>0</v>
      </c>
      <c r="BH816" s="650"/>
      <c r="BI816" s="647"/>
      <c r="BJ816" s="644"/>
      <c r="BK816" s="646">
        <f t="shared" si="258"/>
        <v>0</v>
      </c>
      <c r="BL816" s="651"/>
      <c r="BM816" s="652">
        <f t="shared" si="259"/>
        <v>1</v>
      </c>
      <c r="BN816" s="628"/>
      <c r="BO816" s="670"/>
      <c r="BP816" s="644"/>
      <c r="BQ816" s="644"/>
      <c r="BR816" s="644"/>
      <c r="BS816" s="644"/>
      <c r="BT816" s="644"/>
      <c r="BU816" s="644"/>
      <c r="BV816" s="644"/>
      <c r="BW816" s="644"/>
      <c r="BX816" s="644"/>
      <c r="BY816" s="644"/>
      <c r="BZ816" s="644"/>
      <c r="CA816" s="644"/>
      <c r="CB816" s="646">
        <f t="shared" si="260"/>
        <v>0</v>
      </c>
      <c r="CC816" s="646">
        <f t="shared" si="261"/>
        <v>0</v>
      </c>
      <c r="CD816" s="614"/>
    </row>
    <row r="817" spans="1:82" s="561" customFormat="1" ht="61.5" customHeight="1">
      <c r="A817" s="625" t="str">
        <f t="shared" si="243"/>
        <v>proyecto-Alerta: Seleccione la celda en la comumna B con el nombre del proyecto-Al-Al--</v>
      </c>
      <c r="B817" s="626" t="str">
        <f t="shared" si="244"/>
        <v>proyecto-Alerta: Seleccione la celda en la comumna B con el nombre del proyecto-Al-Al-</v>
      </c>
      <c r="C817" s="626" t="str">
        <f t="shared" si="245"/>
        <v>proyecto-Alerta: Seleccione la celda en la comumna B con el nombre del proyecto-</v>
      </c>
      <c r="D817" s="626" t="str">
        <f t="shared" si="246"/>
        <v>proyecto--Al-Al-</v>
      </c>
      <c r="E817" s="626" t="str">
        <f t="shared" si="247"/>
        <v>--</v>
      </c>
      <c r="F817" s="627"/>
      <c r="G817" s="628">
        <f t="shared" si="248"/>
        <v>0</v>
      </c>
      <c r="H817" s="629" t="b">
        <f t="shared" si="249"/>
        <v>1</v>
      </c>
      <c r="I817" s="630"/>
      <c r="J817" s="627"/>
      <c r="K817" s="631" t="str">
        <f>+IFERROR(VLOOKUP(J817,Listas!$A$108:$B$114,2,FALSE),"Alerta: Seleccione la celda en la comumna B con el nombre del proyecto")</f>
        <v>Alerta: Seleccione la celda en la comumna B con el nombre del proyecto</v>
      </c>
      <c r="L817" s="632"/>
      <c r="M817" s="633"/>
      <c r="N817" s="634" t="str">
        <f t="shared" si="250"/>
        <v xml:space="preserve">(Cód. ) </v>
      </c>
      <c r="O817" s="635"/>
      <c r="P817" s="636">
        <f>IFERROR(VLOOKUP(W817,'Estimación CRP'!$D$21:$E$30,2,FALSE),0)</f>
        <v>0</v>
      </c>
      <c r="Q817" s="637">
        <f>IF(O817="No aplica","No aplica",WORKDAY.INTL(O817,P817,1,'Estimación CRP'!A1003:A1019))</f>
        <v>0</v>
      </c>
      <c r="R817" s="636">
        <f t="shared" si="251"/>
        <v>1</v>
      </c>
      <c r="S817" s="636">
        <f t="shared" si="252"/>
        <v>1</v>
      </c>
      <c r="T817" s="636">
        <f t="shared" si="253"/>
        <v>1</v>
      </c>
      <c r="U817" s="638"/>
      <c r="V817" s="638"/>
      <c r="W817" s="639"/>
      <c r="X817" s="640" t="str">
        <f>IFERROR(VLOOKUP(W817,Listas!$A$60:$B$73,2,FALSE),"Alerta: Seleccione primero Modalidad de selección")</f>
        <v>Alerta: Seleccione primero Modalidad de selección</v>
      </c>
      <c r="Y817" s="641">
        <v>0</v>
      </c>
      <c r="Z817" s="641"/>
      <c r="AA817" s="641"/>
      <c r="AB817" s="642">
        <f t="shared" si="254"/>
        <v>0</v>
      </c>
      <c r="AC817" s="642">
        <f t="shared" si="255"/>
        <v>0</v>
      </c>
      <c r="AD817" s="641">
        <v>0</v>
      </c>
      <c r="AE817" s="643">
        <v>0</v>
      </c>
      <c r="AF817" s="639" t="s">
        <v>276</v>
      </c>
      <c r="AG817" s="639" t="s">
        <v>277</v>
      </c>
      <c r="AH817" s="639"/>
      <c r="AI817" s="626" t="str">
        <f>IFERROR(VLOOKUP(AH817,Listas!$A$77:$C$83,2,FALSE),"Alerta: Seleccione primero el responsable")</f>
        <v>Alerta: Seleccione primero el responsable</v>
      </c>
      <c r="AJ817" s="640" t="str">
        <f>IFERROR(VLOOKUP(AH817,Listas!$A$77:$C$83,3,FALSE),"Alerta: Seleccione primero el responsable")</f>
        <v>Alerta: Seleccione primero el responsable</v>
      </c>
      <c r="AK817" s="640" t="str">
        <f>IF(J817="Funcionamiento Gastos Generales","No aplica",IF(J817="Funcionamiento Servicios Personales indirectos","No aplica",IFERROR(VLOOKUP(J817,Listas!$A$127:$E$139,3,FALSE),"Alerta: Seleccione la celda en la comumna B con el nombre del proyecto")))</f>
        <v>Alerta: Seleccione la celda en la comumna B con el nombre del proyecto</v>
      </c>
      <c r="AL817" s="640" t="str">
        <f>IF(J817="Funcionamiento Gastos Generales","No aplica",IF(J817="Funcionamiento Servicios Personales","No aplica",IFERROR(VLOOKUP(J817,Listas!$A$220:$D$224,2,FALSE),"Alerta: Seleccione la celda en la comumna B con el nombre del proyecto")))</f>
        <v>Alerta: Seleccione la celda en la comumna B con el nombre del proyecto</v>
      </c>
      <c r="AM817" s="640" t="str">
        <f>IF(J817="Funcionamiento Gastos Generales","No aplica",IF(J817="Funcionamiento Servicios Personales","No aplica",IFERROR(VLOOKUP(J817,Listas!$A$220:$D$224,3,FALSE),"Alerta: Seleccione la celda en la comumna B con el nombre del proyecto")))</f>
        <v>Alerta: Seleccione la celda en la comumna B con el nombre del proyecto</v>
      </c>
      <c r="AN817" s="633"/>
      <c r="AO817" s="633"/>
      <c r="AP817" s="634" t="str">
        <f>IFERROR(VLOOKUP(J817,Listas!$A$182:$E$215,5,FALSE),"Alerta: Seleccione la celda en la comumna B con el nombre del proyecto")</f>
        <v>Alerta: Seleccione la celda en la comumna B con el nombre del proyecto</v>
      </c>
      <c r="AQ817" s="634" t="str">
        <f>IF(J817="Funcionamiento Gastos Generales","No aplica",IF(J817="Funcionamiento Servicios Personales","No aplica",IFERROR(VLOOKUP(J817,Listas!$A$220:$D$224,4,FALSE),"Alerta: Seleccione la celda en la comumna B con el nombre del proyecto")))</f>
        <v>Alerta: Seleccione la celda en la comumna B con el nombre del proyecto</v>
      </c>
      <c r="AR817" s="633"/>
      <c r="AS817" s="634" t="str">
        <f>IFERROR(VLOOKUP(AU817,Listas!$E$85:$L$105,7,FALSE),"Alerta: Seleccione la celda en la comumna AI con el concepto de gasto")</f>
        <v>Alerta: Seleccione la celda en la comumna AI con el concepto de gasto</v>
      </c>
      <c r="AT817" s="634" t="str">
        <f>IFERROR(VLOOKUP(AU817,Listas!$E$85:$L$105,8,FALSE),"Alerta: Seleccione la celda en la comumna AI con el concepto de gasto")</f>
        <v>Alerta: Seleccione la celda en la comumna AI con el concepto de gasto</v>
      </c>
      <c r="AU817" s="633"/>
      <c r="AV817" s="634" t="str">
        <f>IFERROR(VLOOKUP(AU817,Listas!$E$85:$F$105,2,FALSE),"Alerta: Seleccione el Concepto de Gasto primero")</f>
        <v>Alerta: Seleccione el Concepto de Gasto primero</v>
      </c>
      <c r="AW817" s="644"/>
      <c r="AX817" s="645"/>
      <c r="AY817" s="645"/>
      <c r="AZ817" s="645"/>
      <c r="BA817" s="646">
        <f t="shared" si="256"/>
        <v>0</v>
      </c>
      <c r="BB817" s="647"/>
      <c r="BC817" s="648"/>
      <c r="BD817" s="649"/>
      <c r="BE817" s="647"/>
      <c r="BF817" s="644"/>
      <c r="BG817" s="646">
        <f t="shared" si="257"/>
        <v>0</v>
      </c>
      <c r="BH817" s="650"/>
      <c r="BI817" s="647"/>
      <c r="BJ817" s="644"/>
      <c r="BK817" s="646">
        <f t="shared" si="258"/>
        <v>0</v>
      </c>
      <c r="BL817" s="651"/>
      <c r="BM817" s="652">
        <f t="shared" si="259"/>
        <v>1</v>
      </c>
      <c r="BN817" s="628"/>
      <c r="BO817" s="670"/>
      <c r="BP817" s="644"/>
      <c r="BQ817" s="644"/>
      <c r="BR817" s="644"/>
      <c r="BS817" s="644"/>
      <c r="BT817" s="644"/>
      <c r="BU817" s="644"/>
      <c r="BV817" s="644"/>
      <c r="BW817" s="644"/>
      <c r="BX817" s="644"/>
      <c r="BY817" s="644"/>
      <c r="BZ817" s="644"/>
      <c r="CA817" s="644"/>
      <c r="CB817" s="646">
        <f t="shared" si="260"/>
        <v>0</v>
      </c>
      <c r="CC817" s="646">
        <f t="shared" si="261"/>
        <v>0</v>
      </c>
      <c r="CD817" s="614"/>
    </row>
    <row r="818" spans="1:82" s="561" customFormat="1" ht="61.5" customHeight="1">
      <c r="A818" s="625" t="str">
        <f t="shared" si="243"/>
        <v>proyecto-Alerta: Seleccione la celda en la comumna B con el nombre del proyecto-Al-Al--</v>
      </c>
      <c r="B818" s="626" t="str">
        <f t="shared" si="244"/>
        <v>proyecto-Alerta: Seleccione la celda en la comumna B con el nombre del proyecto-Al-Al-</v>
      </c>
      <c r="C818" s="626" t="str">
        <f t="shared" si="245"/>
        <v>proyecto-Alerta: Seleccione la celda en la comumna B con el nombre del proyecto-</v>
      </c>
      <c r="D818" s="626" t="str">
        <f t="shared" si="246"/>
        <v>proyecto--Al-Al-</v>
      </c>
      <c r="E818" s="626" t="str">
        <f t="shared" si="247"/>
        <v>--</v>
      </c>
      <c r="F818" s="627"/>
      <c r="G818" s="628">
        <f t="shared" si="248"/>
        <v>0</v>
      </c>
      <c r="H818" s="629" t="b">
        <f t="shared" si="249"/>
        <v>1</v>
      </c>
      <c r="I818" s="630"/>
      <c r="J818" s="627"/>
      <c r="K818" s="631" t="str">
        <f>+IFERROR(VLOOKUP(J818,Listas!$A$108:$B$114,2,FALSE),"Alerta: Seleccione la celda en la comumna B con el nombre del proyecto")</f>
        <v>Alerta: Seleccione la celda en la comumna B con el nombre del proyecto</v>
      </c>
      <c r="L818" s="632"/>
      <c r="M818" s="633"/>
      <c r="N818" s="634" t="str">
        <f t="shared" si="250"/>
        <v xml:space="preserve">(Cód. ) </v>
      </c>
      <c r="O818" s="635"/>
      <c r="P818" s="636">
        <f>IFERROR(VLOOKUP(W818,'Estimación CRP'!$D$21:$E$30,2,FALSE),0)</f>
        <v>0</v>
      </c>
      <c r="Q818" s="637">
        <f>IF(O818="No aplica","No aplica",WORKDAY.INTL(O818,P818,1,'Estimación CRP'!A1004:A1020))</f>
        <v>0</v>
      </c>
      <c r="R818" s="636">
        <f t="shared" si="251"/>
        <v>1</v>
      </c>
      <c r="S818" s="636">
        <f t="shared" si="252"/>
        <v>1</v>
      </c>
      <c r="T818" s="636">
        <f t="shared" si="253"/>
        <v>1</v>
      </c>
      <c r="U818" s="638"/>
      <c r="V818" s="638"/>
      <c r="W818" s="639"/>
      <c r="X818" s="640" t="str">
        <f>IFERROR(VLOOKUP(W818,Listas!$A$60:$B$73,2,FALSE),"Alerta: Seleccione primero Modalidad de selección")</f>
        <v>Alerta: Seleccione primero Modalidad de selección</v>
      </c>
      <c r="Y818" s="641">
        <v>0</v>
      </c>
      <c r="Z818" s="641"/>
      <c r="AA818" s="641"/>
      <c r="AB818" s="642">
        <f t="shared" si="254"/>
        <v>0</v>
      </c>
      <c r="AC818" s="642">
        <f t="shared" si="255"/>
        <v>0</v>
      </c>
      <c r="AD818" s="641">
        <v>0</v>
      </c>
      <c r="AE818" s="643">
        <v>0</v>
      </c>
      <c r="AF818" s="639" t="s">
        <v>276</v>
      </c>
      <c r="AG818" s="639" t="s">
        <v>277</v>
      </c>
      <c r="AH818" s="639"/>
      <c r="AI818" s="626" t="str">
        <f>IFERROR(VLOOKUP(AH818,Listas!$A$77:$C$83,2,FALSE),"Alerta: Seleccione primero el responsable")</f>
        <v>Alerta: Seleccione primero el responsable</v>
      </c>
      <c r="AJ818" s="640" t="str">
        <f>IFERROR(VLOOKUP(AH818,Listas!$A$77:$C$83,3,FALSE),"Alerta: Seleccione primero el responsable")</f>
        <v>Alerta: Seleccione primero el responsable</v>
      </c>
      <c r="AK818" s="640" t="str">
        <f>IF(J818="Funcionamiento Gastos Generales","No aplica",IF(J818="Funcionamiento Servicios Personales indirectos","No aplica",IFERROR(VLOOKUP(J818,Listas!$A$127:$E$139,3,FALSE),"Alerta: Seleccione la celda en la comumna B con el nombre del proyecto")))</f>
        <v>Alerta: Seleccione la celda en la comumna B con el nombre del proyecto</v>
      </c>
      <c r="AL818" s="640" t="str">
        <f>IF(J818="Funcionamiento Gastos Generales","No aplica",IF(J818="Funcionamiento Servicios Personales","No aplica",IFERROR(VLOOKUP(J818,Listas!$A$220:$D$224,2,FALSE),"Alerta: Seleccione la celda en la comumna B con el nombre del proyecto")))</f>
        <v>Alerta: Seleccione la celda en la comumna B con el nombre del proyecto</v>
      </c>
      <c r="AM818" s="640" t="str">
        <f>IF(J818="Funcionamiento Gastos Generales","No aplica",IF(J818="Funcionamiento Servicios Personales","No aplica",IFERROR(VLOOKUP(J818,Listas!$A$220:$D$224,3,FALSE),"Alerta: Seleccione la celda en la comumna B con el nombre del proyecto")))</f>
        <v>Alerta: Seleccione la celda en la comumna B con el nombre del proyecto</v>
      </c>
      <c r="AN818" s="633"/>
      <c r="AO818" s="633"/>
      <c r="AP818" s="634" t="str">
        <f>IFERROR(VLOOKUP(J818,Listas!$A$182:$E$215,5,FALSE),"Alerta: Seleccione la celda en la comumna B con el nombre del proyecto")</f>
        <v>Alerta: Seleccione la celda en la comumna B con el nombre del proyecto</v>
      </c>
      <c r="AQ818" s="634" t="str">
        <f>IF(J818="Funcionamiento Gastos Generales","No aplica",IF(J818="Funcionamiento Servicios Personales","No aplica",IFERROR(VLOOKUP(J818,Listas!$A$220:$D$224,4,FALSE),"Alerta: Seleccione la celda en la comumna B con el nombre del proyecto")))</f>
        <v>Alerta: Seleccione la celda en la comumna B con el nombre del proyecto</v>
      </c>
      <c r="AR818" s="633"/>
      <c r="AS818" s="634" t="str">
        <f>IFERROR(VLOOKUP(AU818,Listas!$E$85:$L$105,7,FALSE),"Alerta: Seleccione la celda en la comumna AI con el concepto de gasto")</f>
        <v>Alerta: Seleccione la celda en la comumna AI con el concepto de gasto</v>
      </c>
      <c r="AT818" s="634" t="str">
        <f>IFERROR(VLOOKUP(AU818,Listas!$E$85:$L$105,8,FALSE),"Alerta: Seleccione la celda en la comumna AI con el concepto de gasto")</f>
        <v>Alerta: Seleccione la celda en la comumna AI con el concepto de gasto</v>
      </c>
      <c r="AU818" s="633"/>
      <c r="AV818" s="634" t="str">
        <f>IFERROR(VLOOKUP(AU818,Listas!$E$85:$F$105,2,FALSE),"Alerta: Seleccione el Concepto de Gasto primero")</f>
        <v>Alerta: Seleccione el Concepto de Gasto primero</v>
      </c>
      <c r="AW818" s="644"/>
      <c r="AX818" s="645"/>
      <c r="AY818" s="645"/>
      <c r="AZ818" s="645"/>
      <c r="BA818" s="646">
        <f t="shared" si="256"/>
        <v>0</v>
      </c>
      <c r="BB818" s="647"/>
      <c r="BC818" s="648"/>
      <c r="BD818" s="649"/>
      <c r="BE818" s="647"/>
      <c r="BF818" s="644"/>
      <c r="BG818" s="646">
        <f t="shared" si="257"/>
        <v>0</v>
      </c>
      <c r="BH818" s="650"/>
      <c r="BI818" s="647"/>
      <c r="BJ818" s="644"/>
      <c r="BK818" s="646">
        <f t="shared" si="258"/>
        <v>0</v>
      </c>
      <c r="BL818" s="651"/>
      <c r="BM818" s="652">
        <f t="shared" si="259"/>
        <v>1</v>
      </c>
      <c r="BN818" s="628"/>
      <c r="BO818" s="670"/>
      <c r="BP818" s="644"/>
      <c r="BQ818" s="644"/>
      <c r="BR818" s="644"/>
      <c r="BS818" s="644"/>
      <c r="BT818" s="644"/>
      <c r="BU818" s="644"/>
      <c r="BV818" s="644"/>
      <c r="BW818" s="644"/>
      <c r="BX818" s="644"/>
      <c r="BY818" s="644"/>
      <c r="BZ818" s="644"/>
      <c r="CA818" s="644"/>
      <c r="CB818" s="646">
        <f t="shared" si="260"/>
        <v>0</v>
      </c>
      <c r="CC818" s="646">
        <f t="shared" si="261"/>
        <v>0</v>
      </c>
      <c r="CD818" s="614"/>
    </row>
    <row r="819" spans="1:82" s="561" customFormat="1" ht="61.5" customHeight="1">
      <c r="A819" s="625" t="str">
        <f t="shared" si="243"/>
        <v>proyecto-Alerta: Seleccione la celda en la comumna B con el nombre del proyecto-Al-Al--</v>
      </c>
      <c r="B819" s="626" t="str">
        <f t="shared" si="244"/>
        <v>proyecto-Alerta: Seleccione la celda en la comumna B con el nombre del proyecto-Al-Al-</v>
      </c>
      <c r="C819" s="626" t="str">
        <f t="shared" si="245"/>
        <v>proyecto-Alerta: Seleccione la celda en la comumna B con el nombre del proyecto-</v>
      </c>
      <c r="D819" s="626" t="str">
        <f t="shared" si="246"/>
        <v>proyecto--Al-Al-</v>
      </c>
      <c r="E819" s="626" t="str">
        <f t="shared" si="247"/>
        <v>--</v>
      </c>
      <c r="F819" s="627"/>
      <c r="G819" s="628">
        <f t="shared" si="248"/>
        <v>0</v>
      </c>
      <c r="H819" s="629" t="b">
        <f t="shared" si="249"/>
        <v>1</v>
      </c>
      <c r="I819" s="630"/>
      <c r="J819" s="627"/>
      <c r="K819" s="631" t="str">
        <f>+IFERROR(VLOOKUP(J819,Listas!$A$108:$B$114,2,FALSE),"Alerta: Seleccione la celda en la comumna B con el nombre del proyecto")</f>
        <v>Alerta: Seleccione la celda en la comumna B con el nombre del proyecto</v>
      </c>
      <c r="L819" s="632"/>
      <c r="M819" s="633"/>
      <c r="N819" s="634" t="str">
        <f t="shared" si="250"/>
        <v xml:space="preserve">(Cód. ) </v>
      </c>
      <c r="O819" s="635"/>
      <c r="P819" s="636">
        <f>IFERROR(VLOOKUP(W819,'Estimación CRP'!$D$21:$E$30,2,FALSE),0)</f>
        <v>0</v>
      </c>
      <c r="Q819" s="637">
        <f>IF(O819="No aplica","No aplica",WORKDAY.INTL(O819,P819,1,'Estimación CRP'!A1005:A1021))</f>
        <v>0</v>
      </c>
      <c r="R819" s="636">
        <f t="shared" si="251"/>
        <v>1</v>
      </c>
      <c r="S819" s="636">
        <f t="shared" si="252"/>
        <v>1</v>
      </c>
      <c r="T819" s="636">
        <f t="shared" si="253"/>
        <v>1</v>
      </c>
      <c r="U819" s="638"/>
      <c r="V819" s="638"/>
      <c r="W819" s="639"/>
      <c r="X819" s="640" t="str">
        <f>IFERROR(VLOOKUP(W819,Listas!$A$60:$B$73,2,FALSE),"Alerta: Seleccione primero Modalidad de selección")</f>
        <v>Alerta: Seleccione primero Modalidad de selección</v>
      </c>
      <c r="Y819" s="641">
        <v>0</v>
      </c>
      <c r="Z819" s="641"/>
      <c r="AA819" s="641"/>
      <c r="AB819" s="642">
        <f t="shared" si="254"/>
        <v>0</v>
      </c>
      <c r="AC819" s="642">
        <f t="shared" si="255"/>
        <v>0</v>
      </c>
      <c r="AD819" s="641">
        <v>0</v>
      </c>
      <c r="AE819" s="643">
        <v>0</v>
      </c>
      <c r="AF819" s="639" t="s">
        <v>276</v>
      </c>
      <c r="AG819" s="639" t="s">
        <v>277</v>
      </c>
      <c r="AH819" s="639"/>
      <c r="AI819" s="626" t="str">
        <f>IFERROR(VLOOKUP(AH819,Listas!$A$77:$C$83,2,FALSE),"Alerta: Seleccione primero el responsable")</f>
        <v>Alerta: Seleccione primero el responsable</v>
      </c>
      <c r="AJ819" s="640" t="str">
        <f>IFERROR(VLOOKUP(AH819,Listas!$A$77:$C$83,3,FALSE),"Alerta: Seleccione primero el responsable")</f>
        <v>Alerta: Seleccione primero el responsable</v>
      </c>
      <c r="AK819" s="640" t="str">
        <f>IF(J819="Funcionamiento Gastos Generales","No aplica",IF(J819="Funcionamiento Servicios Personales indirectos","No aplica",IFERROR(VLOOKUP(J819,Listas!$A$127:$E$139,3,FALSE),"Alerta: Seleccione la celda en la comumna B con el nombre del proyecto")))</f>
        <v>Alerta: Seleccione la celda en la comumna B con el nombre del proyecto</v>
      </c>
      <c r="AL819" s="640" t="str">
        <f>IF(J819="Funcionamiento Gastos Generales","No aplica",IF(J819="Funcionamiento Servicios Personales","No aplica",IFERROR(VLOOKUP(J819,Listas!$A$220:$D$224,2,FALSE),"Alerta: Seleccione la celda en la comumna B con el nombre del proyecto")))</f>
        <v>Alerta: Seleccione la celda en la comumna B con el nombre del proyecto</v>
      </c>
      <c r="AM819" s="640" t="str">
        <f>IF(J819="Funcionamiento Gastos Generales","No aplica",IF(J819="Funcionamiento Servicios Personales","No aplica",IFERROR(VLOOKUP(J819,Listas!$A$220:$D$224,3,FALSE),"Alerta: Seleccione la celda en la comumna B con el nombre del proyecto")))</f>
        <v>Alerta: Seleccione la celda en la comumna B con el nombre del proyecto</v>
      </c>
      <c r="AN819" s="633"/>
      <c r="AO819" s="633"/>
      <c r="AP819" s="634" t="str">
        <f>IFERROR(VLOOKUP(J819,Listas!$A$182:$E$215,5,FALSE),"Alerta: Seleccione la celda en la comumna B con el nombre del proyecto")</f>
        <v>Alerta: Seleccione la celda en la comumna B con el nombre del proyecto</v>
      </c>
      <c r="AQ819" s="634" t="str">
        <f>IF(J819="Funcionamiento Gastos Generales","No aplica",IF(J819="Funcionamiento Servicios Personales","No aplica",IFERROR(VLOOKUP(J819,Listas!$A$220:$D$224,4,FALSE),"Alerta: Seleccione la celda en la comumna B con el nombre del proyecto")))</f>
        <v>Alerta: Seleccione la celda en la comumna B con el nombre del proyecto</v>
      </c>
      <c r="AR819" s="633"/>
      <c r="AS819" s="634" t="str">
        <f>IFERROR(VLOOKUP(AU819,Listas!$E$85:$L$105,7,FALSE),"Alerta: Seleccione la celda en la comumna AI con el concepto de gasto")</f>
        <v>Alerta: Seleccione la celda en la comumna AI con el concepto de gasto</v>
      </c>
      <c r="AT819" s="634" t="str">
        <f>IFERROR(VLOOKUP(AU819,Listas!$E$85:$L$105,8,FALSE),"Alerta: Seleccione la celda en la comumna AI con el concepto de gasto")</f>
        <v>Alerta: Seleccione la celda en la comumna AI con el concepto de gasto</v>
      </c>
      <c r="AU819" s="633"/>
      <c r="AV819" s="634" t="str">
        <f>IFERROR(VLOOKUP(AU819,Listas!$E$85:$F$105,2,FALSE),"Alerta: Seleccione el Concepto de Gasto primero")</f>
        <v>Alerta: Seleccione el Concepto de Gasto primero</v>
      </c>
      <c r="AW819" s="644"/>
      <c r="AX819" s="645"/>
      <c r="AY819" s="645"/>
      <c r="AZ819" s="645"/>
      <c r="BA819" s="646">
        <f t="shared" si="256"/>
        <v>0</v>
      </c>
      <c r="BB819" s="647"/>
      <c r="BC819" s="648"/>
      <c r="BD819" s="649"/>
      <c r="BE819" s="647"/>
      <c r="BF819" s="644"/>
      <c r="BG819" s="646">
        <f t="shared" si="257"/>
        <v>0</v>
      </c>
      <c r="BH819" s="650"/>
      <c r="BI819" s="647"/>
      <c r="BJ819" s="644"/>
      <c r="BK819" s="646">
        <f t="shared" si="258"/>
        <v>0</v>
      </c>
      <c r="BL819" s="651"/>
      <c r="BM819" s="652">
        <f t="shared" si="259"/>
        <v>1</v>
      </c>
      <c r="BN819" s="628"/>
      <c r="BO819" s="670"/>
      <c r="BP819" s="644"/>
      <c r="BQ819" s="644"/>
      <c r="BR819" s="644"/>
      <c r="BS819" s="644"/>
      <c r="BT819" s="644"/>
      <c r="BU819" s="644"/>
      <c r="BV819" s="644"/>
      <c r="BW819" s="644"/>
      <c r="BX819" s="644"/>
      <c r="BY819" s="644"/>
      <c r="BZ819" s="644"/>
      <c r="CA819" s="644"/>
      <c r="CB819" s="646">
        <f t="shared" si="260"/>
        <v>0</v>
      </c>
      <c r="CC819" s="646">
        <f t="shared" si="261"/>
        <v>0</v>
      </c>
      <c r="CD819" s="614"/>
    </row>
    <row r="820" spans="1:82" s="561" customFormat="1" ht="61.5" customHeight="1">
      <c r="A820" s="625" t="str">
        <f t="shared" si="243"/>
        <v>proyecto-Alerta: Seleccione la celda en la comumna B con el nombre del proyecto-Al-Al--</v>
      </c>
      <c r="B820" s="626" t="str">
        <f t="shared" si="244"/>
        <v>proyecto-Alerta: Seleccione la celda en la comumna B con el nombre del proyecto-Al-Al-</v>
      </c>
      <c r="C820" s="626" t="str">
        <f t="shared" si="245"/>
        <v>proyecto-Alerta: Seleccione la celda en la comumna B con el nombre del proyecto-</v>
      </c>
      <c r="D820" s="626" t="str">
        <f t="shared" si="246"/>
        <v>proyecto--Al-Al-</v>
      </c>
      <c r="E820" s="626" t="str">
        <f t="shared" si="247"/>
        <v>--</v>
      </c>
      <c r="F820" s="627"/>
      <c r="G820" s="628">
        <f t="shared" si="248"/>
        <v>0</v>
      </c>
      <c r="H820" s="629" t="b">
        <f t="shared" si="249"/>
        <v>1</v>
      </c>
      <c r="I820" s="630"/>
      <c r="J820" s="627"/>
      <c r="K820" s="631" t="str">
        <f>+IFERROR(VLOOKUP(J820,Listas!$A$108:$B$114,2,FALSE),"Alerta: Seleccione la celda en la comumna B con el nombre del proyecto")</f>
        <v>Alerta: Seleccione la celda en la comumna B con el nombre del proyecto</v>
      </c>
      <c r="L820" s="632"/>
      <c r="M820" s="633"/>
      <c r="N820" s="634" t="str">
        <f t="shared" si="250"/>
        <v xml:space="preserve">(Cód. ) </v>
      </c>
      <c r="O820" s="635"/>
      <c r="P820" s="636">
        <f>IFERROR(VLOOKUP(W820,'Estimación CRP'!$D$21:$E$30,2,FALSE),0)</f>
        <v>0</v>
      </c>
      <c r="Q820" s="637">
        <f>IF(O820="No aplica","No aplica",WORKDAY.INTL(O820,P820,1,'Estimación CRP'!A1006:A1022))</f>
        <v>0</v>
      </c>
      <c r="R820" s="636">
        <f t="shared" si="251"/>
        <v>1</v>
      </c>
      <c r="S820" s="636">
        <f t="shared" si="252"/>
        <v>1</v>
      </c>
      <c r="T820" s="636">
        <f t="shared" si="253"/>
        <v>1</v>
      </c>
      <c r="U820" s="638"/>
      <c r="V820" s="638"/>
      <c r="W820" s="639"/>
      <c r="X820" s="640" t="str">
        <f>IFERROR(VLOOKUP(W820,Listas!$A$60:$B$73,2,FALSE),"Alerta: Seleccione primero Modalidad de selección")</f>
        <v>Alerta: Seleccione primero Modalidad de selección</v>
      </c>
      <c r="Y820" s="641">
        <v>0</v>
      </c>
      <c r="Z820" s="641"/>
      <c r="AA820" s="641"/>
      <c r="AB820" s="642">
        <f t="shared" si="254"/>
        <v>0</v>
      </c>
      <c r="AC820" s="642">
        <f t="shared" si="255"/>
        <v>0</v>
      </c>
      <c r="AD820" s="641">
        <v>0</v>
      </c>
      <c r="AE820" s="643">
        <v>0</v>
      </c>
      <c r="AF820" s="639" t="s">
        <v>276</v>
      </c>
      <c r="AG820" s="639" t="s">
        <v>277</v>
      </c>
      <c r="AH820" s="639"/>
      <c r="AI820" s="626" t="str">
        <f>IFERROR(VLOOKUP(AH820,Listas!$A$77:$C$83,2,FALSE),"Alerta: Seleccione primero el responsable")</f>
        <v>Alerta: Seleccione primero el responsable</v>
      </c>
      <c r="AJ820" s="640" t="str">
        <f>IFERROR(VLOOKUP(AH820,Listas!$A$77:$C$83,3,FALSE),"Alerta: Seleccione primero el responsable")</f>
        <v>Alerta: Seleccione primero el responsable</v>
      </c>
      <c r="AK820" s="640" t="str">
        <f>IF(J820="Funcionamiento Gastos Generales","No aplica",IF(J820="Funcionamiento Servicios Personales indirectos","No aplica",IFERROR(VLOOKUP(J820,Listas!$A$127:$E$139,3,FALSE),"Alerta: Seleccione la celda en la comumna B con el nombre del proyecto")))</f>
        <v>Alerta: Seleccione la celda en la comumna B con el nombre del proyecto</v>
      </c>
      <c r="AL820" s="640" t="str">
        <f>IF(J820="Funcionamiento Gastos Generales","No aplica",IF(J820="Funcionamiento Servicios Personales","No aplica",IFERROR(VLOOKUP(J820,Listas!$A$220:$D$224,2,FALSE),"Alerta: Seleccione la celda en la comumna B con el nombre del proyecto")))</f>
        <v>Alerta: Seleccione la celda en la comumna B con el nombre del proyecto</v>
      </c>
      <c r="AM820" s="640" t="str">
        <f>IF(J820="Funcionamiento Gastos Generales","No aplica",IF(J820="Funcionamiento Servicios Personales","No aplica",IFERROR(VLOOKUP(J820,Listas!$A$220:$D$224,3,FALSE),"Alerta: Seleccione la celda en la comumna B con el nombre del proyecto")))</f>
        <v>Alerta: Seleccione la celda en la comumna B con el nombre del proyecto</v>
      </c>
      <c r="AN820" s="633"/>
      <c r="AO820" s="633"/>
      <c r="AP820" s="634" t="str">
        <f>IFERROR(VLOOKUP(J820,Listas!$A$182:$E$215,5,FALSE),"Alerta: Seleccione la celda en la comumna B con el nombre del proyecto")</f>
        <v>Alerta: Seleccione la celda en la comumna B con el nombre del proyecto</v>
      </c>
      <c r="AQ820" s="634" t="str">
        <f>IF(J820="Funcionamiento Gastos Generales","No aplica",IF(J820="Funcionamiento Servicios Personales","No aplica",IFERROR(VLOOKUP(J820,Listas!$A$220:$D$224,4,FALSE),"Alerta: Seleccione la celda en la comumna B con el nombre del proyecto")))</f>
        <v>Alerta: Seleccione la celda en la comumna B con el nombre del proyecto</v>
      </c>
      <c r="AR820" s="633"/>
      <c r="AS820" s="634" t="str">
        <f>IFERROR(VLOOKUP(AU820,Listas!$E$85:$L$105,7,FALSE),"Alerta: Seleccione la celda en la comumna AI con el concepto de gasto")</f>
        <v>Alerta: Seleccione la celda en la comumna AI con el concepto de gasto</v>
      </c>
      <c r="AT820" s="634" t="str">
        <f>IFERROR(VLOOKUP(AU820,Listas!$E$85:$L$105,8,FALSE),"Alerta: Seleccione la celda en la comumna AI con el concepto de gasto")</f>
        <v>Alerta: Seleccione la celda en la comumna AI con el concepto de gasto</v>
      </c>
      <c r="AU820" s="633"/>
      <c r="AV820" s="634" t="str">
        <f>IFERROR(VLOOKUP(AU820,Listas!$E$85:$F$105,2,FALSE),"Alerta: Seleccione el Concepto de Gasto primero")</f>
        <v>Alerta: Seleccione el Concepto de Gasto primero</v>
      </c>
      <c r="AW820" s="644"/>
      <c r="AX820" s="645"/>
      <c r="AY820" s="645"/>
      <c r="AZ820" s="645"/>
      <c r="BA820" s="646">
        <f t="shared" si="256"/>
        <v>0</v>
      </c>
      <c r="BB820" s="647"/>
      <c r="BC820" s="648"/>
      <c r="BD820" s="649"/>
      <c r="BE820" s="647"/>
      <c r="BF820" s="644"/>
      <c r="BG820" s="646">
        <f t="shared" si="257"/>
        <v>0</v>
      </c>
      <c r="BH820" s="650"/>
      <c r="BI820" s="647"/>
      <c r="BJ820" s="644"/>
      <c r="BK820" s="646">
        <f t="shared" si="258"/>
        <v>0</v>
      </c>
      <c r="BL820" s="651"/>
      <c r="BM820" s="652">
        <f t="shared" si="259"/>
        <v>1</v>
      </c>
      <c r="BN820" s="628"/>
      <c r="BO820" s="670"/>
      <c r="BP820" s="644"/>
      <c r="BQ820" s="644"/>
      <c r="BR820" s="644"/>
      <c r="BS820" s="644"/>
      <c r="BT820" s="644"/>
      <c r="BU820" s="644"/>
      <c r="BV820" s="644"/>
      <c r="BW820" s="644"/>
      <c r="BX820" s="644"/>
      <c r="BY820" s="644"/>
      <c r="BZ820" s="644"/>
      <c r="CA820" s="644"/>
      <c r="CB820" s="646">
        <f t="shared" si="260"/>
        <v>0</v>
      </c>
      <c r="CC820" s="646">
        <f t="shared" si="261"/>
        <v>0</v>
      </c>
      <c r="CD820" s="614"/>
    </row>
    <row r="821" spans="1:82" s="659" customFormat="1" ht="61.5" customHeight="1">
      <c r="A821" s="625" t="str">
        <f t="shared" si="243"/>
        <v>proyecto-Alerta: Seleccione la celda en la comumna B con el nombre del proyecto-Al-Al--</v>
      </c>
      <c r="B821" s="626" t="str">
        <f t="shared" si="244"/>
        <v>proyecto-Alerta: Seleccione la celda en la comumna B con el nombre del proyecto-Al-Al-</v>
      </c>
      <c r="C821" s="626" t="str">
        <f t="shared" si="245"/>
        <v>proyecto-Alerta: Seleccione la celda en la comumna B con el nombre del proyecto-</v>
      </c>
      <c r="D821" s="626" t="str">
        <f t="shared" si="246"/>
        <v>proyecto--Al-Al-</v>
      </c>
      <c r="E821" s="626" t="str">
        <f t="shared" si="247"/>
        <v>--</v>
      </c>
      <c r="F821" s="627"/>
      <c r="G821" s="628">
        <f t="shared" si="248"/>
        <v>0</v>
      </c>
      <c r="H821" s="629" t="b">
        <f t="shared" si="249"/>
        <v>1</v>
      </c>
      <c r="I821" s="630"/>
      <c r="J821" s="627"/>
      <c r="K821" s="631" t="str">
        <f>+IFERROR(VLOOKUP(J821,Listas!$A$108:$B$114,2,FALSE),"Alerta: Seleccione la celda en la comumna B con el nombre del proyecto")</f>
        <v>Alerta: Seleccione la celda en la comumna B con el nombre del proyecto</v>
      </c>
      <c r="L821" s="632"/>
      <c r="M821" s="633"/>
      <c r="N821" s="634" t="str">
        <f t="shared" si="250"/>
        <v xml:space="preserve">(Cód. ) </v>
      </c>
      <c r="O821" s="635"/>
      <c r="P821" s="636">
        <f>IFERROR(VLOOKUP(W821,'Estimación CRP'!$D$21:$E$30,2,FALSE),0)</f>
        <v>0</v>
      </c>
      <c r="Q821" s="637">
        <f>IF(O821="No aplica","No aplica",WORKDAY.INTL(O821,P821,1,'Estimación CRP'!A1007:A1023))</f>
        <v>0</v>
      </c>
      <c r="R821" s="636">
        <f t="shared" si="251"/>
        <v>1</v>
      </c>
      <c r="S821" s="636">
        <f t="shared" si="252"/>
        <v>1</v>
      </c>
      <c r="T821" s="636">
        <f t="shared" si="253"/>
        <v>1</v>
      </c>
      <c r="U821" s="638"/>
      <c r="V821" s="638"/>
      <c r="W821" s="639"/>
      <c r="X821" s="640" t="str">
        <f>IFERROR(VLOOKUP(W821,Listas!$A$60:$B$73,2,FALSE),"Alerta: Seleccione primero Modalidad de selección")</f>
        <v>Alerta: Seleccione primero Modalidad de selección</v>
      </c>
      <c r="Y821" s="641">
        <v>0</v>
      </c>
      <c r="Z821" s="641"/>
      <c r="AA821" s="641"/>
      <c r="AB821" s="642">
        <f t="shared" si="254"/>
        <v>0</v>
      </c>
      <c r="AC821" s="642">
        <f t="shared" si="255"/>
        <v>0</v>
      </c>
      <c r="AD821" s="641">
        <v>0</v>
      </c>
      <c r="AE821" s="643">
        <v>0</v>
      </c>
      <c r="AF821" s="639" t="s">
        <v>276</v>
      </c>
      <c r="AG821" s="639" t="s">
        <v>277</v>
      </c>
      <c r="AH821" s="639"/>
      <c r="AI821" s="626" t="str">
        <f>IFERROR(VLOOKUP(AH821,Listas!$A$77:$C$83,2,FALSE),"Alerta: Seleccione primero el responsable")</f>
        <v>Alerta: Seleccione primero el responsable</v>
      </c>
      <c r="AJ821" s="640" t="str">
        <f>IFERROR(VLOOKUP(AH821,Listas!$A$77:$C$83,3,FALSE),"Alerta: Seleccione primero el responsable")</f>
        <v>Alerta: Seleccione primero el responsable</v>
      </c>
      <c r="AK821" s="640" t="str">
        <f>IF(J821="Funcionamiento Gastos Generales","No aplica",IF(J821="Funcionamiento Servicios Personales indirectos","No aplica",IFERROR(VLOOKUP(J821,Listas!$A$127:$E$139,3,FALSE),"Alerta: Seleccione la celda en la comumna B con el nombre del proyecto")))</f>
        <v>Alerta: Seleccione la celda en la comumna B con el nombre del proyecto</v>
      </c>
      <c r="AL821" s="640" t="str">
        <f>IF(J821="Funcionamiento Gastos Generales","No aplica",IF(J821="Funcionamiento Servicios Personales","No aplica",IFERROR(VLOOKUP(J821,Listas!$A$220:$D$224,2,FALSE),"Alerta: Seleccione la celda en la comumna B con el nombre del proyecto")))</f>
        <v>Alerta: Seleccione la celda en la comumna B con el nombre del proyecto</v>
      </c>
      <c r="AM821" s="640" t="str">
        <f>IF(J821="Funcionamiento Gastos Generales","No aplica",IF(J821="Funcionamiento Servicios Personales","No aplica",IFERROR(VLOOKUP(J821,Listas!$A$220:$D$224,3,FALSE),"Alerta: Seleccione la celda en la comumna B con el nombre del proyecto")))</f>
        <v>Alerta: Seleccione la celda en la comumna B con el nombre del proyecto</v>
      </c>
      <c r="AN821" s="633"/>
      <c r="AO821" s="633"/>
      <c r="AP821" s="634" t="str">
        <f>IFERROR(VLOOKUP(J821,Listas!$A$182:$E$215,5,FALSE),"Alerta: Seleccione la celda en la comumna B con el nombre del proyecto")</f>
        <v>Alerta: Seleccione la celda en la comumna B con el nombre del proyecto</v>
      </c>
      <c r="AQ821" s="634" t="str">
        <f>IF(J821="Funcionamiento Gastos Generales","No aplica",IF(J821="Funcionamiento Servicios Personales","No aplica",IFERROR(VLOOKUP(J821,Listas!$A$220:$D$224,4,FALSE),"Alerta: Seleccione la celda en la comumna B con el nombre del proyecto")))</f>
        <v>Alerta: Seleccione la celda en la comumna B con el nombre del proyecto</v>
      </c>
      <c r="AR821" s="633"/>
      <c r="AS821" s="634" t="str">
        <f>IFERROR(VLOOKUP(AU821,Listas!$E$85:$L$105,7,FALSE),"Alerta: Seleccione la celda en la comumna AI con el concepto de gasto")</f>
        <v>Alerta: Seleccione la celda en la comumna AI con el concepto de gasto</v>
      </c>
      <c r="AT821" s="634" t="str">
        <f>IFERROR(VLOOKUP(AU821,Listas!$E$85:$L$105,8,FALSE),"Alerta: Seleccione la celda en la comumna AI con el concepto de gasto")</f>
        <v>Alerta: Seleccione la celda en la comumna AI con el concepto de gasto</v>
      </c>
      <c r="AU821" s="633"/>
      <c r="AV821" s="634" t="str">
        <f>IFERROR(VLOOKUP(AU821,Listas!$E$85:$F$105,2,FALSE),"Alerta: Seleccione el Concepto de Gasto primero")</f>
        <v>Alerta: Seleccione el Concepto de Gasto primero</v>
      </c>
      <c r="AW821" s="644"/>
      <c r="AX821" s="645"/>
      <c r="AY821" s="645"/>
      <c r="AZ821" s="645"/>
      <c r="BA821" s="646">
        <f t="shared" si="256"/>
        <v>0</v>
      </c>
      <c r="BB821" s="647"/>
      <c r="BC821" s="648"/>
      <c r="BD821" s="649"/>
      <c r="BE821" s="647"/>
      <c r="BF821" s="644"/>
      <c r="BG821" s="646">
        <f t="shared" si="257"/>
        <v>0</v>
      </c>
      <c r="BH821" s="650"/>
      <c r="BI821" s="647"/>
      <c r="BJ821" s="644"/>
      <c r="BK821" s="646">
        <f t="shared" si="258"/>
        <v>0</v>
      </c>
      <c r="BL821" s="651"/>
      <c r="BM821" s="652">
        <f t="shared" si="259"/>
        <v>1</v>
      </c>
      <c r="BN821" s="628"/>
      <c r="BO821" s="670"/>
      <c r="BP821" s="644"/>
      <c r="BQ821" s="644"/>
      <c r="BR821" s="644"/>
      <c r="BS821" s="644"/>
      <c r="BT821" s="644"/>
      <c r="BU821" s="644"/>
      <c r="BV821" s="644"/>
      <c r="BW821" s="644"/>
      <c r="BX821" s="644"/>
      <c r="BY821" s="644"/>
      <c r="BZ821" s="644"/>
      <c r="CA821" s="644"/>
      <c r="CB821" s="646">
        <f t="shared" si="260"/>
        <v>0</v>
      </c>
      <c r="CC821" s="646">
        <f t="shared" si="261"/>
        <v>0</v>
      </c>
      <c r="CD821" s="614"/>
    </row>
    <row r="822" spans="1:82" s="561" customFormat="1" ht="61.5" customHeight="1">
      <c r="A822" s="625" t="str">
        <f t="shared" si="243"/>
        <v>proyecto-Alerta: Seleccione la celda en la comumna B con el nombre del proyecto-Al-Al--</v>
      </c>
      <c r="B822" s="626" t="str">
        <f t="shared" si="244"/>
        <v>proyecto-Alerta: Seleccione la celda en la comumna B con el nombre del proyecto-Al-Al-</v>
      </c>
      <c r="C822" s="626" t="str">
        <f t="shared" si="245"/>
        <v>proyecto-Alerta: Seleccione la celda en la comumna B con el nombre del proyecto-</v>
      </c>
      <c r="D822" s="626" t="str">
        <f t="shared" si="246"/>
        <v>proyecto--Al-Al-</v>
      </c>
      <c r="E822" s="626" t="str">
        <f t="shared" si="247"/>
        <v>--</v>
      </c>
      <c r="F822" s="627"/>
      <c r="G822" s="628">
        <f t="shared" si="248"/>
        <v>0</v>
      </c>
      <c r="H822" s="629" t="b">
        <f t="shared" si="249"/>
        <v>1</v>
      </c>
      <c r="I822" s="630"/>
      <c r="J822" s="627"/>
      <c r="K822" s="631" t="str">
        <f>+IFERROR(VLOOKUP(J822,Listas!$A$108:$B$114,2,FALSE),"Alerta: Seleccione la celda en la comumna B con el nombre del proyecto")</f>
        <v>Alerta: Seleccione la celda en la comumna B con el nombre del proyecto</v>
      </c>
      <c r="L822" s="632"/>
      <c r="M822" s="633"/>
      <c r="N822" s="634" t="str">
        <f t="shared" si="250"/>
        <v xml:space="preserve">(Cód. ) </v>
      </c>
      <c r="O822" s="635"/>
      <c r="P822" s="636">
        <f>IFERROR(VLOOKUP(W822,'Estimación CRP'!$D$21:$E$30,2,FALSE),0)</f>
        <v>0</v>
      </c>
      <c r="Q822" s="637">
        <f>IF(O822="No aplica","No aplica",WORKDAY.INTL(O822,P822,1,'Estimación CRP'!A1008:A1024))</f>
        <v>0</v>
      </c>
      <c r="R822" s="636">
        <f t="shared" si="251"/>
        <v>1</v>
      </c>
      <c r="S822" s="636">
        <f t="shared" si="252"/>
        <v>1</v>
      </c>
      <c r="T822" s="636">
        <f t="shared" si="253"/>
        <v>1</v>
      </c>
      <c r="U822" s="638"/>
      <c r="V822" s="638"/>
      <c r="W822" s="639"/>
      <c r="X822" s="640" t="str">
        <f>IFERROR(VLOOKUP(W822,Listas!$A$60:$B$73,2,FALSE),"Alerta: Seleccione primero Modalidad de selección")</f>
        <v>Alerta: Seleccione primero Modalidad de selección</v>
      </c>
      <c r="Y822" s="641">
        <v>0</v>
      </c>
      <c r="Z822" s="641"/>
      <c r="AA822" s="641"/>
      <c r="AB822" s="642">
        <f t="shared" si="254"/>
        <v>0</v>
      </c>
      <c r="AC822" s="642">
        <f t="shared" si="255"/>
        <v>0</v>
      </c>
      <c r="AD822" s="641">
        <v>0</v>
      </c>
      <c r="AE822" s="643">
        <v>0</v>
      </c>
      <c r="AF822" s="639" t="s">
        <v>276</v>
      </c>
      <c r="AG822" s="639" t="s">
        <v>277</v>
      </c>
      <c r="AH822" s="639"/>
      <c r="AI822" s="626" t="str">
        <f>IFERROR(VLOOKUP(AH822,Listas!$A$77:$C$83,2,FALSE),"Alerta: Seleccione primero el responsable")</f>
        <v>Alerta: Seleccione primero el responsable</v>
      </c>
      <c r="AJ822" s="640" t="str">
        <f>IFERROR(VLOOKUP(AH822,Listas!$A$77:$C$83,3,FALSE),"Alerta: Seleccione primero el responsable")</f>
        <v>Alerta: Seleccione primero el responsable</v>
      </c>
      <c r="AK822" s="640" t="str">
        <f>IF(J822="Funcionamiento Gastos Generales","No aplica",IF(J822="Funcionamiento Servicios Personales indirectos","No aplica",IFERROR(VLOOKUP(J822,Listas!$A$127:$E$139,3,FALSE),"Alerta: Seleccione la celda en la comumna B con el nombre del proyecto")))</f>
        <v>Alerta: Seleccione la celda en la comumna B con el nombre del proyecto</v>
      </c>
      <c r="AL822" s="640" t="str">
        <f>IF(J822="Funcionamiento Gastos Generales","No aplica",IF(J822="Funcionamiento Servicios Personales","No aplica",IFERROR(VLOOKUP(J822,Listas!$A$220:$D$224,2,FALSE),"Alerta: Seleccione la celda en la comumna B con el nombre del proyecto")))</f>
        <v>Alerta: Seleccione la celda en la comumna B con el nombre del proyecto</v>
      </c>
      <c r="AM822" s="640" t="str">
        <f>IF(J822="Funcionamiento Gastos Generales","No aplica",IF(J822="Funcionamiento Servicios Personales","No aplica",IFERROR(VLOOKUP(J822,Listas!$A$220:$D$224,3,FALSE),"Alerta: Seleccione la celda en la comumna B con el nombre del proyecto")))</f>
        <v>Alerta: Seleccione la celda en la comumna B con el nombre del proyecto</v>
      </c>
      <c r="AN822" s="633"/>
      <c r="AO822" s="633"/>
      <c r="AP822" s="634" t="str">
        <f>IFERROR(VLOOKUP(J822,Listas!$A$182:$E$215,5,FALSE),"Alerta: Seleccione la celda en la comumna B con el nombre del proyecto")</f>
        <v>Alerta: Seleccione la celda en la comumna B con el nombre del proyecto</v>
      </c>
      <c r="AQ822" s="634" t="str">
        <f>IF(J822="Funcionamiento Gastos Generales","No aplica",IF(J822="Funcionamiento Servicios Personales","No aplica",IFERROR(VLOOKUP(J822,Listas!$A$220:$D$224,4,FALSE),"Alerta: Seleccione la celda en la comumna B con el nombre del proyecto")))</f>
        <v>Alerta: Seleccione la celda en la comumna B con el nombre del proyecto</v>
      </c>
      <c r="AR822" s="633"/>
      <c r="AS822" s="634" t="str">
        <f>IFERROR(VLOOKUP(AU822,Listas!$E$85:$L$105,7,FALSE),"Alerta: Seleccione la celda en la comumna AI con el concepto de gasto")</f>
        <v>Alerta: Seleccione la celda en la comumna AI con el concepto de gasto</v>
      </c>
      <c r="AT822" s="634" t="str">
        <f>IFERROR(VLOOKUP(AU822,Listas!$E$85:$L$105,8,FALSE),"Alerta: Seleccione la celda en la comumna AI con el concepto de gasto")</f>
        <v>Alerta: Seleccione la celda en la comumna AI con el concepto de gasto</v>
      </c>
      <c r="AU822" s="633"/>
      <c r="AV822" s="634" t="str">
        <f>IFERROR(VLOOKUP(AU822,Listas!$E$85:$F$105,2,FALSE),"Alerta: Seleccione el Concepto de Gasto primero")</f>
        <v>Alerta: Seleccione el Concepto de Gasto primero</v>
      </c>
      <c r="AW822" s="644"/>
      <c r="AX822" s="645"/>
      <c r="AY822" s="645"/>
      <c r="AZ822" s="645"/>
      <c r="BA822" s="646">
        <f t="shared" si="256"/>
        <v>0</v>
      </c>
      <c r="BB822" s="647"/>
      <c r="BC822" s="648"/>
      <c r="BD822" s="649"/>
      <c r="BE822" s="647"/>
      <c r="BF822" s="644"/>
      <c r="BG822" s="646">
        <f t="shared" si="257"/>
        <v>0</v>
      </c>
      <c r="BH822" s="650"/>
      <c r="BI822" s="647"/>
      <c r="BJ822" s="644"/>
      <c r="BK822" s="646">
        <f t="shared" si="258"/>
        <v>0</v>
      </c>
      <c r="BL822" s="651"/>
      <c r="BM822" s="652">
        <f t="shared" si="259"/>
        <v>1</v>
      </c>
      <c r="BN822" s="628"/>
      <c r="BO822" s="670"/>
      <c r="BP822" s="644"/>
      <c r="BQ822" s="644"/>
      <c r="BR822" s="644"/>
      <c r="BS822" s="644"/>
      <c r="BT822" s="644"/>
      <c r="BU822" s="644"/>
      <c r="BV822" s="644"/>
      <c r="BW822" s="644"/>
      <c r="BX822" s="644"/>
      <c r="BY822" s="644"/>
      <c r="BZ822" s="644"/>
      <c r="CA822" s="644"/>
      <c r="CB822" s="646">
        <f t="shared" si="260"/>
        <v>0</v>
      </c>
      <c r="CC822" s="646">
        <f t="shared" si="261"/>
        <v>0</v>
      </c>
      <c r="CD822" s="614"/>
    </row>
    <row r="823" spans="1:82" s="561" customFormat="1" ht="61.5" customHeight="1">
      <c r="A823" s="625" t="str">
        <f t="shared" si="243"/>
        <v>proyecto-Alerta: Seleccione la celda en la comumna B con el nombre del proyecto-Al-Al--</v>
      </c>
      <c r="B823" s="626" t="str">
        <f t="shared" si="244"/>
        <v>proyecto-Alerta: Seleccione la celda en la comumna B con el nombre del proyecto-Al-Al-</v>
      </c>
      <c r="C823" s="626" t="str">
        <f t="shared" si="245"/>
        <v>proyecto-Alerta: Seleccione la celda en la comumna B con el nombre del proyecto-</v>
      </c>
      <c r="D823" s="626" t="str">
        <f t="shared" si="246"/>
        <v>proyecto--Al-Al-</v>
      </c>
      <c r="E823" s="626" t="str">
        <f t="shared" si="247"/>
        <v>--</v>
      </c>
      <c r="F823" s="627"/>
      <c r="G823" s="628">
        <f t="shared" si="248"/>
        <v>0</v>
      </c>
      <c r="H823" s="629" t="b">
        <f t="shared" si="249"/>
        <v>1</v>
      </c>
      <c r="I823" s="630"/>
      <c r="J823" s="627"/>
      <c r="K823" s="631" t="str">
        <f>+IFERROR(VLOOKUP(J823,Listas!$A$108:$B$114,2,FALSE),"Alerta: Seleccione la celda en la comumna B con el nombre del proyecto")</f>
        <v>Alerta: Seleccione la celda en la comumna B con el nombre del proyecto</v>
      </c>
      <c r="L823" s="632"/>
      <c r="M823" s="633"/>
      <c r="N823" s="634" t="str">
        <f t="shared" si="250"/>
        <v xml:space="preserve">(Cód. ) </v>
      </c>
      <c r="O823" s="635"/>
      <c r="P823" s="636">
        <f>IFERROR(VLOOKUP(W823,'Estimación CRP'!$D$21:$E$30,2,FALSE),0)</f>
        <v>0</v>
      </c>
      <c r="Q823" s="637">
        <f>IF(O823="No aplica","No aplica",WORKDAY.INTL(O823,P823,1,'Estimación CRP'!A1009:A1025))</f>
        <v>0</v>
      </c>
      <c r="R823" s="636">
        <f t="shared" si="251"/>
        <v>1</v>
      </c>
      <c r="S823" s="636">
        <f t="shared" si="252"/>
        <v>1</v>
      </c>
      <c r="T823" s="636">
        <f t="shared" si="253"/>
        <v>1</v>
      </c>
      <c r="U823" s="638"/>
      <c r="V823" s="638"/>
      <c r="W823" s="639"/>
      <c r="X823" s="640" t="str">
        <f>IFERROR(VLOOKUP(W823,Listas!$A$60:$B$73,2,FALSE),"Alerta: Seleccione primero Modalidad de selección")</f>
        <v>Alerta: Seleccione primero Modalidad de selección</v>
      </c>
      <c r="Y823" s="641">
        <v>0</v>
      </c>
      <c r="Z823" s="641"/>
      <c r="AA823" s="641"/>
      <c r="AB823" s="642">
        <f t="shared" si="254"/>
        <v>0</v>
      </c>
      <c r="AC823" s="642">
        <f t="shared" si="255"/>
        <v>0</v>
      </c>
      <c r="AD823" s="641">
        <v>0</v>
      </c>
      <c r="AE823" s="643">
        <v>0</v>
      </c>
      <c r="AF823" s="639" t="s">
        <v>276</v>
      </c>
      <c r="AG823" s="639" t="s">
        <v>277</v>
      </c>
      <c r="AH823" s="639"/>
      <c r="AI823" s="626" t="str">
        <f>IFERROR(VLOOKUP(AH823,Listas!$A$77:$C$83,2,FALSE),"Alerta: Seleccione primero el responsable")</f>
        <v>Alerta: Seleccione primero el responsable</v>
      </c>
      <c r="AJ823" s="640" t="str">
        <f>IFERROR(VLOOKUP(AH823,Listas!$A$77:$C$83,3,FALSE),"Alerta: Seleccione primero el responsable")</f>
        <v>Alerta: Seleccione primero el responsable</v>
      </c>
      <c r="AK823" s="640" t="str">
        <f>IF(J823="Funcionamiento Gastos Generales","No aplica",IF(J823="Funcionamiento Servicios Personales indirectos","No aplica",IFERROR(VLOOKUP(J823,Listas!$A$127:$E$139,3,FALSE),"Alerta: Seleccione la celda en la comumna B con el nombre del proyecto")))</f>
        <v>Alerta: Seleccione la celda en la comumna B con el nombre del proyecto</v>
      </c>
      <c r="AL823" s="640" t="str">
        <f>IF(J823="Funcionamiento Gastos Generales","No aplica",IF(J823="Funcionamiento Servicios Personales","No aplica",IFERROR(VLOOKUP(J823,Listas!$A$220:$D$224,2,FALSE),"Alerta: Seleccione la celda en la comumna B con el nombre del proyecto")))</f>
        <v>Alerta: Seleccione la celda en la comumna B con el nombre del proyecto</v>
      </c>
      <c r="AM823" s="640" t="str">
        <f>IF(J823="Funcionamiento Gastos Generales","No aplica",IF(J823="Funcionamiento Servicios Personales","No aplica",IFERROR(VLOOKUP(J823,Listas!$A$220:$D$224,3,FALSE),"Alerta: Seleccione la celda en la comumna B con el nombre del proyecto")))</f>
        <v>Alerta: Seleccione la celda en la comumna B con el nombre del proyecto</v>
      </c>
      <c r="AN823" s="633"/>
      <c r="AO823" s="633"/>
      <c r="AP823" s="634" t="str">
        <f>IFERROR(VLOOKUP(J823,Listas!$A$182:$E$215,5,FALSE),"Alerta: Seleccione la celda en la comumna B con el nombre del proyecto")</f>
        <v>Alerta: Seleccione la celda en la comumna B con el nombre del proyecto</v>
      </c>
      <c r="AQ823" s="634" t="str">
        <f>IF(J823="Funcionamiento Gastos Generales","No aplica",IF(J823="Funcionamiento Servicios Personales","No aplica",IFERROR(VLOOKUP(J823,Listas!$A$220:$D$224,4,FALSE),"Alerta: Seleccione la celda en la comumna B con el nombre del proyecto")))</f>
        <v>Alerta: Seleccione la celda en la comumna B con el nombre del proyecto</v>
      </c>
      <c r="AR823" s="633"/>
      <c r="AS823" s="634" t="str">
        <f>IFERROR(VLOOKUP(AU823,Listas!$E$85:$L$105,7,FALSE),"Alerta: Seleccione la celda en la comumna AI con el concepto de gasto")</f>
        <v>Alerta: Seleccione la celda en la comumna AI con el concepto de gasto</v>
      </c>
      <c r="AT823" s="634" t="str">
        <f>IFERROR(VLOOKUP(AU823,Listas!$E$85:$L$105,8,FALSE),"Alerta: Seleccione la celda en la comumna AI con el concepto de gasto")</f>
        <v>Alerta: Seleccione la celda en la comumna AI con el concepto de gasto</v>
      </c>
      <c r="AU823" s="633"/>
      <c r="AV823" s="634" t="str">
        <f>IFERROR(VLOOKUP(AU823,Listas!$E$85:$F$105,2,FALSE),"Alerta: Seleccione el Concepto de Gasto primero")</f>
        <v>Alerta: Seleccione el Concepto de Gasto primero</v>
      </c>
      <c r="AW823" s="644"/>
      <c r="AX823" s="645"/>
      <c r="AY823" s="645"/>
      <c r="AZ823" s="645"/>
      <c r="BA823" s="646">
        <f t="shared" si="256"/>
        <v>0</v>
      </c>
      <c r="BB823" s="647"/>
      <c r="BC823" s="648"/>
      <c r="BD823" s="649"/>
      <c r="BE823" s="647"/>
      <c r="BF823" s="644"/>
      <c r="BG823" s="646">
        <f t="shared" si="257"/>
        <v>0</v>
      </c>
      <c r="BH823" s="650"/>
      <c r="BI823" s="647"/>
      <c r="BJ823" s="644"/>
      <c r="BK823" s="646">
        <f t="shared" si="258"/>
        <v>0</v>
      </c>
      <c r="BL823" s="651"/>
      <c r="BM823" s="652">
        <f t="shared" si="259"/>
        <v>1</v>
      </c>
      <c r="BN823" s="628"/>
      <c r="BO823" s="670"/>
      <c r="BP823" s="644"/>
      <c r="BQ823" s="644"/>
      <c r="BR823" s="644"/>
      <c r="BS823" s="644"/>
      <c r="BT823" s="644"/>
      <c r="BU823" s="644"/>
      <c r="BV823" s="644"/>
      <c r="BW823" s="644"/>
      <c r="BX823" s="644"/>
      <c r="BY823" s="644"/>
      <c r="BZ823" s="644"/>
      <c r="CA823" s="644"/>
      <c r="CB823" s="646">
        <f t="shared" si="260"/>
        <v>0</v>
      </c>
      <c r="CC823" s="646">
        <f t="shared" si="261"/>
        <v>0</v>
      </c>
      <c r="CD823" s="614"/>
    </row>
    <row r="824" spans="1:82" s="659" customFormat="1" ht="61.5" customHeight="1">
      <c r="A824" s="625" t="str">
        <f t="shared" si="243"/>
        <v>proyecto-Alerta: Seleccione la celda en la comumna B con el nombre del proyecto-Al-Al--</v>
      </c>
      <c r="B824" s="626" t="str">
        <f t="shared" si="244"/>
        <v>proyecto-Alerta: Seleccione la celda en la comumna B con el nombre del proyecto-Al-Al-</v>
      </c>
      <c r="C824" s="626" t="str">
        <f t="shared" si="245"/>
        <v>proyecto-Alerta: Seleccione la celda en la comumna B con el nombre del proyecto-</v>
      </c>
      <c r="D824" s="626" t="str">
        <f t="shared" si="246"/>
        <v>proyecto--Al-Al-</v>
      </c>
      <c r="E824" s="626" t="str">
        <f t="shared" si="247"/>
        <v>--</v>
      </c>
      <c r="F824" s="627"/>
      <c r="G824" s="628">
        <f t="shared" si="248"/>
        <v>0</v>
      </c>
      <c r="H824" s="629" t="b">
        <f t="shared" si="249"/>
        <v>1</v>
      </c>
      <c r="I824" s="630"/>
      <c r="J824" s="627"/>
      <c r="K824" s="631" t="str">
        <f>+IFERROR(VLOOKUP(J824,Listas!$A$108:$B$114,2,FALSE),"Alerta: Seleccione la celda en la comumna B con el nombre del proyecto")</f>
        <v>Alerta: Seleccione la celda en la comumna B con el nombre del proyecto</v>
      </c>
      <c r="L824" s="632"/>
      <c r="M824" s="633"/>
      <c r="N824" s="634" t="str">
        <f t="shared" si="250"/>
        <v xml:space="preserve">(Cód. ) </v>
      </c>
      <c r="O824" s="635"/>
      <c r="P824" s="636">
        <f>IFERROR(VLOOKUP(W824,'Estimación CRP'!$D$21:$E$30,2,FALSE),0)</f>
        <v>0</v>
      </c>
      <c r="Q824" s="637">
        <f>IF(O824="No aplica","No aplica",WORKDAY.INTL(O824,P824,1,'Estimación CRP'!A1010:A1026))</f>
        <v>0</v>
      </c>
      <c r="R824" s="636">
        <f t="shared" si="251"/>
        <v>1</v>
      </c>
      <c r="S824" s="636">
        <f t="shared" si="252"/>
        <v>1</v>
      </c>
      <c r="T824" s="636">
        <f t="shared" si="253"/>
        <v>1</v>
      </c>
      <c r="U824" s="638"/>
      <c r="V824" s="638"/>
      <c r="W824" s="639"/>
      <c r="X824" s="640" t="str">
        <f>IFERROR(VLOOKUP(W824,Listas!$A$60:$B$73,2,FALSE),"Alerta: Seleccione primero Modalidad de selección")</f>
        <v>Alerta: Seleccione primero Modalidad de selección</v>
      </c>
      <c r="Y824" s="641">
        <v>0</v>
      </c>
      <c r="Z824" s="641"/>
      <c r="AA824" s="641"/>
      <c r="AB824" s="642">
        <f t="shared" si="254"/>
        <v>0</v>
      </c>
      <c r="AC824" s="642">
        <f t="shared" si="255"/>
        <v>0</v>
      </c>
      <c r="AD824" s="641">
        <v>0</v>
      </c>
      <c r="AE824" s="643">
        <v>0</v>
      </c>
      <c r="AF824" s="639" t="s">
        <v>276</v>
      </c>
      <c r="AG824" s="639" t="s">
        <v>277</v>
      </c>
      <c r="AH824" s="639"/>
      <c r="AI824" s="626" t="str">
        <f>IFERROR(VLOOKUP(AH824,Listas!$A$77:$C$83,2,FALSE),"Alerta: Seleccione primero el responsable")</f>
        <v>Alerta: Seleccione primero el responsable</v>
      </c>
      <c r="AJ824" s="640" t="str">
        <f>IFERROR(VLOOKUP(AH824,Listas!$A$77:$C$83,3,FALSE),"Alerta: Seleccione primero el responsable")</f>
        <v>Alerta: Seleccione primero el responsable</v>
      </c>
      <c r="AK824" s="640" t="str">
        <f>IF(J824="Funcionamiento Gastos Generales","No aplica",IF(J824="Funcionamiento Servicios Personales indirectos","No aplica",IFERROR(VLOOKUP(J824,Listas!$A$127:$E$139,3,FALSE),"Alerta: Seleccione la celda en la comumna B con el nombre del proyecto")))</f>
        <v>Alerta: Seleccione la celda en la comumna B con el nombre del proyecto</v>
      </c>
      <c r="AL824" s="640" t="str">
        <f>IF(J824="Funcionamiento Gastos Generales","No aplica",IF(J824="Funcionamiento Servicios Personales","No aplica",IFERROR(VLOOKUP(J824,Listas!$A$220:$D$224,2,FALSE),"Alerta: Seleccione la celda en la comumna B con el nombre del proyecto")))</f>
        <v>Alerta: Seleccione la celda en la comumna B con el nombre del proyecto</v>
      </c>
      <c r="AM824" s="640" t="str">
        <f>IF(J824="Funcionamiento Gastos Generales","No aplica",IF(J824="Funcionamiento Servicios Personales","No aplica",IFERROR(VLOOKUP(J824,Listas!$A$220:$D$224,3,FALSE),"Alerta: Seleccione la celda en la comumna B con el nombre del proyecto")))</f>
        <v>Alerta: Seleccione la celda en la comumna B con el nombre del proyecto</v>
      </c>
      <c r="AN824" s="633"/>
      <c r="AO824" s="633"/>
      <c r="AP824" s="634" t="str">
        <f>IFERROR(VLOOKUP(J824,Listas!$A$182:$E$215,5,FALSE),"Alerta: Seleccione la celda en la comumna B con el nombre del proyecto")</f>
        <v>Alerta: Seleccione la celda en la comumna B con el nombre del proyecto</v>
      </c>
      <c r="AQ824" s="634" t="str">
        <f>IF(J824="Funcionamiento Gastos Generales","No aplica",IF(J824="Funcionamiento Servicios Personales","No aplica",IFERROR(VLOOKUP(J824,Listas!$A$220:$D$224,4,FALSE),"Alerta: Seleccione la celda en la comumna B con el nombre del proyecto")))</f>
        <v>Alerta: Seleccione la celda en la comumna B con el nombre del proyecto</v>
      </c>
      <c r="AR824" s="633"/>
      <c r="AS824" s="634" t="str">
        <f>IFERROR(VLOOKUP(AU824,Listas!$E$85:$L$105,7,FALSE),"Alerta: Seleccione la celda en la comumna AI con el concepto de gasto")</f>
        <v>Alerta: Seleccione la celda en la comumna AI con el concepto de gasto</v>
      </c>
      <c r="AT824" s="634" t="str">
        <f>IFERROR(VLOOKUP(AU824,Listas!$E$85:$L$105,8,FALSE),"Alerta: Seleccione la celda en la comumna AI con el concepto de gasto")</f>
        <v>Alerta: Seleccione la celda en la comumna AI con el concepto de gasto</v>
      </c>
      <c r="AU824" s="633"/>
      <c r="AV824" s="634" t="str">
        <f>IFERROR(VLOOKUP(AU824,Listas!$E$85:$F$105,2,FALSE),"Alerta: Seleccione el Concepto de Gasto primero")</f>
        <v>Alerta: Seleccione el Concepto de Gasto primero</v>
      </c>
      <c r="AW824" s="644"/>
      <c r="AX824" s="645"/>
      <c r="AY824" s="645"/>
      <c r="AZ824" s="645"/>
      <c r="BA824" s="646">
        <f t="shared" si="256"/>
        <v>0</v>
      </c>
      <c r="BB824" s="647"/>
      <c r="BC824" s="648"/>
      <c r="BD824" s="649"/>
      <c r="BE824" s="647"/>
      <c r="BF824" s="644"/>
      <c r="BG824" s="646">
        <f t="shared" si="257"/>
        <v>0</v>
      </c>
      <c r="BH824" s="650"/>
      <c r="BI824" s="647"/>
      <c r="BJ824" s="644"/>
      <c r="BK824" s="646">
        <f t="shared" si="258"/>
        <v>0</v>
      </c>
      <c r="BL824" s="651"/>
      <c r="BM824" s="652">
        <f t="shared" si="259"/>
        <v>1</v>
      </c>
      <c r="BN824" s="628"/>
      <c r="BO824" s="670"/>
      <c r="BP824" s="644"/>
      <c r="BQ824" s="644"/>
      <c r="BR824" s="644"/>
      <c r="BS824" s="644"/>
      <c r="BT824" s="644"/>
      <c r="BU824" s="644"/>
      <c r="BV824" s="644"/>
      <c r="BW824" s="644"/>
      <c r="BX824" s="644"/>
      <c r="BY824" s="644"/>
      <c r="BZ824" s="644"/>
      <c r="CA824" s="644"/>
      <c r="CB824" s="646">
        <f t="shared" si="260"/>
        <v>0</v>
      </c>
      <c r="CC824" s="646">
        <f t="shared" si="261"/>
        <v>0</v>
      </c>
      <c r="CD824" s="614"/>
    </row>
    <row r="825" spans="1:82" s="561" customFormat="1" ht="61.5" customHeight="1">
      <c r="A825" s="625" t="str">
        <f t="shared" si="243"/>
        <v>proyecto-Alerta: Seleccione la celda en la comumna B con el nombre del proyecto-Al-Al--</v>
      </c>
      <c r="B825" s="626" t="str">
        <f t="shared" si="244"/>
        <v>proyecto-Alerta: Seleccione la celda en la comumna B con el nombre del proyecto-Al-Al-</v>
      </c>
      <c r="C825" s="626" t="str">
        <f t="shared" si="245"/>
        <v>proyecto-Alerta: Seleccione la celda en la comumna B con el nombre del proyecto-</v>
      </c>
      <c r="D825" s="626" t="str">
        <f t="shared" si="246"/>
        <v>proyecto--Al-Al-</v>
      </c>
      <c r="E825" s="626" t="str">
        <f t="shared" si="247"/>
        <v>--</v>
      </c>
      <c r="F825" s="627"/>
      <c r="G825" s="628">
        <f t="shared" si="248"/>
        <v>0</v>
      </c>
      <c r="H825" s="629" t="b">
        <f t="shared" si="249"/>
        <v>1</v>
      </c>
      <c r="I825" s="630"/>
      <c r="J825" s="627"/>
      <c r="K825" s="631" t="str">
        <f>+IFERROR(VLOOKUP(J825,Listas!$A$108:$B$114,2,FALSE),"Alerta: Seleccione la celda en la comumna B con el nombre del proyecto")</f>
        <v>Alerta: Seleccione la celda en la comumna B con el nombre del proyecto</v>
      </c>
      <c r="L825" s="632"/>
      <c r="M825" s="633"/>
      <c r="N825" s="634" t="str">
        <f t="shared" si="250"/>
        <v xml:space="preserve">(Cód. ) </v>
      </c>
      <c r="O825" s="635"/>
      <c r="P825" s="636">
        <f>IFERROR(VLOOKUP(W825,'Estimación CRP'!$D$21:$E$30,2,FALSE),0)</f>
        <v>0</v>
      </c>
      <c r="Q825" s="637">
        <f>IF(O825="No aplica","No aplica",WORKDAY.INTL(O825,P825,1,'Estimación CRP'!A1011:A1027))</f>
        <v>0</v>
      </c>
      <c r="R825" s="636">
        <f t="shared" si="251"/>
        <v>1</v>
      </c>
      <c r="S825" s="636">
        <f t="shared" si="252"/>
        <v>1</v>
      </c>
      <c r="T825" s="636">
        <f t="shared" si="253"/>
        <v>1</v>
      </c>
      <c r="U825" s="638"/>
      <c r="V825" s="638"/>
      <c r="W825" s="639"/>
      <c r="X825" s="640" t="str">
        <f>IFERROR(VLOOKUP(W825,Listas!$A$60:$B$73,2,FALSE),"Alerta: Seleccione primero Modalidad de selección")</f>
        <v>Alerta: Seleccione primero Modalidad de selección</v>
      </c>
      <c r="Y825" s="641">
        <v>0</v>
      </c>
      <c r="Z825" s="641"/>
      <c r="AA825" s="641"/>
      <c r="AB825" s="642">
        <f t="shared" si="254"/>
        <v>0</v>
      </c>
      <c r="AC825" s="642">
        <f t="shared" si="255"/>
        <v>0</v>
      </c>
      <c r="AD825" s="641">
        <v>0</v>
      </c>
      <c r="AE825" s="643">
        <v>0</v>
      </c>
      <c r="AF825" s="639" t="s">
        <v>276</v>
      </c>
      <c r="AG825" s="639" t="s">
        <v>277</v>
      </c>
      <c r="AH825" s="639"/>
      <c r="AI825" s="626" t="str">
        <f>IFERROR(VLOOKUP(AH825,Listas!$A$77:$C$83,2,FALSE),"Alerta: Seleccione primero el responsable")</f>
        <v>Alerta: Seleccione primero el responsable</v>
      </c>
      <c r="AJ825" s="640" t="str">
        <f>IFERROR(VLOOKUP(AH825,Listas!$A$77:$C$83,3,FALSE),"Alerta: Seleccione primero el responsable")</f>
        <v>Alerta: Seleccione primero el responsable</v>
      </c>
      <c r="AK825" s="640" t="str">
        <f>IF(J825="Funcionamiento Gastos Generales","No aplica",IF(J825="Funcionamiento Servicios Personales indirectos","No aplica",IFERROR(VLOOKUP(J825,Listas!$A$127:$E$139,3,FALSE),"Alerta: Seleccione la celda en la comumna B con el nombre del proyecto")))</f>
        <v>Alerta: Seleccione la celda en la comumna B con el nombre del proyecto</v>
      </c>
      <c r="AL825" s="640" t="str">
        <f>IF(J825="Funcionamiento Gastos Generales","No aplica",IF(J825="Funcionamiento Servicios Personales","No aplica",IFERROR(VLOOKUP(J825,Listas!$A$220:$D$224,2,FALSE),"Alerta: Seleccione la celda en la comumna B con el nombre del proyecto")))</f>
        <v>Alerta: Seleccione la celda en la comumna B con el nombre del proyecto</v>
      </c>
      <c r="AM825" s="640" t="str">
        <f>IF(J825="Funcionamiento Gastos Generales","No aplica",IF(J825="Funcionamiento Servicios Personales","No aplica",IFERROR(VLOOKUP(J825,Listas!$A$220:$D$224,3,FALSE),"Alerta: Seleccione la celda en la comumna B con el nombre del proyecto")))</f>
        <v>Alerta: Seleccione la celda en la comumna B con el nombre del proyecto</v>
      </c>
      <c r="AN825" s="633"/>
      <c r="AO825" s="633"/>
      <c r="AP825" s="634" t="str">
        <f>IFERROR(VLOOKUP(J825,Listas!$A$182:$E$215,5,FALSE),"Alerta: Seleccione la celda en la comumna B con el nombre del proyecto")</f>
        <v>Alerta: Seleccione la celda en la comumna B con el nombre del proyecto</v>
      </c>
      <c r="AQ825" s="634" t="str">
        <f>IF(J825="Funcionamiento Gastos Generales","No aplica",IF(J825="Funcionamiento Servicios Personales","No aplica",IFERROR(VLOOKUP(J825,Listas!$A$220:$D$224,4,FALSE),"Alerta: Seleccione la celda en la comumna B con el nombre del proyecto")))</f>
        <v>Alerta: Seleccione la celda en la comumna B con el nombre del proyecto</v>
      </c>
      <c r="AR825" s="633"/>
      <c r="AS825" s="634" t="str">
        <f>IFERROR(VLOOKUP(AU825,Listas!$E$85:$L$105,7,FALSE),"Alerta: Seleccione la celda en la comumna AI con el concepto de gasto")</f>
        <v>Alerta: Seleccione la celda en la comumna AI con el concepto de gasto</v>
      </c>
      <c r="AT825" s="634" t="str">
        <f>IFERROR(VLOOKUP(AU825,Listas!$E$85:$L$105,8,FALSE),"Alerta: Seleccione la celda en la comumna AI con el concepto de gasto")</f>
        <v>Alerta: Seleccione la celda en la comumna AI con el concepto de gasto</v>
      </c>
      <c r="AU825" s="633"/>
      <c r="AV825" s="634" t="str">
        <f>IFERROR(VLOOKUP(AU825,Listas!$E$85:$F$105,2,FALSE),"Alerta: Seleccione el Concepto de Gasto primero")</f>
        <v>Alerta: Seleccione el Concepto de Gasto primero</v>
      </c>
      <c r="AW825" s="644"/>
      <c r="AX825" s="645"/>
      <c r="AY825" s="645"/>
      <c r="AZ825" s="645"/>
      <c r="BA825" s="646">
        <f t="shared" si="256"/>
        <v>0</v>
      </c>
      <c r="BB825" s="647"/>
      <c r="BC825" s="648"/>
      <c r="BD825" s="649"/>
      <c r="BE825" s="647"/>
      <c r="BF825" s="644"/>
      <c r="BG825" s="646">
        <f t="shared" si="257"/>
        <v>0</v>
      </c>
      <c r="BH825" s="650"/>
      <c r="BI825" s="647"/>
      <c r="BJ825" s="644"/>
      <c r="BK825" s="646">
        <f t="shared" si="258"/>
        <v>0</v>
      </c>
      <c r="BL825" s="651"/>
      <c r="BM825" s="652">
        <f t="shared" si="259"/>
        <v>1</v>
      </c>
      <c r="BN825" s="628"/>
      <c r="BO825" s="670"/>
      <c r="BP825" s="644"/>
      <c r="BQ825" s="644"/>
      <c r="BR825" s="644"/>
      <c r="BS825" s="644"/>
      <c r="BT825" s="644"/>
      <c r="BU825" s="644"/>
      <c r="BV825" s="644"/>
      <c r="BW825" s="644"/>
      <c r="BX825" s="644"/>
      <c r="BY825" s="644"/>
      <c r="BZ825" s="644"/>
      <c r="CA825" s="644"/>
      <c r="CB825" s="646">
        <f t="shared" si="260"/>
        <v>0</v>
      </c>
      <c r="CC825" s="646">
        <f t="shared" si="261"/>
        <v>0</v>
      </c>
      <c r="CD825" s="614"/>
    </row>
    <row r="826" spans="1:82" s="561" customFormat="1" ht="61.5" customHeight="1">
      <c r="A826" s="625" t="str">
        <f t="shared" si="243"/>
        <v>proyecto-Alerta: Seleccione la celda en la comumna B con el nombre del proyecto-Al-Al--</v>
      </c>
      <c r="B826" s="626" t="str">
        <f t="shared" si="244"/>
        <v>proyecto-Alerta: Seleccione la celda en la comumna B con el nombre del proyecto-Al-Al-</v>
      </c>
      <c r="C826" s="626" t="str">
        <f t="shared" si="245"/>
        <v>proyecto-Alerta: Seleccione la celda en la comumna B con el nombre del proyecto-</v>
      </c>
      <c r="D826" s="626" t="str">
        <f t="shared" si="246"/>
        <v>proyecto--Al-Al-</v>
      </c>
      <c r="E826" s="626" t="str">
        <f t="shared" si="247"/>
        <v>--</v>
      </c>
      <c r="F826" s="627"/>
      <c r="G826" s="628">
        <f t="shared" si="248"/>
        <v>0</v>
      </c>
      <c r="H826" s="629" t="b">
        <f t="shared" si="249"/>
        <v>1</v>
      </c>
      <c r="I826" s="630"/>
      <c r="J826" s="627"/>
      <c r="K826" s="631" t="str">
        <f>+IFERROR(VLOOKUP(J826,Listas!$A$108:$B$114,2,FALSE),"Alerta: Seleccione la celda en la comumna B con el nombre del proyecto")</f>
        <v>Alerta: Seleccione la celda en la comumna B con el nombre del proyecto</v>
      </c>
      <c r="L826" s="632"/>
      <c r="M826" s="633"/>
      <c r="N826" s="634" t="str">
        <f t="shared" si="250"/>
        <v xml:space="preserve">(Cód. ) </v>
      </c>
      <c r="O826" s="635"/>
      <c r="P826" s="636">
        <f>IFERROR(VLOOKUP(W826,'Estimación CRP'!$D$21:$E$30,2,FALSE),0)</f>
        <v>0</v>
      </c>
      <c r="Q826" s="637">
        <f>IF(O826="No aplica","No aplica",WORKDAY.INTL(O826,P826,1,'Estimación CRP'!A1012:A1028))</f>
        <v>0</v>
      </c>
      <c r="R826" s="636">
        <f t="shared" si="251"/>
        <v>1</v>
      </c>
      <c r="S826" s="636">
        <f t="shared" si="252"/>
        <v>1</v>
      </c>
      <c r="T826" s="636">
        <f t="shared" si="253"/>
        <v>1</v>
      </c>
      <c r="U826" s="638"/>
      <c r="V826" s="638"/>
      <c r="W826" s="639"/>
      <c r="X826" s="640" t="str">
        <f>IFERROR(VLOOKUP(W826,Listas!$A$60:$B$73,2,FALSE),"Alerta: Seleccione primero Modalidad de selección")</f>
        <v>Alerta: Seleccione primero Modalidad de selección</v>
      </c>
      <c r="Y826" s="641">
        <v>0</v>
      </c>
      <c r="Z826" s="641"/>
      <c r="AA826" s="641"/>
      <c r="AB826" s="642">
        <f t="shared" si="254"/>
        <v>0</v>
      </c>
      <c r="AC826" s="642">
        <f t="shared" si="255"/>
        <v>0</v>
      </c>
      <c r="AD826" s="641">
        <v>0</v>
      </c>
      <c r="AE826" s="643">
        <v>0</v>
      </c>
      <c r="AF826" s="639" t="s">
        <v>276</v>
      </c>
      <c r="AG826" s="639" t="s">
        <v>277</v>
      </c>
      <c r="AH826" s="639"/>
      <c r="AI826" s="626" t="str">
        <f>IFERROR(VLOOKUP(AH826,Listas!$A$77:$C$83,2,FALSE),"Alerta: Seleccione primero el responsable")</f>
        <v>Alerta: Seleccione primero el responsable</v>
      </c>
      <c r="AJ826" s="640" t="str">
        <f>IFERROR(VLOOKUP(AH826,Listas!$A$77:$C$83,3,FALSE),"Alerta: Seleccione primero el responsable")</f>
        <v>Alerta: Seleccione primero el responsable</v>
      </c>
      <c r="AK826" s="640" t="str">
        <f>IF(J826="Funcionamiento Gastos Generales","No aplica",IF(J826="Funcionamiento Servicios Personales indirectos","No aplica",IFERROR(VLOOKUP(J826,Listas!$A$127:$E$139,3,FALSE),"Alerta: Seleccione la celda en la comumna B con el nombre del proyecto")))</f>
        <v>Alerta: Seleccione la celda en la comumna B con el nombre del proyecto</v>
      </c>
      <c r="AL826" s="640" t="str">
        <f>IF(J826="Funcionamiento Gastos Generales","No aplica",IF(J826="Funcionamiento Servicios Personales","No aplica",IFERROR(VLOOKUP(J826,Listas!$A$220:$D$224,2,FALSE),"Alerta: Seleccione la celda en la comumna B con el nombre del proyecto")))</f>
        <v>Alerta: Seleccione la celda en la comumna B con el nombre del proyecto</v>
      </c>
      <c r="AM826" s="640" t="str">
        <f>IF(J826="Funcionamiento Gastos Generales","No aplica",IF(J826="Funcionamiento Servicios Personales","No aplica",IFERROR(VLOOKUP(J826,Listas!$A$220:$D$224,3,FALSE),"Alerta: Seleccione la celda en la comumna B con el nombre del proyecto")))</f>
        <v>Alerta: Seleccione la celda en la comumna B con el nombre del proyecto</v>
      </c>
      <c r="AN826" s="633"/>
      <c r="AO826" s="633"/>
      <c r="AP826" s="634" t="str">
        <f>IFERROR(VLOOKUP(J826,Listas!$A$182:$E$215,5,FALSE),"Alerta: Seleccione la celda en la comumna B con el nombre del proyecto")</f>
        <v>Alerta: Seleccione la celda en la comumna B con el nombre del proyecto</v>
      </c>
      <c r="AQ826" s="634" t="str">
        <f>IF(J826="Funcionamiento Gastos Generales","No aplica",IF(J826="Funcionamiento Servicios Personales","No aplica",IFERROR(VLOOKUP(J826,Listas!$A$220:$D$224,4,FALSE),"Alerta: Seleccione la celda en la comumna B con el nombre del proyecto")))</f>
        <v>Alerta: Seleccione la celda en la comumna B con el nombre del proyecto</v>
      </c>
      <c r="AR826" s="633"/>
      <c r="AS826" s="634" t="str">
        <f>IFERROR(VLOOKUP(AU826,Listas!$E$85:$L$105,7,FALSE),"Alerta: Seleccione la celda en la comumna AI con el concepto de gasto")</f>
        <v>Alerta: Seleccione la celda en la comumna AI con el concepto de gasto</v>
      </c>
      <c r="AT826" s="634" t="str">
        <f>IFERROR(VLOOKUP(AU826,Listas!$E$85:$L$105,8,FALSE),"Alerta: Seleccione la celda en la comumna AI con el concepto de gasto")</f>
        <v>Alerta: Seleccione la celda en la comumna AI con el concepto de gasto</v>
      </c>
      <c r="AU826" s="633"/>
      <c r="AV826" s="634" t="str">
        <f>IFERROR(VLOOKUP(AU826,Listas!$E$85:$F$105,2,FALSE),"Alerta: Seleccione el Concepto de Gasto primero")</f>
        <v>Alerta: Seleccione el Concepto de Gasto primero</v>
      </c>
      <c r="AW826" s="644"/>
      <c r="AX826" s="645"/>
      <c r="AY826" s="645"/>
      <c r="AZ826" s="645"/>
      <c r="BA826" s="646">
        <f t="shared" si="256"/>
        <v>0</v>
      </c>
      <c r="BB826" s="647"/>
      <c r="BC826" s="648"/>
      <c r="BD826" s="649"/>
      <c r="BE826" s="647"/>
      <c r="BF826" s="644"/>
      <c r="BG826" s="646">
        <f t="shared" si="257"/>
        <v>0</v>
      </c>
      <c r="BH826" s="650"/>
      <c r="BI826" s="647"/>
      <c r="BJ826" s="644"/>
      <c r="BK826" s="646">
        <f t="shared" si="258"/>
        <v>0</v>
      </c>
      <c r="BL826" s="651"/>
      <c r="BM826" s="652">
        <f t="shared" si="259"/>
        <v>1</v>
      </c>
      <c r="BN826" s="628"/>
      <c r="BO826" s="670"/>
      <c r="BP826" s="644"/>
      <c r="BQ826" s="644"/>
      <c r="BR826" s="644"/>
      <c r="BS826" s="644"/>
      <c r="BT826" s="644"/>
      <c r="BU826" s="644"/>
      <c r="BV826" s="644"/>
      <c r="BW826" s="644"/>
      <c r="BX826" s="644"/>
      <c r="BY826" s="644"/>
      <c r="BZ826" s="644"/>
      <c r="CA826" s="644"/>
      <c r="CB826" s="646">
        <f t="shared" si="260"/>
        <v>0</v>
      </c>
      <c r="CC826" s="646">
        <f t="shared" si="261"/>
        <v>0</v>
      </c>
      <c r="CD826" s="614"/>
    </row>
    <row r="827" spans="1:82" s="561" customFormat="1" ht="61.5" customHeight="1">
      <c r="A827" s="625" t="str">
        <f t="shared" si="243"/>
        <v>proyecto-Alerta: Seleccione la celda en la comumna B con el nombre del proyecto-Al-Al--</v>
      </c>
      <c r="B827" s="626" t="str">
        <f t="shared" si="244"/>
        <v>proyecto-Alerta: Seleccione la celda en la comumna B con el nombre del proyecto-Al-Al-</v>
      </c>
      <c r="C827" s="626" t="str">
        <f t="shared" si="245"/>
        <v>proyecto-Alerta: Seleccione la celda en la comumna B con el nombre del proyecto-</v>
      </c>
      <c r="D827" s="626" t="str">
        <f t="shared" si="246"/>
        <v>proyecto--Al-Al-</v>
      </c>
      <c r="E827" s="626" t="str">
        <f t="shared" si="247"/>
        <v>--</v>
      </c>
      <c r="F827" s="627"/>
      <c r="G827" s="628">
        <f t="shared" si="248"/>
        <v>0</v>
      </c>
      <c r="H827" s="629" t="b">
        <f t="shared" si="249"/>
        <v>1</v>
      </c>
      <c r="I827" s="630"/>
      <c r="J827" s="627"/>
      <c r="K827" s="631" t="str">
        <f>+IFERROR(VLOOKUP(J827,Listas!$A$108:$B$114,2,FALSE),"Alerta: Seleccione la celda en la comumna B con el nombre del proyecto")</f>
        <v>Alerta: Seleccione la celda en la comumna B con el nombre del proyecto</v>
      </c>
      <c r="L827" s="632"/>
      <c r="M827" s="633"/>
      <c r="N827" s="634" t="str">
        <f t="shared" si="250"/>
        <v xml:space="preserve">(Cód. ) </v>
      </c>
      <c r="O827" s="635"/>
      <c r="P827" s="636">
        <f>IFERROR(VLOOKUP(W827,'Estimación CRP'!$D$21:$E$30,2,FALSE),0)</f>
        <v>0</v>
      </c>
      <c r="Q827" s="637">
        <f>IF(O827="No aplica","No aplica",WORKDAY.INTL(O827,P827,1,'Estimación CRP'!A1013:A1029))</f>
        <v>0</v>
      </c>
      <c r="R827" s="636">
        <f t="shared" si="251"/>
        <v>1</v>
      </c>
      <c r="S827" s="636">
        <f t="shared" si="252"/>
        <v>1</v>
      </c>
      <c r="T827" s="636">
        <f t="shared" si="253"/>
        <v>1</v>
      </c>
      <c r="U827" s="638"/>
      <c r="V827" s="638"/>
      <c r="W827" s="639"/>
      <c r="X827" s="640" t="str">
        <f>IFERROR(VLOOKUP(W827,Listas!$A$60:$B$73,2,FALSE),"Alerta: Seleccione primero Modalidad de selección")</f>
        <v>Alerta: Seleccione primero Modalidad de selección</v>
      </c>
      <c r="Y827" s="641">
        <v>0</v>
      </c>
      <c r="Z827" s="641"/>
      <c r="AA827" s="641"/>
      <c r="AB827" s="642">
        <f t="shared" si="254"/>
        <v>0</v>
      </c>
      <c r="AC827" s="642">
        <f t="shared" si="255"/>
        <v>0</v>
      </c>
      <c r="AD827" s="641">
        <v>0</v>
      </c>
      <c r="AE827" s="643">
        <v>0</v>
      </c>
      <c r="AF827" s="639" t="s">
        <v>276</v>
      </c>
      <c r="AG827" s="639" t="s">
        <v>277</v>
      </c>
      <c r="AH827" s="639"/>
      <c r="AI827" s="626" t="str">
        <f>IFERROR(VLOOKUP(AH827,Listas!$A$77:$C$83,2,FALSE),"Alerta: Seleccione primero el responsable")</f>
        <v>Alerta: Seleccione primero el responsable</v>
      </c>
      <c r="AJ827" s="640" t="str">
        <f>IFERROR(VLOOKUP(AH827,Listas!$A$77:$C$83,3,FALSE),"Alerta: Seleccione primero el responsable")</f>
        <v>Alerta: Seleccione primero el responsable</v>
      </c>
      <c r="AK827" s="640" t="str">
        <f>IF(J827="Funcionamiento Gastos Generales","No aplica",IF(J827="Funcionamiento Servicios Personales indirectos","No aplica",IFERROR(VLOOKUP(J827,Listas!$A$127:$E$139,3,FALSE),"Alerta: Seleccione la celda en la comumna B con el nombre del proyecto")))</f>
        <v>Alerta: Seleccione la celda en la comumna B con el nombre del proyecto</v>
      </c>
      <c r="AL827" s="640" t="str">
        <f>IF(J827="Funcionamiento Gastos Generales","No aplica",IF(J827="Funcionamiento Servicios Personales","No aplica",IFERROR(VLOOKUP(J827,Listas!$A$220:$D$224,2,FALSE),"Alerta: Seleccione la celda en la comumna B con el nombre del proyecto")))</f>
        <v>Alerta: Seleccione la celda en la comumna B con el nombre del proyecto</v>
      </c>
      <c r="AM827" s="640" t="str">
        <f>IF(J827="Funcionamiento Gastos Generales","No aplica",IF(J827="Funcionamiento Servicios Personales","No aplica",IFERROR(VLOOKUP(J827,Listas!$A$220:$D$224,3,FALSE),"Alerta: Seleccione la celda en la comumna B con el nombre del proyecto")))</f>
        <v>Alerta: Seleccione la celda en la comumna B con el nombre del proyecto</v>
      </c>
      <c r="AN827" s="633"/>
      <c r="AO827" s="633"/>
      <c r="AP827" s="634" t="str">
        <f>IFERROR(VLOOKUP(J827,Listas!$A$182:$E$215,5,FALSE),"Alerta: Seleccione la celda en la comumna B con el nombre del proyecto")</f>
        <v>Alerta: Seleccione la celda en la comumna B con el nombre del proyecto</v>
      </c>
      <c r="AQ827" s="634" t="str">
        <f>IF(J827="Funcionamiento Gastos Generales","No aplica",IF(J827="Funcionamiento Servicios Personales","No aplica",IFERROR(VLOOKUP(J827,Listas!$A$220:$D$224,4,FALSE),"Alerta: Seleccione la celda en la comumna B con el nombre del proyecto")))</f>
        <v>Alerta: Seleccione la celda en la comumna B con el nombre del proyecto</v>
      </c>
      <c r="AR827" s="633"/>
      <c r="AS827" s="634" t="str">
        <f>IFERROR(VLOOKUP(AU827,Listas!$E$85:$L$105,7,FALSE),"Alerta: Seleccione la celda en la comumna AI con el concepto de gasto")</f>
        <v>Alerta: Seleccione la celda en la comumna AI con el concepto de gasto</v>
      </c>
      <c r="AT827" s="634" t="str">
        <f>IFERROR(VLOOKUP(AU827,Listas!$E$85:$L$105,8,FALSE),"Alerta: Seleccione la celda en la comumna AI con el concepto de gasto")</f>
        <v>Alerta: Seleccione la celda en la comumna AI con el concepto de gasto</v>
      </c>
      <c r="AU827" s="633"/>
      <c r="AV827" s="634" t="str">
        <f>IFERROR(VLOOKUP(AU827,Listas!$E$85:$F$105,2,FALSE),"Alerta: Seleccione el Concepto de Gasto primero")</f>
        <v>Alerta: Seleccione el Concepto de Gasto primero</v>
      </c>
      <c r="AW827" s="644"/>
      <c r="AX827" s="645"/>
      <c r="AY827" s="645"/>
      <c r="AZ827" s="645"/>
      <c r="BA827" s="646">
        <f t="shared" si="256"/>
        <v>0</v>
      </c>
      <c r="BB827" s="647"/>
      <c r="BC827" s="648"/>
      <c r="BD827" s="649"/>
      <c r="BE827" s="647"/>
      <c r="BF827" s="644"/>
      <c r="BG827" s="646">
        <f t="shared" si="257"/>
        <v>0</v>
      </c>
      <c r="BH827" s="650"/>
      <c r="BI827" s="647"/>
      <c r="BJ827" s="644"/>
      <c r="BK827" s="646">
        <f t="shared" si="258"/>
        <v>0</v>
      </c>
      <c r="BL827" s="651"/>
      <c r="BM827" s="652">
        <f t="shared" si="259"/>
        <v>1</v>
      </c>
      <c r="BN827" s="628"/>
      <c r="BO827" s="670"/>
      <c r="BP827" s="644"/>
      <c r="BQ827" s="644"/>
      <c r="BR827" s="644"/>
      <c r="BS827" s="644"/>
      <c r="BT827" s="644"/>
      <c r="BU827" s="644"/>
      <c r="BV827" s="644"/>
      <c r="BW827" s="644"/>
      <c r="BX827" s="644"/>
      <c r="BY827" s="644"/>
      <c r="BZ827" s="644"/>
      <c r="CA827" s="644"/>
      <c r="CB827" s="646">
        <f t="shared" si="260"/>
        <v>0</v>
      </c>
      <c r="CC827" s="646">
        <f t="shared" si="261"/>
        <v>0</v>
      </c>
      <c r="CD827" s="614"/>
    </row>
    <row r="828" spans="1:82" s="561" customFormat="1" ht="61.5" customHeight="1">
      <c r="A828" s="625" t="str">
        <f t="shared" si="243"/>
        <v>proyecto-Alerta: Seleccione la celda en la comumna B con el nombre del proyecto-Al-Al--</v>
      </c>
      <c r="B828" s="626" t="str">
        <f t="shared" si="244"/>
        <v>proyecto-Alerta: Seleccione la celda en la comumna B con el nombre del proyecto-Al-Al-</v>
      </c>
      <c r="C828" s="626" t="str">
        <f t="shared" si="245"/>
        <v>proyecto-Alerta: Seleccione la celda en la comumna B con el nombre del proyecto-</v>
      </c>
      <c r="D828" s="626" t="str">
        <f t="shared" si="246"/>
        <v>proyecto--Al-Al-</v>
      </c>
      <c r="E828" s="626" t="str">
        <f t="shared" si="247"/>
        <v>--</v>
      </c>
      <c r="F828" s="627"/>
      <c r="G828" s="628">
        <f t="shared" si="248"/>
        <v>0</v>
      </c>
      <c r="H828" s="629" t="b">
        <f t="shared" si="249"/>
        <v>1</v>
      </c>
      <c r="I828" s="630"/>
      <c r="J828" s="627"/>
      <c r="K828" s="631" t="str">
        <f>+IFERROR(VLOOKUP(J828,Listas!$A$108:$B$114,2,FALSE),"Alerta: Seleccione la celda en la comumna B con el nombre del proyecto")</f>
        <v>Alerta: Seleccione la celda en la comumna B con el nombre del proyecto</v>
      </c>
      <c r="L828" s="632"/>
      <c r="M828" s="633"/>
      <c r="N828" s="634" t="str">
        <f t="shared" si="250"/>
        <v xml:space="preserve">(Cód. ) </v>
      </c>
      <c r="O828" s="635"/>
      <c r="P828" s="636">
        <f>IFERROR(VLOOKUP(W828,'Estimación CRP'!$D$21:$E$30,2,FALSE),0)</f>
        <v>0</v>
      </c>
      <c r="Q828" s="637">
        <f>IF(O828="No aplica","No aplica",WORKDAY.INTL(O828,P828,1,'Estimación CRP'!A1014:A1030))</f>
        <v>0</v>
      </c>
      <c r="R828" s="636">
        <f t="shared" si="251"/>
        <v>1</v>
      </c>
      <c r="S828" s="636">
        <f t="shared" si="252"/>
        <v>1</v>
      </c>
      <c r="T828" s="636">
        <f t="shared" si="253"/>
        <v>1</v>
      </c>
      <c r="U828" s="638"/>
      <c r="V828" s="638"/>
      <c r="W828" s="639"/>
      <c r="X828" s="640" t="str">
        <f>IFERROR(VLOOKUP(W828,Listas!$A$60:$B$73,2,FALSE),"Alerta: Seleccione primero Modalidad de selección")</f>
        <v>Alerta: Seleccione primero Modalidad de selección</v>
      </c>
      <c r="Y828" s="641">
        <v>0</v>
      </c>
      <c r="Z828" s="641"/>
      <c r="AA828" s="641"/>
      <c r="AB828" s="642">
        <f t="shared" si="254"/>
        <v>0</v>
      </c>
      <c r="AC828" s="642">
        <f t="shared" si="255"/>
        <v>0</v>
      </c>
      <c r="AD828" s="641">
        <v>0</v>
      </c>
      <c r="AE828" s="643">
        <v>0</v>
      </c>
      <c r="AF828" s="639" t="s">
        <v>276</v>
      </c>
      <c r="AG828" s="639" t="s">
        <v>277</v>
      </c>
      <c r="AH828" s="639"/>
      <c r="AI828" s="626" t="str">
        <f>IFERROR(VLOOKUP(AH828,Listas!$A$77:$C$83,2,FALSE),"Alerta: Seleccione primero el responsable")</f>
        <v>Alerta: Seleccione primero el responsable</v>
      </c>
      <c r="AJ828" s="640" t="str">
        <f>IFERROR(VLOOKUP(AH828,Listas!$A$77:$C$83,3,FALSE),"Alerta: Seleccione primero el responsable")</f>
        <v>Alerta: Seleccione primero el responsable</v>
      </c>
      <c r="AK828" s="640" t="str">
        <f>IF(J828="Funcionamiento Gastos Generales","No aplica",IF(J828="Funcionamiento Servicios Personales indirectos","No aplica",IFERROR(VLOOKUP(J828,Listas!$A$127:$E$139,3,FALSE),"Alerta: Seleccione la celda en la comumna B con el nombre del proyecto")))</f>
        <v>Alerta: Seleccione la celda en la comumna B con el nombre del proyecto</v>
      </c>
      <c r="AL828" s="640" t="str">
        <f>IF(J828="Funcionamiento Gastos Generales","No aplica",IF(J828="Funcionamiento Servicios Personales","No aplica",IFERROR(VLOOKUP(J828,Listas!$A$220:$D$224,2,FALSE),"Alerta: Seleccione la celda en la comumna B con el nombre del proyecto")))</f>
        <v>Alerta: Seleccione la celda en la comumna B con el nombre del proyecto</v>
      </c>
      <c r="AM828" s="640" t="str">
        <f>IF(J828="Funcionamiento Gastos Generales","No aplica",IF(J828="Funcionamiento Servicios Personales","No aplica",IFERROR(VLOOKUP(J828,Listas!$A$220:$D$224,3,FALSE),"Alerta: Seleccione la celda en la comumna B con el nombre del proyecto")))</f>
        <v>Alerta: Seleccione la celda en la comumna B con el nombre del proyecto</v>
      </c>
      <c r="AN828" s="633"/>
      <c r="AO828" s="633"/>
      <c r="AP828" s="634" t="str">
        <f>IFERROR(VLOOKUP(J828,Listas!$A$182:$E$215,5,FALSE),"Alerta: Seleccione la celda en la comumna B con el nombre del proyecto")</f>
        <v>Alerta: Seleccione la celda en la comumna B con el nombre del proyecto</v>
      </c>
      <c r="AQ828" s="634" t="str">
        <f>IF(J828="Funcionamiento Gastos Generales","No aplica",IF(J828="Funcionamiento Servicios Personales","No aplica",IFERROR(VLOOKUP(J828,Listas!$A$220:$D$224,4,FALSE),"Alerta: Seleccione la celda en la comumna B con el nombre del proyecto")))</f>
        <v>Alerta: Seleccione la celda en la comumna B con el nombre del proyecto</v>
      </c>
      <c r="AR828" s="633"/>
      <c r="AS828" s="634" t="str">
        <f>IFERROR(VLOOKUP(AU828,Listas!$E$85:$L$105,7,FALSE),"Alerta: Seleccione la celda en la comumna AI con el concepto de gasto")</f>
        <v>Alerta: Seleccione la celda en la comumna AI con el concepto de gasto</v>
      </c>
      <c r="AT828" s="634" t="str">
        <f>IFERROR(VLOOKUP(AU828,Listas!$E$85:$L$105,8,FALSE),"Alerta: Seleccione la celda en la comumna AI con el concepto de gasto")</f>
        <v>Alerta: Seleccione la celda en la comumna AI con el concepto de gasto</v>
      </c>
      <c r="AU828" s="633"/>
      <c r="AV828" s="634" t="str">
        <f>IFERROR(VLOOKUP(AU828,Listas!$E$85:$F$105,2,FALSE),"Alerta: Seleccione el Concepto de Gasto primero")</f>
        <v>Alerta: Seleccione el Concepto de Gasto primero</v>
      </c>
      <c r="AW828" s="644"/>
      <c r="AX828" s="645"/>
      <c r="AY828" s="645"/>
      <c r="AZ828" s="645"/>
      <c r="BA828" s="646">
        <f t="shared" si="256"/>
        <v>0</v>
      </c>
      <c r="BB828" s="647"/>
      <c r="BC828" s="648"/>
      <c r="BD828" s="649"/>
      <c r="BE828" s="647"/>
      <c r="BF828" s="644"/>
      <c r="BG828" s="646">
        <f t="shared" si="257"/>
        <v>0</v>
      </c>
      <c r="BH828" s="650"/>
      <c r="BI828" s="647"/>
      <c r="BJ828" s="644"/>
      <c r="BK828" s="646">
        <f t="shared" si="258"/>
        <v>0</v>
      </c>
      <c r="BL828" s="651"/>
      <c r="BM828" s="652">
        <f t="shared" si="259"/>
        <v>1</v>
      </c>
      <c r="BN828" s="628"/>
      <c r="BO828" s="670"/>
      <c r="BP828" s="644"/>
      <c r="BQ828" s="644"/>
      <c r="BR828" s="644"/>
      <c r="BS828" s="644"/>
      <c r="BT828" s="644"/>
      <c r="BU828" s="644"/>
      <c r="BV828" s="644"/>
      <c r="BW828" s="644"/>
      <c r="BX828" s="644"/>
      <c r="BY828" s="644"/>
      <c r="BZ828" s="644"/>
      <c r="CA828" s="644"/>
      <c r="CB828" s="646">
        <f t="shared" si="260"/>
        <v>0</v>
      </c>
      <c r="CC828" s="646">
        <f t="shared" si="261"/>
        <v>0</v>
      </c>
      <c r="CD828" s="614"/>
    </row>
    <row r="829" spans="1:82" s="561" customFormat="1" ht="61.5" customHeight="1">
      <c r="A829" s="625" t="str">
        <f t="shared" si="243"/>
        <v>proyecto-Alerta: Seleccione la celda en la comumna B con el nombre del proyecto-Al-Al--</v>
      </c>
      <c r="B829" s="626" t="str">
        <f t="shared" si="244"/>
        <v>proyecto-Alerta: Seleccione la celda en la comumna B con el nombre del proyecto-Al-Al-</v>
      </c>
      <c r="C829" s="626" t="str">
        <f t="shared" si="245"/>
        <v>proyecto-Alerta: Seleccione la celda en la comumna B con el nombre del proyecto-</v>
      </c>
      <c r="D829" s="626" t="str">
        <f t="shared" si="246"/>
        <v>proyecto--Al-Al-</v>
      </c>
      <c r="E829" s="626" t="str">
        <f t="shared" si="247"/>
        <v>--</v>
      </c>
      <c r="F829" s="627"/>
      <c r="G829" s="628">
        <f t="shared" si="248"/>
        <v>0</v>
      </c>
      <c r="H829" s="629" t="b">
        <f t="shared" si="249"/>
        <v>1</v>
      </c>
      <c r="I829" s="630"/>
      <c r="J829" s="627"/>
      <c r="K829" s="631" t="str">
        <f>+IFERROR(VLOOKUP(J829,Listas!$A$108:$B$114,2,FALSE),"Alerta: Seleccione la celda en la comumna B con el nombre del proyecto")</f>
        <v>Alerta: Seleccione la celda en la comumna B con el nombre del proyecto</v>
      </c>
      <c r="L829" s="632"/>
      <c r="M829" s="633"/>
      <c r="N829" s="634" t="str">
        <f t="shared" si="250"/>
        <v xml:space="preserve">(Cód. ) </v>
      </c>
      <c r="O829" s="635"/>
      <c r="P829" s="636">
        <f>IFERROR(VLOOKUP(W829,'Estimación CRP'!$D$21:$E$30,2,FALSE),0)</f>
        <v>0</v>
      </c>
      <c r="Q829" s="637">
        <f>IF(O829="No aplica","No aplica",WORKDAY.INTL(O829,P829,1,'Estimación CRP'!A1015:A1031))</f>
        <v>0</v>
      </c>
      <c r="R829" s="636">
        <f t="shared" si="251"/>
        <v>1</v>
      </c>
      <c r="S829" s="636">
        <f t="shared" si="252"/>
        <v>1</v>
      </c>
      <c r="T829" s="636">
        <f t="shared" si="253"/>
        <v>1</v>
      </c>
      <c r="U829" s="638"/>
      <c r="V829" s="638"/>
      <c r="W829" s="639"/>
      <c r="X829" s="640" t="str">
        <f>IFERROR(VLOOKUP(W829,Listas!$A$60:$B$73,2,FALSE),"Alerta: Seleccione primero Modalidad de selección")</f>
        <v>Alerta: Seleccione primero Modalidad de selección</v>
      </c>
      <c r="Y829" s="641">
        <v>0</v>
      </c>
      <c r="Z829" s="641"/>
      <c r="AA829" s="641"/>
      <c r="AB829" s="642">
        <f t="shared" si="254"/>
        <v>0</v>
      </c>
      <c r="AC829" s="642">
        <f t="shared" si="255"/>
        <v>0</v>
      </c>
      <c r="AD829" s="641">
        <v>0</v>
      </c>
      <c r="AE829" s="643">
        <v>0</v>
      </c>
      <c r="AF829" s="639" t="s">
        <v>276</v>
      </c>
      <c r="AG829" s="639" t="s">
        <v>277</v>
      </c>
      <c r="AH829" s="639"/>
      <c r="AI829" s="626" t="str">
        <f>IFERROR(VLOOKUP(AH829,Listas!$A$77:$C$83,2,FALSE),"Alerta: Seleccione primero el responsable")</f>
        <v>Alerta: Seleccione primero el responsable</v>
      </c>
      <c r="AJ829" s="640" t="str">
        <f>IFERROR(VLOOKUP(AH829,Listas!$A$77:$C$83,3,FALSE),"Alerta: Seleccione primero el responsable")</f>
        <v>Alerta: Seleccione primero el responsable</v>
      </c>
      <c r="AK829" s="640" t="str">
        <f>IF(J829="Funcionamiento Gastos Generales","No aplica",IF(J829="Funcionamiento Servicios Personales indirectos","No aplica",IFERROR(VLOOKUP(J829,Listas!$A$127:$E$139,3,FALSE),"Alerta: Seleccione la celda en la comumna B con el nombre del proyecto")))</f>
        <v>Alerta: Seleccione la celda en la comumna B con el nombre del proyecto</v>
      </c>
      <c r="AL829" s="640" t="str">
        <f>IF(J829="Funcionamiento Gastos Generales","No aplica",IF(J829="Funcionamiento Servicios Personales","No aplica",IFERROR(VLOOKUP(J829,Listas!$A$220:$D$224,2,FALSE),"Alerta: Seleccione la celda en la comumna B con el nombre del proyecto")))</f>
        <v>Alerta: Seleccione la celda en la comumna B con el nombre del proyecto</v>
      </c>
      <c r="AM829" s="640" t="str">
        <f>IF(J829="Funcionamiento Gastos Generales","No aplica",IF(J829="Funcionamiento Servicios Personales","No aplica",IFERROR(VLOOKUP(J829,Listas!$A$220:$D$224,3,FALSE),"Alerta: Seleccione la celda en la comumna B con el nombre del proyecto")))</f>
        <v>Alerta: Seleccione la celda en la comumna B con el nombre del proyecto</v>
      </c>
      <c r="AN829" s="633"/>
      <c r="AO829" s="633"/>
      <c r="AP829" s="634" t="str">
        <f>IFERROR(VLOOKUP(J829,Listas!$A$182:$E$215,5,FALSE),"Alerta: Seleccione la celda en la comumna B con el nombre del proyecto")</f>
        <v>Alerta: Seleccione la celda en la comumna B con el nombre del proyecto</v>
      </c>
      <c r="AQ829" s="634" t="str">
        <f>IF(J829="Funcionamiento Gastos Generales","No aplica",IF(J829="Funcionamiento Servicios Personales","No aplica",IFERROR(VLOOKUP(J829,Listas!$A$220:$D$224,4,FALSE),"Alerta: Seleccione la celda en la comumna B con el nombre del proyecto")))</f>
        <v>Alerta: Seleccione la celda en la comumna B con el nombre del proyecto</v>
      </c>
      <c r="AR829" s="633"/>
      <c r="AS829" s="634" t="str">
        <f>IFERROR(VLOOKUP(AU829,Listas!$E$85:$L$105,7,FALSE),"Alerta: Seleccione la celda en la comumna AI con el concepto de gasto")</f>
        <v>Alerta: Seleccione la celda en la comumna AI con el concepto de gasto</v>
      </c>
      <c r="AT829" s="634" t="str">
        <f>IFERROR(VLOOKUP(AU829,Listas!$E$85:$L$105,8,FALSE),"Alerta: Seleccione la celda en la comumna AI con el concepto de gasto")</f>
        <v>Alerta: Seleccione la celda en la comumna AI con el concepto de gasto</v>
      </c>
      <c r="AU829" s="633"/>
      <c r="AV829" s="634" t="str">
        <f>IFERROR(VLOOKUP(AU829,Listas!$E$85:$F$105,2,FALSE),"Alerta: Seleccione el Concepto de Gasto primero")</f>
        <v>Alerta: Seleccione el Concepto de Gasto primero</v>
      </c>
      <c r="AW829" s="644"/>
      <c r="AX829" s="645"/>
      <c r="AY829" s="645"/>
      <c r="AZ829" s="645"/>
      <c r="BA829" s="646">
        <f t="shared" si="256"/>
        <v>0</v>
      </c>
      <c r="BB829" s="647"/>
      <c r="BC829" s="648"/>
      <c r="BD829" s="649"/>
      <c r="BE829" s="647"/>
      <c r="BF829" s="644"/>
      <c r="BG829" s="646">
        <f t="shared" si="257"/>
        <v>0</v>
      </c>
      <c r="BH829" s="650"/>
      <c r="BI829" s="647"/>
      <c r="BJ829" s="644"/>
      <c r="BK829" s="646">
        <f t="shared" si="258"/>
        <v>0</v>
      </c>
      <c r="BL829" s="651"/>
      <c r="BM829" s="652">
        <f t="shared" si="259"/>
        <v>1</v>
      </c>
      <c r="BN829" s="628"/>
      <c r="BO829" s="670"/>
      <c r="BP829" s="644"/>
      <c r="BQ829" s="644"/>
      <c r="BR829" s="644"/>
      <c r="BS829" s="644"/>
      <c r="BT829" s="644"/>
      <c r="BU829" s="644"/>
      <c r="BV829" s="644"/>
      <c r="BW829" s="644"/>
      <c r="BX829" s="644"/>
      <c r="BY829" s="644"/>
      <c r="BZ829" s="644"/>
      <c r="CA829" s="644"/>
      <c r="CB829" s="646">
        <f t="shared" si="260"/>
        <v>0</v>
      </c>
      <c r="CC829" s="646">
        <f t="shared" si="261"/>
        <v>0</v>
      </c>
      <c r="CD829" s="614"/>
    </row>
    <row r="830" spans="1:82" s="561" customFormat="1" ht="61.5" customHeight="1">
      <c r="A830" s="625" t="str">
        <f t="shared" si="243"/>
        <v>proyecto-Alerta: Seleccione la celda en la comumna B con el nombre del proyecto-Al-Al--</v>
      </c>
      <c r="B830" s="626" t="str">
        <f t="shared" si="244"/>
        <v>proyecto-Alerta: Seleccione la celda en la comumna B con el nombre del proyecto-Al-Al-</v>
      </c>
      <c r="C830" s="626" t="str">
        <f t="shared" si="245"/>
        <v>proyecto-Alerta: Seleccione la celda en la comumna B con el nombre del proyecto-</v>
      </c>
      <c r="D830" s="626" t="str">
        <f t="shared" si="246"/>
        <v>proyecto--Al-Al-</v>
      </c>
      <c r="E830" s="626" t="str">
        <f t="shared" si="247"/>
        <v>--</v>
      </c>
      <c r="F830" s="627"/>
      <c r="G830" s="628">
        <f t="shared" si="248"/>
        <v>0</v>
      </c>
      <c r="H830" s="629" t="b">
        <f t="shared" si="249"/>
        <v>1</v>
      </c>
      <c r="I830" s="630"/>
      <c r="J830" s="627"/>
      <c r="K830" s="631" t="str">
        <f>+IFERROR(VLOOKUP(J830,Listas!$A$108:$B$114,2,FALSE),"Alerta: Seleccione la celda en la comumna B con el nombre del proyecto")</f>
        <v>Alerta: Seleccione la celda en la comumna B con el nombre del proyecto</v>
      </c>
      <c r="L830" s="632"/>
      <c r="M830" s="633"/>
      <c r="N830" s="634" t="str">
        <f t="shared" si="250"/>
        <v xml:space="preserve">(Cód. ) </v>
      </c>
      <c r="O830" s="635"/>
      <c r="P830" s="636">
        <f>IFERROR(VLOOKUP(W830,'Estimación CRP'!$D$21:$E$30,2,FALSE),0)</f>
        <v>0</v>
      </c>
      <c r="Q830" s="637">
        <f>IF(O830="No aplica","No aplica",WORKDAY.INTL(O830,P830,1,'Estimación CRP'!A1016:A1032))</f>
        <v>0</v>
      </c>
      <c r="R830" s="636">
        <f t="shared" si="251"/>
        <v>1</v>
      </c>
      <c r="S830" s="636">
        <f t="shared" si="252"/>
        <v>1</v>
      </c>
      <c r="T830" s="636">
        <f t="shared" si="253"/>
        <v>1</v>
      </c>
      <c r="U830" s="638"/>
      <c r="V830" s="638"/>
      <c r="W830" s="639"/>
      <c r="X830" s="640" t="str">
        <f>IFERROR(VLOOKUP(W830,Listas!$A$60:$B$73,2,FALSE),"Alerta: Seleccione primero Modalidad de selección")</f>
        <v>Alerta: Seleccione primero Modalidad de selección</v>
      </c>
      <c r="Y830" s="641">
        <v>0</v>
      </c>
      <c r="Z830" s="641"/>
      <c r="AA830" s="641"/>
      <c r="AB830" s="642">
        <f t="shared" si="254"/>
        <v>0</v>
      </c>
      <c r="AC830" s="642">
        <f t="shared" si="255"/>
        <v>0</v>
      </c>
      <c r="AD830" s="641">
        <v>0</v>
      </c>
      <c r="AE830" s="643">
        <v>0</v>
      </c>
      <c r="AF830" s="639" t="s">
        <v>276</v>
      </c>
      <c r="AG830" s="639" t="s">
        <v>277</v>
      </c>
      <c r="AH830" s="639"/>
      <c r="AI830" s="626" t="str">
        <f>IFERROR(VLOOKUP(AH830,Listas!$A$77:$C$83,2,FALSE),"Alerta: Seleccione primero el responsable")</f>
        <v>Alerta: Seleccione primero el responsable</v>
      </c>
      <c r="AJ830" s="640" t="str">
        <f>IFERROR(VLOOKUP(AH830,Listas!$A$77:$C$83,3,FALSE),"Alerta: Seleccione primero el responsable")</f>
        <v>Alerta: Seleccione primero el responsable</v>
      </c>
      <c r="AK830" s="640" t="str">
        <f>IF(J830="Funcionamiento Gastos Generales","No aplica",IF(J830="Funcionamiento Servicios Personales indirectos","No aplica",IFERROR(VLOOKUP(J830,Listas!$A$127:$E$139,3,FALSE),"Alerta: Seleccione la celda en la comumna B con el nombre del proyecto")))</f>
        <v>Alerta: Seleccione la celda en la comumna B con el nombre del proyecto</v>
      </c>
      <c r="AL830" s="640" t="str">
        <f>IF(J830="Funcionamiento Gastos Generales","No aplica",IF(J830="Funcionamiento Servicios Personales","No aplica",IFERROR(VLOOKUP(J830,Listas!$A$220:$D$224,2,FALSE),"Alerta: Seleccione la celda en la comumna B con el nombre del proyecto")))</f>
        <v>Alerta: Seleccione la celda en la comumna B con el nombre del proyecto</v>
      </c>
      <c r="AM830" s="640" t="str">
        <f>IF(J830="Funcionamiento Gastos Generales","No aplica",IF(J830="Funcionamiento Servicios Personales","No aplica",IFERROR(VLOOKUP(J830,Listas!$A$220:$D$224,3,FALSE),"Alerta: Seleccione la celda en la comumna B con el nombre del proyecto")))</f>
        <v>Alerta: Seleccione la celda en la comumna B con el nombre del proyecto</v>
      </c>
      <c r="AN830" s="633"/>
      <c r="AO830" s="633"/>
      <c r="AP830" s="634" t="str">
        <f>IFERROR(VLOOKUP(J830,Listas!$A$182:$E$215,5,FALSE),"Alerta: Seleccione la celda en la comumna B con el nombre del proyecto")</f>
        <v>Alerta: Seleccione la celda en la comumna B con el nombre del proyecto</v>
      </c>
      <c r="AQ830" s="634" t="str">
        <f>IF(J830="Funcionamiento Gastos Generales","No aplica",IF(J830="Funcionamiento Servicios Personales","No aplica",IFERROR(VLOOKUP(J830,Listas!$A$220:$D$224,4,FALSE),"Alerta: Seleccione la celda en la comumna B con el nombre del proyecto")))</f>
        <v>Alerta: Seleccione la celda en la comumna B con el nombre del proyecto</v>
      </c>
      <c r="AR830" s="633"/>
      <c r="AS830" s="634" t="str">
        <f>IFERROR(VLOOKUP(AU830,Listas!$E$85:$L$105,7,FALSE),"Alerta: Seleccione la celda en la comumna AI con el concepto de gasto")</f>
        <v>Alerta: Seleccione la celda en la comumna AI con el concepto de gasto</v>
      </c>
      <c r="AT830" s="634" t="str">
        <f>IFERROR(VLOOKUP(AU830,Listas!$E$85:$L$105,8,FALSE),"Alerta: Seleccione la celda en la comumna AI con el concepto de gasto")</f>
        <v>Alerta: Seleccione la celda en la comumna AI con el concepto de gasto</v>
      </c>
      <c r="AU830" s="633"/>
      <c r="AV830" s="634" t="str">
        <f>IFERROR(VLOOKUP(AU830,Listas!$E$85:$F$105,2,FALSE),"Alerta: Seleccione el Concepto de Gasto primero")</f>
        <v>Alerta: Seleccione el Concepto de Gasto primero</v>
      </c>
      <c r="AW830" s="644"/>
      <c r="AX830" s="645"/>
      <c r="AY830" s="645"/>
      <c r="AZ830" s="645"/>
      <c r="BA830" s="646">
        <f t="shared" si="256"/>
        <v>0</v>
      </c>
      <c r="BB830" s="647"/>
      <c r="BC830" s="648"/>
      <c r="BD830" s="649"/>
      <c r="BE830" s="647"/>
      <c r="BF830" s="644"/>
      <c r="BG830" s="646">
        <f t="shared" si="257"/>
        <v>0</v>
      </c>
      <c r="BH830" s="650"/>
      <c r="BI830" s="647"/>
      <c r="BJ830" s="644"/>
      <c r="BK830" s="646">
        <f t="shared" si="258"/>
        <v>0</v>
      </c>
      <c r="BL830" s="651"/>
      <c r="BM830" s="652">
        <f t="shared" si="259"/>
        <v>1</v>
      </c>
      <c r="BN830" s="628"/>
      <c r="BO830" s="670"/>
      <c r="BP830" s="644"/>
      <c r="BQ830" s="644"/>
      <c r="BR830" s="644"/>
      <c r="BS830" s="644"/>
      <c r="BT830" s="644"/>
      <c r="BU830" s="644"/>
      <c r="BV830" s="644"/>
      <c r="BW830" s="644"/>
      <c r="BX830" s="644"/>
      <c r="BY830" s="644"/>
      <c r="BZ830" s="644"/>
      <c r="CA830" s="644"/>
      <c r="CB830" s="646">
        <f t="shared" si="260"/>
        <v>0</v>
      </c>
      <c r="CC830" s="646">
        <f t="shared" si="261"/>
        <v>0</v>
      </c>
      <c r="CD830" s="614"/>
    </row>
    <row r="831" spans="1:82" s="561" customFormat="1" ht="61.5" customHeight="1">
      <c r="A831" s="625" t="str">
        <f t="shared" si="243"/>
        <v>proyecto-Alerta: Seleccione la celda en la comumna B con el nombre del proyecto-Al-Al--</v>
      </c>
      <c r="B831" s="626" t="str">
        <f t="shared" si="244"/>
        <v>proyecto-Alerta: Seleccione la celda en la comumna B con el nombre del proyecto-Al-Al-</v>
      </c>
      <c r="C831" s="626" t="str">
        <f t="shared" si="245"/>
        <v>proyecto-Alerta: Seleccione la celda en la comumna B con el nombre del proyecto-</v>
      </c>
      <c r="D831" s="626" t="str">
        <f t="shared" si="246"/>
        <v>proyecto--Al-Al-</v>
      </c>
      <c r="E831" s="626" t="str">
        <f t="shared" si="247"/>
        <v>--</v>
      </c>
      <c r="F831" s="627"/>
      <c r="G831" s="628">
        <f t="shared" si="248"/>
        <v>0</v>
      </c>
      <c r="H831" s="629" t="b">
        <f t="shared" si="249"/>
        <v>1</v>
      </c>
      <c r="I831" s="630"/>
      <c r="J831" s="627"/>
      <c r="K831" s="631" t="str">
        <f>+IFERROR(VLOOKUP(J831,Listas!$A$108:$B$114,2,FALSE),"Alerta: Seleccione la celda en la comumna B con el nombre del proyecto")</f>
        <v>Alerta: Seleccione la celda en la comumna B con el nombre del proyecto</v>
      </c>
      <c r="L831" s="632"/>
      <c r="M831" s="633"/>
      <c r="N831" s="634" t="str">
        <f t="shared" si="250"/>
        <v xml:space="preserve">(Cód. ) </v>
      </c>
      <c r="O831" s="635"/>
      <c r="P831" s="636">
        <f>IFERROR(VLOOKUP(W831,'Estimación CRP'!$D$21:$E$30,2,FALSE),0)</f>
        <v>0</v>
      </c>
      <c r="Q831" s="637">
        <f>IF(O831="No aplica","No aplica",WORKDAY.INTL(O831,P831,1,'Estimación CRP'!A1017:A1033))</f>
        <v>0</v>
      </c>
      <c r="R831" s="636">
        <f t="shared" si="251"/>
        <v>1</v>
      </c>
      <c r="S831" s="636">
        <f t="shared" si="252"/>
        <v>1</v>
      </c>
      <c r="T831" s="636">
        <f t="shared" si="253"/>
        <v>1</v>
      </c>
      <c r="U831" s="638"/>
      <c r="V831" s="638"/>
      <c r="W831" s="639"/>
      <c r="X831" s="640" t="str">
        <f>IFERROR(VLOOKUP(W831,Listas!$A$60:$B$73,2,FALSE),"Alerta: Seleccione primero Modalidad de selección")</f>
        <v>Alerta: Seleccione primero Modalidad de selección</v>
      </c>
      <c r="Y831" s="641">
        <v>0</v>
      </c>
      <c r="Z831" s="641"/>
      <c r="AA831" s="641"/>
      <c r="AB831" s="642">
        <f t="shared" si="254"/>
        <v>0</v>
      </c>
      <c r="AC831" s="642">
        <f t="shared" si="255"/>
        <v>0</v>
      </c>
      <c r="AD831" s="641">
        <v>0</v>
      </c>
      <c r="AE831" s="643">
        <v>0</v>
      </c>
      <c r="AF831" s="639" t="s">
        <v>276</v>
      </c>
      <c r="AG831" s="639" t="s">
        <v>277</v>
      </c>
      <c r="AH831" s="639"/>
      <c r="AI831" s="626" t="str">
        <f>IFERROR(VLOOKUP(AH831,Listas!$A$77:$C$83,2,FALSE),"Alerta: Seleccione primero el responsable")</f>
        <v>Alerta: Seleccione primero el responsable</v>
      </c>
      <c r="AJ831" s="640" t="str">
        <f>IFERROR(VLOOKUP(AH831,Listas!$A$77:$C$83,3,FALSE),"Alerta: Seleccione primero el responsable")</f>
        <v>Alerta: Seleccione primero el responsable</v>
      </c>
      <c r="AK831" s="640" t="str">
        <f>IF(J831="Funcionamiento Gastos Generales","No aplica",IF(J831="Funcionamiento Servicios Personales indirectos","No aplica",IFERROR(VLOOKUP(J831,Listas!$A$127:$E$139,3,FALSE),"Alerta: Seleccione la celda en la comumna B con el nombre del proyecto")))</f>
        <v>Alerta: Seleccione la celda en la comumna B con el nombre del proyecto</v>
      </c>
      <c r="AL831" s="640" t="str">
        <f>IF(J831="Funcionamiento Gastos Generales","No aplica",IF(J831="Funcionamiento Servicios Personales","No aplica",IFERROR(VLOOKUP(J831,Listas!$A$220:$D$224,2,FALSE),"Alerta: Seleccione la celda en la comumna B con el nombre del proyecto")))</f>
        <v>Alerta: Seleccione la celda en la comumna B con el nombre del proyecto</v>
      </c>
      <c r="AM831" s="640" t="str">
        <f>IF(J831="Funcionamiento Gastos Generales","No aplica",IF(J831="Funcionamiento Servicios Personales","No aplica",IFERROR(VLOOKUP(J831,Listas!$A$220:$D$224,3,FALSE),"Alerta: Seleccione la celda en la comumna B con el nombre del proyecto")))</f>
        <v>Alerta: Seleccione la celda en la comumna B con el nombre del proyecto</v>
      </c>
      <c r="AN831" s="633"/>
      <c r="AO831" s="633"/>
      <c r="AP831" s="634" t="str">
        <f>IFERROR(VLOOKUP(J831,Listas!$A$182:$E$215,5,FALSE),"Alerta: Seleccione la celda en la comumna B con el nombre del proyecto")</f>
        <v>Alerta: Seleccione la celda en la comumna B con el nombre del proyecto</v>
      </c>
      <c r="AQ831" s="634" t="str">
        <f>IF(J831="Funcionamiento Gastos Generales","No aplica",IF(J831="Funcionamiento Servicios Personales","No aplica",IFERROR(VLOOKUP(J831,Listas!$A$220:$D$224,4,FALSE),"Alerta: Seleccione la celda en la comumna B con el nombre del proyecto")))</f>
        <v>Alerta: Seleccione la celda en la comumna B con el nombre del proyecto</v>
      </c>
      <c r="AR831" s="633"/>
      <c r="AS831" s="634" t="str">
        <f>IFERROR(VLOOKUP(AU831,Listas!$E$85:$L$105,7,FALSE),"Alerta: Seleccione la celda en la comumna AI con el concepto de gasto")</f>
        <v>Alerta: Seleccione la celda en la comumna AI con el concepto de gasto</v>
      </c>
      <c r="AT831" s="634" t="str">
        <f>IFERROR(VLOOKUP(AU831,Listas!$E$85:$L$105,8,FALSE),"Alerta: Seleccione la celda en la comumna AI con el concepto de gasto")</f>
        <v>Alerta: Seleccione la celda en la comumna AI con el concepto de gasto</v>
      </c>
      <c r="AU831" s="633"/>
      <c r="AV831" s="634" t="str">
        <f>IFERROR(VLOOKUP(AU831,Listas!$E$85:$F$105,2,FALSE),"Alerta: Seleccione el Concepto de Gasto primero")</f>
        <v>Alerta: Seleccione el Concepto de Gasto primero</v>
      </c>
      <c r="AW831" s="644"/>
      <c r="AX831" s="645"/>
      <c r="AY831" s="645"/>
      <c r="AZ831" s="645"/>
      <c r="BA831" s="646">
        <f t="shared" si="256"/>
        <v>0</v>
      </c>
      <c r="BB831" s="647"/>
      <c r="BC831" s="648"/>
      <c r="BD831" s="649"/>
      <c r="BE831" s="647"/>
      <c r="BF831" s="644"/>
      <c r="BG831" s="646">
        <f t="shared" si="257"/>
        <v>0</v>
      </c>
      <c r="BH831" s="650"/>
      <c r="BI831" s="647"/>
      <c r="BJ831" s="644"/>
      <c r="BK831" s="646">
        <f t="shared" si="258"/>
        <v>0</v>
      </c>
      <c r="BL831" s="651"/>
      <c r="BM831" s="652">
        <f t="shared" si="259"/>
        <v>1</v>
      </c>
      <c r="BN831" s="628"/>
      <c r="BO831" s="670"/>
      <c r="BP831" s="644"/>
      <c r="BQ831" s="644"/>
      <c r="BR831" s="644"/>
      <c r="BS831" s="644"/>
      <c r="BT831" s="644"/>
      <c r="BU831" s="644"/>
      <c r="BV831" s="644"/>
      <c r="BW831" s="644"/>
      <c r="BX831" s="644"/>
      <c r="BY831" s="644"/>
      <c r="BZ831" s="644"/>
      <c r="CA831" s="644"/>
      <c r="CB831" s="646">
        <f t="shared" si="260"/>
        <v>0</v>
      </c>
      <c r="CC831" s="646">
        <f t="shared" si="261"/>
        <v>0</v>
      </c>
      <c r="CD831" s="614"/>
    </row>
    <row r="832" spans="1:82" s="561" customFormat="1" ht="61.5" customHeight="1">
      <c r="A832" s="625" t="str">
        <f t="shared" si="243"/>
        <v>proyecto-Alerta: Seleccione la celda en la comumna B con el nombre del proyecto-Al-Al--</v>
      </c>
      <c r="B832" s="626" t="str">
        <f t="shared" si="244"/>
        <v>proyecto-Alerta: Seleccione la celda en la comumna B con el nombre del proyecto-Al-Al-</v>
      </c>
      <c r="C832" s="626" t="str">
        <f t="shared" si="245"/>
        <v>proyecto-Alerta: Seleccione la celda en la comumna B con el nombre del proyecto-</v>
      </c>
      <c r="D832" s="626" t="str">
        <f t="shared" si="246"/>
        <v>proyecto--Al-Al-</v>
      </c>
      <c r="E832" s="626" t="str">
        <f t="shared" si="247"/>
        <v>--</v>
      </c>
      <c r="F832" s="627"/>
      <c r="G832" s="628">
        <f t="shared" si="248"/>
        <v>0</v>
      </c>
      <c r="H832" s="629" t="b">
        <f t="shared" si="249"/>
        <v>1</v>
      </c>
      <c r="I832" s="630"/>
      <c r="J832" s="627"/>
      <c r="K832" s="631" t="str">
        <f>+IFERROR(VLOOKUP(J832,Listas!$A$108:$B$114,2,FALSE),"Alerta: Seleccione la celda en la comumna B con el nombre del proyecto")</f>
        <v>Alerta: Seleccione la celda en la comumna B con el nombre del proyecto</v>
      </c>
      <c r="L832" s="632"/>
      <c r="M832" s="633"/>
      <c r="N832" s="634" t="str">
        <f t="shared" si="250"/>
        <v xml:space="preserve">(Cód. ) </v>
      </c>
      <c r="O832" s="635"/>
      <c r="P832" s="636">
        <f>IFERROR(VLOOKUP(W832,'Estimación CRP'!$D$21:$E$30,2,FALSE),0)</f>
        <v>0</v>
      </c>
      <c r="Q832" s="637">
        <f>IF(O832="No aplica","No aplica",WORKDAY.INTL(O832,P832,1,'Estimación CRP'!A1018:A1034))</f>
        <v>0</v>
      </c>
      <c r="R832" s="636">
        <f t="shared" si="251"/>
        <v>1</v>
      </c>
      <c r="S832" s="636">
        <f t="shared" si="252"/>
        <v>1</v>
      </c>
      <c r="T832" s="636">
        <f t="shared" si="253"/>
        <v>1</v>
      </c>
      <c r="U832" s="638"/>
      <c r="V832" s="638"/>
      <c r="W832" s="639"/>
      <c r="X832" s="640" t="str">
        <f>IFERROR(VLOOKUP(W832,Listas!$A$60:$B$73,2,FALSE),"Alerta: Seleccione primero Modalidad de selección")</f>
        <v>Alerta: Seleccione primero Modalidad de selección</v>
      </c>
      <c r="Y832" s="641">
        <v>0</v>
      </c>
      <c r="Z832" s="641"/>
      <c r="AA832" s="641"/>
      <c r="AB832" s="642">
        <f t="shared" si="254"/>
        <v>0</v>
      </c>
      <c r="AC832" s="642">
        <f t="shared" si="255"/>
        <v>0</v>
      </c>
      <c r="AD832" s="641">
        <v>0</v>
      </c>
      <c r="AE832" s="643">
        <v>0</v>
      </c>
      <c r="AF832" s="639" t="s">
        <v>276</v>
      </c>
      <c r="AG832" s="639" t="s">
        <v>277</v>
      </c>
      <c r="AH832" s="639"/>
      <c r="AI832" s="626" t="str">
        <f>IFERROR(VLOOKUP(AH832,Listas!$A$77:$C$83,2,FALSE),"Alerta: Seleccione primero el responsable")</f>
        <v>Alerta: Seleccione primero el responsable</v>
      </c>
      <c r="AJ832" s="640" t="str">
        <f>IFERROR(VLOOKUP(AH832,Listas!$A$77:$C$83,3,FALSE),"Alerta: Seleccione primero el responsable")</f>
        <v>Alerta: Seleccione primero el responsable</v>
      </c>
      <c r="AK832" s="640" t="str">
        <f>IF(J832="Funcionamiento Gastos Generales","No aplica",IF(J832="Funcionamiento Servicios Personales indirectos","No aplica",IFERROR(VLOOKUP(J832,Listas!$A$127:$E$139,3,FALSE),"Alerta: Seleccione la celda en la comumna B con el nombre del proyecto")))</f>
        <v>Alerta: Seleccione la celda en la comumna B con el nombre del proyecto</v>
      </c>
      <c r="AL832" s="640" t="str">
        <f>IF(J832="Funcionamiento Gastos Generales","No aplica",IF(J832="Funcionamiento Servicios Personales","No aplica",IFERROR(VLOOKUP(J832,Listas!$A$220:$D$224,2,FALSE),"Alerta: Seleccione la celda en la comumna B con el nombre del proyecto")))</f>
        <v>Alerta: Seleccione la celda en la comumna B con el nombre del proyecto</v>
      </c>
      <c r="AM832" s="640" t="str">
        <f>IF(J832="Funcionamiento Gastos Generales","No aplica",IF(J832="Funcionamiento Servicios Personales","No aplica",IFERROR(VLOOKUP(J832,Listas!$A$220:$D$224,3,FALSE),"Alerta: Seleccione la celda en la comumna B con el nombre del proyecto")))</f>
        <v>Alerta: Seleccione la celda en la comumna B con el nombre del proyecto</v>
      </c>
      <c r="AN832" s="633"/>
      <c r="AO832" s="633"/>
      <c r="AP832" s="634" t="str">
        <f>IFERROR(VLOOKUP(J832,Listas!$A$182:$E$215,5,FALSE),"Alerta: Seleccione la celda en la comumna B con el nombre del proyecto")</f>
        <v>Alerta: Seleccione la celda en la comumna B con el nombre del proyecto</v>
      </c>
      <c r="AQ832" s="634" t="str">
        <f>IF(J832="Funcionamiento Gastos Generales","No aplica",IF(J832="Funcionamiento Servicios Personales","No aplica",IFERROR(VLOOKUP(J832,Listas!$A$220:$D$224,4,FALSE),"Alerta: Seleccione la celda en la comumna B con el nombre del proyecto")))</f>
        <v>Alerta: Seleccione la celda en la comumna B con el nombre del proyecto</v>
      </c>
      <c r="AR832" s="633"/>
      <c r="AS832" s="634" t="str">
        <f>IFERROR(VLOOKUP(AU832,Listas!$E$85:$L$105,7,FALSE),"Alerta: Seleccione la celda en la comumna AI con el concepto de gasto")</f>
        <v>Alerta: Seleccione la celda en la comumna AI con el concepto de gasto</v>
      </c>
      <c r="AT832" s="634" t="str">
        <f>IFERROR(VLOOKUP(AU832,Listas!$E$85:$L$105,8,FALSE),"Alerta: Seleccione la celda en la comumna AI con el concepto de gasto")</f>
        <v>Alerta: Seleccione la celda en la comumna AI con el concepto de gasto</v>
      </c>
      <c r="AU832" s="633"/>
      <c r="AV832" s="634" t="str">
        <f>IFERROR(VLOOKUP(AU832,Listas!$E$85:$F$105,2,FALSE),"Alerta: Seleccione el Concepto de Gasto primero")</f>
        <v>Alerta: Seleccione el Concepto de Gasto primero</v>
      </c>
      <c r="AW832" s="644"/>
      <c r="AX832" s="645"/>
      <c r="AY832" s="645"/>
      <c r="AZ832" s="645"/>
      <c r="BA832" s="646">
        <f t="shared" si="256"/>
        <v>0</v>
      </c>
      <c r="BB832" s="647"/>
      <c r="BC832" s="648"/>
      <c r="BD832" s="649"/>
      <c r="BE832" s="647"/>
      <c r="BF832" s="644"/>
      <c r="BG832" s="646">
        <f t="shared" si="257"/>
        <v>0</v>
      </c>
      <c r="BH832" s="650"/>
      <c r="BI832" s="647"/>
      <c r="BJ832" s="644"/>
      <c r="BK832" s="646">
        <f t="shared" si="258"/>
        <v>0</v>
      </c>
      <c r="BL832" s="651"/>
      <c r="BM832" s="652">
        <f t="shared" si="259"/>
        <v>1</v>
      </c>
      <c r="BN832" s="628"/>
      <c r="BO832" s="670"/>
      <c r="BP832" s="644"/>
      <c r="BQ832" s="644"/>
      <c r="BR832" s="644"/>
      <c r="BS832" s="644"/>
      <c r="BT832" s="644"/>
      <c r="BU832" s="644"/>
      <c r="BV832" s="644"/>
      <c r="BW832" s="644"/>
      <c r="BX832" s="644"/>
      <c r="BY832" s="644"/>
      <c r="BZ832" s="644"/>
      <c r="CA832" s="644"/>
      <c r="CB832" s="646">
        <f t="shared" si="260"/>
        <v>0</v>
      </c>
      <c r="CC832" s="646">
        <f t="shared" si="261"/>
        <v>0</v>
      </c>
      <c r="CD832" s="614"/>
    </row>
    <row r="833" spans="1:82" s="561" customFormat="1" ht="61.5" customHeight="1">
      <c r="A833" s="625" t="str">
        <f t="shared" si="243"/>
        <v>proyecto-Alerta: Seleccione la celda en la comumna B con el nombre del proyecto-Al-Al--</v>
      </c>
      <c r="B833" s="626" t="str">
        <f t="shared" si="244"/>
        <v>proyecto-Alerta: Seleccione la celda en la comumna B con el nombre del proyecto-Al-Al-</v>
      </c>
      <c r="C833" s="626" t="str">
        <f t="shared" si="245"/>
        <v>proyecto-Alerta: Seleccione la celda en la comumna B con el nombre del proyecto-</v>
      </c>
      <c r="D833" s="626" t="str">
        <f t="shared" si="246"/>
        <v>proyecto--Al-Al-</v>
      </c>
      <c r="E833" s="626" t="str">
        <f t="shared" si="247"/>
        <v>--</v>
      </c>
      <c r="F833" s="627"/>
      <c r="G833" s="628">
        <f t="shared" si="248"/>
        <v>0</v>
      </c>
      <c r="H833" s="629" t="b">
        <f t="shared" si="249"/>
        <v>1</v>
      </c>
      <c r="I833" s="630"/>
      <c r="J833" s="627"/>
      <c r="K833" s="631" t="str">
        <f>+IFERROR(VLOOKUP(J833,Listas!$A$108:$B$114,2,FALSE),"Alerta: Seleccione la celda en la comumna B con el nombre del proyecto")</f>
        <v>Alerta: Seleccione la celda en la comumna B con el nombre del proyecto</v>
      </c>
      <c r="L833" s="632"/>
      <c r="M833" s="633"/>
      <c r="N833" s="634" t="str">
        <f t="shared" si="250"/>
        <v xml:space="preserve">(Cód. ) </v>
      </c>
      <c r="O833" s="635"/>
      <c r="P833" s="636">
        <f>IFERROR(VLOOKUP(W833,'Estimación CRP'!$D$21:$E$30,2,FALSE),0)</f>
        <v>0</v>
      </c>
      <c r="Q833" s="637">
        <f>IF(O833="No aplica","No aplica",WORKDAY.INTL(O833,P833,1,'Estimación CRP'!A1019:A1035))</f>
        <v>0</v>
      </c>
      <c r="R833" s="636">
        <f t="shared" si="251"/>
        <v>1</v>
      </c>
      <c r="S833" s="636">
        <f t="shared" si="252"/>
        <v>1</v>
      </c>
      <c r="T833" s="636">
        <f t="shared" si="253"/>
        <v>1</v>
      </c>
      <c r="U833" s="638"/>
      <c r="V833" s="638"/>
      <c r="W833" s="639"/>
      <c r="X833" s="640" t="str">
        <f>IFERROR(VLOOKUP(W833,Listas!$A$60:$B$73,2,FALSE),"Alerta: Seleccione primero Modalidad de selección")</f>
        <v>Alerta: Seleccione primero Modalidad de selección</v>
      </c>
      <c r="Y833" s="641">
        <v>0</v>
      </c>
      <c r="Z833" s="641"/>
      <c r="AA833" s="641"/>
      <c r="AB833" s="642">
        <f t="shared" si="254"/>
        <v>0</v>
      </c>
      <c r="AC833" s="642">
        <f t="shared" si="255"/>
        <v>0</v>
      </c>
      <c r="AD833" s="641">
        <v>0</v>
      </c>
      <c r="AE833" s="643">
        <v>0</v>
      </c>
      <c r="AF833" s="639" t="s">
        <v>276</v>
      </c>
      <c r="AG833" s="639" t="s">
        <v>277</v>
      </c>
      <c r="AH833" s="639"/>
      <c r="AI833" s="626" t="str">
        <f>IFERROR(VLOOKUP(AH833,Listas!$A$77:$C$83,2,FALSE),"Alerta: Seleccione primero el responsable")</f>
        <v>Alerta: Seleccione primero el responsable</v>
      </c>
      <c r="AJ833" s="640" t="str">
        <f>IFERROR(VLOOKUP(AH833,Listas!$A$77:$C$83,3,FALSE),"Alerta: Seleccione primero el responsable")</f>
        <v>Alerta: Seleccione primero el responsable</v>
      </c>
      <c r="AK833" s="640" t="str">
        <f>IF(J833="Funcionamiento Gastos Generales","No aplica",IF(J833="Funcionamiento Servicios Personales indirectos","No aplica",IFERROR(VLOOKUP(J833,Listas!$A$127:$E$139,3,FALSE),"Alerta: Seleccione la celda en la comumna B con el nombre del proyecto")))</f>
        <v>Alerta: Seleccione la celda en la comumna B con el nombre del proyecto</v>
      </c>
      <c r="AL833" s="640" t="str">
        <f>IF(J833="Funcionamiento Gastos Generales","No aplica",IF(J833="Funcionamiento Servicios Personales","No aplica",IFERROR(VLOOKUP(J833,Listas!$A$220:$D$224,2,FALSE),"Alerta: Seleccione la celda en la comumna B con el nombre del proyecto")))</f>
        <v>Alerta: Seleccione la celda en la comumna B con el nombre del proyecto</v>
      </c>
      <c r="AM833" s="640" t="str">
        <f>IF(J833="Funcionamiento Gastos Generales","No aplica",IF(J833="Funcionamiento Servicios Personales","No aplica",IFERROR(VLOOKUP(J833,Listas!$A$220:$D$224,3,FALSE),"Alerta: Seleccione la celda en la comumna B con el nombre del proyecto")))</f>
        <v>Alerta: Seleccione la celda en la comumna B con el nombre del proyecto</v>
      </c>
      <c r="AN833" s="633"/>
      <c r="AO833" s="633"/>
      <c r="AP833" s="634" t="str">
        <f>IFERROR(VLOOKUP(J833,Listas!$A$182:$E$215,5,FALSE),"Alerta: Seleccione la celda en la comumna B con el nombre del proyecto")</f>
        <v>Alerta: Seleccione la celda en la comumna B con el nombre del proyecto</v>
      </c>
      <c r="AQ833" s="634" t="str">
        <f>IF(J833="Funcionamiento Gastos Generales","No aplica",IF(J833="Funcionamiento Servicios Personales","No aplica",IFERROR(VLOOKUP(J833,Listas!$A$220:$D$224,4,FALSE),"Alerta: Seleccione la celda en la comumna B con el nombre del proyecto")))</f>
        <v>Alerta: Seleccione la celda en la comumna B con el nombre del proyecto</v>
      </c>
      <c r="AR833" s="633"/>
      <c r="AS833" s="634" t="str">
        <f>IFERROR(VLOOKUP(AU833,Listas!$E$85:$L$105,7,FALSE),"Alerta: Seleccione la celda en la comumna AI con el concepto de gasto")</f>
        <v>Alerta: Seleccione la celda en la comumna AI con el concepto de gasto</v>
      </c>
      <c r="AT833" s="634" t="str">
        <f>IFERROR(VLOOKUP(AU833,Listas!$E$85:$L$105,8,FALSE),"Alerta: Seleccione la celda en la comumna AI con el concepto de gasto")</f>
        <v>Alerta: Seleccione la celda en la comumna AI con el concepto de gasto</v>
      </c>
      <c r="AU833" s="633"/>
      <c r="AV833" s="634" t="str">
        <f>IFERROR(VLOOKUP(AU833,Listas!$E$85:$F$105,2,FALSE),"Alerta: Seleccione el Concepto de Gasto primero")</f>
        <v>Alerta: Seleccione el Concepto de Gasto primero</v>
      </c>
      <c r="AW833" s="644"/>
      <c r="AX833" s="645"/>
      <c r="AY833" s="645"/>
      <c r="AZ833" s="645"/>
      <c r="BA833" s="646">
        <f t="shared" si="256"/>
        <v>0</v>
      </c>
      <c r="BB833" s="647"/>
      <c r="BC833" s="648"/>
      <c r="BD833" s="649"/>
      <c r="BE833" s="647"/>
      <c r="BF833" s="644"/>
      <c r="BG833" s="646">
        <f t="shared" si="257"/>
        <v>0</v>
      </c>
      <c r="BH833" s="650"/>
      <c r="BI833" s="647"/>
      <c r="BJ833" s="644"/>
      <c r="BK833" s="646">
        <f t="shared" si="258"/>
        <v>0</v>
      </c>
      <c r="BL833" s="651"/>
      <c r="BM833" s="652">
        <f t="shared" si="259"/>
        <v>1</v>
      </c>
      <c r="BN833" s="628"/>
      <c r="BO833" s="670"/>
      <c r="BP833" s="644"/>
      <c r="BQ833" s="644"/>
      <c r="BR833" s="644"/>
      <c r="BS833" s="644"/>
      <c r="BT833" s="644"/>
      <c r="BU833" s="644"/>
      <c r="BV833" s="644"/>
      <c r="BW833" s="644"/>
      <c r="BX833" s="644"/>
      <c r="BY833" s="644"/>
      <c r="BZ833" s="644"/>
      <c r="CA833" s="644"/>
      <c r="CB833" s="646">
        <f t="shared" si="260"/>
        <v>0</v>
      </c>
      <c r="CC833" s="646">
        <f t="shared" si="261"/>
        <v>0</v>
      </c>
      <c r="CD833" s="614"/>
    </row>
    <row r="834" spans="1:82" s="561" customFormat="1" ht="61.5" customHeight="1">
      <c r="A834" s="625" t="str">
        <f t="shared" si="243"/>
        <v>proyecto-Alerta: Seleccione la celda en la comumna B con el nombre del proyecto-Al-Al--</v>
      </c>
      <c r="B834" s="626" t="str">
        <f t="shared" si="244"/>
        <v>proyecto-Alerta: Seleccione la celda en la comumna B con el nombre del proyecto-Al-Al-</v>
      </c>
      <c r="C834" s="626" t="str">
        <f t="shared" si="245"/>
        <v>proyecto-Alerta: Seleccione la celda en la comumna B con el nombre del proyecto-</v>
      </c>
      <c r="D834" s="626" t="str">
        <f t="shared" si="246"/>
        <v>proyecto--Al-Al-</v>
      </c>
      <c r="E834" s="626" t="str">
        <f t="shared" si="247"/>
        <v>--</v>
      </c>
      <c r="F834" s="627"/>
      <c r="G834" s="628">
        <f t="shared" si="248"/>
        <v>0</v>
      </c>
      <c r="H834" s="629" t="b">
        <f t="shared" si="249"/>
        <v>1</v>
      </c>
      <c r="I834" s="630"/>
      <c r="J834" s="627"/>
      <c r="K834" s="631" t="str">
        <f>+IFERROR(VLOOKUP(J834,Listas!$A$108:$B$114,2,FALSE),"Alerta: Seleccione la celda en la comumna B con el nombre del proyecto")</f>
        <v>Alerta: Seleccione la celda en la comumna B con el nombre del proyecto</v>
      </c>
      <c r="L834" s="632"/>
      <c r="M834" s="633"/>
      <c r="N834" s="634" t="str">
        <f t="shared" si="250"/>
        <v xml:space="preserve">(Cód. ) </v>
      </c>
      <c r="O834" s="635"/>
      <c r="P834" s="636">
        <f>IFERROR(VLOOKUP(W834,'Estimación CRP'!$D$21:$E$30,2,FALSE),0)</f>
        <v>0</v>
      </c>
      <c r="Q834" s="637">
        <f>IF(O834="No aplica","No aplica",WORKDAY.INTL(O834,P834,1,'Estimación CRP'!A1020:A1036))</f>
        <v>0</v>
      </c>
      <c r="R834" s="636">
        <f t="shared" si="251"/>
        <v>1</v>
      </c>
      <c r="S834" s="636">
        <f t="shared" si="252"/>
        <v>1</v>
      </c>
      <c r="T834" s="636">
        <f t="shared" si="253"/>
        <v>1</v>
      </c>
      <c r="U834" s="638"/>
      <c r="V834" s="638"/>
      <c r="W834" s="639"/>
      <c r="X834" s="640" t="str">
        <f>IFERROR(VLOOKUP(W834,Listas!$A$60:$B$73,2,FALSE),"Alerta: Seleccione primero Modalidad de selección")</f>
        <v>Alerta: Seleccione primero Modalidad de selección</v>
      </c>
      <c r="Y834" s="641">
        <v>0</v>
      </c>
      <c r="Z834" s="641"/>
      <c r="AA834" s="641"/>
      <c r="AB834" s="642">
        <f t="shared" si="254"/>
        <v>0</v>
      </c>
      <c r="AC834" s="642">
        <f t="shared" si="255"/>
        <v>0</v>
      </c>
      <c r="AD834" s="641">
        <v>0</v>
      </c>
      <c r="AE834" s="643">
        <v>0</v>
      </c>
      <c r="AF834" s="639" t="s">
        <v>276</v>
      </c>
      <c r="AG834" s="639" t="s">
        <v>277</v>
      </c>
      <c r="AH834" s="639"/>
      <c r="AI834" s="626" t="str">
        <f>IFERROR(VLOOKUP(AH834,Listas!$A$77:$C$83,2,FALSE),"Alerta: Seleccione primero el responsable")</f>
        <v>Alerta: Seleccione primero el responsable</v>
      </c>
      <c r="AJ834" s="640" t="str">
        <f>IFERROR(VLOOKUP(AH834,Listas!$A$77:$C$83,3,FALSE),"Alerta: Seleccione primero el responsable")</f>
        <v>Alerta: Seleccione primero el responsable</v>
      </c>
      <c r="AK834" s="640" t="str">
        <f>IF(J834="Funcionamiento Gastos Generales","No aplica",IF(J834="Funcionamiento Servicios Personales indirectos","No aplica",IFERROR(VLOOKUP(J834,Listas!$A$127:$E$139,3,FALSE),"Alerta: Seleccione la celda en la comumna B con el nombre del proyecto")))</f>
        <v>Alerta: Seleccione la celda en la comumna B con el nombre del proyecto</v>
      </c>
      <c r="AL834" s="640" t="str">
        <f>IF(J834="Funcionamiento Gastos Generales","No aplica",IF(J834="Funcionamiento Servicios Personales","No aplica",IFERROR(VLOOKUP(J834,Listas!$A$220:$D$224,2,FALSE),"Alerta: Seleccione la celda en la comumna B con el nombre del proyecto")))</f>
        <v>Alerta: Seleccione la celda en la comumna B con el nombre del proyecto</v>
      </c>
      <c r="AM834" s="640" t="str">
        <f>IF(J834="Funcionamiento Gastos Generales","No aplica",IF(J834="Funcionamiento Servicios Personales","No aplica",IFERROR(VLOOKUP(J834,Listas!$A$220:$D$224,3,FALSE),"Alerta: Seleccione la celda en la comumna B con el nombre del proyecto")))</f>
        <v>Alerta: Seleccione la celda en la comumna B con el nombre del proyecto</v>
      </c>
      <c r="AN834" s="633"/>
      <c r="AO834" s="633"/>
      <c r="AP834" s="634" t="str">
        <f>IFERROR(VLOOKUP(J834,Listas!$A$182:$E$215,5,FALSE),"Alerta: Seleccione la celda en la comumna B con el nombre del proyecto")</f>
        <v>Alerta: Seleccione la celda en la comumna B con el nombre del proyecto</v>
      </c>
      <c r="AQ834" s="634" t="str">
        <f>IF(J834="Funcionamiento Gastos Generales","No aplica",IF(J834="Funcionamiento Servicios Personales","No aplica",IFERROR(VLOOKUP(J834,Listas!$A$220:$D$224,4,FALSE),"Alerta: Seleccione la celda en la comumna B con el nombre del proyecto")))</f>
        <v>Alerta: Seleccione la celda en la comumna B con el nombre del proyecto</v>
      </c>
      <c r="AR834" s="633"/>
      <c r="AS834" s="634" t="str">
        <f>IFERROR(VLOOKUP(AU834,Listas!$E$85:$L$105,7,FALSE),"Alerta: Seleccione la celda en la comumna AI con el concepto de gasto")</f>
        <v>Alerta: Seleccione la celda en la comumna AI con el concepto de gasto</v>
      </c>
      <c r="AT834" s="634" t="str">
        <f>IFERROR(VLOOKUP(AU834,Listas!$E$85:$L$105,8,FALSE),"Alerta: Seleccione la celda en la comumna AI con el concepto de gasto")</f>
        <v>Alerta: Seleccione la celda en la comumna AI con el concepto de gasto</v>
      </c>
      <c r="AU834" s="633"/>
      <c r="AV834" s="634" t="str">
        <f>IFERROR(VLOOKUP(AU834,Listas!$E$85:$F$105,2,FALSE),"Alerta: Seleccione el Concepto de Gasto primero")</f>
        <v>Alerta: Seleccione el Concepto de Gasto primero</v>
      </c>
      <c r="AW834" s="644"/>
      <c r="AX834" s="645"/>
      <c r="AY834" s="645"/>
      <c r="AZ834" s="645"/>
      <c r="BA834" s="646">
        <f t="shared" si="256"/>
        <v>0</v>
      </c>
      <c r="BB834" s="647"/>
      <c r="BC834" s="648"/>
      <c r="BD834" s="649"/>
      <c r="BE834" s="647"/>
      <c r="BF834" s="644"/>
      <c r="BG834" s="646">
        <f t="shared" si="257"/>
        <v>0</v>
      </c>
      <c r="BH834" s="650"/>
      <c r="BI834" s="647"/>
      <c r="BJ834" s="644"/>
      <c r="BK834" s="646">
        <f t="shared" si="258"/>
        <v>0</v>
      </c>
      <c r="BL834" s="651"/>
      <c r="BM834" s="652">
        <f t="shared" si="259"/>
        <v>1</v>
      </c>
      <c r="BN834" s="628"/>
      <c r="BO834" s="670"/>
      <c r="BP834" s="644"/>
      <c r="BQ834" s="644"/>
      <c r="BR834" s="644"/>
      <c r="BS834" s="644"/>
      <c r="BT834" s="644"/>
      <c r="BU834" s="644"/>
      <c r="BV834" s="644"/>
      <c r="BW834" s="644"/>
      <c r="BX834" s="644"/>
      <c r="BY834" s="644"/>
      <c r="BZ834" s="644"/>
      <c r="CA834" s="644"/>
      <c r="CB834" s="646">
        <f t="shared" si="260"/>
        <v>0</v>
      </c>
      <c r="CC834" s="646">
        <f t="shared" si="261"/>
        <v>0</v>
      </c>
      <c r="CD834" s="614"/>
    </row>
    <row r="835" spans="1:82" s="561" customFormat="1" ht="61.5" customHeight="1">
      <c r="A835" s="625" t="str">
        <f t="shared" si="243"/>
        <v>proyecto-Alerta: Seleccione la celda en la comumna B con el nombre del proyecto-Al-Al--</v>
      </c>
      <c r="B835" s="626" t="str">
        <f t="shared" si="244"/>
        <v>proyecto-Alerta: Seleccione la celda en la comumna B con el nombre del proyecto-Al-Al-</v>
      </c>
      <c r="C835" s="626" t="str">
        <f t="shared" si="245"/>
        <v>proyecto-Alerta: Seleccione la celda en la comumna B con el nombre del proyecto-</v>
      </c>
      <c r="D835" s="626" t="str">
        <f t="shared" si="246"/>
        <v>proyecto--Al-Al-</v>
      </c>
      <c r="E835" s="626" t="str">
        <f t="shared" si="247"/>
        <v>--</v>
      </c>
      <c r="F835" s="627"/>
      <c r="G835" s="628">
        <f t="shared" si="248"/>
        <v>0</v>
      </c>
      <c r="H835" s="629" t="b">
        <f t="shared" si="249"/>
        <v>1</v>
      </c>
      <c r="I835" s="630"/>
      <c r="J835" s="627"/>
      <c r="K835" s="631" t="str">
        <f>+IFERROR(VLOOKUP(J835,Listas!$A$108:$B$114,2,FALSE),"Alerta: Seleccione la celda en la comumna B con el nombre del proyecto")</f>
        <v>Alerta: Seleccione la celda en la comumna B con el nombre del proyecto</v>
      </c>
      <c r="L835" s="632"/>
      <c r="M835" s="633"/>
      <c r="N835" s="634" t="str">
        <f t="shared" si="250"/>
        <v xml:space="preserve">(Cód. ) </v>
      </c>
      <c r="O835" s="635"/>
      <c r="P835" s="636">
        <f>IFERROR(VLOOKUP(W835,'Estimación CRP'!$D$21:$E$30,2,FALSE),0)</f>
        <v>0</v>
      </c>
      <c r="Q835" s="637">
        <f>IF(O835="No aplica","No aplica",WORKDAY.INTL(O835,P835,1,'Estimación CRP'!A1021:A1037))</f>
        <v>0</v>
      </c>
      <c r="R835" s="636">
        <f t="shared" si="251"/>
        <v>1</v>
      </c>
      <c r="S835" s="636">
        <f t="shared" si="252"/>
        <v>1</v>
      </c>
      <c r="T835" s="636">
        <f t="shared" si="253"/>
        <v>1</v>
      </c>
      <c r="U835" s="638"/>
      <c r="V835" s="638"/>
      <c r="W835" s="639"/>
      <c r="X835" s="640" t="str">
        <f>IFERROR(VLOOKUP(W835,Listas!$A$60:$B$73,2,FALSE),"Alerta: Seleccione primero Modalidad de selección")</f>
        <v>Alerta: Seleccione primero Modalidad de selección</v>
      </c>
      <c r="Y835" s="641">
        <v>0</v>
      </c>
      <c r="Z835" s="641"/>
      <c r="AA835" s="641"/>
      <c r="AB835" s="642">
        <f t="shared" si="254"/>
        <v>0</v>
      </c>
      <c r="AC835" s="642">
        <f t="shared" si="255"/>
        <v>0</v>
      </c>
      <c r="AD835" s="641">
        <v>0</v>
      </c>
      <c r="AE835" s="643">
        <v>0</v>
      </c>
      <c r="AF835" s="639" t="s">
        <v>276</v>
      </c>
      <c r="AG835" s="639" t="s">
        <v>277</v>
      </c>
      <c r="AH835" s="639"/>
      <c r="AI835" s="626" t="str">
        <f>IFERROR(VLOOKUP(AH835,Listas!$A$77:$C$83,2,FALSE),"Alerta: Seleccione primero el responsable")</f>
        <v>Alerta: Seleccione primero el responsable</v>
      </c>
      <c r="AJ835" s="640" t="str">
        <f>IFERROR(VLOOKUP(AH835,Listas!$A$77:$C$83,3,FALSE),"Alerta: Seleccione primero el responsable")</f>
        <v>Alerta: Seleccione primero el responsable</v>
      </c>
      <c r="AK835" s="640" t="str">
        <f>IF(J835="Funcionamiento Gastos Generales","No aplica",IF(J835="Funcionamiento Servicios Personales indirectos","No aplica",IFERROR(VLOOKUP(J835,Listas!$A$127:$E$139,3,FALSE),"Alerta: Seleccione la celda en la comumna B con el nombre del proyecto")))</f>
        <v>Alerta: Seleccione la celda en la comumna B con el nombre del proyecto</v>
      </c>
      <c r="AL835" s="640" t="str">
        <f>IF(J835="Funcionamiento Gastos Generales","No aplica",IF(J835="Funcionamiento Servicios Personales","No aplica",IFERROR(VLOOKUP(J835,Listas!$A$220:$D$224,2,FALSE),"Alerta: Seleccione la celda en la comumna B con el nombre del proyecto")))</f>
        <v>Alerta: Seleccione la celda en la comumna B con el nombre del proyecto</v>
      </c>
      <c r="AM835" s="640" t="str">
        <f>IF(J835="Funcionamiento Gastos Generales","No aplica",IF(J835="Funcionamiento Servicios Personales","No aplica",IFERROR(VLOOKUP(J835,Listas!$A$220:$D$224,3,FALSE),"Alerta: Seleccione la celda en la comumna B con el nombre del proyecto")))</f>
        <v>Alerta: Seleccione la celda en la comumna B con el nombre del proyecto</v>
      </c>
      <c r="AN835" s="633"/>
      <c r="AO835" s="633"/>
      <c r="AP835" s="634" t="str">
        <f>IFERROR(VLOOKUP(J835,Listas!$A$182:$E$215,5,FALSE),"Alerta: Seleccione la celda en la comumna B con el nombre del proyecto")</f>
        <v>Alerta: Seleccione la celda en la comumna B con el nombre del proyecto</v>
      </c>
      <c r="AQ835" s="634" t="str">
        <f>IF(J835="Funcionamiento Gastos Generales","No aplica",IF(J835="Funcionamiento Servicios Personales","No aplica",IFERROR(VLOOKUP(J835,Listas!$A$220:$D$224,4,FALSE),"Alerta: Seleccione la celda en la comumna B con el nombre del proyecto")))</f>
        <v>Alerta: Seleccione la celda en la comumna B con el nombre del proyecto</v>
      </c>
      <c r="AR835" s="633"/>
      <c r="AS835" s="634" t="str">
        <f>IFERROR(VLOOKUP(AU835,Listas!$E$85:$L$105,7,FALSE),"Alerta: Seleccione la celda en la comumna AI con el concepto de gasto")</f>
        <v>Alerta: Seleccione la celda en la comumna AI con el concepto de gasto</v>
      </c>
      <c r="AT835" s="634" t="str">
        <f>IFERROR(VLOOKUP(AU835,Listas!$E$85:$L$105,8,FALSE),"Alerta: Seleccione la celda en la comumna AI con el concepto de gasto")</f>
        <v>Alerta: Seleccione la celda en la comumna AI con el concepto de gasto</v>
      </c>
      <c r="AU835" s="633"/>
      <c r="AV835" s="634" t="str">
        <f>IFERROR(VLOOKUP(AU835,Listas!$E$85:$F$105,2,FALSE),"Alerta: Seleccione el Concepto de Gasto primero")</f>
        <v>Alerta: Seleccione el Concepto de Gasto primero</v>
      </c>
      <c r="AW835" s="644"/>
      <c r="AX835" s="645"/>
      <c r="AY835" s="645"/>
      <c r="AZ835" s="645"/>
      <c r="BA835" s="646">
        <f t="shared" si="256"/>
        <v>0</v>
      </c>
      <c r="BB835" s="647"/>
      <c r="BC835" s="648"/>
      <c r="BD835" s="649"/>
      <c r="BE835" s="647"/>
      <c r="BF835" s="644"/>
      <c r="BG835" s="646">
        <f t="shared" si="257"/>
        <v>0</v>
      </c>
      <c r="BH835" s="650"/>
      <c r="BI835" s="647"/>
      <c r="BJ835" s="644"/>
      <c r="BK835" s="646">
        <f t="shared" si="258"/>
        <v>0</v>
      </c>
      <c r="BL835" s="651"/>
      <c r="BM835" s="652">
        <f t="shared" si="259"/>
        <v>1</v>
      </c>
      <c r="BN835" s="628"/>
      <c r="BO835" s="670"/>
      <c r="BP835" s="644"/>
      <c r="BQ835" s="644"/>
      <c r="BR835" s="644"/>
      <c r="BS835" s="644"/>
      <c r="BT835" s="644"/>
      <c r="BU835" s="644"/>
      <c r="BV835" s="644"/>
      <c r="BW835" s="644"/>
      <c r="BX835" s="644"/>
      <c r="BY835" s="644"/>
      <c r="BZ835" s="644"/>
      <c r="CA835" s="644"/>
      <c r="CB835" s="646">
        <f t="shared" si="260"/>
        <v>0</v>
      </c>
      <c r="CC835" s="646">
        <f t="shared" si="261"/>
        <v>0</v>
      </c>
      <c r="CD835" s="614"/>
    </row>
    <row r="836" spans="1:82" s="561" customFormat="1" ht="61.5" customHeight="1">
      <c r="A836" s="625" t="str">
        <f t="shared" si="243"/>
        <v>proyecto-Alerta: Seleccione la celda en la comumna B con el nombre del proyecto-Al-Al--</v>
      </c>
      <c r="B836" s="626" t="str">
        <f t="shared" si="244"/>
        <v>proyecto-Alerta: Seleccione la celda en la comumna B con el nombre del proyecto-Al-Al-</v>
      </c>
      <c r="C836" s="626" t="str">
        <f t="shared" si="245"/>
        <v>proyecto-Alerta: Seleccione la celda en la comumna B con el nombre del proyecto-</v>
      </c>
      <c r="D836" s="626" t="str">
        <f t="shared" si="246"/>
        <v>proyecto--Al-Al-</v>
      </c>
      <c r="E836" s="626" t="str">
        <f t="shared" si="247"/>
        <v>--</v>
      </c>
      <c r="F836" s="627"/>
      <c r="G836" s="628">
        <f t="shared" si="248"/>
        <v>0</v>
      </c>
      <c r="H836" s="629" t="b">
        <f t="shared" si="249"/>
        <v>1</v>
      </c>
      <c r="I836" s="630"/>
      <c r="J836" s="627"/>
      <c r="K836" s="631" t="str">
        <f>+IFERROR(VLOOKUP(J836,Listas!$A$108:$B$114,2,FALSE),"Alerta: Seleccione la celda en la comumna B con el nombre del proyecto")</f>
        <v>Alerta: Seleccione la celda en la comumna B con el nombre del proyecto</v>
      </c>
      <c r="L836" s="632"/>
      <c r="M836" s="633"/>
      <c r="N836" s="634" t="str">
        <f t="shared" si="250"/>
        <v xml:space="preserve">(Cód. ) </v>
      </c>
      <c r="O836" s="635"/>
      <c r="P836" s="636">
        <f>IFERROR(VLOOKUP(W836,'Estimación CRP'!$D$21:$E$30,2,FALSE),0)</f>
        <v>0</v>
      </c>
      <c r="Q836" s="637">
        <f>IF(O836="No aplica","No aplica",WORKDAY.INTL(O836,P836,1,'Estimación CRP'!A1022:A1038))</f>
        <v>0</v>
      </c>
      <c r="R836" s="636">
        <f t="shared" si="251"/>
        <v>1</v>
      </c>
      <c r="S836" s="636">
        <f t="shared" si="252"/>
        <v>1</v>
      </c>
      <c r="T836" s="636">
        <f t="shared" si="253"/>
        <v>1</v>
      </c>
      <c r="U836" s="638"/>
      <c r="V836" s="638"/>
      <c r="W836" s="639"/>
      <c r="X836" s="640" t="str">
        <f>IFERROR(VLOOKUP(W836,Listas!$A$60:$B$73,2,FALSE),"Alerta: Seleccione primero Modalidad de selección")</f>
        <v>Alerta: Seleccione primero Modalidad de selección</v>
      </c>
      <c r="Y836" s="641">
        <v>0</v>
      </c>
      <c r="Z836" s="641"/>
      <c r="AA836" s="641"/>
      <c r="AB836" s="642">
        <f t="shared" si="254"/>
        <v>0</v>
      </c>
      <c r="AC836" s="642">
        <f t="shared" si="255"/>
        <v>0</v>
      </c>
      <c r="AD836" s="641">
        <v>0</v>
      </c>
      <c r="AE836" s="643">
        <v>0</v>
      </c>
      <c r="AF836" s="639" t="s">
        <v>276</v>
      </c>
      <c r="AG836" s="639" t="s">
        <v>277</v>
      </c>
      <c r="AH836" s="639"/>
      <c r="AI836" s="626" t="str">
        <f>IFERROR(VLOOKUP(AH836,Listas!$A$77:$C$83,2,FALSE),"Alerta: Seleccione primero el responsable")</f>
        <v>Alerta: Seleccione primero el responsable</v>
      </c>
      <c r="AJ836" s="640" t="str">
        <f>IFERROR(VLOOKUP(AH836,Listas!$A$77:$C$83,3,FALSE),"Alerta: Seleccione primero el responsable")</f>
        <v>Alerta: Seleccione primero el responsable</v>
      </c>
      <c r="AK836" s="640" t="str">
        <f>IF(J836="Funcionamiento Gastos Generales","No aplica",IF(J836="Funcionamiento Servicios Personales indirectos","No aplica",IFERROR(VLOOKUP(J836,Listas!$A$127:$E$139,3,FALSE),"Alerta: Seleccione la celda en la comumna B con el nombre del proyecto")))</f>
        <v>Alerta: Seleccione la celda en la comumna B con el nombre del proyecto</v>
      </c>
      <c r="AL836" s="640" t="str">
        <f>IF(J836="Funcionamiento Gastos Generales","No aplica",IF(J836="Funcionamiento Servicios Personales","No aplica",IFERROR(VLOOKUP(J836,Listas!$A$220:$D$224,2,FALSE),"Alerta: Seleccione la celda en la comumna B con el nombre del proyecto")))</f>
        <v>Alerta: Seleccione la celda en la comumna B con el nombre del proyecto</v>
      </c>
      <c r="AM836" s="640" t="str">
        <f>IF(J836="Funcionamiento Gastos Generales","No aplica",IF(J836="Funcionamiento Servicios Personales","No aplica",IFERROR(VLOOKUP(J836,Listas!$A$220:$D$224,3,FALSE),"Alerta: Seleccione la celda en la comumna B con el nombre del proyecto")))</f>
        <v>Alerta: Seleccione la celda en la comumna B con el nombre del proyecto</v>
      </c>
      <c r="AN836" s="633"/>
      <c r="AO836" s="633"/>
      <c r="AP836" s="634" t="str">
        <f>IFERROR(VLOOKUP(J836,Listas!$A$182:$E$215,5,FALSE),"Alerta: Seleccione la celda en la comumna B con el nombre del proyecto")</f>
        <v>Alerta: Seleccione la celda en la comumna B con el nombre del proyecto</v>
      </c>
      <c r="AQ836" s="634" t="str">
        <f>IF(J836="Funcionamiento Gastos Generales","No aplica",IF(J836="Funcionamiento Servicios Personales","No aplica",IFERROR(VLOOKUP(J836,Listas!$A$220:$D$224,4,FALSE),"Alerta: Seleccione la celda en la comumna B con el nombre del proyecto")))</f>
        <v>Alerta: Seleccione la celda en la comumna B con el nombre del proyecto</v>
      </c>
      <c r="AR836" s="633"/>
      <c r="AS836" s="634" t="str">
        <f>IFERROR(VLOOKUP(AU836,Listas!$E$85:$L$105,7,FALSE),"Alerta: Seleccione la celda en la comumna AI con el concepto de gasto")</f>
        <v>Alerta: Seleccione la celda en la comumna AI con el concepto de gasto</v>
      </c>
      <c r="AT836" s="634" t="str">
        <f>IFERROR(VLOOKUP(AU836,Listas!$E$85:$L$105,8,FALSE),"Alerta: Seleccione la celda en la comumna AI con el concepto de gasto")</f>
        <v>Alerta: Seleccione la celda en la comumna AI con el concepto de gasto</v>
      </c>
      <c r="AU836" s="633"/>
      <c r="AV836" s="634" t="str">
        <f>IFERROR(VLOOKUP(AU836,Listas!$E$85:$F$105,2,FALSE),"Alerta: Seleccione el Concepto de Gasto primero")</f>
        <v>Alerta: Seleccione el Concepto de Gasto primero</v>
      </c>
      <c r="AW836" s="644"/>
      <c r="AX836" s="645"/>
      <c r="AY836" s="645"/>
      <c r="AZ836" s="645"/>
      <c r="BA836" s="646">
        <f t="shared" si="256"/>
        <v>0</v>
      </c>
      <c r="BB836" s="647"/>
      <c r="BC836" s="648"/>
      <c r="BD836" s="649"/>
      <c r="BE836" s="647"/>
      <c r="BF836" s="644"/>
      <c r="BG836" s="646">
        <f t="shared" si="257"/>
        <v>0</v>
      </c>
      <c r="BH836" s="650"/>
      <c r="BI836" s="647"/>
      <c r="BJ836" s="644"/>
      <c r="BK836" s="646">
        <f t="shared" si="258"/>
        <v>0</v>
      </c>
      <c r="BL836" s="651"/>
      <c r="BM836" s="652">
        <f t="shared" si="259"/>
        <v>1</v>
      </c>
      <c r="BN836" s="628"/>
      <c r="BO836" s="670"/>
      <c r="BP836" s="644"/>
      <c r="BQ836" s="644"/>
      <c r="BR836" s="644"/>
      <c r="BS836" s="644"/>
      <c r="BT836" s="644"/>
      <c r="BU836" s="644"/>
      <c r="BV836" s="644"/>
      <c r="BW836" s="644"/>
      <c r="BX836" s="644"/>
      <c r="BY836" s="644"/>
      <c r="BZ836" s="644"/>
      <c r="CA836" s="644"/>
      <c r="CB836" s="646">
        <f t="shared" si="260"/>
        <v>0</v>
      </c>
      <c r="CC836" s="646">
        <f t="shared" si="261"/>
        <v>0</v>
      </c>
      <c r="CD836" s="614"/>
    </row>
    <row r="837" spans="1:82" s="561" customFormat="1" ht="61.5" customHeight="1">
      <c r="A837" s="625" t="str">
        <f t="shared" si="243"/>
        <v>proyecto-Alerta: Seleccione la celda en la comumna B con el nombre del proyecto-Al-Al--</v>
      </c>
      <c r="B837" s="626" t="str">
        <f t="shared" si="244"/>
        <v>proyecto-Alerta: Seleccione la celda en la comumna B con el nombre del proyecto-Al-Al-</v>
      </c>
      <c r="C837" s="626" t="str">
        <f t="shared" si="245"/>
        <v>proyecto-Alerta: Seleccione la celda en la comumna B con el nombre del proyecto-</v>
      </c>
      <c r="D837" s="626" t="str">
        <f t="shared" si="246"/>
        <v>proyecto--Al-Al-</v>
      </c>
      <c r="E837" s="626" t="str">
        <f t="shared" si="247"/>
        <v>--</v>
      </c>
      <c r="F837" s="627"/>
      <c r="G837" s="628">
        <f t="shared" si="248"/>
        <v>0</v>
      </c>
      <c r="H837" s="629" t="b">
        <f t="shared" si="249"/>
        <v>1</v>
      </c>
      <c r="I837" s="630"/>
      <c r="J837" s="627"/>
      <c r="K837" s="631" t="str">
        <f>+IFERROR(VLOOKUP(J837,Listas!$A$108:$B$114,2,FALSE),"Alerta: Seleccione la celda en la comumna B con el nombre del proyecto")</f>
        <v>Alerta: Seleccione la celda en la comumna B con el nombre del proyecto</v>
      </c>
      <c r="L837" s="632"/>
      <c r="M837" s="633"/>
      <c r="N837" s="634" t="str">
        <f t="shared" si="250"/>
        <v xml:space="preserve">(Cód. ) </v>
      </c>
      <c r="O837" s="635"/>
      <c r="P837" s="636">
        <f>IFERROR(VLOOKUP(W837,'Estimación CRP'!$D$21:$E$30,2,FALSE),0)</f>
        <v>0</v>
      </c>
      <c r="Q837" s="637">
        <f>IF(O837="No aplica","No aplica",WORKDAY.INTL(O837,P837,1,'Estimación CRP'!A1023:A1039))</f>
        <v>0</v>
      </c>
      <c r="R837" s="636">
        <f t="shared" si="251"/>
        <v>1</v>
      </c>
      <c r="S837" s="636">
        <f t="shared" si="252"/>
        <v>1</v>
      </c>
      <c r="T837" s="636">
        <f t="shared" si="253"/>
        <v>1</v>
      </c>
      <c r="U837" s="638"/>
      <c r="V837" s="638"/>
      <c r="W837" s="639"/>
      <c r="X837" s="640" t="str">
        <f>IFERROR(VLOOKUP(W837,Listas!$A$60:$B$73,2,FALSE),"Alerta: Seleccione primero Modalidad de selección")</f>
        <v>Alerta: Seleccione primero Modalidad de selección</v>
      </c>
      <c r="Y837" s="641">
        <v>0</v>
      </c>
      <c r="Z837" s="641"/>
      <c r="AA837" s="641"/>
      <c r="AB837" s="642">
        <f t="shared" si="254"/>
        <v>0</v>
      </c>
      <c r="AC837" s="642">
        <f t="shared" si="255"/>
        <v>0</v>
      </c>
      <c r="AD837" s="641">
        <v>0</v>
      </c>
      <c r="AE837" s="643">
        <v>0</v>
      </c>
      <c r="AF837" s="639" t="s">
        <v>276</v>
      </c>
      <c r="AG837" s="639" t="s">
        <v>277</v>
      </c>
      <c r="AH837" s="639"/>
      <c r="AI837" s="626" t="str">
        <f>IFERROR(VLOOKUP(AH837,Listas!$A$77:$C$83,2,FALSE),"Alerta: Seleccione primero el responsable")</f>
        <v>Alerta: Seleccione primero el responsable</v>
      </c>
      <c r="AJ837" s="640" t="str">
        <f>IFERROR(VLOOKUP(AH837,Listas!$A$77:$C$83,3,FALSE),"Alerta: Seleccione primero el responsable")</f>
        <v>Alerta: Seleccione primero el responsable</v>
      </c>
      <c r="AK837" s="640" t="str">
        <f>IF(J837="Funcionamiento Gastos Generales","No aplica",IF(J837="Funcionamiento Servicios Personales indirectos","No aplica",IFERROR(VLOOKUP(J837,Listas!$A$127:$E$139,3,FALSE),"Alerta: Seleccione la celda en la comumna B con el nombre del proyecto")))</f>
        <v>Alerta: Seleccione la celda en la comumna B con el nombre del proyecto</v>
      </c>
      <c r="AL837" s="640" t="str">
        <f>IF(J837="Funcionamiento Gastos Generales","No aplica",IF(J837="Funcionamiento Servicios Personales","No aplica",IFERROR(VLOOKUP(J837,Listas!$A$220:$D$224,2,FALSE),"Alerta: Seleccione la celda en la comumna B con el nombre del proyecto")))</f>
        <v>Alerta: Seleccione la celda en la comumna B con el nombre del proyecto</v>
      </c>
      <c r="AM837" s="640" t="str">
        <f>IF(J837="Funcionamiento Gastos Generales","No aplica",IF(J837="Funcionamiento Servicios Personales","No aplica",IFERROR(VLOOKUP(J837,Listas!$A$220:$D$224,3,FALSE),"Alerta: Seleccione la celda en la comumna B con el nombre del proyecto")))</f>
        <v>Alerta: Seleccione la celda en la comumna B con el nombre del proyecto</v>
      </c>
      <c r="AN837" s="633"/>
      <c r="AO837" s="633"/>
      <c r="AP837" s="634" t="str">
        <f>IFERROR(VLOOKUP(J837,Listas!$A$182:$E$215,5,FALSE),"Alerta: Seleccione la celda en la comumna B con el nombre del proyecto")</f>
        <v>Alerta: Seleccione la celda en la comumna B con el nombre del proyecto</v>
      </c>
      <c r="AQ837" s="634" t="str">
        <f>IF(J837="Funcionamiento Gastos Generales","No aplica",IF(J837="Funcionamiento Servicios Personales","No aplica",IFERROR(VLOOKUP(J837,Listas!$A$220:$D$224,4,FALSE),"Alerta: Seleccione la celda en la comumna B con el nombre del proyecto")))</f>
        <v>Alerta: Seleccione la celda en la comumna B con el nombre del proyecto</v>
      </c>
      <c r="AR837" s="633"/>
      <c r="AS837" s="634" t="str">
        <f>IFERROR(VLOOKUP(AU837,Listas!$E$85:$L$105,7,FALSE),"Alerta: Seleccione la celda en la comumna AI con el concepto de gasto")</f>
        <v>Alerta: Seleccione la celda en la comumna AI con el concepto de gasto</v>
      </c>
      <c r="AT837" s="634" t="str">
        <f>IFERROR(VLOOKUP(AU837,Listas!$E$85:$L$105,8,FALSE),"Alerta: Seleccione la celda en la comumna AI con el concepto de gasto")</f>
        <v>Alerta: Seleccione la celda en la comumna AI con el concepto de gasto</v>
      </c>
      <c r="AU837" s="633"/>
      <c r="AV837" s="634" t="str">
        <f>IFERROR(VLOOKUP(AU837,Listas!$E$85:$F$105,2,FALSE),"Alerta: Seleccione el Concepto de Gasto primero")</f>
        <v>Alerta: Seleccione el Concepto de Gasto primero</v>
      </c>
      <c r="AW837" s="644"/>
      <c r="AX837" s="645"/>
      <c r="AY837" s="645"/>
      <c r="AZ837" s="645"/>
      <c r="BA837" s="646">
        <f t="shared" si="256"/>
        <v>0</v>
      </c>
      <c r="BB837" s="647"/>
      <c r="BC837" s="648"/>
      <c r="BD837" s="649"/>
      <c r="BE837" s="647"/>
      <c r="BF837" s="644"/>
      <c r="BG837" s="646">
        <f t="shared" si="257"/>
        <v>0</v>
      </c>
      <c r="BH837" s="650"/>
      <c r="BI837" s="647"/>
      <c r="BJ837" s="644"/>
      <c r="BK837" s="646">
        <f t="shared" si="258"/>
        <v>0</v>
      </c>
      <c r="BL837" s="651"/>
      <c r="BM837" s="652">
        <f t="shared" si="259"/>
        <v>1</v>
      </c>
      <c r="BN837" s="628"/>
      <c r="BO837" s="670"/>
      <c r="BP837" s="644"/>
      <c r="BQ837" s="644"/>
      <c r="BR837" s="644"/>
      <c r="BS837" s="644"/>
      <c r="BT837" s="644"/>
      <c r="BU837" s="644"/>
      <c r="BV837" s="644"/>
      <c r="BW837" s="644"/>
      <c r="BX837" s="644"/>
      <c r="BY837" s="644"/>
      <c r="BZ837" s="644"/>
      <c r="CA837" s="644"/>
      <c r="CB837" s="646">
        <f t="shared" si="260"/>
        <v>0</v>
      </c>
      <c r="CC837" s="646">
        <f t="shared" si="261"/>
        <v>0</v>
      </c>
      <c r="CD837" s="614"/>
    </row>
    <row r="838" spans="1:82" s="561" customFormat="1" ht="61.5" customHeight="1">
      <c r="A838" s="625" t="str">
        <f t="shared" si="243"/>
        <v>proyecto-Alerta: Seleccione la celda en la comumna B con el nombre del proyecto-Al-Al--</v>
      </c>
      <c r="B838" s="626" t="str">
        <f t="shared" si="244"/>
        <v>proyecto-Alerta: Seleccione la celda en la comumna B con el nombre del proyecto-Al-Al-</v>
      </c>
      <c r="C838" s="626" t="str">
        <f t="shared" si="245"/>
        <v>proyecto-Alerta: Seleccione la celda en la comumna B con el nombre del proyecto-</v>
      </c>
      <c r="D838" s="626" t="str">
        <f t="shared" si="246"/>
        <v>proyecto--Al-Al-</v>
      </c>
      <c r="E838" s="626" t="str">
        <f t="shared" si="247"/>
        <v>--</v>
      </c>
      <c r="F838" s="627"/>
      <c r="G838" s="628">
        <f t="shared" si="248"/>
        <v>0</v>
      </c>
      <c r="H838" s="629" t="b">
        <f t="shared" si="249"/>
        <v>1</v>
      </c>
      <c r="I838" s="630"/>
      <c r="J838" s="627"/>
      <c r="K838" s="631" t="str">
        <f>+IFERROR(VLOOKUP(J838,Listas!$A$108:$B$114,2,FALSE),"Alerta: Seleccione la celda en la comumna B con el nombre del proyecto")</f>
        <v>Alerta: Seleccione la celda en la comumna B con el nombre del proyecto</v>
      </c>
      <c r="L838" s="632"/>
      <c r="M838" s="633"/>
      <c r="N838" s="634" t="str">
        <f t="shared" si="250"/>
        <v xml:space="preserve">(Cód. ) </v>
      </c>
      <c r="O838" s="635"/>
      <c r="P838" s="636">
        <f>IFERROR(VLOOKUP(W838,'Estimación CRP'!$D$21:$E$30,2,FALSE),0)</f>
        <v>0</v>
      </c>
      <c r="Q838" s="637">
        <f>IF(O838="No aplica","No aplica",WORKDAY.INTL(O838,P838,1,'Estimación CRP'!A1024:A1040))</f>
        <v>0</v>
      </c>
      <c r="R838" s="636">
        <f t="shared" si="251"/>
        <v>1</v>
      </c>
      <c r="S838" s="636">
        <f t="shared" si="252"/>
        <v>1</v>
      </c>
      <c r="T838" s="636">
        <f t="shared" si="253"/>
        <v>1</v>
      </c>
      <c r="U838" s="638"/>
      <c r="V838" s="638"/>
      <c r="W838" s="639"/>
      <c r="X838" s="640" t="str">
        <f>IFERROR(VLOOKUP(W838,Listas!$A$60:$B$73,2,FALSE),"Alerta: Seleccione primero Modalidad de selección")</f>
        <v>Alerta: Seleccione primero Modalidad de selección</v>
      </c>
      <c r="Y838" s="641">
        <v>0</v>
      </c>
      <c r="Z838" s="641"/>
      <c r="AA838" s="641"/>
      <c r="AB838" s="642">
        <f t="shared" si="254"/>
        <v>0</v>
      </c>
      <c r="AC838" s="642">
        <f t="shared" si="255"/>
        <v>0</v>
      </c>
      <c r="AD838" s="641">
        <v>0</v>
      </c>
      <c r="AE838" s="643">
        <v>0</v>
      </c>
      <c r="AF838" s="639" t="s">
        <v>276</v>
      </c>
      <c r="AG838" s="639" t="s">
        <v>277</v>
      </c>
      <c r="AH838" s="639"/>
      <c r="AI838" s="626" t="str">
        <f>IFERROR(VLOOKUP(AH838,Listas!$A$77:$C$83,2,FALSE),"Alerta: Seleccione primero el responsable")</f>
        <v>Alerta: Seleccione primero el responsable</v>
      </c>
      <c r="AJ838" s="640" t="str">
        <f>IFERROR(VLOOKUP(AH838,Listas!$A$77:$C$83,3,FALSE),"Alerta: Seleccione primero el responsable")</f>
        <v>Alerta: Seleccione primero el responsable</v>
      </c>
      <c r="AK838" s="640" t="str">
        <f>IF(J838="Funcionamiento Gastos Generales","No aplica",IF(J838="Funcionamiento Servicios Personales indirectos","No aplica",IFERROR(VLOOKUP(J838,Listas!$A$127:$E$139,3,FALSE),"Alerta: Seleccione la celda en la comumna B con el nombre del proyecto")))</f>
        <v>Alerta: Seleccione la celda en la comumna B con el nombre del proyecto</v>
      </c>
      <c r="AL838" s="640" t="str">
        <f>IF(J838="Funcionamiento Gastos Generales","No aplica",IF(J838="Funcionamiento Servicios Personales","No aplica",IFERROR(VLOOKUP(J838,Listas!$A$220:$D$224,2,FALSE),"Alerta: Seleccione la celda en la comumna B con el nombre del proyecto")))</f>
        <v>Alerta: Seleccione la celda en la comumna B con el nombre del proyecto</v>
      </c>
      <c r="AM838" s="640" t="str">
        <f>IF(J838="Funcionamiento Gastos Generales","No aplica",IF(J838="Funcionamiento Servicios Personales","No aplica",IFERROR(VLOOKUP(J838,Listas!$A$220:$D$224,3,FALSE),"Alerta: Seleccione la celda en la comumna B con el nombre del proyecto")))</f>
        <v>Alerta: Seleccione la celda en la comumna B con el nombre del proyecto</v>
      </c>
      <c r="AN838" s="633"/>
      <c r="AO838" s="633"/>
      <c r="AP838" s="634" t="str">
        <f>IFERROR(VLOOKUP(J838,Listas!$A$182:$E$215,5,FALSE),"Alerta: Seleccione la celda en la comumna B con el nombre del proyecto")</f>
        <v>Alerta: Seleccione la celda en la comumna B con el nombre del proyecto</v>
      </c>
      <c r="AQ838" s="634" t="str">
        <f>IF(J838="Funcionamiento Gastos Generales","No aplica",IF(J838="Funcionamiento Servicios Personales","No aplica",IFERROR(VLOOKUP(J838,Listas!$A$220:$D$224,4,FALSE),"Alerta: Seleccione la celda en la comumna B con el nombre del proyecto")))</f>
        <v>Alerta: Seleccione la celda en la comumna B con el nombre del proyecto</v>
      </c>
      <c r="AR838" s="633"/>
      <c r="AS838" s="634" t="str">
        <f>IFERROR(VLOOKUP(AU838,Listas!$E$85:$L$105,7,FALSE),"Alerta: Seleccione la celda en la comumna AI con el concepto de gasto")</f>
        <v>Alerta: Seleccione la celda en la comumna AI con el concepto de gasto</v>
      </c>
      <c r="AT838" s="634" t="str">
        <f>IFERROR(VLOOKUP(AU838,Listas!$E$85:$L$105,8,FALSE),"Alerta: Seleccione la celda en la comumna AI con el concepto de gasto")</f>
        <v>Alerta: Seleccione la celda en la comumna AI con el concepto de gasto</v>
      </c>
      <c r="AU838" s="633"/>
      <c r="AV838" s="634" t="str">
        <f>IFERROR(VLOOKUP(AU838,Listas!$E$85:$F$105,2,FALSE),"Alerta: Seleccione el Concepto de Gasto primero")</f>
        <v>Alerta: Seleccione el Concepto de Gasto primero</v>
      </c>
      <c r="AW838" s="644"/>
      <c r="AX838" s="645"/>
      <c r="AY838" s="645"/>
      <c r="AZ838" s="645"/>
      <c r="BA838" s="646">
        <f t="shared" si="256"/>
        <v>0</v>
      </c>
      <c r="BB838" s="647"/>
      <c r="BC838" s="648"/>
      <c r="BD838" s="649"/>
      <c r="BE838" s="647"/>
      <c r="BF838" s="644"/>
      <c r="BG838" s="646">
        <f t="shared" si="257"/>
        <v>0</v>
      </c>
      <c r="BH838" s="650"/>
      <c r="BI838" s="647"/>
      <c r="BJ838" s="644"/>
      <c r="BK838" s="646">
        <f t="shared" si="258"/>
        <v>0</v>
      </c>
      <c r="BL838" s="651"/>
      <c r="BM838" s="652">
        <f t="shared" si="259"/>
        <v>1</v>
      </c>
      <c r="BN838" s="628"/>
      <c r="BO838" s="670"/>
      <c r="BP838" s="644"/>
      <c r="BQ838" s="644"/>
      <c r="BR838" s="644"/>
      <c r="BS838" s="644"/>
      <c r="BT838" s="644"/>
      <c r="BU838" s="644"/>
      <c r="BV838" s="644"/>
      <c r="BW838" s="644"/>
      <c r="BX838" s="644"/>
      <c r="BY838" s="644"/>
      <c r="BZ838" s="644"/>
      <c r="CA838" s="644"/>
      <c r="CB838" s="646">
        <f t="shared" si="260"/>
        <v>0</v>
      </c>
      <c r="CC838" s="646">
        <f t="shared" si="261"/>
        <v>0</v>
      </c>
      <c r="CD838" s="614"/>
    </row>
    <row r="839" spans="1:82" s="561" customFormat="1" ht="61.5" customHeight="1">
      <c r="A839" s="625" t="str">
        <f t="shared" si="243"/>
        <v>proyecto-Alerta: Seleccione la celda en la comumna B con el nombre del proyecto-Al-Al--</v>
      </c>
      <c r="B839" s="626" t="str">
        <f t="shared" si="244"/>
        <v>proyecto-Alerta: Seleccione la celda en la comumna B con el nombre del proyecto-Al-Al-</v>
      </c>
      <c r="C839" s="626" t="str">
        <f t="shared" si="245"/>
        <v>proyecto-Alerta: Seleccione la celda en la comumna B con el nombre del proyecto-</v>
      </c>
      <c r="D839" s="626" t="str">
        <f t="shared" si="246"/>
        <v>proyecto--Al-Al-</v>
      </c>
      <c r="E839" s="626" t="str">
        <f t="shared" si="247"/>
        <v>--</v>
      </c>
      <c r="F839" s="627"/>
      <c r="G839" s="628">
        <f t="shared" si="248"/>
        <v>0</v>
      </c>
      <c r="H839" s="629" t="b">
        <f t="shared" si="249"/>
        <v>1</v>
      </c>
      <c r="I839" s="630"/>
      <c r="J839" s="627"/>
      <c r="K839" s="631" t="str">
        <f>+IFERROR(VLOOKUP(J839,Listas!$A$108:$B$114,2,FALSE),"Alerta: Seleccione la celda en la comumna B con el nombre del proyecto")</f>
        <v>Alerta: Seleccione la celda en la comumna B con el nombre del proyecto</v>
      </c>
      <c r="L839" s="632"/>
      <c r="M839" s="633"/>
      <c r="N839" s="634" t="str">
        <f t="shared" si="250"/>
        <v xml:space="preserve">(Cód. ) </v>
      </c>
      <c r="O839" s="635"/>
      <c r="P839" s="636">
        <f>IFERROR(VLOOKUP(W839,'Estimación CRP'!$D$21:$E$30,2,FALSE),0)</f>
        <v>0</v>
      </c>
      <c r="Q839" s="637">
        <f>IF(O839="No aplica","No aplica",WORKDAY.INTL(O839,P839,1,'Estimación CRP'!A1025:A1041))</f>
        <v>0</v>
      </c>
      <c r="R839" s="636">
        <f t="shared" si="251"/>
        <v>1</v>
      </c>
      <c r="S839" s="636">
        <f t="shared" si="252"/>
        <v>1</v>
      </c>
      <c r="T839" s="636">
        <f t="shared" si="253"/>
        <v>1</v>
      </c>
      <c r="U839" s="638"/>
      <c r="V839" s="638"/>
      <c r="W839" s="639"/>
      <c r="X839" s="640" t="str">
        <f>IFERROR(VLOOKUP(W839,Listas!$A$60:$B$73,2,FALSE),"Alerta: Seleccione primero Modalidad de selección")</f>
        <v>Alerta: Seleccione primero Modalidad de selección</v>
      </c>
      <c r="Y839" s="641">
        <v>0</v>
      </c>
      <c r="Z839" s="641"/>
      <c r="AA839" s="641"/>
      <c r="AB839" s="642">
        <f t="shared" si="254"/>
        <v>0</v>
      </c>
      <c r="AC839" s="642">
        <f t="shared" si="255"/>
        <v>0</v>
      </c>
      <c r="AD839" s="641">
        <v>0</v>
      </c>
      <c r="AE839" s="643">
        <v>0</v>
      </c>
      <c r="AF839" s="639" t="s">
        <v>276</v>
      </c>
      <c r="AG839" s="639" t="s">
        <v>277</v>
      </c>
      <c r="AH839" s="639"/>
      <c r="AI839" s="626" t="str">
        <f>IFERROR(VLOOKUP(AH839,Listas!$A$77:$C$83,2,FALSE),"Alerta: Seleccione primero el responsable")</f>
        <v>Alerta: Seleccione primero el responsable</v>
      </c>
      <c r="AJ839" s="640" t="str">
        <f>IFERROR(VLOOKUP(AH839,Listas!$A$77:$C$83,3,FALSE),"Alerta: Seleccione primero el responsable")</f>
        <v>Alerta: Seleccione primero el responsable</v>
      </c>
      <c r="AK839" s="640" t="str">
        <f>IF(J839="Funcionamiento Gastos Generales","No aplica",IF(J839="Funcionamiento Servicios Personales indirectos","No aplica",IFERROR(VLOOKUP(J839,Listas!$A$127:$E$139,3,FALSE),"Alerta: Seleccione la celda en la comumna B con el nombre del proyecto")))</f>
        <v>Alerta: Seleccione la celda en la comumna B con el nombre del proyecto</v>
      </c>
      <c r="AL839" s="640" t="str">
        <f>IF(J839="Funcionamiento Gastos Generales","No aplica",IF(J839="Funcionamiento Servicios Personales","No aplica",IFERROR(VLOOKUP(J839,Listas!$A$220:$D$224,2,FALSE),"Alerta: Seleccione la celda en la comumna B con el nombre del proyecto")))</f>
        <v>Alerta: Seleccione la celda en la comumna B con el nombre del proyecto</v>
      </c>
      <c r="AM839" s="640" t="str">
        <f>IF(J839="Funcionamiento Gastos Generales","No aplica",IF(J839="Funcionamiento Servicios Personales","No aplica",IFERROR(VLOOKUP(J839,Listas!$A$220:$D$224,3,FALSE),"Alerta: Seleccione la celda en la comumna B con el nombre del proyecto")))</f>
        <v>Alerta: Seleccione la celda en la comumna B con el nombre del proyecto</v>
      </c>
      <c r="AN839" s="633"/>
      <c r="AO839" s="633"/>
      <c r="AP839" s="634" t="str">
        <f>IFERROR(VLOOKUP(J839,Listas!$A$182:$E$215,5,FALSE),"Alerta: Seleccione la celda en la comumna B con el nombre del proyecto")</f>
        <v>Alerta: Seleccione la celda en la comumna B con el nombre del proyecto</v>
      </c>
      <c r="AQ839" s="634" t="str">
        <f>IF(J839="Funcionamiento Gastos Generales","No aplica",IF(J839="Funcionamiento Servicios Personales","No aplica",IFERROR(VLOOKUP(J839,Listas!$A$220:$D$224,4,FALSE),"Alerta: Seleccione la celda en la comumna B con el nombre del proyecto")))</f>
        <v>Alerta: Seleccione la celda en la comumna B con el nombre del proyecto</v>
      </c>
      <c r="AR839" s="633"/>
      <c r="AS839" s="634" t="str">
        <f>IFERROR(VLOOKUP(AU839,Listas!$E$85:$L$105,7,FALSE),"Alerta: Seleccione la celda en la comumna AI con el concepto de gasto")</f>
        <v>Alerta: Seleccione la celda en la comumna AI con el concepto de gasto</v>
      </c>
      <c r="AT839" s="634" t="str">
        <f>IFERROR(VLOOKUP(AU839,Listas!$E$85:$L$105,8,FALSE),"Alerta: Seleccione la celda en la comumna AI con el concepto de gasto")</f>
        <v>Alerta: Seleccione la celda en la comumna AI con el concepto de gasto</v>
      </c>
      <c r="AU839" s="633"/>
      <c r="AV839" s="634" t="str">
        <f>IFERROR(VLOOKUP(AU839,Listas!$E$85:$F$105,2,FALSE),"Alerta: Seleccione el Concepto de Gasto primero")</f>
        <v>Alerta: Seleccione el Concepto de Gasto primero</v>
      </c>
      <c r="AW839" s="644"/>
      <c r="AX839" s="645"/>
      <c r="AY839" s="645"/>
      <c r="AZ839" s="645"/>
      <c r="BA839" s="646">
        <f t="shared" si="256"/>
        <v>0</v>
      </c>
      <c r="BB839" s="647"/>
      <c r="BC839" s="648"/>
      <c r="BD839" s="649"/>
      <c r="BE839" s="647"/>
      <c r="BF839" s="644"/>
      <c r="BG839" s="646">
        <f t="shared" si="257"/>
        <v>0</v>
      </c>
      <c r="BH839" s="650"/>
      <c r="BI839" s="647"/>
      <c r="BJ839" s="644"/>
      <c r="BK839" s="646">
        <f t="shared" si="258"/>
        <v>0</v>
      </c>
      <c r="BL839" s="651"/>
      <c r="BM839" s="652">
        <f t="shared" si="259"/>
        <v>1</v>
      </c>
      <c r="BN839" s="628"/>
      <c r="BO839" s="670"/>
      <c r="BP839" s="644"/>
      <c r="BQ839" s="644"/>
      <c r="BR839" s="644"/>
      <c r="BS839" s="644"/>
      <c r="BT839" s="644"/>
      <c r="BU839" s="644"/>
      <c r="BV839" s="644"/>
      <c r="BW839" s="644"/>
      <c r="BX839" s="644"/>
      <c r="BY839" s="644"/>
      <c r="BZ839" s="644"/>
      <c r="CA839" s="644"/>
      <c r="CB839" s="646">
        <f t="shared" si="260"/>
        <v>0</v>
      </c>
      <c r="CC839" s="646">
        <f t="shared" si="261"/>
        <v>0</v>
      </c>
      <c r="CD839" s="614"/>
    </row>
    <row r="840" spans="1:82" s="561" customFormat="1" ht="61.5" customHeight="1">
      <c r="A840" s="625" t="str">
        <f t="shared" si="243"/>
        <v>proyecto-Alerta: Seleccione la celda en la comumna B con el nombre del proyecto-Al-Al--</v>
      </c>
      <c r="B840" s="626" t="str">
        <f t="shared" si="244"/>
        <v>proyecto-Alerta: Seleccione la celda en la comumna B con el nombre del proyecto-Al-Al-</v>
      </c>
      <c r="C840" s="626" t="str">
        <f t="shared" si="245"/>
        <v>proyecto-Alerta: Seleccione la celda en la comumna B con el nombre del proyecto-</v>
      </c>
      <c r="D840" s="626" t="str">
        <f t="shared" si="246"/>
        <v>proyecto--Al-Al-</v>
      </c>
      <c r="E840" s="626" t="str">
        <f t="shared" si="247"/>
        <v>--</v>
      </c>
      <c r="F840" s="627"/>
      <c r="G840" s="628">
        <f t="shared" si="248"/>
        <v>0</v>
      </c>
      <c r="H840" s="629" t="b">
        <f t="shared" si="249"/>
        <v>1</v>
      </c>
      <c r="I840" s="630"/>
      <c r="J840" s="627"/>
      <c r="K840" s="631" t="str">
        <f>+IFERROR(VLOOKUP(J840,Listas!$A$108:$B$114,2,FALSE),"Alerta: Seleccione la celda en la comumna B con el nombre del proyecto")</f>
        <v>Alerta: Seleccione la celda en la comumna B con el nombre del proyecto</v>
      </c>
      <c r="L840" s="632"/>
      <c r="M840" s="633"/>
      <c r="N840" s="634" t="str">
        <f t="shared" si="250"/>
        <v xml:space="preserve">(Cód. ) </v>
      </c>
      <c r="O840" s="635"/>
      <c r="P840" s="636">
        <f>IFERROR(VLOOKUP(W840,'Estimación CRP'!$D$21:$E$30,2,FALSE),0)</f>
        <v>0</v>
      </c>
      <c r="Q840" s="637">
        <f>IF(O840="No aplica","No aplica",WORKDAY.INTL(O840,P840,1,'Estimación CRP'!A1026:A1042))</f>
        <v>0</v>
      </c>
      <c r="R840" s="636">
        <f t="shared" si="251"/>
        <v>1</v>
      </c>
      <c r="S840" s="636">
        <f t="shared" si="252"/>
        <v>1</v>
      </c>
      <c r="T840" s="636">
        <f t="shared" si="253"/>
        <v>1</v>
      </c>
      <c r="U840" s="638"/>
      <c r="V840" s="638"/>
      <c r="W840" s="639"/>
      <c r="X840" s="640" t="str">
        <f>IFERROR(VLOOKUP(W840,Listas!$A$60:$B$73,2,FALSE),"Alerta: Seleccione primero Modalidad de selección")</f>
        <v>Alerta: Seleccione primero Modalidad de selección</v>
      </c>
      <c r="Y840" s="641">
        <v>0</v>
      </c>
      <c r="Z840" s="641"/>
      <c r="AA840" s="641"/>
      <c r="AB840" s="642">
        <f t="shared" si="254"/>
        <v>0</v>
      </c>
      <c r="AC840" s="642">
        <f t="shared" si="255"/>
        <v>0</v>
      </c>
      <c r="AD840" s="641">
        <v>0</v>
      </c>
      <c r="AE840" s="643">
        <v>0</v>
      </c>
      <c r="AF840" s="639" t="s">
        <v>276</v>
      </c>
      <c r="AG840" s="639" t="s">
        <v>277</v>
      </c>
      <c r="AH840" s="639"/>
      <c r="AI840" s="626" t="str">
        <f>IFERROR(VLOOKUP(AH840,Listas!$A$77:$C$83,2,FALSE),"Alerta: Seleccione primero el responsable")</f>
        <v>Alerta: Seleccione primero el responsable</v>
      </c>
      <c r="AJ840" s="640" t="str">
        <f>IFERROR(VLOOKUP(AH840,Listas!$A$77:$C$83,3,FALSE),"Alerta: Seleccione primero el responsable")</f>
        <v>Alerta: Seleccione primero el responsable</v>
      </c>
      <c r="AK840" s="640" t="str">
        <f>IF(J840="Funcionamiento Gastos Generales","No aplica",IF(J840="Funcionamiento Servicios Personales indirectos","No aplica",IFERROR(VLOOKUP(J840,Listas!$A$127:$E$139,3,FALSE),"Alerta: Seleccione la celda en la comumna B con el nombre del proyecto")))</f>
        <v>Alerta: Seleccione la celda en la comumna B con el nombre del proyecto</v>
      </c>
      <c r="AL840" s="640" t="str">
        <f>IF(J840="Funcionamiento Gastos Generales","No aplica",IF(J840="Funcionamiento Servicios Personales","No aplica",IFERROR(VLOOKUP(J840,Listas!$A$220:$D$224,2,FALSE),"Alerta: Seleccione la celda en la comumna B con el nombre del proyecto")))</f>
        <v>Alerta: Seleccione la celda en la comumna B con el nombre del proyecto</v>
      </c>
      <c r="AM840" s="640" t="str">
        <f>IF(J840="Funcionamiento Gastos Generales","No aplica",IF(J840="Funcionamiento Servicios Personales","No aplica",IFERROR(VLOOKUP(J840,Listas!$A$220:$D$224,3,FALSE),"Alerta: Seleccione la celda en la comumna B con el nombre del proyecto")))</f>
        <v>Alerta: Seleccione la celda en la comumna B con el nombre del proyecto</v>
      </c>
      <c r="AN840" s="633"/>
      <c r="AO840" s="633"/>
      <c r="AP840" s="634" t="str">
        <f>IFERROR(VLOOKUP(J840,Listas!$A$182:$E$215,5,FALSE),"Alerta: Seleccione la celda en la comumna B con el nombre del proyecto")</f>
        <v>Alerta: Seleccione la celda en la comumna B con el nombre del proyecto</v>
      </c>
      <c r="AQ840" s="634" t="str">
        <f>IF(J840="Funcionamiento Gastos Generales","No aplica",IF(J840="Funcionamiento Servicios Personales","No aplica",IFERROR(VLOOKUP(J840,Listas!$A$220:$D$224,4,FALSE),"Alerta: Seleccione la celda en la comumna B con el nombre del proyecto")))</f>
        <v>Alerta: Seleccione la celda en la comumna B con el nombre del proyecto</v>
      </c>
      <c r="AR840" s="633"/>
      <c r="AS840" s="634" t="str">
        <f>IFERROR(VLOOKUP(AU840,Listas!$E$85:$L$105,7,FALSE),"Alerta: Seleccione la celda en la comumna AI con el concepto de gasto")</f>
        <v>Alerta: Seleccione la celda en la comumna AI con el concepto de gasto</v>
      </c>
      <c r="AT840" s="634" t="str">
        <f>IFERROR(VLOOKUP(AU840,Listas!$E$85:$L$105,8,FALSE),"Alerta: Seleccione la celda en la comumna AI con el concepto de gasto")</f>
        <v>Alerta: Seleccione la celda en la comumna AI con el concepto de gasto</v>
      </c>
      <c r="AU840" s="633"/>
      <c r="AV840" s="634" t="str">
        <f>IFERROR(VLOOKUP(AU840,Listas!$E$85:$F$105,2,FALSE),"Alerta: Seleccione el Concepto de Gasto primero")</f>
        <v>Alerta: Seleccione el Concepto de Gasto primero</v>
      </c>
      <c r="AW840" s="644"/>
      <c r="AX840" s="645"/>
      <c r="AY840" s="645"/>
      <c r="AZ840" s="645"/>
      <c r="BA840" s="646">
        <f t="shared" si="256"/>
        <v>0</v>
      </c>
      <c r="BB840" s="647"/>
      <c r="BC840" s="648"/>
      <c r="BD840" s="649"/>
      <c r="BE840" s="647"/>
      <c r="BF840" s="644"/>
      <c r="BG840" s="646">
        <f t="shared" si="257"/>
        <v>0</v>
      </c>
      <c r="BH840" s="650"/>
      <c r="BI840" s="647"/>
      <c r="BJ840" s="644"/>
      <c r="BK840" s="646">
        <f t="shared" si="258"/>
        <v>0</v>
      </c>
      <c r="BL840" s="651"/>
      <c r="BM840" s="652">
        <f t="shared" si="259"/>
        <v>1</v>
      </c>
      <c r="BN840" s="628"/>
      <c r="BO840" s="670"/>
      <c r="BP840" s="644"/>
      <c r="BQ840" s="644"/>
      <c r="BR840" s="644"/>
      <c r="BS840" s="644"/>
      <c r="BT840" s="644"/>
      <c r="BU840" s="644"/>
      <c r="BV840" s="644"/>
      <c r="BW840" s="644"/>
      <c r="BX840" s="644"/>
      <c r="BY840" s="644"/>
      <c r="BZ840" s="644"/>
      <c r="CA840" s="644"/>
      <c r="CB840" s="646">
        <f t="shared" si="260"/>
        <v>0</v>
      </c>
      <c r="CC840" s="646">
        <f t="shared" si="261"/>
        <v>0</v>
      </c>
      <c r="CD840" s="614"/>
    </row>
    <row r="841" spans="1:82" s="659" customFormat="1" ht="61.5" customHeight="1">
      <c r="A841" s="625" t="str">
        <f t="shared" si="243"/>
        <v>proyecto-Alerta: Seleccione la celda en la comumna B con el nombre del proyecto-Al-Al--</v>
      </c>
      <c r="B841" s="626" t="str">
        <f t="shared" si="244"/>
        <v>proyecto-Alerta: Seleccione la celda en la comumna B con el nombre del proyecto-Al-Al-</v>
      </c>
      <c r="C841" s="626" t="str">
        <f t="shared" si="245"/>
        <v>proyecto-Alerta: Seleccione la celda en la comumna B con el nombre del proyecto-</v>
      </c>
      <c r="D841" s="626" t="str">
        <f t="shared" si="246"/>
        <v>proyecto--Al-Al-</v>
      </c>
      <c r="E841" s="626" t="str">
        <f t="shared" si="247"/>
        <v>--</v>
      </c>
      <c r="F841" s="627"/>
      <c r="G841" s="628">
        <f t="shared" si="248"/>
        <v>0</v>
      </c>
      <c r="H841" s="629" t="b">
        <f t="shared" si="249"/>
        <v>1</v>
      </c>
      <c r="I841" s="630"/>
      <c r="J841" s="627"/>
      <c r="K841" s="631" t="str">
        <f>+IFERROR(VLOOKUP(J841,Listas!$A$108:$B$114,2,FALSE),"Alerta: Seleccione la celda en la comumna B con el nombre del proyecto")</f>
        <v>Alerta: Seleccione la celda en la comumna B con el nombre del proyecto</v>
      </c>
      <c r="L841" s="632"/>
      <c r="M841" s="633"/>
      <c r="N841" s="634" t="str">
        <f t="shared" si="250"/>
        <v xml:space="preserve">(Cód. ) </v>
      </c>
      <c r="O841" s="635"/>
      <c r="P841" s="636">
        <f>IFERROR(VLOOKUP(W841,'Estimación CRP'!$D$21:$E$30,2,FALSE),0)</f>
        <v>0</v>
      </c>
      <c r="Q841" s="637">
        <f>IF(O841="No aplica","No aplica",WORKDAY.INTL(O841,P841,1,'Estimación CRP'!A1027:A1043))</f>
        <v>0</v>
      </c>
      <c r="R841" s="636">
        <f t="shared" si="251"/>
        <v>1</v>
      </c>
      <c r="S841" s="636">
        <f t="shared" si="252"/>
        <v>1</v>
      </c>
      <c r="T841" s="636">
        <f t="shared" si="253"/>
        <v>1</v>
      </c>
      <c r="U841" s="638"/>
      <c r="V841" s="638"/>
      <c r="W841" s="639"/>
      <c r="X841" s="640" t="str">
        <f>IFERROR(VLOOKUP(W841,Listas!$A$60:$B$73,2,FALSE),"Alerta: Seleccione primero Modalidad de selección")</f>
        <v>Alerta: Seleccione primero Modalidad de selección</v>
      </c>
      <c r="Y841" s="641">
        <v>0</v>
      </c>
      <c r="Z841" s="641"/>
      <c r="AA841" s="641"/>
      <c r="AB841" s="642">
        <f t="shared" si="254"/>
        <v>0</v>
      </c>
      <c r="AC841" s="642">
        <f t="shared" si="255"/>
        <v>0</v>
      </c>
      <c r="AD841" s="641">
        <v>0</v>
      </c>
      <c r="AE841" s="643">
        <v>0</v>
      </c>
      <c r="AF841" s="639" t="s">
        <v>276</v>
      </c>
      <c r="AG841" s="639" t="s">
        <v>277</v>
      </c>
      <c r="AH841" s="639"/>
      <c r="AI841" s="626" t="str">
        <f>IFERROR(VLOOKUP(AH841,Listas!$A$77:$C$83,2,FALSE),"Alerta: Seleccione primero el responsable")</f>
        <v>Alerta: Seleccione primero el responsable</v>
      </c>
      <c r="AJ841" s="640" t="str">
        <f>IFERROR(VLOOKUP(AH841,Listas!$A$77:$C$83,3,FALSE),"Alerta: Seleccione primero el responsable")</f>
        <v>Alerta: Seleccione primero el responsable</v>
      </c>
      <c r="AK841" s="640" t="str">
        <f>IF(J841="Funcionamiento Gastos Generales","No aplica",IF(J841="Funcionamiento Servicios Personales indirectos","No aplica",IFERROR(VLOOKUP(J841,Listas!$A$127:$E$139,3,FALSE),"Alerta: Seleccione la celda en la comumna B con el nombre del proyecto")))</f>
        <v>Alerta: Seleccione la celda en la comumna B con el nombre del proyecto</v>
      </c>
      <c r="AL841" s="640" t="str">
        <f>IF(J841="Funcionamiento Gastos Generales","No aplica",IF(J841="Funcionamiento Servicios Personales","No aplica",IFERROR(VLOOKUP(J841,Listas!$A$220:$D$224,2,FALSE),"Alerta: Seleccione la celda en la comumna B con el nombre del proyecto")))</f>
        <v>Alerta: Seleccione la celda en la comumna B con el nombre del proyecto</v>
      </c>
      <c r="AM841" s="640" t="str">
        <f>IF(J841="Funcionamiento Gastos Generales","No aplica",IF(J841="Funcionamiento Servicios Personales","No aplica",IFERROR(VLOOKUP(J841,Listas!$A$220:$D$224,3,FALSE),"Alerta: Seleccione la celda en la comumna B con el nombre del proyecto")))</f>
        <v>Alerta: Seleccione la celda en la comumna B con el nombre del proyecto</v>
      </c>
      <c r="AN841" s="633"/>
      <c r="AO841" s="633"/>
      <c r="AP841" s="634" t="str">
        <f>IFERROR(VLOOKUP(J841,Listas!$A$182:$E$215,5,FALSE),"Alerta: Seleccione la celda en la comumna B con el nombre del proyecto")</f>
        <v>Alerta: Seleccione la celda en la comumna B con el nombre del proyecto</v>
      </c>
      <c r="AQ841" s="634" t="str">
        <f>IF(J841="Funcionamiento Gastos Generales","No aplica",IF(J841="Funcionamiento Servicios Personales","No aplica",IFERROR(VLOOKUP(J841,Listas!$A$220:$D$224,4,FALSE),"Alerta: Seleccione la celda en la comumna B con el nombre del proyecto")))</f>
        <v>Alerta: Seleccione la celda en la comumna B con el nombre del proyecto</v>
      </c>
      <c r="AR841" s="633"/>
      <c r="AS841" s="634" t="str">
        <f>IFERROR(VLOOKUP(AU841,Listas!$E$85:$L$105,7,FALSE),"Alerta: Seleccione la celda en la comumna AI con el concepto de gasto")</f>
        <v>Alerta: Seleccione la celda en la comumna AI con el concepto de gasto</v>
      </c>
      <c r="AT841" s="634" t="str">
        <f>IFERROR(VLOOKUP(AU841,Listas!$E$85:$L$105,8,FALSE),"Alerta: Seleccione la celda en la comumna AI con el concepto de gasto")</f>
        <v>Alerta: Seleccione la celda en la comumna AI con el concepto de gasto</v>
      </c>
      <c r="AU841" s="633"/>
      <c r="AV841" s="634" t="str">
        <f>IFERROR(VLOOKUP(AU841,Listas!$E$85:$F$105,2,FALSE),"Alerta: Seleccione el Concepto de Gasto primero")</f>
        <v>Alerta: Seleccione el Concepto de Gasto primero</v>
      </c>
      <c r="AW841" s="644"/>
      <c r="AX841" s="645"/>
      <c r="AY841" s="645"/>
      <c r="AZ841" s="645"/>
      <c r="BA841" s="646">
        <f t="shared" si="256"/>
        <v>0</v>
      </c>
      <c r="BB841" s="647"/>
      <c r="BC841" s="648"/>
      <c r="BD841" s="649"/>
      <c r="BE841" s="647"/>
      <c r="BF841" s="644"/>
      <c r="BG841" s="646">
        <f t="shared" si="257"/>
        <v>0</v>
      </c>
      <c r="BH841" s="650"/>
      <c r="BI841" s="647"/>
      <c r="BJ841" s="644"/>
      <c r="BK841" s="646">
        <f t="shared" si="258"/>
        <v>0</v>
      </c>
      <c r="BL841" s="651"/>
      <c r="BM841" s="652">
        <f t="shared" si="259"/>
        <v>1</v>
      </c>
      <c r="BN841" s="628"/>
      <c r="BO841" s="670"/>
      <c r="BP841" s="644"/>
      <c r="BQ841" s="644"/>
      <c r="BR841" s="644"/>
      <c r="BS841" s="644"/>
      <c r="BT841" s="644"/>
      <c r="BU841" s="644"/>
      <c r="BV841" s="644"/>
      <c r="BW841" s="644"/>
      <c r="BX841" s="644"/>
      <c r="BY841" s="644"/>
      <c r="BZ841" s="644"/>
      <c r="CA841" s="644"/>
      <c r="CB841" s="646">
        <f t="shared" si="260"/>
        <v>0</v>
      </c>
      <c r="CC841" s="646">
        <f t="shared" si="261"/>
        <v>0</v>
      </c>
      <c r="CD841" s="614"/>
    </row>
    <row r="842" spans="1:82" s="561" customFormat="1" ht="61.5" customHeight="1">
      <c r="A842" s="625" t="str">
        <f t="shared" si="243"/>
        <v>proyecto-Alerta: Seleccione la celda en la comumna B con el nombre del proyecto-Al-Al--</v>
      </c>
      <c r="B842" s="626" t="str">
        <f t="shared" si="244"/>
        <v>proyecto-Alerta: Seleccione la celda en la comumna B con el nombre del proyecto-Al-Al-</v>
      </c>
      <c r="C842" s="626" t="str">
        <f t="shared" si="245"/>
        <v>proyecto-Alerta: Seleccione la celda en la comumna B con el nombre del proyecto-</v>
      </c>
      <c r="D842" s="626" t="str">
        <f t="shared" si="246"/>
        <v>proyecto--Al-Al-</v>
      </c>
      <c r="E842" s="626" t="str">
        <f t="shared" si="247"/>
        <v>--</v>
      </c>
      <c r="F842" s="627"/>
      <c r="G842" s="628">
        <f t="shared" si="248"/>
        <v>0</v>
      </c>
      <c r="H842" s="629" t="b">
        <f t="shared" si="249"/>
        <v>1</v>
      </c>
      <c r="I842" s="630"/>
      <c r="J842" s="627"/>
      <c r="K842" s="631" t="str">
        <f>+IFERROR(VLOOKUP(J842,Listas!$A$108:$B$114,2,FALSE),"Alerta: Seleccione la celda en la comumna B con el nombre del proyecto")</f>
        <v>Alerta: Seleccione la celda en la comumna B con el nombre del proyecto</v>
      </c>
      <c r="L842" s="632"/>
      <c r="M842" s="633"/>
      <c r="N842" s="634" t="str">
        <f t="shared" si="250"/>
        <v xml:space="preserve">(Cód. ) </v>
      </c>
      <c r="O842" s="635"/>
      <c r="P842" s="636">
        <f>IFERROR(VLOOKUP(W842,'Estimación CRP'!$D$21:$E$30,2,FALSE),0)</f>
        <v>0</v>
      </c>
      <c r="Q842" s="637">
        <f>IF(O842="No aplica","No aplica",WORKDAY.INTL(O842,P842,1,'Estimación CRP'!A1028:A1044))</f>
        <v>0</v>
      </c>
      <c r="R842" s="636">
        <f t="shared" si="251"/>
        <v>1</v>
      </c>
      <c r="S842" s="636">
        <f t="shared" si="252"/>
        <v>1</v>
      </c>
      <c r="T842" s="636">
        <f t="shared" si="253"/>
        <v>1</v>
      </c>
      <c r="U842" s="638"/>
      <c r="V842" s="638"/>
      <c r="W842" s="639"/>
      <c r="X842" s="640" t="str">
        <f>IFERROR(VLOOKUP(W842,Listas!$A$60:$B$73,2,FALSE),"Alerta: Seleccione primero Modalidad de selección")</f>
        <v>Alerta: Seleccione primero Modalidad de selección</v>
      </c>
      <c r="Y842" s="641">
        <v>0</v>
      </c>
      <c r="Z842" s="641"/>
      <c r="AA842" s="641"/>
      <c r="AB842" s="642">
        <f t="shared" si="254"/>
        <v>0</v>
      </c>
      <c r="AC842" s="642">
        <f t="shared" si="255"/>
        <v>0</v>
      </c>
      <c r="AD842" s="641">
        <v>0</v>
      </c>
      <c r="AE842" s="643">
        <v>0</v>
      </c>
      <c r="AF842" s="639" t="s">
        <v>276</v>
      </c>
      <c r="AG842" s="639" t="s">
        <v>277</v>
      </c>
      <c r="AH842" s="639"/>
      <c r="AI842" s="626" t="str">
        <f>IFERROR(VLOOKUP(AH842,Listas!$A$77:$C$83,2,FALSE),"Alerta: Seleccione primero el responsable")</f>
        <v>Alerta: Seleccione primero el responsable</v>
      </c>
      <c r="AJ842" s="640" t="str">
        <f>IFERROR(VLOOKUP(AH842,Listas!$A$77:$C$83,3,FALSE),"Alerta: Seleccione primero el responsable")</f>
        <v>Alerta: Seleccione primero el responsable</v>
      </c>
      <c r="AK842" s="640" t="str">
        <f>IF(J842="Funcionamiento Gastos Generales","No aplica",IF(J842="Funcionamiento Servicios Personales indirectos","No aplica",IFERROR(VLOOKUP(J842,Listas!$A$127:$E$139,3,FALSE),"Alerta: Seleccione la celda en la comumna B con el nombre del proyecto")))</f>
        <v>Alerta: Seleccione la celda en la comumna B con el nombre del proyecto</v>
      </c>
      <c r="AL842" s="640" t="str">
        <f>IF(J842="Funcionamiento Gastos Generales","No aplica",IF(J842="Funcionamiento Servicios Personales","No aplica",IFERROR(VLOOKUP(J842,Listas!$A$220:$D$224,2,FALSE),"Alerta: Seleccione la celda en la comumna B con el nombre del proyecto")))</f>
        <v>Alerta: Seleccione la celda en la comumna B con el nombre del proyecto</v>
      </c>
      <c r="AM842" s="640" t="str">
        <f>IF(J842="Funcionamiento Gastos Generales","No aplica",IF(J842="Funcionamiento Servicios Personales","No aplica",IFERROR(VLOOKUP(J842,Listas!$A$220:$D$224,3,FALSE),"Alerta: Seleccione la celda en la comumna B con el nombre del proyecto")))</f>
        <v>Alerta: Seleccione la celda en la comumna B con el nombre del proyecto</v>
      </c>
      <c r="AN842" s="633"/>
      <c r="AO842" s="633"/>
      <c r="AP842" s="634" t="str">
        <f>IFERROR(VLOOKUP(J842,Listas!$A$182:$E$215,5,FALSE),"Alerta: Seleccione la celda en la comumna B con el nombre del proyecto")</f>
        <v>Alerta: Seleccione la celda en la comumna B con el nombre del proyecto</v>
      </c>
      <c r="AQ842" s="634" t="str">
        <f>IF(J842="Funcionamiento Gastos Generales","No aplica",IF(J842="Funcionamiento Servicios Personales","No aplica",IFERROR(VLOOKUP(J842,Listas!$A$220:$D$224,4,FALSE),"Alerta: Seleccione la celda en la comumna B con el nombre del proyecto")))</f>
        <v>Alerta: Seleccione la celda en la comumna B con el nombre del proyecto</v>
      </c>
      <c r="AR842" s="633"/>
      <c r="AS842" s="634" t="str">
        <f>IFERROR(VLOOKUP(AU842,Listas!$E$85:$L$105,7,FALSE),"Alerta: Seleccione la celda en la comumna AI con el concepto de gasto")</f>
        <v>Alerta: Seleccione la celda en la comumna AI con el concepto de gasto</v>
      </c>
      <c r="AT842" s="634" t="str">
        <f>IFERROR(VLOOKUP(AU842,Listas!$E$85:$L$105,8,FALSE),"Alerta: Seleccione la celda en la comumna AI con el concepto de gasto")</f>
        <v>Alerta: Seleccione la celda en la comumna AI con el concepto de gasto</v>
      </c>
      <c r="AU842" s="633"/>
      <c r="AV842" s="634" t="str">
        <f>IFERROR(VLOOKUP(AU842,Listas!$E$85:$F$105,2,FALSE),"Alerta: Seleccione el Concepto de Gasto primero")</f>
        <v>Alerta: Seleccione el Concepto de Gasto primero</v>
      </c>
      <c r="AW842" s="644"/>
      <c r="AX842" s="645"/>
      <c r="AY842" s="645"/>
      <c r="AZ842" s="645"/>
      <c r="BA842" s="646">
        <f t="shared" si="256"/>
        <v>0</v>
      </c>
      <c r="BB842" s="647"/>
      <c r="BC842" s="648"/>
      <c r="BD842" s="649"/>
      <c r="BE842" s="647"/>
      <c r="BF842" s="644"/>
      <c r="BG842" s="646">
        <f t="shared" si="257"/>
        <v>0</v>
      </c>
      <c r="BH842" s="650"/>
      <c r="BI842" s="647"/>
      <c r="BJ842" s="644"/>
      <c r="BK842" s="646">
        <f t="shared" si="258"/>
        <v>0</v>
      </c>
      <c r="BL842" s="651"/>
      <c r="BM842" s="652">
        <f t="shared" si="259"/>
        <v>1</v>
      </c>
      <c r="BN842" s="628"/>
      <c r="BO842" s="670"/>
      <c r="BP842" s="644"/>
      <c r="BQ842" s="644"/>
      <c r="BR842" s="644"/>
      <c r="BS842" s="644"/>
      <c r="BT842" s="644"/>
      <c r="BU842" s="644"/>
      <c r="BV842" s="644"/>
      <c r="BW842" s="644"/>
      <c r="BX842" s="644"/>
      <c r="BY842" s="644"/>
      <c r="BZ842" s="644"/>
      <c r="CA842" s="644"/>
      <c r="CB842" s="646">
        <f t="shared" si="260"/>
        <v>0</v>
      </c>
      <c r="CC842" s="646">
        <f t="shared" si="261"/>
        <v>0</v>
      </c>
      <c r="CD842" s="614"/>
    </row>
    <row r="843" spans="1:82" s="561" customFormat="1" ht="61.5" customHeight="1">
      <c r="A843" s="625" t="str">
        <f t="shared" si="243"/>
        <v>proyecto-Alerta: Seleccione la celda en la comumna B con el nombre del proyecto-Al-Al--</v>
      </c>
      <c r="B843" s="626" t="str">
        <f t="shared" si="244"/>
        <v>proyecto-Alerta: Seleccione la celda en la comumna B con el nombre del proyecto-Al-Al-</v>
      </c>
      <c r="C843" s="626" t="str">
        <f t="shared" si="245"/>
        <v>proyecto-Alerta: Seleccione la celda en la comumna B con el nombre del proyecto-</v>
      </c>
      <c r="D843" s="626" t="str">
        <f t="shared" si="246"/>
        <v>proyecto--Al-Al-</v>
      </c>
      <c r="E843" s="626" t="str">
        <f t="shared" si="247"/>
        <v>--</v>
      </c>
      <c r="F843" s="627"/>
      <c r="G843" s="628">
        <f t="shared" si="248"/>
        <v>0</v>
      </c>
      <c r="H843" s="629" t="b">
        <f t="shared" si="249"/>
        <v>1</v>
      </c>
      <c r="I843" s="630"/>
      <c r="J843" s="627"/>
      <c r="K843" s="631" t="str">
        <f>+IFERROR(VLOOKUP(J843,Listas!$A$108:$B$114,2,FALSE),"Alerta: Seleccione la celda en la comumna B con el nombre del proyecto")</f>
        <v>Alerta: Seleccione la celda en la comumna B con el nombre del proyecto</v>
      </c>
      <c r="L843" s="632"/>
      <c r="M843" s="633"/>
      <c r="N843" s="634" t="str">
        <f t="shared" si="250"/>
        <v xml:space="preserve">(Cód. ) </v>
      </c>
      <c r="O843" s="635"/>
      <c r="P843" s="636">
        <f>IFERROR(VLOOKUP(W843,'Estimación CRP'!$D$21:$E$30,2,FALSE),0)</f>
        <v>0</v>
      </c>
      <c r="Q843" s="637">
        <f>IF(O843="No aplica","No aplica",WORKDAY.INTL(O843,P843,1,'Estimación CRP'!A1029:A1045))</f>
        <v>0</v>
      </c>
      <c r="R843" s="636">
        <f t="shared" si="251"/>
        <v>1</v>
      </c>
      <c r="S843" s="636">
        <f t="shared" si="252"/>
        <v>1</v>
      </c>
      <c r="T843" s="636">
        <f t="shared" si="253"/>
        <v>1</v>
      </c>
      <c r="U843" s="638"/>
      <c r="V843" s="638"/>
      <c r="W843" s="639"/>
      <c r="X843" s="640" t="str">
        <f>IFERROR(VLOOKUP(W843,Listas!$A$60:$B$73,2,FALSE),"Alerta: Seleccione primero Modalidad de selección")</f>
        <v>Alerta: Seleccione primero Modalidad de selección</v>
      </c>
      <c r="Y843" s="641">
        <v>0</v>
      </c>
      <c r="Z843" s="641"/>
      <c r="AA843" s="641"/>
      <c r="AB843" s="642">
        <f t="shared" si="254"/>
        <v>0</v>
      </c>
      <c r="AC843" s="642">
        <f t="shared" si="255"/>
        <v>0</v>
      </c>
      <c r="AD843" s="641">
        <v>0</v>
      </c>
      <c r="AE843" s="643">
        <v>0</v>
      </c>
      <c r="AF843" s="639" t="s">
        <v>276</v>
      </c>
      <c r="AG843" s="639" t="s">
        <v>277</v>
      </c>
      <c r="AH843" s="639"/>
      <c r="AI843" s="626" t="str">
        <f>IFERROR(VLOOKUP(AH843,Listas!$A$77:$C$83,2,FALSE),"Alerta: Seleccione primero el responsable")</f>
        <v>Alerta: Seleccione primero el responsable</v>
      </c>
      <c r="AJ843" s="640" t="str">
        <f>IFERROR(VLOOKUP(AH843,Listas!$A$77:$C$83,3,FALSE),"Alerta: Seleccione primero el responsable")</f>
        <v>Alerta: Seleccione primero el responsable</v>
      </c>
      <c r="AK843" s="640" t="str">
        <f>IF(J843="Funcionamiento Gastos Generales","No aplica",IF(J843="Funcionamiento Servicios Personales indirectos","No aplica",IFERROR(VLOOKUP(J843,Listas!$A$127:$E$139,3,FALSE),"Alerta: Seleccione la celda en la comumna B con el nombre del proyecto")))</f>
        <v>Alerta: Seleccione la celda en la comumna B con el nombre del proyecto</v>
      </c>
      <c r="AL843" s="640" t="str">
        <f>IF(J843="Funcionamiento Gastos Generales","No aplica",IF(J843="Funcionamiento Servicios Personales","No aplica",IFERROR(VLOOKUP(J843,Listas!$A$220:$D$224,2,FALSE),"Alerta: Seleccione la celda en la comumna B con el nombre del proyecto")))</f>
        <v>Alerta: Seleccione la celda en la comumna B con el nombre del proyecto</v>
      </c>
      <c r="AM843" s="640" t="str">
        <f>IF(J843="Funcionamiento Gastos Generales","No aplica",IF(J843="Funcionamiento Servicios Personales","No aplica",IFERROR(VLOOKUP(J843,Listas!$A$220:$D$224,3,FALSE),"Alerta: Seleccione la celda en la comumna B con el nombre del proyecto")))</f>
        <v>Alerta: Seleccione la celda en la comumna B con el nombre del proyecto</v>
      </c>
      <c r="AN843" s="633"/>
      <c r="AO843" s="633"/>
      <c r="AP843" s="634" t="str">
        <f>IFERROR(VLOOKUP(J843,Listas!$A$182:$E$215,5,FALSE),"Alerta: Seleccione la celda en la comumna B con el nombre del proyecto")</f>
        <v>Alerta: Seleccione la celda en la comumna B con el nombre del proyecto</v>
      </c>
      <c r="AQ843" s="634" t="str">
        <f>IF(J843="Funcionamiento Gastos Generales","No aplica",IF(J843="Funcionamiento Servicios Personales","No aplica",IFERROR(VLOOKUP(J843,Listas!$A$220:$D$224,4,FALSE),"Alerta: Seleccione la celda en la comumna B con el nombre del proyecto")))</f>
        <v>Alerta: Seleccione la celda en la comumna B con el nombre del proyecto</v>
      </c>
      <c r="AR843" s="633"/>
      <c r="AS843" s="634" t="str">
        <f>IFERROR(VLOOKUP(AU843,Listas!$E$85:$L$105,7,FALSE),"Alerta: Seleccione la celda en la comumna AI con el concepto de gasto")</f>
        <v>Alerta: Seleccione la celda en la comumna AI con el concepto de gasto</v>
      </c>
      <c r="AT843" s="634" t="str">
        <f>IFERROR(VLOOKUP(AU843,Listas!$E$85:$L$105,8,FALSE),"Alerta: Seleccione la celda en la comumna AI con el concepto de gasto")</f>
        <v>Alerta: Seleccione la celda en la comumna AI con el concepto de gasto</v>
      </c>
      <c r="AU843" s="633"/>
      <c r="AV843" s="634" t="str">
        <f>IFERROR(VLOOKUP(AU843,Listas!$E$85:$F$105,2,FALSE),"Alerta: Seleccione el Concepto de Gasto primero")</f>
        <v>Alerta: Seleccione el Concepto de Gasto primero</v>
      </c>
      <c r="AW843" s="644"/>
      <c r="AX843" s="645"/>
      <c r="AY843" s="645"/>
      <c r="AZ843" s="645"/>
      <c r="BA843" s="646">
        <f t="shared" si="256"/>
        <v>0</v>
      </c>
      <c r="BB843" s="647"/>
      <c r="BC843" s="648"/>
      <c r="BD843" s="649"/>
      <c r="BE843" s="647"/>
      <c r="BF843" s="644"/>
      <c r="BG843" s="646">
        <f t="shared" si="257"/>
        <v>0</v>
      </c>
      <c r="BH843" s="650"/>
      <c r="BI843" s="647"/>
      <c r="BJ843" s="644"/>
      <c r="BK843" s="646">
        <f t="shared" si="258"/>
        <v>0</v>
      </c>
      <c r="BL843" s="651"/>
      <c r="BM843" s="652">
        <f t="shared" si="259"/>
        <v>1</v>
      </c>
      <c r="BN843" s="628"/>
      <c r="BO843" s="670"/>
      <c r="BP843" s="644"/>
      <c r="BQ843" s="644"/>
      <c r="BR843" s="644"/>
      <c r="BS843" s="644"/>
      <c r="BT843" s="644"/>
      <c r="BU843" s="644"/>
      <c r="BV843" s="644"/>
      <c r="BW843" s="644"/>
      <c r="BX843" s="644"/>
      <c r="BY843" s="644"/>
      <c r="BZ843" s="644"/>
      <c r="CA843" s="644"/>
      <c r="CB843" s="646">
        <f t="shared" si="260"/>
        <v>0</v>
      </c>
      <c r="CC843" s="646">
        <f t="shared" si="261"/>
        <v>0</v>
      </c>
      <c r="CD843" s="614"/>
    </row>
    <row r="844" spans="1:82" s="561" customFormat="1" ht="61.5" customHeight="1">
      <c r="A844" s="625" t="str">
        <f t="shared" si="243"/>
        <v>proyecto-Alerta: Seleccione la celda en la comumna B con el nombre del proyecto-Al-Al--</v>
      </c>
      <c r="B844" s="626" t="str">
        <f t="shared" si="244"/>
        <v>proyecto-Alerta: Seleccione la celda en la comumna B con el nombre del proyecto-Al-Al-</v>
      </c>
      <c r="C844" s="626" t="str">
        <f t="shared" si="245"/>
        <v>proyecto-Alerta: Seleccione la celda en la comumna B con el nombre del proyecto-</v>
      </c>
      <c r="D844" s="626" t="str">
        <f t="shared" si="246"/>
        <v>proyecto--Al-Al-</v>
      </c>
      <c r="E844" s="626" t="str">
        <f t="shared" si="247"/>
        <v>--</v>
      </c>
      <c r="F844" s="627"/>
      <c r="G844" s="628">
        <f t="shared" si="248"/>
        <v>0</v>
      </c>
      <c r="H844" s="629" t="b">
        <f t="shared" si="249"/>
        <v>1</v>
      </c>
      <c r="I844" s="630"/>
      <c r="J844" s="627"/>
      <c r="K844" s="631" t="str">
        <f>+IFERROR(VLOOKUP(J844,Listas!$A$108:$B$114,2,FALSE),"Alerta: Seleccione la celda en la comumna B con el nombre del proyecto")</f>
        <v>Alerta: Seleccione la celda en la comumna B con el nombre del proyecto</v>
      </c>
      <c r="L844" s="632"/>
      <c r="M844" s="633"/>
      <c r="N844" s="634" t="str">
        <f t="shared" si="250"/>
        <v xml:space="preserve">(Cód. ) </v>
      </c>
      <c r="O844" s="635"/>
      <c r="P844" s="636">
        <f>IFERROR(VLOOKUP(W844,'Estimación CRP'!$D$21:$E$30,2,FALSE),0)</f>
        <v>0</v>
      </c>
      <c r="Q844" s="637">
        <f>IF(O844="No aplica","No aplica",WORKDAY.INTL(O844,P844,1,'Estimación CRP'!A1030:A1046))</f>
        <v>0</v>
      </c>
      <c r="R844" s="636">
        <f t="shared" si="251"/>
        <v>1</v>
      </c>
      <c r="S844" s="636">
        <f t="shared" si="252"/>
        <v>1</v>
      </c>
      <c r="T844" s="636">
        <f t="shared" si="253"/>
        <v>1</v>
      </c>
      <c r="U844" s="638"/>
      <c r="V844" s="638"/>
      <c r="W844" s="639"/>
      <c r="X844" s="640" t="str">
        <f>IFERROR(VLOOKUP(W844,Listas!$A$60:$B$73,2,FALSE),"Alerta: Seleccione primero Modalidad de selección")</f>
        <v>Alerta: Seleccione primero Modalidad de selección</v>
      </c>
      <c r="Y844" s="641">
        <v>0</v>
      </c>
      <c r="Z844" s="641"/>
      <c r="AA844" s="641"/>
      <c r="AB844" s="642">
        <f t="shared" si="254"/>
        <v>0</v>
      </c>
      <c r="AC844" s="642">
        <f t="shared" si="255"/>
        <v>0</v>
      </c>
      <c r="AD844" s="641">
        <v>0</v>
      </c>
      <c r="AE844" s="643">
        <v>0</v>
      </c>
      <c r="AF844" s="639" t="s">
        <v>276</v>
      </c>
      <c r="AG844" s="639" t="s">
        <v>277</v>
      </c>
      <c r="AH844" s="639"/>
      <c r="AI844" s="626" t="str">
        <f>IFERROR(VLOOKUP(AH844,Listas!$A$77:$C$83,2,FALSE),"Alerta: Seleccione primero el responsable")</f>
        <v>Alerta: Seleccione primero el responsable</v>
      </c>
      <c r="AJ844" s="640" t="str">
        <f>IFERROR(VLOOKUP(AH844,Listas!$A$77:$C$83,3,FALSE),"Alerta: Seleccione primero el responsable")</f>
        <v>Alerta: Seleccione primero el responsable</v>
      </c>
      <c r="AK844" s="640" t="str">
        <f>IF(J844="Funcionamiento Gastos Generales","No aplica",IF(J844="Funcionamiento Servicios Personales indirectos","No aplica",IFERROR(VLOOKUP(J844,Listas!$A$127:$E$139,3,FALSE),"Alerta: Seleccione la celda en la comumna B con el nombre del proyecto")))</f>
        <v>Alerta: Seleccione la celda en la comumna B con el nombre del proyecto</v>
      </c>
      <c r="AL844" s="640" t="str">
        <f>IF(J844="Funcionamiento Gastos Generales","No aplica",IF(J844="Funcionamiento Servicios Personales","No aplica",IFERROR(VLOOKUP(J844,Listas!$A$220:$D$224,2,FALSE),"Alerta: Seleccione la celda en la comumna B con el nombre del proyecto")))</f>
        <v>Alerta: Seleccione la celda en la comumna B con el nombre del proyecto</v>
      </c>
      <c r="AM844" s="640" t="str">
        <f>IF(J844="Funcionamiento Gastos Generales","No aplica",IF(J844="Funcionamiento Servicios Personales","No aplica",IFERROR(VLOOKUP(J844,Listas!$A$220:$D$224,3,FALSE),"Alerta: Seleccione la celda en la comumna B con el nombre del proyecto")))</f>
        <v>Alerta: Seleccione la celda en la comumna B con el nombre del proyecto</v>
      </c>
      <c r="AN844" s="633"/>
      <c r="AO844" s="633"/>
      <c r="AP844" s="634" t="str">
        <f>IFERROR(VLOOKUP(J844,Listas!$A$182:$E$215,5,FALSE),"Alerta: Seleccione la celda en la comumna B con el nombre del proyecto")</f>
        <v>Alerta: Seleccione la celda en la comumna B con el nombre del proyecto</v>
      </c>
      <c r="AQ844" s="634" t="str">
        <f>IF(J844="Funcionamiento Gastos Generales","No aplica",IF(J844="Funcionamiento Servicios Personales","No aplica",IFERROR(VLOOKUP(J844,Listas!$A$220:$D$224,4,FALSE),"Alerta: Seleccione la celda en la comumna B con el nombre del proyecto")))</f>
        <v>Alerta: Seleccione la celda en la comumna B con el nombre del proyecto</v>
      </c>
      <c r="AR844" s="633"/>
      <c r="AS844" s="634" t="str">
        <f>IFERROR(VLOOKUP(AU844,Listas!$E$85:$L$105,7,FALSE),"Alerta: Seleccione la celda en la comumna AI con el concepto de gasto")</f>
        <v>Alerta: Seleccione la celda en la comumna AI con el concepto de gasto</v>
      </c>
      <c r="AT844" s="634" t="str">
        <f>IFERROR(VLOOKUP(AU844,Listas!$E$85:$L$105,8,FALSE),"Alerta: Seleccione la celda en la comumna AI con el concepto de gasto")</f>
        <v>Alerta: Seleccione la celda en la comumna AI con el concepto de gasto</v>
      </c>
      <c r="AU844" s="633"/>
      <c r="AV844" s="634" t="str">
        <f>IFERROR(VLOOKUP(AU844,Listas!$E$85:$F$105,2,FALSE),"Alerta: Seleccione el Concepto de Gasto primero")</f>
        <v>Alerta: Seleccione el Concepto de Gasto primero</v>
      </c>
      <c r="AW844" s="644"/>
      <c r="AX844" s="645"/>
      <c r="AY844" s="645"/>
      <c r="AZ844" s="645"/>
      <c r="BA844" s="646">
        <f t="shared" si="256"/>
        <v>0</v>
      </c>
      <c r="BB844" s="647"/>
      <c r="BC844" s="648"/>
      <c r="BD844" s="649"/>
      <c r="BE844" s="647"/>
      <c r="BF844" s="644"/>
      <c r="BG844" s="646">
        <f t="shared" si="257"/>
        <v>0</v>
      </c>
      <c r="BH844" s="650"/>
      <c r="BI844" s="647"/>
      <c r="BJ844" s="644"/>
      <c r="BK844" s="646">
        <f t="shared" si="258"/>
        <v>0</v>
      </c>
      <c r="BL844" s="651"/>
      <c r="BM844" s="652">
        <f t="shared" si="259"/>
        <v>1</v>
      </c>
      <c r="BN844" s="628"/>
      <c r="BO844" s="670"/>
      <c r="BP844" s="644"/>
      <c r="BQ844" s="644"/>
      <c r="BR844" s="644"/>
      <c r="BS844" s="644"/>
      <c r="BT844" s="644"/>
      <c r="BU844" s="644"/>
      <c r="BV844" s="644"/>
      <c r="BW844" s="644"/>
      <c r="BX844" s="644"/>
      <c r="BY844" s="644"/>
      <c r="BZ844" s="644"/>
      <c r="CA844" s="644"/>
      <c r="CB844" s="646">
        <f t="shared" si="260"/>
        <v>0</v>
      </c>
      <c r="CC844" s="646">
        <f t="shared" si="261"/>
        <v>0</v>
      </c>
      <c r="CD844" s="614"/>
    </row>
    <row r="845" spans="1:82" s="561" customFormat="1" ht="61.5" customHeight="1">
      <c r="A845" s="625" t="str">
        <f t="shared" si="243"/>
        <v>proyecto-Alerta: Seleccione la celda en la comumna B con el nombre del proyecto-Al-Al--</v>
      </c>
      <c r="B845" s="626" t="str">
        <f t="shared" si="244"/>
        <v>proyecto-Alerta: Seleccione la celda en la comumna B con el nombre del proyecto-Al-Al-</v>
      </c>
      <c r="C845" s="626" t="str">
        <f t="shared" si="245"/>
        <v>proyecto-Alerta: Seleccione la celda en la comumna B con el nombre del proyecto-</v>
      </c>
      <c r="D845" s="626" t="str">
        <f t="shared" si="246"/>
        <v>proyecto--Al-Al-</v>
      </c>
      <c r="E845" s="626" t="str">
        <f t="shared" si="247"/>
        <v>--</v>
      </c>
      <c r="F845" s="627"/>
      <c r="G845" s="628">
        <f t="shared" si="248"/>
        <v>0</v>
      </c>
      <c r="H845" s="629" t="b">
        <f t="shared" si="249"/>
        <v>1</v>
      </c>
      <c r="I845" s="630"/>
      <c r="J845" s="627"/>
      <c r="K845" s="631" t="str">
        <f>+IFERROR(VLOOKUP(J845,Listas!$A$108:$B$114,2,FALSE),"Alerta: Seleccione la celda en la comumna B con el nombre del proyecto")</f>
        <v>Alerta: Seleccione la celda en la comumna B con el nombre del proyecto</v>
      </c>
      <c r="L845" s="632"/>
      <c r="M845" s="633"/>
      <c r="N845" s="634" t="str">
        <f t="shared" si="250"/>
        <v xml:space="preserve">(Cód. ) </v>
      </c>
      <c r="O845" s="635"/>
      <c r="P845" s="636">
        <f>IFERROR(VLOOKUP(W845,'Estimación CRP'!$D$21:$E$30,2,FALSE),0)</f>
        <v>0</v>
      </c>
      <c r="Q845" s="637">
        <f>IF(O845="No aplica","No aplica",WORKDAY.INTL(O845,P845,1,'Estimación CRP'!A1031:A1047))</f>
        <v>0</v>
      </c>
      <c r="R845" s="636">
        <f t="shared" si="251"/>
        <v>1</v>
      </c>
      <c r="S845" s="636">
        <f t="shared" si="252"/>
        <v>1</v>
      </c>
      <c r="T845" s="636">
        <f t="shared" si="253"/>
        <v>1</v>
      </c>
      <c r="U845" s="638"/>
      <c r="V845" s="638"/>
      <c r="W845" s="639"/>
      <c r="X845" s="640" t="str">
        <f>IFERROR(VLOOKUP(W845,Listas!$A$60:$B$73,2,FALSE),"Alerta: Seleccione primero Modalidad de selección")</f>
        <v>Alerta: Seleccione primero Modalidad de selección</v>
      </c>
      <c r="Y845" s="641">
        <v>0</v>
      </c>
      <c r="Z845" s="641"/>
      <c r="AA845" s="641"/>
      <c r="AB845" s="642">
        <f t="shared" si="254"/>
        <v>0</v>
      </c>
      <c r="AC845" s="642">
        <f t="shared" si="255"/>
        <v>0</v>
      </c>
      <c r="AD845" s="641">
        <v>0</v>
      </c>
      <c r="AE845" s="643">
        <v>0</v>
      </c>
      <c r="AF845" s="639" t="s">
        <v>276</v>
      </c>
      <c r="AG845" s="639" t="s">
        <v>277</v>
      </c>
      <c r="AH845" s="639"/>
      <c r="AI845" s="626" t="str">
        <f>IFERROR(VLOOKUP(AH845,Listas!$A$77:$C$83,2,FALSE),"Alerta: Seleccione primero el responsable")</f>
        <v>Alerta: Seleccione primero el responsable</v>
      </c>
      <c r="AJ845" s="640" t="str">
        <f>IFERROR(VLOOKUP(AH845,Listas!$A$77:$C$83,3,FALSE),"Alerta: Seleccione primero el responsable")</f>
        <v>Alerta: Seleccione primero el responsable</v>
      </c>
      <c r="AK845" s="640" t="str">
        <f>IF(J845="Funcionamiento Gastos Generales","No aplica",IF(J845="Funcionamiento Servicios Personales indirectos","No aplica",IFERROR(VLOOKUP(J845,Listas!$A$127:$E$139,3,FALSE),"Alerta: Seleccione la celda en la comumna B con el nombre del proyecto")))</f>
        <v>Alerta: Seleccione la celda en la comumna B con el nombre del proyecto</v>
      </c>
      <c r="AL845" s="640" t="str">
        <f>IF(J845="Funcionamiento Gastos Generales","No aplica",IF(J845="Funcionamiento Servicios Personales","No aplica",IFERROR(VLOOKUP(J845,Listas!$A$220:$D$224,2,FALSE),"Alerta: Seleccione la celda en la comumna B con el nombre del proyecto")))</f>
        <v>Alerta: Seleccione la celda en la comumna B con el nombre del proyecto</v>
      </c>
      <c r="AM845" s="640" t="str">
        <f>IF(J845="Funcionamiento Gastos Generales","No aplica",IF(J845="Funcionamiento Servicios Personales","No aplica",IFERROR(VLOOKUP(J845,Listas!$A$220:$D$224,3,FALSE),"Alerta: Seleccione la celda en la comumna B con el nombre del proyecto")))</f>
        <v>Alerta: Seleccione la celda en la comumna B con el nombre del proyecto</v>
      </c>
      <c r="AN845" s="633"/>
      <c r="AO845" s="633"/>
      <c r="AP845" s="634" t="str">
        <f>IFERROR(VLOOKUP(J845,Listas!$A$182:$E$215,5,FALSE),"Alerta: Seleccione la celda en la comumna B con el nombre del proyecto")</f>
        <v>Alerta: Seleccione la celda en la comumna B con el nombre del proyecto</v>
      </c>
      <c r="AQ845" s="634" t="str">
        <f>IF(J845="Funcionamiento Gastos Generales","No aplica",IF(J845="Funcionamiento Servicios Personales","No aplica",IFERROR(VLOOKUP(J845,Listas!$A$220:$D$224,4,FALSE),"Alerta: Seleccione la celda en la comumna B con el nombre del proyecto")))</f>
        <v>Alerta: Seleccione la celda en la comumna B con el nombre del proyecto</v>
      </c>
      <c r="AR845" s="633"/>
      <c r="AS845" s="634" t="str">
        <f>IFERROR(VLOOKUP(AU845,Listas!$E$85:$L$105,7,FALSE),"Alerta: Seleccione la celda en la comumna AI con el concepto de gasto")</f>
        <v>Alerta: Seleccione la celda en la comumna AI con el concepto de gasto</v>
      </c>
      <c r="AT845" s="634" t="str">
        <f>IFERROR(VLOOKUP(AU845,Listas!$E$85:$L$105,8,FALSE),"Alerta: Seleccione la celda en la comumna AI con el concepto de gasto")</f>
        <v>Alerta: Seleccione la celda en la comumna AI con el concepto de gasto</v>
      </c>
      <c r="AU845" s="633"/>
      <c r="AV845" s="634" t="str">
        <f>IFERROR(VLOOKUP(AU845,Listas!$E$85:$F$105,2,FALSE),"Alerta: Seleccione el Concepto de Gasto primero")</f>
        <v>Alerta: Seleccione el Concepto de Gasto primero</v>
      </c>
      <c r="AW845" s="644"/>
      <c r="AX845" s="645"/>
      <c r="AY845" s="645"/>
      <c r="AZ845" s="645"/>
      <c r="BA845" s="646">
        <f t="shared" si="256"/>
        <v>0</v>
      </c>
      <c r="BB845" s="647"/>
      <c r="BC845" s="648"/>
      <c r="BD845" s="649"/>
      <c r="BE845" s="647"/>
      <c r="BF845" s="644"/>
      <c r="BG845" s="646">
        <f t="shared" si="257"/>
        <v>0</v>
      </c>
      <c r="BH845" s="650"/>
      <c r="BI845" s="647"/>
      <c r="BJ845" s="644"/>
      <c r="BK845" s="646">
        <f t="shared" si="258"/>
        <v>0</v>
      </c>
      <c r="BL845" s="651"/>
      <c r="BM845" s="652">
        <f t="shared" si="259"/>
        <v>1</v>
      </c>
      <c r="BN845" s="628"/>
      <c r="BO845" s="670"/>
      <c r="BP845" s="644"/>
      <c r="BQ845" s="644"/>
      <c r="BR845" s="644"/>
      <c r="BS845" s="644"/>
      <c r="BT845" s="644"/>
      <c r="BU845" s="644"/>
      <c r="BV845" s="644"/>
      <c r="BW845" s="644"/>
      <c r="BX845" s="644"/>
      <c r="BY845" s="644"/>
      <c r="BZ845" s="644"/>
      <c r="CA845" s="644"/>
      <c r="CB845" s="646">
        <f t="shared" si="260"/>
        <v>0</v>
      </c>
      <c r="CC845" s="646">
        <f t="shared" si="261"/>
        <v>0</v>
      </c>
      <c r="CD845" s="614"/>
    </row>
    <row r="846" spans="1:82" s="561" customFormat="1" ht="61.5" customHeight="1">
      <c r="A846" s="625" t="str">
        <f t="shared" si="243"/>
        <v>proyecto-Alerta: Seleccione la celda en la comumna B con el nombre del proyecto-Al-Al--</v>
      </c>
      <c r="B846" s="626" t="str">
        <f t="shared" si="244"/>
        <v>proyecto-Alerta: Seleccione la celda en la comumna B con el nombre del proyecto-Al-Al-</v>
      </c>
      <c r="C846" s="626" t="str">
        <f t="shared" si="245"/>
        <v>proyecto-Alerta: Seleccione la celda en la comumna B con el nombre del proyecto-</v>
      </c>
      <c r="D846" s="626" t="str">
        <f t="shared" si="246"/>
        <v>proyecto--Al-Al-</v>
      </c>
      <c r="E846" s="626" t="str">
        <f t="shared" si="247"/>
        <v>--</v>
      </c>
      <c r="F846" s="627"/>
      <c r="G846" s="628">
        <f t="shared" si="248"/>
        <v>0</v>
      </c>
      <c r="H846" s="629" t="b">
        <f t="shared" si="249"/>
        <v>1</v>
      </c>
      <c r="I846" s="630"/>
      <c r="J846" s="627"/>
      <c r="K846" s="631" t="str">
        <f>+IFERROR(VLOOKUP(J846,Listas!$A$108:$B$114,2,FALSE),"Alerta: Seleccione la celda en la comumna B con el nombre del proyecto")</f>
        <v>Alerta: Seleccione la celda en la comumna B con el nombre del proyecto</v>
      </c>
      <c r="L846" s="632"/>
      <c r="M846" s="633"/>
      <c r="N846" s="634" t="str">
        <f t="shared" si="250"/>
        <v xml:space="preserve">(Cód. ) </v>
      </c>
      <c r="O846" s="635"/>
      <c r="P846" s="636">
        <f>IFERROR(VLOOKUP(W846,'Estimación CRP'!$D$21:$E$30,2,FALSE),0)</f>
        <v>0</v>
      </c>
      <c r="Q846" s="637">
        <f>IF(O846="No aplica","No aplica",WORKDAY.INTL(O846,P846,1,'Estimación CRP'!A1032:A1048))</f>
        <v>0</v>
      </c>
      <c r="R846" s="636">
        <f t="shared" si="251"/>
        <v>1</v>
      </c>
      <c r="S846" s="636">
        <f t="shared" si="252"/>
        <v>1</v>
      </c>
      <c r="T846" s="636">
        <f t="shared" si="253"/>
        <v>1</v>
      </c>
      <c r="U846" s="638"/>
      <c r="V846" s="638"/>
      <c r="W846" s="639"/>
      <c r="X846" s="640" t="str">
        <f>IFERROR(VLOOKUP(W846,Listas!$A$60:$B$73,2,FALSE),"Alerta: Seleccione primero Modalidad de selección")</f>
        <v>Alerta: Seleccione primero Modalidad de selección</v>
      </c>
      <c r="Y846" s="641">
        <v>0</v>
      </c>
      <c r="Z846" s="641"/>
      <c r="AA846" s="641"/>
      <c r="AB846" s="642">
        <f t="shared" si="254"/>
        <v>0</v>
      </c>
      <c r="AC846" s="642">
        <f t="shared" si="255"/>
        <v>0</v>
      </c>
      <c r="AD846" s="641">
        <v>0</v>
      </c>
      <c r="AE846" s="643">
        <v>0</v>
      </c>
      <c r="AF846" s="639" t="s">
        <v>276</v>
      </c>
      <c r="AG846" s="639" t="s">
        <v>277</v>
      </c>
      <c r="AH846" s="639"/>
      <c r="AI846" s="626" t="str">
        <f>IFERROR(VLOOKUP(AH846,Listas!$A$77:$C$83,2,FALSE),"Alerta: Seleccione primero el responsable")</f>
        <v>Alerta: Seleccione primero el responsable</v>
      </c>
      <c r="AJ846" s="640" t="str">
        <f>IFERROR(VLOOKUP(AH846,Listas!$A$77:$C$83,3,FALSE),"Alerta: Seleccione primero el responsable")</f>
        <v>Alerta: Seleccione primero el responsable</v>
      </c>
      <c r="AK846" s="640" t="str">
        <f>IF(J846="Funcionamiento Gastos Generales","No aplica",IF(J846="Funcionamiento Servicios Personales indirectos","No aplica",IFERROR(VLOOKUP(J846,Listas!$A$127:$E$139,3,FALSE),"Alerta: Seleccione la celda en la comumna B con el nombre del proyecto")))</f>
        <v>Alerta: Seleccione la celda en la comumna B con el nombre del proyecto</v>
      </c>
      <c r="AL846" s="640" t="str">
        <f>IF(J846="Funcionamiento Gastos Generales","No aplica",IF(J846="Funcionamiento Servicios Personales","No aplica",IFERROR(VLOOKUP(J846,Listas!$A$220:$D$224,2,FALSE),"Alerta: Seleccione la celda en la comumna B con el nombre del proyecto")))</f>
        <v>Alerta: Seleccione la celda en la comumna B con el nombre del proyecto</v>
      </c>
      <c r="AM846" s="640" t="str">
        <f>IF(J846="Funcionamiento Gastos Generales","No aplica",IF(J846="Funcionamiento Servicios Personales","No aplica",IFERROR(VLOOKUP(J846,Listas!$A$220:$D$224,3,FALSE),"Alerta: Seleccione la celda en la comumna B con el nombre del proyecto")))</f>
        <v>Alerta: Seleccione la celda en la comumna B con el nombre del proyecto</v>
      </c>
      <c r="AN846" s="633"/>
      <c r="AO846" s="633"/>
      <c r="AP846" s="634" t="str">
        <f>IFERROR(VLOOKUP(J846,Listas!$A$182:$E$215,5,FALSE),"Alerta: Seleccione la celda en la comumna B con el nombre del proyecto")</f>
        <v>Alerta: Seleccione la celda en la comumna B con el nombre del proyecto</v>
      </c>
      <c r="AQ846" s="634" t="str">
        <f>IF(J846="Funcionamiento Gastos Generales","No aplica",IF(J846="Funcionamiento Servicios Personales","No aplica",IFERROR(VLOOKUP(J846,Listas!$A$220:$D$224,4,FALSE),"Alerta: Seleccione la celda en la comumna B con el nombre del proyecto")))</f>
        <v>Alerta: Seleccione la celda en la comumna B con el nombre del proyecto</v>
      </c>
      <c r="AR846" s="633"/>
      <c r="AS846" s="634" t="str">
        <f>IFERROR(VLOOKUP(AU846,Listas!$E$85:$L$105,7,FALSE),"Alerta: Seleccione la celda en la comumna AI con el concepto de gasto")</f>
        <v>Alerta: Seleccione la celda en la comumna AI con el concepto de gasto</v>
      </c>
      <c r="AT846" s="634" t="str">
        <f>IFERROR(VLOOKUP(AU846,Listas!$E$85:$L$105,8,FALSE),"Alerta: Seleccione la celda en la comumna AI con el concepto de gasto")</f>
        <v>Alerta: Seleccione la celda en la comumna AI con el concepto de gasto</v>
      </c>
      <c r="AU846" s="633"/>
      <c r="AV846" s="634" t="str">
        <f>IFERROR(VLOOKUP(AU846,Listas!$E$85:$F$105,2,FALSE),"Alerta: Seleccione el Concepto de Gasto primero")</f>
        <v>Alerta: Seleccione el Concepto de Gasto primero</v>
      </c>
      <c r="AW846" s="644"/>
      <c r="AX846" s="645"/>
      <c r="AY846" s="645"/>
      <c r="AZ846" s="645"/>
      <c r="BA846" s="646">
        <f t="shared" si="256"/>
        <v>0</v>
      </c>
      <c r="BB846" s="647"/>
      <c r="BC846" s="648"/>
      <c r="BD846" s="649"/>
      <c r="BE846" s="647"/>
      <c r="BF846" s="644"/>
      <c r="BG846" s="646">
        <f t="shared" si="257"/>
        <v>0</v>
      </c>
      <c r="BH846" s="650"/>
      <c r="BI846" s="647"/>
      <c r="BJ846" s="644"/>
      <c r="BK846" s="646">
        <f t="shared" si="258"/>
        <v>0</v>
      </c>
      <c r="BL846" s="651"/>
      <c r="BM846" s="652">
        <f t="shared" si="259"/>
        <v>1</v>
      </c>
      <c r="BN846" s="628"/>
      <c r="BO846" s="670"/>
      <c r="BP846" s="644"/>
      <c r="BQ846" s="644"/>
      <c r="BR846" s="644"/>
      <c r="BS846" s="644"/>
      <c r="BT846" s="644"/>
      <c r="BU846" s="644"/>
      <c r="BV846" s="644"/>
      <c r="BW846" s="644"/>
      <c r="BX846" s="644"/>
      <c r="BY846" s="644"/>
      <c r="BZ846" s="644"/>
      <c r="CA846" s="644"/>
      <c r="CB846" s="646">
        <f t="shared" si="260"/>
        <v>0</v>
      </c>
      <c r="CC846" s="646">
        <f t="shared" si="261"/>
        <v>0</v>
      </c>
      <c r="CD846" s="614"/>
    </row>
    <row r="847" spans="1:82" s="561" customFormat="1" ht="61.5" customHeight="1">
      <c r="A847" s="625" t="str">
        <f t="shared" si="243"/>
        <v>proyecto-Alerta: Seleccione la celda en la comumna B con el nombre del proyecto-Al-Al--</v>
      </c>
      <c r="B847" s="626" t="str">
        <f t="shared" si="244"/>
        <v>proyecto-Alerta: Seleccione la celda en la comumna B con el nombre del proyecto-Al-Al-</v>
      </c>
      <c r="C847" s="626" t="str">
        <f t="shared" si="245"/>
        <v>proyecto-Alerta: Seleccione la celda en la comumna B con el nombre del proyecto-</v>
      </c>
      <c r="D847" s="626" t="str">
        <f t="shared" si="246"/>
        <v>proyecto--Al-Al-</v>
      </c>
      <c r="E847" s="626" t="str">
        <f t="shared" si="247"/>
        <v>--</v>
      </c>
      <c r="F847" s="627"/>
      <c r="G847" s="628">
        <f t="shared" si="248"/>
        <v>0</v>
      </c>
      <c r="H847" s="629" t="b">
        <f t="shared" si="249"/>
        <v>1</v>
      </c>
      <c r="I847" s="630"/>
      <c r="J847" s="627"/>
      <c r="K847" s="631" t="str">
        <f>+IFERROR(VLOOKUP(J847,Listas!$A$108:$B$114,2,FALSE),"Alerta: Seleccione la celda en la comumna B con el nombre del proyecto")</f>
        <v>Alerta: Seleccione la celda en la comumna B con el nombre del proyecto</v>
      </c>
      <c r="L847" s="632"/>
      <c r="M847" s="633"/>
      <c r="N847" s="634" t="str">
        <f t="shared" si="250"/>
        <v xml:space="preserve">(Cód. ) </v>
      </c>
      <c r="O847" s="635"/>
      <c r="P847" s="636">
        <f>IFERROR(VLOOKUP(W847,'Estimación CRP'!$D$21:$E$30,2,FALSE),0)</f>
        <v>0</v>
      </c>
      <c r="Q847" s="637">
        <f>IF(O847="No aplica","No aplica",WORKDAY.INTL(O847,P847,1,'Estimación CRP'!A1033:A1049))</f>
        <v>0</v>
      </c>
      <c r="R847" s="636">
        <f t="shared" si="251"/>
        <v>1</v>
      </c>
      <c r="S847" s="636">
        <f t="shared" si="252"/>
        <v>1</v>
      </c>
      <c r="T847" s="636">
        <f t="shared" si="253"/>
        <v>1</v>
      </c>
      <c r="U847" s="638"/>
      <c r="V847" s="638"/>
      <c r="W847" s="639"/>
      <c r="X847" s="640" t="str">
        <f>IFERROR(VLOOKUP(W847,Listas!$A$60:$B$73,2,FALSE),"Alerta: Seleccione primero Modalidad de selección")</f>
        <v>Alerta: Seleccione primero Modalidad de selección</v>
      </c>
      <c r="Y847" s="641">
        <v>0</v>
      </c>
      <c r="Z847" s="641"/>
      <c r="AA847" s="641"/>
      <c r="AB847" s="642">
        <f t="shared" si="254"/>
        <v>0</v>
      </c>
      <c r="AC847" s="642">
        <f t="shared" si="255"/>
        <v>0</v>
      </c>
      <c r="AD847" s="641">
        <v>0</v>
      </c>
      <c r="AE847" s="643">
        <v>0</v>
      </c>
      <c r="AF847" s="639" t="s">
        <v>276</v>
      </c>
      <c r="AG847" s="639" t="s">
        <v>277</v>
      </c>
      <c r="AH847" s="639"/>
      <c r="AI847" s="626" t="str">
        <f>IFERROR(VLOOKUP(AH847,Listas!$A$77:$C$83,2,FALSE),"Alerta: Seleccione primero el responsable")</f>
        <v>Alerta: Seleccione primero el responsable</v>
      </c>
      <c r="AJ847" s="640" t="str">
        <f>IFERROR(VLOOKUP(AH847,Listas!$A$77:$C$83,3,FALSE),"Alerta: Seleccione primero el responsable")</f>
        <v>Alerta: Seleccione primero el responsable</v>
      </c>
      <c r="AK847" s="640" t="str">
        <f>IF(J847="Funcionamiento Gastos Generales","No aplica",IF(J847="Funcionamiento Servicios Personales indirectos","No aplica",IFERROR(VLOOKUP(J847,Listas!$A$127:$E$139,3,FALSE),"Alerta: Seleccione la celda en la comumna B con el nombre del proyecto")))</f>
        <v>Alerta: Seleccione la celda en la comumna B con el nombre del proyecto</v>
      </c>
      <c r="AL847" s="640" t="str">
        <f>IF(J847="Funcionamiento Gastos Generales","No aplica",IF(J847="Funcionamiento Servicios Personales","No aplica",IFERROR(VLOOKUP(J847,Listas!$A$220:$D$224,2,FALSE),"Alerta: Seleccione la celda en la comumna B con el nombre del proyecto")))</f>
        <v>Alerta: Seleccione la celda en la comumna B con el nombre del proyecto</v>
      </c>
      <c r="AM847" s="640" t="str">
        <f>IF(J847="Funcionamiento Gastos Generales","No aplica",IF(J847="Funcionamiento Servicios Personales","No aplica",IFERROR(VLOOKUP(J847,Listas!$A$220:$D$224,3,FALSE),"Alerta: Seleccione la celda en la comumna B con el nombre del proyecto")))</f>
        <v>Alerta: Seleccione la celda en la comumna B con el nombre del proyecto</v>
      </c>
      <c r="AN847" s="633"/>
      <c r="AO847" s="633"/>
      <c r="AP847" s="634" t="str">
        <f>IFERROR(VLOOKUP(J847,Listas!$A$182:$E$215,5,FALSE),"Alerta: Seleccione la celda en la comumna B con el nombre del proyecto")</f>
        <v>Alerta: Seleccione la celda en la comumna B con el nombre del proyecto</v>
      </c>
      <c r="AQ847" s="634" t="str">
        <f>IF(J847="Funcionamiento Gastos Generales","No aplica",IF(J847="Funcionamiento Servicios Personales","No aplica",IFERROR(VLOOKUP(J847,Listas!$A$220:$D$224,4,FALSE),"Alerta: Seleccione la celda en la comumna B con el nombre del proyecto")))</f>
        <v>Alerta: Seleccione la celda en la comumna B con el nombre del proyecto</v>
      </c>
      <c r="AR847" s="633"/>
      <c r="AS847" s="634" t="str">
        <f>IFERROR(VLOOKUP(AU847,Listas!$E$85:$L$105,7,FALSE),"Alerta: Seleccione la celda en la comumna AI con el concepto de gasto")</f>
        <v>Alerta: Seleccione la celda en la comumna AI con el concepto de gasto</v>
      </c>
      <c r="AT847" s="634" t="str">
        <f>IFERROR(VLOOKUP(AU847,Listas!$E$85:$L$105,8,FALSE),"Alerta: Seleccione la celda en la comumna AI con el concepto de gasto")</f>
        <v>Alerta: Seleccione la celda en la comumna AI con el concepto de gasto</v>
      </c>
      <c r="AU847" s="633"/>
      <c r="AV847" s="634" t="str">
        <f>IFERROR(VLOOKUP(AU847,Listas!$E$85:$F$105,2,FALSE),"Alerta: Seleccione el Concepto de Gasto primero")</f>
        <v>Alerta: Seleccione el Concepto de Gasto primero</v>
      </c>
      <c r="AW847" s="644"/>
      <c r="AX847" s="645"/>
      <c r="AY847" s="645"/>
      <c r="AZ847" s="645"/>
      <c r="BA847" s="646">
        <f t="shared" si="256"/>
        <v>0</v>
      </c>
      <c r="BB847" s="647"/>
      <c r="BC847" s="648"/>
      <c r="BD847" s="649"/>
      <c r="BE847" s="647"/>
      <c r="BF847" s="644"/>
      <c r="BG847" s="646">
        <f t="shared" si="257"/>
        <v>0</v>
      </c>
      <c r="BH847" s="650"/>
      <c r="BI847" s="647"/>
      <c r="BJ847" s="644"/>
      <c r="BK847" s="646">
        <f t="shared" si="258"/>
        <v>0</v>
      </c>
      <c r="BL847" s="651"/>
      <c r="BM847" s="652">
        <f t="shared" si="259"/>
        <v>1</v>
      </c>
      <c r="BN847" s="628"/>
      <c r="BO847" s="670"/>
      <c r="BP847" s="644"/>
      <c r="BQ847" s="644"/>
      <c r="BR847" s="644"/>
      <c r="BS847" s="644"/>
      <c r="BT847" s="644"/>
      <c r="BU847" s="644"/>
      <c r="BV847" s="644"/>
      <c r="BW847" s="644"/>
      <c r="BX847" s="644"/>
      <c r="BY847" s="644"/>
      <c r="BZ847" s="644"/>
      <c r="CA847" s="644"/>
      <c r="CB847" s="646">
        <f t="shared" si="260"/>
        <v>0</v>
      </c>
      <c r="CC847" s="646">
        <f t="shared" si="261"/>
        <v>0</v>
      </c>
      <c r="CD847" s="614"/>
    </row>
    <row r="848" spans="1:82" s="561" customFormat="1" ht="61.5" customHeight="1">
      <c r="A848" s="625" t="str">
        <f t="shared" si="243"/>
        <v>proyecto-Alerta: Seleccione la celda en la comumna B con el nombre del proyecto-Al-Al--</v>
      </c>
      <c r="B848" s="626" t="str">
        <f t="shared" si="244"/>
        <v>proyecto-Alerta: Seleccione la celda en la comumna B con el nombre del proyecto-Al-Al-</v>
      </c>
      <c r="C848" s="626" t="str">
        <f t="shared" si="245"/>
        <v>proyecto-Alerta: Seleccione la celda en la comumna B con el nombre del proyecto-</v>
      </c>
      <c r="D848" s="626" t="str">
        <f t="shared" si="246"/>
        <v>proyecto--Al-Al-</v>
      </c>
      <c r="E848" s="626" t="str">
        <f t="shared" si="247"/>
        <v>--</v>
      </c>
      <c r="F848" s="627"/>
      <c r="G848" s="628">
        <f t="shared" si="248"/>
        <v>0</v>
      </c>
      <c r="H848" s="629" t="b">
        <f t="shared" si="249"/>
        <v>1</v>
      </c>
      <c r="I848" s="630"/>
      <c r="J848" s="627"/>
      <c r="K848" s="631" t="str">
        <f>+IFERROR(VLOOKUP(J848,Listas!$A$108:$B$114,2,FALSE),"Alerta: Seleccione la celda en la comumna B con el nombre del proyecto")</f>
        <v>Alerta: Seleccione la celda en la comumna B con el nombre del proyecto</v>
      </c>
      <c r="L848" s="632"/>
      <c r="M848" s="633"/>
      <c r="N848" s="634" t="str">
        <f t="shared" si="250"/>
        <v xml:space="preserve">(Cód. ) </v>
      </c>
      <c r="O848" s="635"/>
      <c r="P848" s="636">
        <f>IFERROR(VLOOKUP(W848,'Estimación CRP'!$D$21:$E$30,2,FALSE),0)</f>
        <v>0</v>
      </c>
      <c r="Q848" s="637">
        <f>IF(O848="No aplica","No aplica",WORKDAY.INTL(O848,P848,1,'Estimación CRP'!A1034:A1050))</f>
        <v>0</v>
      </c>
      <c r="R848" s="636">
        <f t="shared" si="251"/>
        <v>1</v>
      </c>
      <c r="S848" s="636">
        <f t="shared" si="252"/>
        <v>1</v>
      </c>
      <c r="T848" s="636">
        <f t="shared" si="253"/>
        <v>1</v>
      </c>
      <c r="U848" s="638"/>
      <c r="V848" s="638"/>
      <c r="W848" s="639"/>
      <c r="X848" s="640" t="str">
        <f>IFERROR(VLOOKUP(W848,Listas!$A$60:$B$73,2,FALSE),"Alerta: Seleccione primero Modalidad de selección")</f>
        <v>Alerta: Seleccione primero Modalidad de selección</v>
      </c>
      <c r="Y848" s="641">
        <v>0</v>
      </c>
      <c r="Z848" s="641"/>
      <c r="AA848" s="641"/>
      <c r="AB848" s="642">
        <f t="shared" si="254"/>
        <v>0</v>
      </c>
      <c r="AC848" s="642">
        <f t="shared" si="255"/>
        <v>0</v>
      </c>
      <c r="AD848" s="641">
        <v>0</v>
      </c>
      <c r="AE848" s="643">
        <v>0</v>
      </c>
      <c r="AF848" s="639" t="s">
        <v>276</v>
      </c>
      <c r="AG848" s="639" t="s">
        <v>277</v>
      </c>
      <c r="AH848" s="639"/>
      <c r="AI848" s="626" t="str">
        <f>IFERROR(VLOOKUP(AH848,Listas!$A$77:$C$83,2,FALSE),"Alerta: Seleccione primero el responsable")</f>
        <v>Alerta: Seleccione primero el responsable</v>
      </c>
      <c r="AJ848" s="640" t="str">
        <f>IFERROR(VLOOKUP(AH848,Listas!$A$77:$C$83,3,FALSE),"Alerta: Seleccione primero el responsable")</f>
        <v>Alerta: Seleccione primero el responsable</v>
      </c>
      <c r="AK848" s="640" t="str">
        <f>IF(J848="Funcionamiento Gastos Generales","No aplica",IF(J848="Funcionamiento Servicios Personales indirectos","No aplica",IFERROR(VLOOKUP(J848,Listas!$A$127:$E$139,3,FALSE),"Alerta: Seleccione la celda en la comumna B con el nombre del proyecto")))</f>
        <v>Alerta: Seleccione la celda en la comumna B con el nombre del proyecto</v>
      </c>
      <c r="AL848" s="640" t="str">
        <f>IF(J848="Funcionamiento Gastos Generales","No aplica",IF(J848="Funcionamiento Servicios Personales","No aplica",IFERROR(VLOOKUP(J848,Listas!$A$220:$D$224,2,FALSE),"Alerta: Seleccione la celda en la comumna B con el nombre del proyecto")))</f>
        <v>Alerta: Seleccione la celda en la comumna B con el nombre del proyecto</v>
      </c>
      <c r="AM848" s="640" t="str">
        <f>IF(J848="Funcionamiento Gastos Generales","No aplica",IF(J848="Funcionamiento Servicios Personales","No aplica",IFERROR(VLOOKUP(J848,Listas!$A$220:$D$224,3,FALSE),"Alerta: Seleccione la celda en la comumna B con el nombre del proyecto")))</f>
        <v>Alerta: Seleccione la celda en la comumna B con el nombre del proyecto</v>
      </c>
      <c r="AN848" s="633"/>
      <c r="AO848" s="633"/>
      <c r="AP848" s="634" t="str">
        <f>IFERROR(VLOOKUP(J848,Listas!$A$182:$E$215,5,FALSE),"Alerta: Seleccione la celda en la comumna B con el nombre del proyecto")</f>
        <v>Alerta: Seleccione la celda en la comumna B con el nombre del proyecto</v>
      </c>
      <c r="AQ848" s="634" t="str">
        <f>IF(J848="Funcionamiento Gastos Generales","No aplica",IF(J848="Funcionamiento Servicios Personales","No aplica",IFERROR(VLOOKUP(J848,Listas!$A$220:$D$224,4,FALSE),"Alerta: Seleccione la celda en la comumna B con el nombre del proyecto")))</f>
        <v>Alerta: Seleccione la celda en la comumna B con el nombre del proyecto</v>
      </c>
      <c r="AR848" s="633"/>
      <c r="AS848" s="634" t="str">
        <f>IFERROR(VLOOKUP(AU848,Listas!$E$85:$L$105,7,FALSE),"Alerta: Seleccione la celda en la comumna AI con el concepto de gasto")</f>
        <v>Alerta: Seleccione la celda en la comumna AI con el concepto de gasto</v>
      </c>
      <c r="AT848" s="634" t="str">
        <f>IFERROR(VLOOKUP(AU848,Listas!$E$85:$L$105,8,FALSE),"Alerta: Seleccione la celda en la comumna AI con el concepto de gasto")</f>
        <v>Alerta: Seleccione la celda en la comumna AI con el concepto de gasto</v>
      </c>
      <c r="AU848" s="633"/>
      <c r="AV848" s="634" t="str">
        <f>IFERROR(VLOOKUP(AU848,Listas!$E$85:$F$105,2,FALSE),"Alerta: Seleccione el Concepto de Gasto primero")</f>
        <v>Alerta: Seleccione el Concepto de Gasto primero</v>
      </c>
      <c r="AW848" s="644"/>
      <c r="AX848" s="645"/>
      <c r="AY848" s="645"/>
      <c r="AZ848" s="645"/>
      <c r="BA848" s="646">
        <f t="shared" si="256"/>
        <v>0</v>
      </c>
      <c r="BB848" s="647"/>
      <c r="BC848" s="648"/>
      <c r="BD848" s="649"/>
      <c r="BE848" s="647"/>
      <c r="BF848" s="644"/>
      <c r="BG848" s="646">
        <f t="shared" si="257"/>
        <v>0</v>
      </c>
      <c r="BH848" s="650"/>
      <c r="BI848" s="647"/>
      <c r="BJ848" s="644"/>
      <c r="BK848" s="646">
        <f t="shared" si="258"/>
        <v>0</v>
      </c>
      <c r="BL848" s="651"/>
      <c r="BM848" s="652">
        <f t="shared" si="259"/>
        <v>1</v>
      </c>
      <c r="BN848" s="628"/>
      <c r="BO848" s="670"/>
      <c r="BP848" s="644"/>
      <c r="BQ848" s="644"/>
      <c r="BR848" s="644"/>
      <c r="BS848" s="644"/>
      <c r="BT848" s="644"/>
      <c r="BU848" s="644"/>
      <c r="BV848" s="644"/>
      <c r="BW848" s="644"/>
      <c r="BX848" s="644"/>
      <c r="BY848" s="644"/>
      <c r="BZ848" s="644"/>
      <c r="CA848" s="644"/>
      <c r="CB848" s="646">
        <f t="shared" si="260"/>
        <v>0</v>
      </c>
      <c r="CC848" s="646">
        <f t="shared" si="261"/>
        <v>0</v>
      </c>
      <c r="CD848" s="614"/>
    </row>
    <row r="849" spans="1:82" s="561" customFormat="1" ht="61.5" customHeight="1">
      <c r="A849" s="625" t="str">
        <f t="shared" si="243"/>
        <v>proyecto-Alerta: Seleccione la celda en la comumna B con el nombre del proyecto-Al-Al--</v>
      </c>
      <c r="B849" s="626" t="str">
        <f t="shared" si="244"/>
        <v>proyecto-Alerta: Seleccione la celda en la comumna B con el nombre del proyecto-Al-Al-</v>
      </c>
      <c r="C849" s="626" t="str">
        <f t="shared" si="245"/>
        <v>proyecto-Alerta: Seleccione la celda en la comumna B con el nombre del proyecto-</v>
      </c>
      <c r="D849" s="626" t="str">
        <f t="shared" si="246"/>
        <v>proyecto--Al-Al-</v>
      </c>
      <c r="E849" s="626" t="str">
        <f t="shared" si="247"/>
        <v>--</v>
      </c>
      <c r="F849" s="627"/>
      <c r="G849" s="628">
        <f t="shared" si="248"/>
        <v>0</v>
      </c>
      <c r="H849" s="629" t="b">
        <f t="shared" si="249"/>
        <v>1</v>
      </c>
      <c r="I849" s="630"/>
      <c r="J849" s="627"/>
      <c r="K849" s="631" t="str">
        <f>+IFERROR(VLOOKUP(J849,Listas!$A$108:$B$114,2,FALSE),"Alerta: Seleccione la celda en la comumna B con el nombre del proyecto")</f>
        <v>Alerta: Seleccione la celda en la comumna B con el nombre del proyecto</v>
      </c>
      <c r="L849" s="632"/>
      <c r="M849" s="633"/>
      <c r="N849" s="634" t="str">
        <f t="shared" si="250"/>
        <v xml:space="preserve">(Cód. ) </v>
      </c>
      <c r="O849" s="635"/>
      <c r="P849" s="636">
        <f>IFERROR(VLOOKUP(W849,'Estimación CRP'!$D$21:$E$30,2,FALSE),0)</f>
        <v>0</v>
      </c>
      <c r="Q849" s="637">
        <f>IF(O849="No aplica","No aplica",WORKDAY.INTL(O849,P849,1,'Estimación CRP'!A1035:A1051))</f>
        <v>0</v>
      </c>
      <c r="R849" s="636">
        <f t="shared" si="251"/>
        <v>1</v>
      </c>
      <c r="S849" s="636">
        <f t="shared" si="252"/>
        <v>1</v>
      </c>
      <c r="T849" s="636">
        <f t="shared" si="253"/>
        <v>1</v>
      </c>
      <c r="U849" s="638"/>
      <c r="V849" s="638"/>
      <c r="W849" s="639"/>
      <c r="X849" s="640" t="str">
        <f>IFERROR(VLOOKUP(W849,Listas!$A$60:$B$73,2,FALSE),"Alerta: Seleccione primero Modalidad de selección")</f>
        <v>Alerta: Seleccione primero Modalidad de selección</v>
      </c>
      <c r="Y849" s="641">
        <v>0</v>
      </c>
      <c r="Z849" s="641"/>
      <c r="AA849" s="641"/>
      <c r="AB849" s="642">
        <f t="shared" si="254"/>
        <v>0</v>
      </c>
      <c r="AC849" s="642">
        <f t="shared" si="255"/>
        <v>0</v>
      </c>
      <c r="AD849" s="641">
        <v>0</v>
      </c>
      <c r="AE849" s="643">
        <v>0</v>
      </c>
      <c r="AF849" s="639" t="s">
        <v>276</v>
      </c>
      <c r="AG849" s="639" t="s">
        <v>277</v>
      </c>
      <c r="AH849" s="639"/>
      <c r="AI849" s="626" t="str">
        <f>IFERROR(VLOOKUP(AH849,Listas!$A$77:$C$83,2,FALSE),"Alerta: Seleccione primero el responsable")</f>
        <v>Alerta: Seleccione primero el responsable</v>
      </c>
      <c r="AJ849" s="640" t="str">
        <f>IFERROR(VLOOKUP(AH849,Listas!$A$77:$C$83,3,FALSE),"Alerta: Seleccione primero el responsable")</f>
        <v>Alerta: Seleccione primero el responsable</v>
      </c>
      <c r="AK849" s="640" t="str">
        <f>IF(J849="Funcionamiento Gastos Generales","No aplica",IF(J849="Funcionamiento Servicios Personales indirectos","No aplica",IFERROR(VLOOKUP(J849,Listas!$A$127:$E$139,3,FALSE),"Alerta: Seleccione la celda en la comumna B con el nombre del proyecto")))</f>
        <v>Alerta: Seleccione la celda en la comumna B con el nombre del proyecto</v>
      </c>
      <c r="AL849" s="640" t="str">
        <f>IF(J849="Funcionamiento Gastos Generales","No aplica",IF(J849="Funcionamiento Servicios Personales","No aplica",IFERROR(VLOOKUP(J849,Listas!$A$220:$D$224,2,FALSE),"Alerta: Seleccione la celda en la comumna B con el nombre del proyecto")))</f>
        <v>Alerta: Seleccione la celda en la comumna B con el nombre del proyecto</v>
      </c>
      <c r="AM849" s="640" t="str">
        <f>IF(J849="Funcionamiento Gastos Generales","No aplica",IF(J849="Funcionamiento Servicios Personales","No aplica",IFERROR(VLOOKUP(J849,Listas!$A$220:$D$224,3,FALSE),"Alerta: Seleccione la celda en la comumna B con el nombre del proyecto")))</f>
        <v>Alerta: Seleccione la celda en la comumna B con el nombre del proyecto</v>
      </c>
      <c r="AN849" s="633"/>
      <c r="AO849" s="633"/>
      <c r="AP849" s="634" t="str">
        <f>IFERROR(VLOOKUP(J849,Listas!$A$182:$E$215,5,FALSE),"Alerta: Seleccione la celda en la comumna B con el nombre del proyecto")</f>
        <v>Alerta: Seleccione la celda en la comumna B con el nombre del proyecto</v>
      </c>
      <c r="AQ849" s="634" t="str">
        <f>IF(J849="Funcionamiento Gastos Generales","No aplica",IF(J849="Funcionamiento Servicios Personales","No aplica",IFERROR(VLOOKUP(J849,Listas!$A$220:$D$224,4,FALSE),"Alerta: Seleccione la celda en la comumna B con el nombre del proyecto")))</f>
        <v>Alerta: Seleccione la celda en la comumna B con el nombre del proyecto</v>
      </c>
      <c r="AR849" s="633"/>
      <c r="AS849" s="634" t="str">
        <f>IFERROR(VLOOKUP(AU849,Listas!$E$85:$L$105,7,FALSE),"Alerta: Seleccione la celda en la comumna AI con el concepto de gasto")</f>
        <v>Alerta: Seleccione la celda en la comumna AI con el concepto de gasto</v>
      </c>
      <c r="AT849" s="634" t="str">
        <f>IFERROR(VLOOKUP(AU849,Listas!$E$85:$L$105,8,FALSE),"Alerta: Seleccione la celda en la comumna AI con el concepto de gasto")</f>
        <v>Alerta: Seleccione la celda en la comumna AI con el concepto de gasto</v>
      </c>
      <c r="AU849" s="633"/>
      <c r="AV849" s="634" t="str">
        <f>IFERROR(VLOOKUP(AU849,Listas!$E$85:$F$105,2,FALSE),"Alerta: Seleccione el Concepto de Gasto primero")</f>
        <v>Alerta: Seleccione el Concepto de Gasto primero</v>
      </c>
      <c r="AW849" s="644"/>
      <c r="AX849" s="645"/>
      <c r="AY849" s="645"/>
      <c r="AZ849" s="645"/>
      <c r="BA849" s="646">
        <f t="shared" si="256"/>
        <v>0</v>
      </c>
      <c r="BB849" s="647"/>
      <c r="BC849" s="648"/>
      <c r="BD849" s="649"/>
      <c r="BE849" s="647"/>
      <c r="BF849" s="644"/>
      <c r="BG849" s="646">
        <f t="shared" si="257"/>
        <v>0</v>
      </c>
      <c r="BH849" s="650"/>
      <c r="BI849" s="647"/>
      <c r="BJ849" s="644"/>
      <c r="BK849" s="646">
        <f t="shared" si="258"/>
        <v>0</v>
      </c>
      <c r="BL849" s="651"/>
      <c r="BM849" s="652">
        <f t="shared" si="259"/>
        <v>1</v>
      </c>
      <c r="BN849" s="628"/>
      <c r="BO849" s="670"/>
      <c r="BP849" s="644"/>
      <c r="BQ849" s="644"/>
      <c r="BR849" s="644"/>
      <c r="BS849" s="644"/>
      <c r="BT849" s="644"/>
      <c r="BU849" s="644"/>
      <c r="BV849" s="644"/>
      <c r="BW849" s="644"/>
      <c r="BX849" s="644"/>
      <c r="BY849" s="644"/>
      <c r="BZ849" s="644"/>
      <c r="CA849" s="644"/>
      <c r="CB849" s="646">
        <f t="shared" si="260"/>
        <v>0</v>
      </c>
      <c r="CC849" s="646">
        <f t="shared" si="261"/>
        <v>0</v>
      </c>
      <c r="CD849" s="614"/>
    </row>
    <row r="850" spans="1:82" s="561" customFormat="1" ht="61.5" customHeight="1">
      <c r="A850" s="625" t="str">
        <f t="shared" si="243"/>
        <v>proyecto-Alerta: Seleccione la celda en la comumna B con el nombre del proyecto-Al-Al--</v>
      </c>
      <c r="B850" s="626" t="str">
        <f t="shared" si="244"/>
        <v>proyecto-Alerta: Seleccione la celda en la comumna B con el nombre del proyecto-Al-Al-</v>
      </c>
      <c r="C850" s="626" t="str">
        <f t="shared" si="245"/>
        <v>proyecto-Alerta: Seleccione la celda en la comumna B con el nombre del proyecto-</v>
      </c>
      <c r="D850" s="626" t="str">
        <f t="shared" si="246"/>
        <v>proyecto--Al-Al-</v>
      </c>
      <c r="E850" s="626" t="str">
        <f t="shared" si="247"/>
        <v>--</v>
      </c>
      <c r="F850" s="627"/>
      <c r="G850" s="628">
        <f t="shared" si="248"/>
        <v>0</v>
      </c>
      <c r="H850" s="629" t="b">
        <f t="shared" si="249"/>
        <v>1</v>
      </c>
      <c r="I850" s="630"/>
      <c r="J850" s="627"/>
      <c r="K850" s="631" t="str">
        <f>+IFERROR(VLOOKUP(J850,Listas!$A$108:$B$114,2,FALSE),"Alerta: Seleccione la celda en la comumna B con el nombre del proyecto")</f>
        <v>Alerta: Seleccione la celda en la comumna B con el nombre del proyecto</v>
      </c>
      <c r="L850" s="632"/>
      <c r="M850" s="633"/>
      <c r="N850" s="634" t="str">
        <f t="shared" si="250"/>
        <v xml:space="preserve">(Cód. ) </v>
      </c>
      <c r="O850" s="635"/>
      <c r="P850" s="636">
        <f>IFERROR(VLOOKUP(W850,'Estimación CRP'!$D$21:$E$30,2,FALSE),0)</f>
        <v>0</v>
      </c>
      <c r="Q850" s="637">
        <f>IF(O850="No aplica","No aplica",WORKDAY.INTL(O850,P850,1,'Estimación CRP'!A1036:A1052))</f>
        <v>0</v>
      </c>
      <c r="R850" s="636">
        <f t="shared" si="251"/>
        <v>1</v>
      </c>
      <c r="S850" s="636">
        <f t="shared" si="252"/>
        <v>1</v>
      </c>
      <c r="T850" s="636">
        <f t="shared" si="253"/>
        <v>1</v>
      </c>
      <c r="U850" s="638"/>
      <c r="V850" s="638"/>
      <c r="W850" s="639"/>
      <c r="X850" s="640" t="str">
        <f>IFERROR(VLOOKUP(W850,Listas!$A$60:$B$73,2,FALSE),"Alerta: Seleccione primero Modalidad de selección")</f>
        <v>Alerta: Seleccione primero Modalidad de selección</v>
      </c>
      <c r="Y850" s="641">
        <v>0</v>
      </c>
      <c r="Z850" s="641"/>
      <c r="AA850" s="641"/>
      <c r="AB850" s="642">
        <f t="shared" si="254"/>
        <v>0</v>
      </c>
      <c r="AC850" s="642">
        <f t="shared" si="255"/>
        <v>0</v>
      </c>
      <c r="AD850" s="641">
        <v>0</v>
      </c>
      <c r="AE850" s="643">
        <v>0</v>
      </c>
      <c r="AF850" s="639" t="s">
        <v>276</v>
      </c>
      <c r="AG850" s="639" t="s">
        <v>277</v>
      </c>
      <c r="AH850" s="639"/>
      <c r="AI850" s="626" t="str">
        <f>IFERROR(VLOOKUP(AH850,Listas!$A$77:$C$83,2,FALSE),"Alerta: Seleccione primero el responsable")</f>
        <v>Alerta: Seleccione primero el responsable</v>
      </c>
      <c r="AJ850" s="640" t="str">
        <f>IFERROR(VLOOKUP(AH850,Listas!$A$77:$C$83,3,FALSE),"Alerta: Seleccione primero el responsable")</f>
        <v>Alerta: Seleccione primero el responsable</v>
      </c>
      <c r="AK850" s="640" t="str">
        <f>IF(J850="Funcionamiento Gastos Generales","No aplica",IF(J850="Funcionamiento Servicios Personales indirectos","No aplica",IFERROR(VLOOKUP(J850,Listas!$A$127:$E$139,3,FALSE),"Alerta: Seleccione la celda en la comumna B con el nombre del proyecto")))</f>
        <v>Alerta: Seleccione la celda en la comumna B con el nombre del proyecto</v>
      </c>
      <c r="AL850" s="640" t="str">
        <f>IF(J850="Funcionamiento Gastos Generales","No aplica",IF(J850="Funcionamiento Servicios Personales","No aplica",IFERROR(VLOOKUP(J850,Listas!$A$220:$D$224,2,FALSE),"Alerta: Seleccione la celda en la comumna B con el nombre del proyecto")))</f>
        <v>Alerta: Seleccione la celda en la comumna B con el nombre del proyecto</v>
      </c>
      <c r="AM850" s="640" t="str">
        <f>IF(J850="Funcionamiento Gastos Generales","No aplica",IF(J850="Funcionamiento Servicios Personales","No aplica",IFERROR(VLOOKUP(J850,Listas!$A$220:$D$224,3,FALSE),"Alerta: Seleccione la celda en la comumna B con el nombre del proyecto")))</f>
        <v>Alerta: Seleccione la celda en la comumna B con el nombre del proyecto</v>
      </c>
      <c r="AN850" s="633"/>
      <c r="AO850" s="633"/>
      <c r="AP850" s="634" t="str">
        <f>IFERROR(VLOOKUP(J850,Listas!$A$182:$E$215,5,FALSE),"Alerta: Seleccione la celda en la comumna B con el nombre del proyecto")</f>
        <v>Alerta: Seleccione la celda en la comumna B con el nombre del proyecto</v>
      </c>
      <c r="AQ850" s="634" t="str">
        <f>IF(J850="Funcionamiento Gastos Generales","No aplica",IF(J850="Funcionamiento Servicios Personales","No aplica",IFERROR(VLOOKUP(J850,Listas!$A$220:$D$224,4,FALSE),"Alerta: Seleccione la celda en la comumna B con el nombre del proyecto")))</f>
        <v>Alerta: Seleccione la celda en la comumna B con el nombre del proyecto</v>
      </c>
      <c r="AR850" s="633"/>
      <c r="AS850" s="634" t="str">
        <f>IFERROR(VLOOKUP(AU850,Listas!$E$85:$L$105,7,FALSE),"Alerta: Seleccione la celda en la comumna AI con el concepto de gasto")</f>
        <v>Alerta: Seleccione la celda en la comumna AI con el concepto de gasto</v>
      </c>
      <c r="AT850" s="634" t="str">
        <f>IFERROR(VLOOKUP(AU850,Listas!$E$85:$L$105,8,FALSE),"Alerta: Seleccione la celda en la comumna AI con el concepto de gasto")</f>
        <v>Alerta: Seleccione la celda en la comumna AI con el concepto de gasto</v>
      </c>
      <c r="AU850" s="633"/>
      <c r="AV850" s="634" t="str">
        <f>IFERROR(VLOOKUP(AU850,Listas!$E$85:$F$105,2,FALSE),"Alerta: Seleccione el Concepto de Gasto primero")</f>
        <v>Alerta: Seleccione el Concepto de Gasto primero</v>
      </c>
      <c r="AW850" s="644"/>
      <c r="AX850" s="645"/>
      <c r="AY850" s="645"/>
      <c r="AZ850" s="645"/>
      <c r="BA850" s="646">
        <f t="shared" si="256"/>
        <v>0</v>
      </c>
      <c r="BB850" s="647"/>
      <c r="BC850" s="648"/>
      <c r="BD850" s="649"/>
      <c r="BE850" s="647"/>
      <c r="BF850" s="644"/>
      <c r="BG850" s="646">
        <f t="shared" si="257"/>
        <v>0</v>
      </c>
      <c r="BH850" s="650"/>
      <c r="BI850" s="647"/>
      <c r="BJ850" s="644"/>
      <c r="BK850" s="646">
        <f t="shared" si="258"/>
        <v>0</v>
      </c>
      <c r="BL850" s="651"/>
      <c r="BM850" s="652">
        <f t="shared" si="259"/>
        <v>1</v>
      </c>
      <c r="BN850" s="628"/>
      <c r="BO850" s="670"/>
      <c r="BP850" s="644"/>
      <c r="BQ850" s="644"/>
      <c r="BR850" s="644"/>
      <c r="BS850" s="644"/>
      <c r="BT850" s="644"/>
      <c r="BU850" s="644"/>
      <c r="BV850" s="644"/>
      <c r="BW850" s="644"/>
      <c r="BX850" s="644"/>
      <c r="BY850" s="644"/>
      <c r="BZ850" s="644"/>
      <c r="CA850" s="644"/>
      <c r="CB850" s="646">
        <f t="shared" si="260"/>
        <v>0</v>
      </c>
      <c r="CC850" s="646">
        <f t="shared" si="261"/>
        <v>0</v>
      </c>
      <c r="CD850" s="614"/>
    </row>
    <row r="851" spans="1:82" s="561" customFormat="1" ht="61.5" customHeight="1">
      <c r="A851" s="625" t="str">
        <f t="shared" si="243"/>
        <v>proyecto-Alerta: Seleccione la celda en la comumna B con el nombre del proyecto-Al-Al--</v>
      </c>
      <c r="B851" s="626" t="str">
        <f t="shared" si="244"/>
        <v>proyecto-Alerta: Seleccione la celda en la comumna B con el nombre del proyecto-Al-Al-</v>
      </c>
      <c r="C851" s="626" t="str">
        <f t="shared" si="245"/>
        <v>proyecto-Alerta: Seleccione la celda en la comumna B con el nombre del proyecto-</v>
      </c>
      <c r="D851" s="626" t="str">
        <f t="shared" si="246"/>
        <v>proyecto--Al-Al-</v>
      </c>
      <c r="E851" s="626" t="str">
        <f t="shared" si="247"/>
        <v>--</v>
      </c>
      <c r="F851" s="627"/>
      <c r="G851" s="628">
        <f t="shared" si="248"/>
        <v>0</v>
      </c>
      <c r="H851" s="629" t="b">
        <f t="shared" si="249"/>
        <v>1</v>
      </c>
      <c r="I851" s="630"/>
      <c r="J851" s="627"/>
      <c r="K851" s="631" t="str">
        <f>+IFERROR(VLOOKUP(J851,Listas!$A$108:$B$114,2,FALSE),"Alerta: Seleccione la celda en la comumna B con el nombre del proyecto")</f>
        <v>Alerta: Seleccione la celda en la comumna B con el nombre del proyecto</v>
      </c>
      <c r="L851" s="632"/>
      <c r="M851" s="633"/>
      <c r="N851" s="634" t="str">
        <f t="shared" si="250"/>
        <v xml:space="preserve">(Cód. ) </v>
      </c>
      <c r="O851" s="635"/>
      <c r="P851" s="636">
        <f>IFERROR(VLOOKUP(W851,'Estimación CRP'!$D$21:$E$30,2,FALSE),0)</f>
        <v>0</v>
      </c>
      <c r="Q851" s="637">
        <f>IF(O851="No aplica","No aplica",WORKDAY.INTL(O851,P851,1,'Estimación CRP'!A1037:A1053))</f>
        <v>0</v>
      </c>
      <c r="R851" s="636">
        <f t="shared" si="251"/>
        <v>1</v>
      </c>
      <c r="S851" s="636">
        <f t="shared" si="252"/>
        <v>1</v>
      </c>
      <c r="T851" s="636">
        <f t="shared" si="253"/>
        <v>1</v>
      </c>
      <c r="U851" s="638"/>
      <c r="V851" s="638"/>
      <c r="W851" s="639"/>
      <c r="X851" s="640" t="str">
        <f>IFERROR(VLOOKUP(W851,Listas!$A$60:$B$73,2,FALSE),"Alerta: Seleccione primero Modalidad de selección")</f>
        <v>Alerta: Seleccione primero Modalidad de selección</v>
      </c>
      <c r="Y851" s="641">
        <v>0</v>
      </c>
      <c r="Z851" s="641"/>
      <c r="AA851" s="641"/>
      <c r="AB851" s="642">
        <f t="shared" si="254"/>
        <v>0</v>
      </c>
      <c r="AC851" s="642">
        <f t="shared" si="255"/>
        <v>0</v>
      </c>
      <c r="AD851" s="641">
        <v>0</v>
      </c>
      <c r="AE851" s="643">
        <v>0</v>
      </c>
      <c r="AF851" s="639" t="s">
        <v>276</v>
      </c>
      <c r="AG851" s="639" t="s">
        <v>277</v>
      </c>
      <c r="AH851" s="639"/>
      <c r="AI851" s="626" t="str">
        <f>IFERROR(VLOOKUP(AH851,Listas!$A$77:$C$83,2,FALSE),"Alerta: Seleccione primero el responsable")</f>
        <v>Alerta: Seleccione primero el responsable</v>
      </c>
      <c r="AJ851" s="640" t="str">
        <f>IFERROR(VLOOKUP(AH851,Listas!$A$77:$C$83,3,FALSE),"Alerta: Seleccione primero el responsable")</f>
        <v>Alerta: Seleccione primero el responsable</v>
      </c>
      <c r="AK851" s="640" t="str">
        <f>IF(J851="Funcionamiento Gastos Generales","No aplica",IF(J851="Funcionamiento Servicios Personales indirectos","No aplica",IFERROR(VLOOKUP(J851,Listas!$A$127:$E$139,3,FALSE),"Alerta: Seleccione la celda en la comumna B con el nombre del proyecto")))</f>
        <v>Alerta: Seleccione la celda en la comumna B con el nombre del proyecto</v>
      </c>
      <c r="AL851" s="640" t="str">
        <f>IF(J851="Funcionamiento Gastos Generales","No aplica",IF(J851="Funcionamiento Servicios Personales","No aplica",IFERROR(VLOOKUP(J851,Listas!$A$220:$D$224,2,FALSE),"Alerta: Seleccione la celda en la comumna B con el nombre del proyecto")))</f>
        <v>Alerta: Seleccione la celda en la comumna B con el nombre del proyecto</v>
      </c>
      <c r="AM851" s="640" t="str">
        <f>IF(J851="Funcionamiento Gastos Generales","No aplica",IF(J851="Funcionamiento Servicios Personales","No aplica",IFERROR(VLOOKUP(J851,Listas!$A$220:$D$224,3,FALSE),"Alerta: Seleccione la celda en la comumna B con el nombre del proyecto")))</f>
        <v>Alerta: Seleccione la celda en la comumna B con el nombre del proyecto</v>
      </c>
      <c r="AN851" s="633"/>
      <c r="AO851" s="633"/>
      <c r="AP851" s="634" t="str">
        <f>IFERROR(VLOOKUP(J851,Listas!$A$182:$E$215,5,FALSE),"Alerta: Seleccione la celda en la comumna B con el nombre del proyecto")</f>
        <v>Alerta: Seleccione la celda en la comumna B con el nombre del proyecto</v>
      </c>
      <c r="AQ851" s="634" t="str">
        <f>IF(J851="Funcionamiento Gastos Generales","No aplica",IF(J851="Funcionamiento Servicios Personales","No aplica",IFERROR(VLOOKUP(J851,Listas!$A$220:$D$224,4,FALSE),"Alerta: Seleccione la celda en la comumna B con el nombre del proyecto")))</f>
        <v>Alerta: Seleccione la celda en la comumna B con el nombre del proyecto</v>
      </c>
      <c r="AR851" s="633"/>
      <c r="AS851" s="634" t="str">
        <f>IFERROR(VLOOKUP(AU851,Listas!$E$85:$L$105,7,FALSE),"Alerta: Seleccione la celda en la comumna AI con el concepto de gasto")</f>
        <v>Alerta: Seleccione la celda en la comumna AI con el concepto de gasto</v>
      </c>
      <c r="AT851" s="634" t="str">
        <f>IFERROR(VLOOKUP(AU851,Listas!$E$85:$L$105,8,FALSE),"Alerta: Seleccione la celda en la comumna AI con el concepto de gasto")</f>
        <v>Alerta: Seleccione la celda en la comumna AI con el concepto de gasto</v>
      </c>
      <c r="AU851" s="633"/>
      <c r="AV851" s="634" t="str">
        <f>IFERROR(VLOOKUP(AU851,Listas!$E$85:$F$105,2,FALSE),"Alerta: Seleccione el Concepto de Gasto primero")</f>
        <v>Alerta: Seleccione el Concepto de Gasto primero</v>
      </c>
      <c r="AW851" s="644"/>
      <c r="AX851" s="645"/>
      <c r="AY851" s="645"/>
      <c r="AZ851" s="645"/>
      <c r="BA851" s="646">
        <f t="shared" si="256"/>
        <v>0</v>
      </c>
      <c r="BB851" s="647"/>
      <c r="BC851" s="648"/>
      <c r="BD851" s="649"/>
      <c r="BE851" s="647"/>
      <c r="BF851" s="644"/>
      <c r="BG851" s="646">
        <f t="shared" si="257"/>
        <v>0</v>
      </c>
      <c r="BH851" s="650"/>
      <c r="BI851" s="647"/>
      <c r="BJ851" s="644"/>
      <c r="BK851" s="646">
        <f t="shared" si="258"/>
        <v>0</v>
      </c>
      <c r="BL851" s="651"/>
      <c r="BM851" s="652">
        <f t="shared" si="259"/>
        <v>1</v>
      </c>
      <c r="BN851" s="628"/>
      <c r="BO851" s="670"/>
      <c r="BP851" s="644"/>
      <c r="BQ851" s="644"/>
      <c r="BR851" s="644"/>
      <c r="BS851" s="644"/>
      <c r="BT851" s="644"/>
      <c r="BU851" s="644"/>
      <c r="BV851" s="644"/>
      <c r="BW851" s="644"/>
      <c r="BX851" s="644"/>
      <c r="BY851" s="644"/>
      <c r="BZ851" s="644"/>
      <c r="CA851" s="644"/>
      <c r="CB851" s="646">
        <f t="shared" si="260"/>
        <v>0</v>
      </c>
      <c r="CC851" s="646">
        <f t="shared" si="261"/>
        <v>0</v>
      </c>
      <c r="CD851" s="614"/>
    </row>
    <row r="852" spans="1:82" s="561" customFormat="1" ht="61.5" customHeight="1">
      <c r="A852" s="625" t="str">
        <f t="shared" si="243"/>
        <v>proyecto-Alerta: Seleccione la celda en la comumna B con el nombre del proyecto-Al-Al--</v>
      </c>
      <c r="B852" s="626" t="str">
        <f t="shared" si="244"/>
        <v>proyecto-Alerta: Seleccione la celda en la comumna B con el nombre del proyecto-Al-Al-</v>
      </c>
      <c r="C852" s="626" t="str">
        <f t="shared" si="245"/>
        <v>proyecto-Alerta: Seleccione la celda en la comumna B con el nombre del proyecto-</v>
      </c>
      <c r="D852" s="626" t="str">
        <f t="shared" si="246"/>
        <v>proyecto--Al-Al-</v>
      </c>
      <c r="E852" s="626" t="str">
        <f t="shared" si="247"/>
        <v>--</v>
      </c>
      <c r="F852" s="627"/>
      <c r="G852" s="628">
        <f t="shared" si="248"/>
        <v>0</v>
      </c>
      <c r="H852" s="629" t="b">
        <f t="shared" si="249"/>
        <v>1</v>
      </c>
      <c r="I852" s="630"/>
      <c r="J852" s="627"/>
      <c r="K852" s="631" t="str">
        <f>+IFERROR(VLOOKUP(J852,Listas!$A$108:$B$114,2,FALSE),"Alerta: Seleccione la celda en la comumna B con el nombre del proyecto")</f>
        <v>Alerta: Seleccione la celda en la comumna B con el nombre del proyecto</v>
      </c>
      <c r="L852" s="632"/>
      <c r="M852" s="633"/>
      <c r="N852" s="634" t="str">
        <f t="shared" si="250"/>
        <v xml:space="preserve">(Cód. ) </v>
      </c>
      <c r="O852" s="635"/>
      <c r="P852" s="636">
        <f>IFERROR(VLOOKUP(W852,'Estimación CRP'!$D$21:$E$30,2,FALSE),0)</f>
        <v>0</v>
      </c>
      <c r="Q852" s="637">
        <f>IF(O852="No aplica","No aplica",WORKDAY.INTL(O852,P852,1,'Estimación CRP'!A1038:A1054))</f>
        <v>0</v>
      </c>
      <c r="R852" s="636">
        <f t="shared" si="251"/>
        <v>1</v>
      </c>
      <c r="S852" s="636">
        <f t="shared" si="252"/>
        <v>1</v>
      </c>
      <c r="T852" s="636">
        <f t="shared" si="253"/>
        <v>1</v>
      </c>
      <c r="U852" s="638"/>
      <c r="V852" s="638"/>
      <c r="W852" s="639"/>
      <c r="X852" s="640" t="str">
        <f>IFERROR(VLOOKUP(W852,Listas!$A$60:$B$73,2,FALSE),"Alerta: Seleccione primero Modalidad de selección")</f>
        <v>Alerta: Seleccione primero Modalidad de selección</v>
      </c>
      <c r="Y852" s="641">
        <v>0</v>
      </c>
      <c r="Z852" s="641"/>
      <c r="AA852" s="641"/>
      <c r="AB852" s="642">
        <f t="shared" si="254"/>
        <v>0</v>
      </c>
      <c r="AC852" s="642">
        <f t="shared" si="255"/>
        <v>0</v>
      </c>
      <c r="AD852" s="641">
        <v>0</v>
      </c>
      <c r="AE852" s="643">
        <v>0</v>
      </c>
      <c r="AF852" s="639" t="s">
        <v>276</v>
      </c>
      <c r="AG852" s="639" t="s">
        <v>277</v>
      </c>
      <c r="AH852" s="639"/>
      <c r="AI852" s="626" t="str">
        <f>IFERROR(VLOOKUP(AH852,Listas!$A$77:$C$83,2,FALSE),"Alerta: Seleccione primero el responsable")</f>
        <v>Alerta: Seleccione primero el responsable</v>
      </c>
      <c r="AJ852" s="640" t="str">
        <f>IFERROR(VLOOKUP(AH852,Listas!$A$77:$C$83,3,FALSE),"Alerta: Seleccione primero el responsable")</f>
        <v>Alerta: Seleccione primero el responsable</v>
      </c>
      <c r="AK852" s="640" t="str">
        <f>IF(J852="Funcionamiento Gastos Generales","No aplica",IF(J852="Funcionamiento Servicios Personales indirectos","No aplica",IFERROR(VLOOKUP(J852,Listas!$A$127:$E$139,3,FALSE),"Alerta: Seleccione la celda en la comumna B con el nombre del proyecto")))</f>
        <v>Alerta: Seleccione la celda en la comumna B con el nombre del proyecto</v>
      </c>
      <c r="AL852" s="640" t="str">
        <f>IF(J852="Funcionamiento Gastos Generales","No aplica",IF(J852="Funcionamiento Servicios Personales","No aplica",IFERROR(VLOOKUP(J852,Listas!$A$220:$D$224,2,FALSE),"Alerta: Seleccione la celda en la comumna B con el nombre del proyecto")))</f>
        <v>Alerta: Seleccione la celda en la comumna B con el nombre del proyecto</v>
      </c>
      <c r="AM852" s="640" t="str">
        <f>IF(J852="Funcionamiento Gastos Generales","No aplica",IF(J852="Funcionamiento Servicios Personales","No aplica",IFERROR(VLOOKUP(J852,Listas!$A$220:$D$224,3,FALSE),"Alerta: Seleccione la celda en la comumna B con el nombre del proyecto")))</f>
        <v>Alerta: Seleccione la celda en la comumna B con el nombre del proyecto</v>
      </c>
      <c r="AN852" s="633"/>
      <c r="AO852" s="633"/>
      <c r="AP852" s="634" t="str">
        <f>IFERROR(VLOOKUP(J852,Listas!$A$182:$E$215,5,FALSE),"Alerta: Seleccione la celda en la comumna B con el nombre del proyecto")</f>
        <v>Alerta: Seleccione la celda en la comumna B con el nombre del proyecto</v>
      </c>
      <c r="AQ852" s="634" t="str">
        <f>IF(J852="Funcionamiento Gastos Generales","No aplica",IF(J852="Funcionamiento Servicios Personales","No aplica",IFERROR(VLOOKUP(J852,Listas!$A$220:$D$224,4,FALSE),"Alerta: Seleccione la celda en la comumna B con el nombre del proyecto")))</f>
        <v>Alerta: Seleccione la celda en la comumna B con el nombre del proyecto</v>
      </c>
      <c r="AR852" s="633"/>
      <c r="AS852" s="634" t="str">
        <f>IFERROR(VLOOKUP(AU852,Listas!$E$85:$L$105,7,FALSE),"Alerta: Seleccione la celda en la comumna AI con el concepto de gasto")</f>
        <v>Alerta: Seleccione la celda en la comumna AI con el concepto de gasto</v>
      </c>
      <c r="AT852" s="634" t="str">
        <f>IFERROR(VLOOKUP(AU852,Listas!$E$85:$L$105,8,FALSE),"Alerta: Seleccione la celda en la comumna AI con el concepto de gasto")</f>
        <v>Alerta: Seleccione la celda en la comumna AI con el concepto de gasto</v>
      </c>
      <c r="AU852" s="633"/>
      <c r="AV852" s="634" t="str">
        <f>IFERROR(VLOOKUP(AU852,Listas!$E$85:$F$105,2,FALSE),"Alerta: Seleccione el Concepto de Gasto primero")</f>
        <v>Alerta: Seleccione el Concepto de Gasto primero</v>
      </c>
      <c r="AW852" s="644"/>
      <c r="AX852" s="645"/>
      <c r="AY852" s="645"/>
      <c r="AZ852" s="645"/>
      <c r="BA852" s="646">
        <f t="shared" si="256"/>
        <v>0</v>
      </c>
      <c r="BB852" s="647"/>
      <c r="BC852" s="648"/>
      <c r="BD852" s="649"/>
      <c r="BE852" s="647"/>
      <c r="BF852" s="644"/>
      <c r="BG852" s="646">
        <f t="shared" si="257"/>
        <v>0</v>
      </c>
      <c r="BH852" s="650"/>
      <c r="BI852" s="647"/>
      <c r="BJ852" s="644"/>
      <c r="BK852" s="646">
        <f t="shared" si="258"/>
        <v>0</v>
      </c>
      <c r="BL852" s="651"/>
      <c r="BM852" s="652">
        <f t="shared" si="259"/>
        <v>1</v>
      </c>
      <c r="BN852" s="628"/>
      <c r="BO852" s="670"/>
      <c r="BP852" s="644"/>
      <c r="BQ852" s="644"/>
      <c r="BR852" s="644"/>
      <c r="BS852" s="644"/>
      <c r="BT852" s="644"/>
      <c r="BU852" s="644"/>
      <c r="BV852" s="644"/>
      <c r="BW852" s="644"/>
      <c r="BX852" s="644"/>
      <c r="BY852" s="644"/>
      <c r="BZ852" s="644"/>
      <c r="CA852" s="644"/>
      <c r="CB852" s="646">
        <f t="shared" si="260"/>
        <v>0</v>
      </c>
      <c r="CC852" s="646">
        <f t="shared" si="261"/>
        <v>0</v>
      </c>
      <c r="CD852" s="614"/>
    </row>
    <row r="853" spans="1:82" s="561" customFormat="1" ht="61.5" customHeight="1">
      <c r="A853" s="625" t="str">
        <f t="shared" si="243"/>
        <v>proyecto-Alerta: Seleccione la celda en la comumna B con el nombre del proyecto-Al-Al--</v>
      </c>
      <c r="B853" s="626" t="str">
        <f t="shared" si="244"/>
        <v>proyecto-Alerta: Seleccione la celda en la comumna B con el nombre del proyecto-Al-Al-</v>
      </c>
      <c r="C853" s="626" t="str">
        <f t="shared" si="245"/>
        <v>proyecto-Alerta: Seleccione la celda en la comumna B con el nombre del proyecto-</v>
      </c>
      <c r="D853" s="626" t="str">
        <f t="shared" si="246"/>
        <v>proyecto--Al-Al-</v>
      </c>
      <c r="E853" s="626" t="str">
        <f t="shared" si="247"/>
        <v>--</v>
      </c>
      <c r="F853" s="627"/>
      <c r="G853" s="628">
        <f t="shared" si="248"/>
        <v>0</v>
      </c>
      <c r="H853" s="629" t="b">
        <f t="shared" si="249"/>
        <v>1</v>
      </c>
      <c r="I853" s="630"/>
      <c r="J853" s="627"/>
      <c r="K853" s="631" t="str">
        <f>+IFERROR(VLOOKUP(J853,Listas!$A$108:$B$114,2,FALSE),"Alerta: Seleccione la celda en la comumna B con el nombre del proyecto")</f>
        <v>Alerta: Seleccione la celda en la comumna B con el nombre del proyecto</v>
      </c>
      <c r="L853" s="632"/>
      <c r="M853" s="633"/>
      <c r="N853" s="634" t="str">
        <f t="shared" si="250"/>
        <v xml:space="preserve">(Cód. ) </v>
      </c>
      <c r="O853" s="635"/>
      <c r="P853" s="636">
        <f>IFERROR(VLOOKUP(W853,'Estimación CRP'!$D$21:$E$30,2,FALSE),0)</f>
        <v>0</v>
      </c>
      <c r="Q853" s="637">
        <f>IF(O853="No aplica","No aplica",WORKDAY.INTL(O853,P853,1,'Estimación CRP'!A1039:A1055))</f>
        <v>0</v>
      </c>
      <c r="R853" s="636">
        <f t="shared" si="251"/>
        <v>1</v>
      </c>
      <c r="S853" s="636">
        <f t="shared" si="252"/>
        <v>1</v>
      </c>
      <c r="T853" s="636">
        <f t="shared" si="253"/>
        <v>1</v>
      </c>
      <c r="U853" s="638"/>
      <c r="V853" s="638"/>
      <c r="W853" s="639"/>
      <c r="X853" s="640" t="str">
        <f>IFERROR(VLOOKUP(W853,Listas!$A$60:$B$73,2,FALSE),"Alerta: Seleccione primero Modalidad de selección")</f>
        <v>Alerta: Seleccione primero Modalidad de selección</v>
      </c>
      <c r="Y853" s="641">
        <v>0</v>
      </c>
      <c r="Z853" s="641"/>
      <c r="AA853" s="641"/>
      <c r="AB853" s="642">
        <f t="shared" si="254"/>
        <v>0</v>
      </c>
      <c r="AC853" s="642">
        <f t="shared" si="255"/>
        <v>0</v>
      </c>
      <c r="AD853" s="641">
        <v>0</v>
      </c>
      <c r="AE853" s="643">
        <v>0</v>
      </c>
      <c r="AF853" s="639" t="s">
        <v>276</v>
      </c>
      <c r="AG853" s="639" t="s">
        <v>277</v>
      </c>
      <c r="AH853" s="639"/>
      <c r="AI853" s="626" t="str">
        <f>IFERROR(VLOOKUP(AH853,Listas!$A$77:$C$83,2,FALSE),"Alerta: Seleccione primero el responsable")</f>
        <v>Alerta: Seleccione primero el responsable</v>
      </c>
      <c r="AJ853" s="640" t="str">
        <f>IFERROR(VLOOKUP(AH853,Listas!$A$77:$C$83,3,FALSE),"Alerta: Seleccione primero el responsable")</f>
        <v>Alerta: Seleccione primero el responsable</v>
      </c>
      <c r="AK853" s="640" t="str">
        <f>IF(J853="Funcionamiento Gastos Generales","No aplica",IF(J853="Funcionamiento Servicios Personales indirectos","No aplica",IFERROR(VLOOKUP(J853,Listas!$A$127:$E$139,3,FALSE),"Alerta: Seleccione la celda en la comumna B con el nombre del proyecto")))</f>
        <v>Alerta: Seleccione la celda en la comumna B con el nombre del proyecto</v>
      </c>
      <c r="AL853" s="640" t="str">
        <f>IF(J853="Funcionamiento Gastos Generales","No aplica",IF(J853="Funcionamiento Servicios Personales","No aplica",IFERROR(VLOOKUP(J853,Listas!$A$220:$D$224,2,FALSE),"Alerta: Seleccione la celda en la comumna B con el nombre del proyecto")))</f>
        <v>Alerta: Seleccione la celda en la comumna B con el nombre del proyecto</v>
      </c>
      <c r="AM853" s="640" t="str">
        <f>IF(J853="Funcionamiento Gastos Generales","No aplica",IF(J853="Funcionamiento Servicios Personales","No aplica",IFERROR(VLOOKUP(J853,Listas!$A$220:$D$224,3,FALSE),"Alerta: Seleccione la celda en la comumna B con el nombre del proyecto")))</f>
        <v>Alerta: Seleccione la celda en la comumna B con el nombre del proyecto</v>
      </c>
      <c r="AN853" s="633"/>
      <c r="AO853" s="633"/>
      <c r="AP853" s="634" t="str">
        <f>IFERROR(VLOOKUP(J853,Listas!$A$182:$E$215,5,FALSE),"Alerta: Seleccione la celda en la comumna B con el nombre del proyecto")</f>
        <v>Alerta: Seleccione la celda en la comumna B con el nombre del proyecto</v>
      </c>
      <c r="AQ853" s="634" t="str">
        <f>IF(J853="Funcionamiento Gastos Generales","No aplica",IF(J853="Funcionamiento Servicios Personales","No aplica",IFERROR(VLOOKUP(J853,Listas!$A$220:$D$224,4,FALSE),"Alerta: Seleccione la celda en la comumna B con el nombre del proyecto")))</f>
        <v>Alerta: Seleccione la celda en la comumna B con el nombre del proyecto</v>
      </c>
      <c r="AR853" s="633"/>
      <c r="AS853" s="634" t="str">
        <f>IFERROR(VLOOKUP(AU853,Listas!$E$85:$L$105,7,FALSE),"Alerta: Seleccione la celda en la comumna AI con el concepto de gasto")</f>
        <v>Alerta: Seleccione la celda en la comumna AI con el concepto de gasto</v>
      </c>
      <c r="AT853" s="634" t="str">
        <f>IFERROR(VLOOKUP(AU853,Listas!$E$85:$L$105,8,FALSE),"Alerta: Seleccione la celda en la comumna AI con el concepto de gasto")</f>
        <v>Alerta: Seleccione la celda en la comumna AI con el concepto de gasto</v>
      </c>
      <c r="AU853" s="633"/>
      <c r="AV853" s="634" t="str">
        <f>IFERROR(VLOOKUP(AU853,Listas!$E$85:$F$105,2,FALSE),"Alerta: Seleccione el Concepto de Gasto primero")</f>
        <v>Alerta: Seleccione el Concepto de Gasto primero</v>
      </c>
      <c r="AW853" s="644"/>
      <c r="AX853" s="645"/>
      <c r="AY853" s="645"/>
      <c r="AZ853" s="645"/>
      <c r="BA853" s="646">
        <f t="shared" si="256"/>
        <v>0</v>
      </c>
      <c r="BB853" s="647"/>
      <c r="BC853" s="648"/>
      <c r="BD853" s="649"/>
      <c r="BE853" s="647"/>
      <c r="BF853" s="644"/>
      <c r="BG853" s="646">
        <f t="shared" si="257"/>
        <v>0</v>
      </c>
      <c r="BH853" s="650"/>
      <c r="BI853" s="647"/>
      <c r="BJ853" s="644"/>
      <c r="BK853" s="646">
        <f t="shared" si="258"/>
        <v>0</v>
      </c>
      <c r="BL853" s="651"/>
      <c r="BM853" s="652">
        <f t="shared" si="259"/>
        <v>1</v>
      </c>
      <c r="BN853" s="628"/>
      <c r="BO853" s="670"/>
      <c r="BP853" s="644"/>
      <c r="BQ853" s="644"/>
      <c r="BR853" s="644"/>
      <c r="BS853" s="644"/>
      <c r="BT853" s="644"/>
      <c r="BU853" s="644"/>
      <c r="BV853" s="644"/>
      <c r="BW853" s="644"/>
      <c r="BX853" s="644"/>
      <c r="BY853" s="644"/>
      <c r="BZ853" s="644"/>
      <c r="CA853" s="644"/>
      <c r="CB853" s="646">
        <f t="shared" si="260"/>
        <v>0</v>
      </c>
      <c r="CC853" s="646">
        <f t="shared" si="261"/>
        <v>0</v>
      </c>
      <c r="CD853" s="614"/>
    </row>
    <row r="854" spans="1:82" s="561" customFormat="1" ht="61.5" customHeight="1">
      <c r="A854" s="625" t="str">
        <f t="shared" si="243"/>
        <v>proyecto-Alerta: Seleccione la celda en la comumna B con el nombre del proyecto-Al-Al--</v>
      </c>
      <c r="B854" s="626" t="str">
        <f t="shared" si="244"/>
        <v>proyecto-Alerta: Seleccione la celda en la comumna B con el nombre del proyecto-Al-Al-</v>
      </c>
      <c r="C854" s="626" t="str">
        <f t="shared" si="245"/>
        <v>proyecto-Alerta: Seleccione la celda en la comumna B con el nombre del proyecto-</v>
      </c>
      <c r="D854" s="626" t="str">
        <f t="shared" si="246"/>
        <v>proyecto--Al-Al-</v>
      </c>
      <c r="E854" s="626" t="str">
        <f t="shared" si="247"/>
        <v>--</v>
      </c>
      <c r="F854" s="627"/>
      <c r="G854" s="628">
        <f t="shared" si="248"/>
        <v>0</v>
      </c>
      <c r="H854" s="629" t="b">
        <f t="shared" si="249"/>
        <v>1</v>
      </c>
      <c r="I854" s="630"/>
      <c r="J854" s="627"/>
      <c r="K854" s="631" t="str">
        <f>+IFERROR(VLOOKUP(J854,Listas!$A$108:$B$114,2,FALSE),"Alerta: Seleccione la celda en la comumna B con el nombre del proyecto")</f>
        <v>Alerta: Seleccione la celda en la comumna B con el nombre del proyecto</v>
      </c>
      <c r="L854" s="632"/>
      <c r="M854" s="633"/>
      <c r="N854" s="634" t="str">
        <f t="shared" si="250"/>
        <v xml:space="preserve">(Cód. ) </v>
      </c>
      <c r="O854" s="635"/>
      <c r="P854" s="636">
        <f>IFERROR(VLOOKUP(W854,'Estimación CRP'!$D$21:$E$30,2,FALSE),0)</f>
        <v>0</v>
      </c>
      <c r="Q854" s="637">
        <f>IF(O854="No aplica","No aplica",WORKDAY.INTL(O854,P854,1,'Estimación CRP'!A1040:A1056))</f>
        <v>0</v>
      </c>
      <c r="R854" s="636">
        <f t="shared" si="251"/>
        <v>1</v>
      </c>
      <c r="S854" s="636">
        <f t="shared" si="252"/>
        <v>1</v>
      </c>
      <c r="T854" s="636">
        <f t="shared" si="253"/>
        <v>1</v>
      </c>
      <c r="U854" s="638"/>
      <c r="V854" s="638"/>
      <c r="W854" s="639"/>
      <c r="X854" s="640" t="str">
        <f>IFERROR(VLOOKUP(W854,Listas!$A$60:$B$73,2,FALSE),"Alerta: Seleccione primero Modalidad de selección")</f>
        <v>Alerta: Seleccione primero Modalidad de selección</v>
      </c>
      <c r="Y854" s="641">
        <v>0</v>
      </c>
      <c r="Z854" s="641"/>
      <c r="AA854" s="641"/>
      <c r="AB854" s="642">
        <f t="shared" si="254"/>
        <v>0</v>
      </c>
      <c r="AC854" s="642">
        <f t="shared" si="255"/>
        <v>0</v>
      </c>
      <c r="AD854" s="641">
        <v>0</v>
      </c>
      <c r="AE854" s="643">
        <v>0</v>
      </c>
      <c r="AF854" s="639" t="s">
        <v>276</v>
      </c>
      <c r="AG854" s="639" t="s">
        <v>277</v>
      </c>
      <c r="AH854" s="639"/>
      <c r="AI854" s="626" t="str">
        <f>IFERROR(VLOOKUP(AH854,Listas!$A$77:$C$83,2,FALSE),"Alerta: Seleccione primero el responsable")</f>
        <v>Alerta: Seleccione primero el responsable</v>
      </c>
      <c r="AJ854" s="640" t="str">
        <f>IFERROR(VLOOKUP(AH854,Listas!$A$77:$C$83,3,FALSE),"Alerta: Seleccione primero el responsable")</f>
        <v>Alerta: Seleccione primero el responsable</v>
      </c>
      <c r="AK854" s="640" t="str">
        <f>IF(J854="Funcionamiento Gastos Generales","No aplica",IF(J854="Funcionamiento Servicios Personales indirectos","No aplica",IFERROR(VLOOKUP(J854,Listas!$A$127:$E$139,3,FALSE),"Alerta: Seleccione la celda en la comumna B con el nombre del proyecto")))</f>
        <v>Alerta: Seleccione la celda en la comumna B con el nombre del proyecto</v>
      </c>
      <c r="AL854" s="640" t="str">
        <f>IF(J854="Funcionamiento Gastos Generales","No aplica",IF(J854="Funcionamiento Servicios Personales","No aplica",IFERROR(VLOOKUP(J854,Listas!$A$220:$D$224,2,FALSE),"Alerta: Seleccione la celda en la comumna B con el nombre del proyecto")))</f>
        <v>Alerta: Seleccione la celda en la comumna B con el nombre del proyecto</v>
      </c>
      <c r="AM854" s="640" t="str">
        <f>IF(J854="Funcionamiento Gastos Generales","No aplica",IF(J854="Funcionamiento Servicios Personales","No aplica",IFERROR(VLOOKUP(J854,Listas!$A$220:$D$224,3,FALSE),"Alerta: Seleccione la celda en la comumna B con el nombre del proyecto")))</f>
        <v>Alerta: Seleccione la celda en la comumna B con el nombre del proyecto</v>
      </c>
      <c r="AN854" s="633"/>
      <c r="AO854" s="633"/>
      <c r="AP854" s="634" t="str">
        <f>IFERROR(VLOOKUP(J854,Listas!$A$182:$E$215,5,FALSE),"Alerta: Seleccione la celda en la comumna B con el nombre del proyecto")</f>
        <v>Alerta: Seleccione la celda en la comumna B con el nombre del proyecto</v>
      </c>
      <c r="AQ854" s="634" t="str">
        <f>IF(J854="Funcionamiento Gastos Generales","No aplica",IF(J854="Funcionamiento Servicios Personales","No aplica",IFERROR(VLOOKUP(J854,Listas!$A$220:$D$224,4,FALSE),"Alerta: Seleccione la celda en la comumna B con el nombre del proyecto")))</f>
        <v>Alerta: Seleccione la celda en la comumna B con el nombre del proyecto</v>
      </c>
      <c r="AR854" s="633"/>
      <c r="AS854" s="634" t="str">
        <f>IFERROR(VLOOKUP(AU854,Listas!$E$85:$L$105,7,FALSE),"Alerta: Seleccione la celda en la comumna AI con el concepto de gasto")</f>
        <v>Alerta: Seleccione la celda en la comumna AI con el concepto de gasto</v>
      </c>
      <c r="AT854" s="634" t="str">
        <f>IFERROR(VLOOKUP(AU854,Listas!$E$85:$L$105,8,FALSE),"Alerta: Seleccione la celda en la comumna AI con el concepto de gasto")</f>
        <v>Alerta: Seleccione la celda en la comumna AI con el concepto de gasto</v>
      </c>
      <c r="AU854" s="633"/>
      <c r="AV854" s="634" t="str">
        <f>IFERROR(VLOOKUP(AU854,Listas!$E$85:$F$105,2,FALSE),"Alerta: Seleccione el Concepto de Gasto primero")</f>
        <v>Alerta: Seleccione el Concepto de Gasto primero</v>
      </c>
      <c r="AW854" s="644"/>
      <c r="AX854" s="645"/>
      <c r="AY854" s="645"/>
      <c r="AZ854" s="645"/>
      <c r="BA854" s="646">
        <f t="shared" si="256"/>
        <v>0</v>
      </c>
      <c r="BB854" s="647"/>
      <c r="BC854" s="648"/>
      <c r="BD854" s="649"/>
      <c r="BE854" s="647"/>
      <c r="BF854" s="644"/>
      <c r="BG854" s="646">
        <f t="shared" si="257"/>
        <v>0</v>
      </c>
      <c r="BH854" s="650"/>
      <c r="BI854" s="647"/>
      <c r="BJ854" s="644"/>
      <c r="BK854" s="646">
        <f t="shared" si="258"/>
        <v>0</v>
      </c>
      <c r="BL854" s="651"/>
      <c r="BM854" s="652">
        <f t="shared" si="259"/>
        <v>1</v>
      </c>
      <c r="BN854" s="628"/>
      <c r="BO854" s="670"/>
      <c r="BP854" s="644"/>
      <c r="BQ854" s="644"/>
      <c r="BR854" s="644"/>
      <c r="BS854" s="644"/>
      <c r="BT854" s="644"/>
      <c r="BU854" s="644"/>
      <c r="BV854" s="644"/>
      <c r="BW854" s="644"/>
      <c r="BX854" s="644"/>
      <c r="BY854" s="644"/>
      <c r="BZ854" s="644"/>
      <c r="CA854" s="644"/>
      <c r="CB854" s="646">
        <f t="shared" si="260"/>
        <v>0</v>
      </c>
      <c r="CC854" s="646">
        <f t="shared" si="261"/>
        <v>0</v>
      </c>
      <c r="CD854" s="614"/>
    </row>
    <row r="855" spans="1:82" s="561" customFormat="1" ht="61.5" customHeight="1">
      <c r="A855" s="625" t="str">
        <f t="shared" si="243"/>
        <v>proyecto-Alerta: Seleccione la celda en la comumna B con el nombre del proyecto-Al-Al--</v>
      </c>
      <c r="B855" s="626" t="str">
        <f t="shared" si="244"/>
        <v>proyecto-Alerta: Seleccione la celda en la comumna B con el nombre del proyecto-Al-Al-</v>
      </c>
      <c r="C855" s="626" t="str">
        <f t="shared" si="245"/>
        <v>proyecto-Alerta: Seleccione la celda en la comumna B con el nombre del proyecto-</v>
      </c>
      <c r="D855" s="626" t="str">
        <f t="shared" si="246"/>
        <v>proyecto--Al-Al-</v>
      </c>
      <c r="E855" s="626" t="str">
        <f t="shared" si="247"/>
        <v>--</v>
      </c>
      <c r="F855" s="627"/>
      <c r="G855" s="628">
        <f t="shared" si="248"/>
        <v>0</v>
      </c>
      <c r="H855" s="629" t="b">
        <f t="shared" si="249"/>
        <v>1</v>
      </c>
      <c r="I855" s="630"/>
      <c r="J855" s="627"/>
      <c r="K855" s="631" t="str">
        <f>+IFERROR(VLOOKUP(J855,Listas!$A$108:$B$114,2,FALSE),"Alerta: Seleccione la celda en la comumna B con el nombre del proyecto")</f>
        <v>Alerta: Seleccione la celda en la comumna B con el nombre del proyecto</v>
      </c>
      <c r="L855" s="632"/>
      <c r="M855" s="633"/>
      <c r="N855" s="634" t="str">
        <f t="shared" si="250"/>
        <v xml:space="preserve">(Cód. ) </v>
      </c>
      <c r="O855" s="635"/>
      <c r="P855" s="636">
        <f>IFERROR(VLOOKUP(W855,'Estimación CRP'!$D$21:$E$30,2,FALSE),0)</f>
        <v>0</v>
      </c>
      <c r="Q855" s="637">
        <f>IF(O855="No aplica","No aplica",WORKDAY.INTL(O855,P855,1,'Estimación CRP'!A1041:A1057))</f>
        <v>0</v>
      </c>
      <c r="R855" s="636">
        <f t="shared" si="251"/>
        <v>1</v>
      </c>
      <c r="S855" s="636">
        <f t="shared" si="252"/>
        <v>1</v>
      </c>
      <c r="T855" s="636">
        <f t="shared" si="253"/>
        <v>1</v>
      </c>
      <c r="U855" s="638"/>
      <c r="V855" s="638"/>
      <c r="W855" s="639"/>
      <c r="X855" s="640" t="str">
        <f>IFERROR(VLOOKUP(W855,Listas!$A$60:$B$73,2,FALSE),"Alerta: Seleccione primero Modalidad de selección")</f>
        <v>Alerta: Seleccione primero Modalidad de selección</v>
      </c>
      <c r="Y855" s="641">
        <v>0</v>
      </c>
      <c r="Z855" s="641"/>
      <c r="AA855" s="641"/>
      <c r="AB855" s="642">
        <f t="shared" si="254"/>
        <v>0</v>
      </c>
      <c r="AC855" s="642">
        <f t="shared" si="255"/>
        <v>0</v>
      </c>
      <c r="AD855" s="641">
        <v>0</v>
      </c>
      <c r="AE855" s="643">
        <v>0</v>
      </c>
      <c r="AF855" s="639" t="s">
        <v>276</v>
      </c>
      <c r="AG855" s="639" t="s">
        <v>277</v>
      </c>
      <c r="AH855" s="639"/>
      <c r="AI855" s="626" t="str">
        <f>IFERROR(VLOOKUP(AH855,Listas!$A$77:$C$83,2,FALSE),"Alerta: Seleccione primero el responsable")</f>
        <v>Alerta: Seleccione primero el responsable</v>
      </c>
      <c r="AJ855" s="640" t="str">
        <f>IFERROR(VLOOKUP(AH855,Listas!$A$77:$C$83,3,FALSE),"Alerta: Seleccione primero el responsable")</f>
        <v>Alerta: Seleccione primero el responsable</v>
      </c>
      <c r="AK855" s="640" t="str">
        <f>IF(J855="Funcionamiento Gastos Generales","No aplica",IF(J855="Funcionamiento Servicios Personales indirectos","No aplica",IFERROR(VLOOKUP(J855,Listas!$A$127:$E$139,3,FALSE),"Alerta: Seleccione la celda en la comumna B con el nombre del proyecto")))</f>
        <v>Alerta: Seleccione la celda en la comumna B con el nombre del proyecto</v>
      </c>
      <c r="AL855" s="640" t="str">
        <f>IF(J855="Funcionamiento Gastos Generales","No aplica",IF(J855="Funcionamiento Servicios Personales","No aplica",IFERROR(VLOOKUP(J855,Listas!$A$220:$D$224,2,FALSE),"Alerta: Seleccione la celda en la comumna B con el nombre del proyecto")))</f>
        <v>Alerta: Seleccione la celda en la comumna B con el nombre del proyecto</v>
      </c>
      <c r="AM855" s="640" t="str">
        <f>IF(J855="Funcionamiento Gastos Generales","No aplica",IF(J855="Funcionamiento Servicios Personales","No aplica",IFERROR(VLOOKUP(J855,Listas!$A$220:$D$224,3,FALSE),"Alerta: Seleccione la celda en la comumna B con el nombre del proyecto")))</f>
        <v>Alerta: Seleccione la celda en la comumna B con el nombre del proyecto</v>
      </c>
      <c r="AN855" s="633"/>
      <c r="AO855" s="633"/>
      <c r="AP855" s="634" t="str">
        <f>IFERROR(VLOOKUP(J855,Listas!$A$182:$E$215,5,FALSE),"Alerta: Seleccione la celda en la comumna B con el nombre del proyecto")</f>
        <v>Alerta: Seleccione la celda en la comumna B con el nombre del proyecto</v>
      </c>
      <c r="AQ855" s="634" t="str">
        <f>IF(J855="Funcionamiento Gastos Generales","No aplica",IF(J855="Funcionamiento Servicios Personales","No aplica",IFERROR(VLOOKUP(J855,Listas!$A$220:$D$224,4,FALSE),"Alerta: Seleccione la celda en la comumna B con el nombre del proyecto")))</f>
        <v>Alerta: Seleccione la celda en la comumna B con el nombre del proyecto</v>
      </c>
      <c r="AR855" s="633"/>
      <c r="AS855" s="634" t="str">
        <f>IFERROR(VLOOKUP(AU855,Listas!$E$85:$L$105,7,FALSE),"Alerta: Seleccione la celda en la comumna AI con el concepto de gasto")</f>
        <v>Alerta: Seleccione la celda en la comumna AI con el concepto de gasto</v>
      </c>
      <c r="AT855" s="634" t="str">
        <f>IFERROR(VLOOKUP(AU855,Listas!$E$85:$L$105,8,FALSE),"Alerta: Seleccione la celda en la comumna AI con el concepto de gasto")</f>
        <v>Alerta: Seleccione la celda en la comumna AI con el concepto de gasto</v>
      </c>
      <c r="AU855" s="633"/>
      <c r="AV855" s="634" t="str">
        <f>IFERROR(VLOOKUP(AU855,Listas!$E$85:$F$105,2,FALSE),"Alerta: Seleccione el Concepto de Gasto primero")</f>
        <v>Alerta: Seleccione el Concepto de Gasto primero</v>
      </c>
      <c r="AW855" s="644"/>
      <c r="AX855" s="645"/>
      <c r="AY855" s="645"/>
      <c r="AZ855" s="645"/>
      <c r="BA855" s="646">
        <f t="shared" si="256"/>
        <v>0</v>
      </c>
      <c r="BB855" s="647"/>
      <c r="BC855" s="648"/>
      <c r="BD855" s="649"/>
      <c r="BE855" s="647"/>
      <c r="BF855" s="644"/>
      <c r="BG855" s="646">
        <f t="shared" si="257"/>
        <v>0</v>
      </c>
      <c r="BH855" s="650"/>
      <c r="BI855" s="647"/>
      <c r="BJ855" s="644"/>
      <c r="BK855" s="646">
        <f t="shared" si="258"/>
        <v>0</v>
      </c>
      <c r="BL855" s="651"/>
      <c r="BM855" s="652">
        <f t="shared" si="259"/>
        <v>1</v>
      </c>
      <c r="BN855" s="628"/>
      <c r="BO855" s="670"/>
      <c r="BP855" s="644"/>
      <c r="BQ855" s="644"/>
      <c r="BR855" s="644"/>
      <c r="BS855" s="644"/>
      <c r="BT855" s="644"/>
      <c r="BU855" s="644"/>
      <c r="BV855" s="644"/>
      <c r="BW855" s="644"/>
      <c r="BX855" s="644"/>
      <c r="BY855" s="644"/>
      <c r="BZ855" s="644"/>
      <c r="CA855" s="644"/>
      <c r="CB855" s="646">
        <f t="shared" si="260"/>
        <v>0</v>
      </c>
      <c r="CC855" s="646">
        <f t="shared" si="261"/>
        <v>0</v>
      </c>
      <c r="CD855" s="614"/>
    </row>
    <row r="856" spans="1:82" s="561" customFormat="1" ht="61.5" customHeight="1">
      <c r="A856" s="625" t="str">
        <f t="shared" si="243"/>
        <v>proyecto-Alerta: Seleccione la celda en la comumna B con el nombre del proyecto-Al-Al--</v>
      </c>
      <c r="B856" s="626" t="str">
        <f t="shared" si="244"/>
        <v>proyecto-Alerta: Seleccione la celda en la comumna B con el nombre del proyecto-Al-Al-</v>
      </c>
      <c r="C856" s="626" t="str">
        <f t="shared" si="245"/>
        <v>proyecto-Alerta: Seleccione la celda en la comumna B con el nombre del proyecto-</v>
      </c>
      <c r="D856" s="626" t="str">
        <f t="shared" si="246"/>
        <v>proyecto--Al-Al-</v>
      </c>
      <c r="E856" s="626" t="str">
        <f t="shared" si="247"/>
        <v>--</v>
      </c>
      <c r="F856" s="627"/>
      <c r="G856" s="628">
        <f t="shared" si="248"/>
        <v>0</v>
      </c>
      <c r="H856" s="629" t="b">
        <f t="shared" si="249"/>
        <v>1</v>
      </c>
      <c r="I856" s="630"/>
      <c r="J856" s="627"/>
      <c r="K856" s="631" t="str">
        <f>+IFERROR(VLOOKUP(J856,Listas!$A$108:$B$114,2,FALSE),"Alerta: Seleccione la celda en la comumna B con el nombre del proyecto")</f>
        <v>Alerta: Seleccione la celda en la comumna B con el nombre del proyecto</v>
      </c>
      <c r="L856" s="632"/>
      <c r="M856" s="633"/>
      <c r="N856" s="634" t="str">
        <f t="shared" si="250"/>
        <v xml:space="preserve">(Cód. ) </v>
      </c>
      <c r="O856" s="635"/>
      <c r="P856" s="636">
        <f>IFERROR(VLOOKUP(W856,'Estimación CRP'!$D$21:$E$30,2,FALSE),0)</f>
        <v>0</v>
      </c>
      <c r="Q856" s="637">
        <f>IF(O856="No aplica","No aplica",WORKDAY.INTL(O856,P856,1,'Estimación CRP'!A1042:A1058))</f>
        <v>0</v>
      </c>
      <c r="R856" s="636">
        <f t="shared" si="251"/>
        <v>1</v>
      </c>
      <c r="S856" s="636">
        <f t="shared" si="252"/>
        <v>1</v>
      </c>
      <c r="T856" s="636">
        <f t="shared" si="253"/>
        <v>1</v>
      </c>
      <c r="U856" s="638"/>
      <c r="V856" s="638"/>
      <c r="W856" s="639"/>
      <c r="X856" s="640" t="str">
        <f>IFERROR(VLOOKUP(W856,Listas!$A$60:$B$73,2,FALSE),"Alerta: Seleccione primero Modalidad de selección")</f>
        <v>Alerta: Seleccione primero Modalidad de selección</v>
      </c>
      <c r="Y856" s="641">
        <v>0</v>
      </c>
      <c r="Z856" s="641"/>
      <c r="AA856" s="641"/>
      <c r="AB856" s="642">
        <f t="shared" si="254"/>
        <v>0</v>
      </c>
      <c r="AC856" s="642">
        <f t="shared" si="255"/>
        <v>0</v>
      </c>
      <c r="AD856" s="641">
        <v>0</v>
      </c>
      <c r="AE856" s="643">
        <v>0</v>
      </c>
      <c r="AF856" s="639" t="s">
        <v>276</v>
      </c>
      <c r="AG856" s="639" t="s">
        <v>277</v>
      </c>
      <c r="AH856" s="639"/>
      <c r="AI856" s="626" t="str">
        <f>IFERROR(VLOOKUP(AH856,Listas!$A$77:$C$83,2,FALSE),"Alerta: Seleccione primero el responsable")</f>
        <v>Alerta: Seleccione primero el responsable</v>
      </c>
      <c r="AJ856" s="640" t="str">
        <f>IFERROR(VLOOKUP(AH856,Listas!$A$77:$C$83,3,FALSE),"Alerta: Seleccione primero el responsable")</f>
        <v>Alerta: Seleccione primero el responsable</v>
      </c>
      <c r="AK856" s="640" t="str">
        <f>IF(J856="Funcionamiento Gastos Generales","No aplica",IF(J856="Funcionamiento Servicios Personales indirectos","No aplica",IFERROR(VLOOKUP(J856,Listas!$A$127:$E$139,3,FALSE),"Alerta: Seleccione la celda en la comumna B con el nombre del proyecto")))</f>
        <v>Alerta: Seleccione la celda en la comumna B con el nombre del proyecto</v>
      </c>
      <c r="AL856" s="640" t="str">
        <f>IF(J856="Funcionamiento Gastos Generales","No aplica",IF(J856="Funcionamiento Servicios Personales","No aplica",IFERROR(VLOOKUP(J856,Listas!$A$220:$D$224,2,FALSE),"Alerta: Seleccione la celda en la comumna B con el nombre del proyecto")))</f>
        <v>Alerta: Seleccione la celda en la comumna B con el nombre del proyecto</v>
      </c>
      <c r="AM856" s="640" t="str">
        <f>IF(J856="Funcionamiento Gastos Generales","No aplica",IF(J856="Funcionamiento Servicios Personales","No aplica",IFERROR(VLOOKUP(J856,Listas!$A$220:$D$224,3,FALSE),"Alerta: Seleccione la celda en la comumna B con el nombre del proyecto")))</f>
        <v>Alerta: Seleccione la celda en la comumna B con el nombre del proyecto</v>
      </c>
      <c r="AN856" s="633"/>
      <c r="AO856" s="633"/>
      <c r="AP856" s="634" t="str">
        <f>IFERROR(VLOOKUP(J856,Listas!$A$182:$E$215,5,FALSE),"Alerta: Seleccione la celda en la comumna B con el nombre del proyecto")</f>
        <v>Alerta: Seleccione la celda en la comumna B con el nombre del proyecto</v>
      </c>
      <c r="AQ856" s="634" t="str">
        <f>IF(J856="Funcionamiento Gastos Generales","No aplica",IF(J856="Funcionamiento Servicios Personales","No aplica",IFERROR(VLOOKUP(J856,Listas!$A$220:$D$224,4,FALSE),"Alerta: Seleccione la celda en la comumna B con el nombre del proyecto")))</f>
        <v>Alerta: Seleccione la celda en la comumna B con el nombre del proyecto</v>
      </c>
      <c r="AR856" s="633"/>
      <c r="AS856" s="634" t="str">
        <f>IFERROR(VLOOKUP(AU856,Listas!$E$85:$L$105,7,FALSE),"Alerta: Seleccione la celda en la comumna AI con el concepto de gasto")</f>
        <v>Alerta: Seleccione la celda en la comumna AI con el concepto de gasto</v>
      </c>
      <c r="AT856" s="634" t="str">
        <f>IFERROR(VLOOKUP(AU856,Listas!$E$85:$L$105,8,FALSE),"Alerta: Seleccione la celda en la comumna AI con el concepto de gasto")</f>
        <v>Alerta: Seleccione la celda en la comumna AI con el concepto de gasto</v>
      </c>
      <c r="AU856" s="633"/>
      <c r="AV856" s="634" t="str">
        <f>IFERROR(VLOOKUP(AU856,Listas!$E$85:$F$105,2,FALSE),"Alerta: Seleccione el Concepto de Gasto primero")</f>
        <v>Alerta: Seleccione el Concepto de Gasto primero</v>
      </c>
      <c r="AW856" s="644"/>
      <c r="AX856" s="645"/>
      <c r="AY856" s="645"/>
      <c r="AZ856" s="645"/>
      <c r="BA856" s="646">
        <f t="shared" si="256"/>
        <v>0</v>
      </c>
      <c r="BB856" s="647"/>
      <c r="BC856" s="648"/>
      <c r="BD856" s="649"/>
      <c r="BE856" s="647"/>
      <c r="BF856" s="644"/>
      <c r="BG856" s="646">
        <f t="shared" si="257"/>
        <v>0</v>
      </c>
      <c r="BH856" s="650"/>
      <c r="BI856" s="647"/>
      <c r="BJ856" s="644"/>
      <c r="BK856" s="646">
        <f t="shared" si="258"/>
        <v>0</v>
      </c>
      <c r="BL856" s="651"/>
      <c r="BM856" s="652">
        <f t="shared" si="259"/>
        <v>1</v>
      </c>
      <c r="BN856" s="628"/>
      <c r="BO856" s="670"/>
      <c r="BP856" s="644"/>
      <c r="BQ856" s="644"/>
      <c r="BR856" s="644"/>
      <c r="BS856" s="644"/>
      <c r="BT856" s="644"/>
      <c r="BU856" s="644"/>
      <c r="BV856" s="644"/>
      <c r="BW856" s="644"/>
      <c r="BX856" s="644"/>
      <c r="BY856" s="644"/>
      <c r="BZ856" s="644"/>
      <c r="CA856" s="644"/>
      <c r="CB856" s="646">
        <f t="shared" si="260"/>
        <v>0</v>
      </c>
      <c r="CC856" s="646">
        <f t="shared" si="261"/>
        <v>0</v>
      </c>
      <c r="CD856" s="614"/>
    </row>
    <row r="857" spans="1:82" s="561" customFormat="1" ht="61.5" customHeight="1">
      <c r="A857" s="625" t="str">
        <f t="shared" si="243"/>
        <v>proyecto-Alerta: Seleccione la celda en la comumna B con el nombre del proyecto-Al-Al--</v>
      </c>
      <c r="B857" s="626" t="str">
        <f t="shared" si="244"/>
        <v>proyecto-Alerta: Seleccione la celda en la comumna B con el nombre del proyecto-Al-Al-</v>
      </c>
      <c r="C857" s="626" t="str">
        <f t="shared" si="245"/>
        <v>proyecto-Alerta: Seleccione la celda en la comumna B con el nombre del proyecto-</v>
      </c>
      <c r="D857" s="626" t="str">
        <f t="shared" si="246"/>
        <v>proyecto--Al-Al-</v>
      </c>
      <c r="E857" s="626" t="str">
        <f t="shared" si="247"/>
        <v>--</v>
      </c>
      <c r="F857" s="627"/>
      <c r="G857" s="628">
        <f t="shared" si="248"/>
        <v>0</v>
      </c>
      <c r="H857" s="629" t="b">
        <f t="shared" si="249"/>
        <v>1</v>
      </c>
      <c r="I857" s="630"/>
      <c r="J857" s="627"/>
      <c r="K857" s="631" t="str">
        <f>+IFERROR(VLOOKUP(J857,Listas!$A$108:$B$114,2,FALSE),"Alerta: Seleccione la celda en la comumna B con el nombre del proyecto")</f>
        <v>Alerta: Seleccione la celda en la comumna B con el nombre del proyecto</v>
      </c>
      <c r="L857" s="632"/>
      <c r="M857" s="633"/>
      <c r="N857" s="634" t="str">
        <f t="shared" si="250"/>
        <v xml:space="preserve">(Cód. ) </v>
      </c>
      <c r="O857" s="635"/>
      <c r="P857" s="636">
        <f>IFERROR(VLOOKUP(W857,'Estimación CRP'!$D$21:$E$30,2,FALSE),0)</f>
        <v>0</v>
      </c>
      <c r="Q857" s="637">
        <f>IF(O857="No aplica","No aplica",WORKDAY.INTL(O857,P857,1,'Estimación CRP'!A1043:A1059))</f>
        <v>0</v>
      </c>
      <c r="R857" s="636">
        <f t="shared" si="251"/>
        <v>1</v>
      </c>
      <c r="S857" s="636">
        <f t="shared" si="252"/>
        <v>1</v>
      </c>
      <c r="T857" s="636">
        <f t="shared" si="253"/>
        <v>1</v>
      </c>
      <c r="U857" s="638"/>
      <c r="V857" s="638"/>
      <c r="W857" s="639"/>
      <c r="X857" s="640" t="str">
        <f>IFERROR(VLOOKUP(W857,Listas!$A$60:$B$73,2,FALSE),"Alerta: Seleccione primero Modalidad de selección")</f>
        <v>Alerta: Seleccione primero Modalidad de selección</v>
      </c>
      <c r="Y857" s="641">
        <v>0</v>
      </c>
      <c r="Z857" s="641"/>
      <c r="AA857" s="641"/>
      <c r="AB857" s="642">
        <f t="shared" si="254"/>
        <v>0</v>
      </c>
      <c r="AC857" s="642">
        <f t="shared" si="255"/>
        <v>0</v>
      </c>
      <c r="AD857" s="641">
        <v>0</v>
      </c>
      <c r="AE857" s="643">
        <v>0</v>
      </c>
      <c r="AF857" s="639" t="s">
        <v>276</v>
      </c>
      <c r="AG857" s="639" t="s">
        <v>277</v>
      </c>
      <c r="AH857" s="639"/>
      <c r="AI857" s="626" t="str">
        <f>IFERROR(VLOOKUP(AH857,Listas!$A$77:$C$83,2,FALSE),"Alerta: Seleccione primero el responsable")</f>
        <v>Alerta: Seleccione primero el responsable</v>
      </c>
      <c r="AJ857" s="640" t="str">
        <f>IFERROR(VLOOKUP(AH857,Listas!$A$77:$C$83,3,FALSE),"Alerta: Seleccione primero el responsable")</f>
        <v>Alerta: Seleccione primero el responsable</v>
      </c>
      <c r="AK857" s="640" t="str">
        <f>IF(J857="Funcionamiento Gastos Generales","No aplica",IF(J857="Funcionamiento Servicios Personales indirectos","No aplica",IFERROR(VLOOKUP(J857,Listas!$A$127:$E$139,3,FALSE),"Alerta: Seleccione la celda en la comumna B con el nombre del proyecto")))</f>
        <v>Alerta: Seleccione la celda en la comumna B con el nombre del proyecto</v>
      </c>
      <c r="AL857" s="640" t="str">
        <f>IF(J857="Funcionamiento Gastos Generales","No aplica",IF(J857="Funcionamiento Servicios Personales","No aplica",IFERROR(VLOOKUP(J857,Listas!$A$220:$D$224,2,FALSE),"Alerta: Seleccione la celda en la comumna B con el nombre del proyecto")))</f>
        <v>Alerta: Seleccione la celda en la comumna B con el nombre del proyecto</v>
      </c>
      <c r="AM857" s="640" t="str">
        <f>IF(J857="Funcionamiento Gastos Generales","No aplica",IF(J857="Funcionamiento Servicios Personales","No aplica",IFERROR(VLOOKUP(J857,Listas!$A$220:$D$224,3,FALSE),"Alerta: Seleccione la celda en la comumna B con el nombre del proyecto")))</f>
        <v>Alerta: Seleccione la celda en la comumna B con el nombre del proyecto</v>
      </c>
      <c r="AN857" s="633"/>
      <c r="AO857" s="633"/>
      <c r="AP857" s="634" t="str">
        <f>IFERROR(VLOOKUP(J857,Listas!$A$182:$E$215,5,FALSE),"Alerta: Seleccione la celda en la comumna B con el nombre del proyecto")</f>
        <v>Alerta: Seleccione la celda en la comumna B con el nombre del proyecto</v>
      </c>
      <c r="AQ857" s="634" t="str">
        <f>IF(J857="Funcionamiento Gastos Generales","No aplica",IF(J857="Funcionamiento Servicios Personales","No aplica",IFERROR(VLOOKUP(J857,Listas!$A$220:$D$224,4,FALSE),"Alerta: Seleccione la celda en la comumna B con el nombre del proyecto")))</f>
        <v>Alerta: Seleccione la celda en la comumna B con el nombre del proyecto</v>
      </c>
      <c r="AR857" s="633"/>
      <c r="AS857" s="634" t="str">
        <f>IFERROR(VLOOKUP(AU857,Listas!$E$85:$L$105,7,FALSE),"Alerta: Seleccione la celda en la comumna AI con el concepto de gasto")</f>
        <v>Alerta: Seleccione la celda en la comumna AI con el concepto de gasto</v>
      </c>
      <c r="AT857" s="634" t="str">
        <f>IFERROR(VLOOKUP(AU857,Listas!$E$85:$L$105,8,FALSE),"Alerta: Seleccione la celda en la comumna AI con el concepto de gasto")</f>
        <v>Alerta: Seleccione la celda en la comumna AI con el concepto de gasto</v>
      </c>
      <c r="AU857" s="633"/>
      <c r="AV857" s="634" t="str">
        <f>IFERROR(VLOOKUP(AU857,Listas!$E$85:$F$105,2,FALSE),"Alerta: Seleccione el Concepto de Gasto primero")</f>
        <v>Alerta: Seleccione el Concepto de Gasto primero</v>
      </c>
      <c r="AW857" s="644"/>
      <c r="AX857" s="645"/>
      <c r="AY857" s="645"/>
      <c r="AZ857" s="645"/>
      <c r="BA857" s="646">
        <f t="shared" si="256"/>
        <v>0</v>
      </c>
      <c r="BB857" s="647"/>
      <c r="BC857" s="648"/>
      <c r="BD857" s="649"/>
      <c r="BE857" s="647"/>
      <c r="BF857" s="644"/>
      <c r="BG857" s="646">
        <f t="shared" si="257"/>
        <v>0</v>
      </c>
      <c r="BH857" s="650"/>
      <c r="BI857" s="647"/>
      <c r="BJ857" s="644"/>
      <c r="BK857" s="646">
        <f t="shared" si="258"/>
        <v>0</v>
      </c>
      <c r="BL857" s="651"/>
      <c r="BM857" s="652">
        <f t="shared" si="259"/>
        <v>1</v>
      </c>
      <c r="BN857" s="628"/>
      <c r="BO857" s="670"/>
      <c r="BP857" s="644"/>
      <c r="BQ857" s="644"/>
      <c r="BR857" s="644"/>
      <c r="BS857" s="644"/>
      <c r="BT857" s="644"/>
      <c r="BU857" s="644"/>
      <c r="BV857" s="644"/>
      <c r="BW857" s="644"/>
      <c r="BX857" s="644"/>
      <c r="BY857" s="644"/>
      <c r="BZ857" s="644"/>
      <c r="CA857" s="644"/>
      <c r="CB857" s="646">
        <f t="shared" si="260"/>
        <v>0</v>
      </c>
      <c r="CC857" s="646">
        <f t="shared" si="261"/>
        <v>0</v>
      </c>
      <c r="CD857" s="614"/>
    </row>
    <row r="858" spans="1:82" s="561" customFormat="1" ht="61.5" customHeight="1">
      <c r="A858" s="625" t="str">
        <f t="shared" si="243"/>
        <v>proyecto-Alerta: Seleccione la celda en la comumna B con el nombre del proyecto-Al-Al--</v>
      </c>
      <c r="B858" s="626" t="str">
        <f t="shared" si="244"/>
        <v>proyecto-Alerta: Seleccione la celda en la comumna B con el nombre del proyecto-Al-Al-</v>
      </c>
      <c r="C858" s="626" t="str">
        <f t="shared" si="245"/>
        <v>proyecto-Alerta: Seleccione la celda en la comumna B con el nombre del proyecto-</v>
      </c>
      <c r="D858" s="626" t="str">
        <f t="shared" si="246"/>
        <v>proyecto--Al-Al-</v>
      </c>
      <c r="E858" s="626" t="str">
        <f t="shared" si="247"/>
        <v>--</v>
      </c>
      <c r="F858" s="627"/>
      <c r="G858" s="628">
        <f t="shared" si="248"/>
        <v>0</v>
      </c>
      <c r="H858" s="629" t="b">
        <f t="shared" si="249"/>
        <v>1</v>
      </c>
      <c r="I858" s="630"/>
      <c r="J858" s="627"/>
      <c r="K858" s="631" t="str">
        <f>+IFERROR(VLOOKUP(J858,Listas!$A$108:$B$114,2,FALSE),"Alerta: Seleccione la celda en la comumna B con el nombre del proyecto")</f>
        <v>Alerta: Seleccione la celda en la comumna B con el nombre del proyecto</v>
      </c>
      <c r="L858" s="632"/>
      <c r="M858" s="633"/>
      <c r="N858" s="634" t="str">
        <f t="shared" si="250"/>
        <v xml:space="preserve">(Cód. ) </v>
      </c>
      <c r="O858" s="635"/>
      <c r="P858" s="636">
        <f>IFERROR(VLOOKUP(W858,'Estimación CRP'!$D$21:$E$30,2,FALSE),0)</f>
        <v>0</v>
      </c>
      <c r="Q858" s="637">
        <f>IF(O858="No aplica","No aplica",WORKDAY.INTL(O858,P858,1,'Estimación CRP'!A1044:A1060))</f>
        <v>0</v>
      </c>
      <c r="R858" s="636">
        <f t="shared" si="251"/>
        <v>1</v>
      </c>
      <c r="S858" s="636">
        <f t="shared" si="252"/>
        <v>1</v>
      </c>
      <c r="T858" s="636">
        <f t="shared" si="253"/>
        <v>1</v>
      </c>
      <c r="U858" s="638"/>
      <c r="V858" s="638"/>
      <c r="W858" s="639"/>
      <c r="X858" s="640" t="str">
        <f>IFERROR(VLOOKUP(W858,Listas!$A$60:$B$73,2,FALSE),"Alerta: Seleccione primero Modalidad de selección")</f>
        <v>Alerta: Seleccione primero Modalidad de selección</v>
      </c>
      <c r="Y858" s="641">
        <v>0</v>
      </c>
      <c r="Z858" s="641"/>
      <c r="AA858" s="641"/>
      <c r="AB858" s="642">
        <f t="shared" si="254"/>
        <v>0</v>
      </c>
      <c r="AC858" s="642">
        <f t="shared" si="255"/>
        <v>0</v>
      </c>
      <c r="AD858" s="641">
        <v>0</v>
      </c>
      <c r="AE858" s="643">
        <v>0</v>
      </c>
      <c r="AF858" s="639" t="s">
        <v>276</v>
      </c>
      <c r="AG858" s="639" t="s">
        <v>277</v>
      </c>
      <c r="AH858" s="639"/>
      <c r="AI858" s="626" t="str">
        <f>IFERROR(VLOOKUP(AH858,Listas!$A$77:$C$83,2,FALSE),"Alerta: Seleccione primero el responsable")</f>
        <v>Alerta: Seleccione primero el responsable</v>
      </c>
      <c r="AJ858" s="640" t="str">
        <f>IFERROR(VLOOKUP(AH858,Listas!$A$77:$C$83,3,FALSE),"Alerta: Seleccione primero el responsable")</f>
        <v>Alerta: Seleccione primero el responsable</v>
      </c>
      <c r="AK858" s="640" t="str">
        <f>IF(J858="Funcionamiento Gastos Generales","No aplica",IF(J858="Funcionamiento Servicios Personales indirectos","No aplica",IFERROR(VLOOKUP(J858,Listas!$A$127:$E$139,3,FALSE),"Alerta: Seleccione la celda en la comumna B con el nombre del proyecto")))</f>
        <v>Alerta: Seleccione la celda en la comumna B con el nombre del proyecto</v>
      </c>
      <c r="AL858" s="640" t="str">
        <f>IF(J858="Funcionamiento Gastos Generales","No aplica",IF(J858="Funcionamiento Servicios Personales","No aplica",IFERROR(VLOOKUP(J858,Listas!$A$220:$D$224,2,FALSE),"Alerta: Seleccione la celda en la comumna B con el nombre del proyecto")))</f>
        <v>Alerta: Seleccione la celda en la comumna B con el nombre del proyecto</v>
      </c>
      <c r="AM858" s="640" t="str">
        <f>IF(J858="Funcionamiento Gastos Generales","No aplica",IF(J858="Funcionamiento Servicios Personales","No aplica",IFERROR(VLOOKUP(J858,Listas!$A$220:$D$224,3,FALSE),"Alerta: Seleccione la celda en la comumna B con el nombre del proyecto")))</f>
        <v>Alerta: Seleccione la celda en la comumna B con el nombre del proyecto</v>
      </c>
      <c r="AN858" s="633"/>
      <c r="AO858" s="633"/>
      <c r="AP858" s="634" t="str">
        <f>IFERROR(VLOOKUP(J858,Listas!$A$182:$E$215,5,FALSE),"Alerta: Seleccione la celda en la comumna B con el nombre del proyecto")</f>
        <v>Alerta: Seleccione la celda en la comumna B con el nombre del proyecto</v>
      </c>
      <c r="AQ858" s="634" t="str">
        <f>IF(J858="Funcionamiento Gastos Generales","No aplica",IF(J858="Funcionamiento Servicios Personales","No aplica",IFERROR(VLOOKUP(J858,Listas!$A$220:$D$224,4,FALSE),"Alerta: Seleccione la celda en la comumna B con el nombre del proyecto")))</f>
        <v>Alerta: Seleccione la celda en la comumna B con el nombre del proyecto</v>
      </c>
      <c r="AR858" s="633"/>
      <c r="AS858" s="634" t="str">
        <f>IFERROR(VLOOKUP(AU858,Listas!$E$85:$L$105,7,FALSE),"Alerta: Seleccione la celda en la comumna AI con el concepto de gasto")</f>
        <v>Alerta: Seleccione la celda en la comumna AI con el concepto de gasto</v>
      </c>
      <c r="AT858" s="634" t="str">
        <f>IFERROR(VLOOKUP(AU858,Listas!$E$85:$L$105,8,FALSE),"Alerta: Seleccione la celda en la comumna AI con el concepto de gasto")</f>
        <v>Alerta: Seleccione la celda en la comumna AI con el concepto de gasto</v>
      </c>
      <c r="AU858" s="633"/>
      <c r="AV858" s="634" t="str">
        <f>IFERROR(VLOOKUP(AU858,Listas!$E$85:$F$105,2,FALSE),"Alerta: Seleccione el Concepto de Gasto primero")</f>
        <v>Alerta: Seleccione el Concepto de Gasto primero</v>
      </c>
      <c r="AW858" s="644"/>
      <c r="AX858" s="645"/>
      <c r="AY858" s="645"/>
      <c r="AZ858" s="645"/>
      <c r="BA858" s="646">
        <f t="shared" si="256"/>
        <v>0</v>
      </c>
      <c r="BB858" s="647"/>
      <c r="BC858" s="648"/>
      <c r="BD858" s="649"/>
      <c r="BE858" s="647"/>
      <c r="BF858" s="644"/>
      <c r="BG858" s="646">
        <f t="shared" si="257"/>
        <v>0</v>
      </c>
      <c r="BH858" s="650"/>
      <c r="BI858" s="647"/>
      <c r="BJ858" s="644"/>
      <c r="BK858" s="646">
        <f t="shared" si="258"/>
        <v>0</v>
      </c>
      <c r="BL858" s="651"/>
      <c r="BM858" s="652">
        <f t="shared" si="259"/>
        <v>1</v>
      </c>
      <c r="BN858" s="628"/>
      <c r="BO858" s="670"/>
      <c r="BP858" s="644"/>
      <c r="BQ858" s="644"/>
      <c r="BR858" s="644"/>
      <c r="BS858" s="644"/>
      <c r="BT858" s="644"/>
      <c r="BU858" s="644"/>
      <c r="BV858" s="644"/>
      <c r="BW858" s="644"/>
      <c r="BX858" s="644"/>
      <c r="BY858" s="644"/>
      <c r="BZ858" s="644"/>
      <c r="CA858" s="644"/>
      <c r="CB858" s="646">
        <f t="shared" si="260"/>
        <v>0</v>
      </c>
      <c r="CC858" s="646">
        <f t="shared" si="261"/>
        <v>0</v>
      </c>
      <c r="CD858" s="614"/>
    </row>
    <row r="859" spans="1:82" s="561" customFormat="1" ht="61.5" customHeight="1">
      <c r="A859" s="625" t="str">
        <f t="shared" si="243"/>
        <v>proyecto-Alerta: Seleccione la celda en la comumna B con el nombre del proyecto-Al-Al--</v>
      </c>
      <c r="B859" s="626" t="str">
        <f t="shared" si="244"/>
        <v>proyecto-Alerta: Seleccione la celda en la comumna B con el nombre del proyecto-Al-Al-</v>
      </c>
      <c r="C859" s="626" t="str">
        <f t="shared" si="245"/>
        <v>proyecto-Alerta: Seleccione la celda en la comumna B con el nombre del proyecto-</v>
      </c>
      <c r="D859" s="626" t="str">
        <f t="shared" si="246"/>
        <v>proyecto--Al-Al-</v>
      </c>
      <c r="E859" s="626" t="str">
        <f t="shared" si="247"/>
        <v>--</v>
      </c>
      <c r="F859" s="627"/>
      <c r="G859" s="628">
        <f t="shared" si="248"/>
        <v>0</v>
      </c>
      <c r="H859" s="629" t="b">
        <f t="shared" si="249"/>
        <v>1</v>
      </c>
      <c r="I859" s="630"/>
      <c r="J859" s="627"/>
      <c r="K859" s="631" t="str">
        <f>+IFERROR(VLOOKUP(J859,Listas!$A$108:$B$114,2,FALSE),"Alerta: Seleccione la celda en la comumna B con el nombre del proyecto")</f>
        <v>Alerta: Seleccione la celda en la comumna B con el nombre del proyecto</v>
      </c>
      <c r="L859" s="632"/>
      <c r="M859" s="633"/>
      <c r="N859" s="634" t="str">
        <f t="shared" si="250"/>
        <v xml:space="preserve">(Cód. ) </v>
      </c>
      <c r="O859" s="635"/>
      <c r="P859" s="636">
        <f>IFERROR(VLOOKUP(W859,'Estimación CRP'!$D$21:$E$30,2,FALSE),0)</f>
        <v>0</v>
      </c>
      <c r="Q859" s="637">
        <f>IF(O859="No aplica","No aplica",WORKDAY.INTL(O859,P859,1,'Estimación CRP'!A1045:A1061))</f>
        <v>0</v>
      </c>
      <c r="R859" s="636">
        <f t="shared" si="251"/>
        <v>1</v>
      </c>
      <c r="S859" s="636">
        <f t="shared" si="252"/>
        <v>1</v>
      </c>
      <c r="T859" s="636">
        <f t="shared" si="253"/>
        <v>1</v>
      </c>
      <c r="U859" s="638"/>
      <c r="V859" s="638"/>
      <c r="W859" s="639"/>
      <c r="X859" s="640" t="str">
        <f>IFERROR(VLOOKUP(W859,Listas!$A$60:$B$73,2,FALSE),"Alerta: Seleccione primero Modalidad de selección")</f>
        <v>Alerta: Seleccione primero Modalidad de selección</v>
      </c>
      <c r="Y859" s="641">
        <v>0</v>
      </c>
      <c r="Z859" s="641"/>
      <c r="AA859" s="641"/>
      <c r="AB859" s="642">
        <f t="shared" si="254"/>
        <v>0</v>
      </c>
      <c r="AC859" s="642">
        <f t="shared" si="255"/>
        <v>0</v>
      </c>
      <c r="AD859" s="641">
        <v>0</v>
      </c>
      <c r="AE859" s="643">
        <v>0</v>
      </c>
      <c r="AF859" s="639" t="s">
        <v>276</v>
      </c>
      <c r="AG859" s="639" t="s">
        <v>277</v>
      </c>
      <c r="AH859" s="639"/>
      <c r="AI859" s="626" t="str">
        <f>IFERROR(VLOOKUP(AH859,Listas!$A$77:$C$83,2,FALSE),"Alerta: Seleccione primero el responsable")</f>
        <v>Alerta: Seleccione primero el responsable</v>
      </c>
      <c r="AJ859" s="640" t="str">
        <f>IFERROR(VLOOKUP(AH859,Listas!$A$77:$C$83,3,FALSE),"Alerta: Seleccione primero el responsable")</f>
        <v>Alerta: Seleccione primero el responsable</v>
      </c>
      <c r="AK859" s="640" t="str">
        <f>IF(J859="Funcionamiento Gastos Generales","No aplica",IF(J859="Funcionamiento Servicios Personales indirectos","No aplica",IFERROR(VLOOKUP(J859,Listas!$A$127:$E$139,3,FALSE),"Alerta: Seleccione la celda en la comumna B con el nombre del proyecto")))</f>
        <v>Alerta: Seleccione la celda en la comumna B con el nombre del proyecto</v>
      </c>
      <c r="AL859" s="640" t="str">
        <f>IF(J859="Funcionamiento Gastos Generales","No aplica",IF(J859="Funcionamiento Servicios Personales","No aplica",IFERROR(VLOOKUP(J859,Listas!$A$220:$D$224,2,FALSE),"Alerta: Seleccione la celda en la comumna B con el nombre del proyecto")))</f>
        <v>Alerta: Seleccione la celda en la comumna B con el nombre del proyecto</v>
      </c>
      <c r="AM859" s="640" t="str">
        <f>IF(J859="Funcionamiento Gastos Generales","No aplica",IF(J859="Funcionamiento Servicios Personales","No aplica",IFERROR(VLOOKUP(J859,Listas!$A$220:$D$224,3,FALSE),"Alerta: Seleccione la celda en la comumna B con el nombre del proyecto")))</f>
        <v>Alerta: Seleccione la celda en la comumna B con el nombre del proyecto</v>
      </c>
      <c r="AN859" s="633"/>
      <c r="AO859" s="633"/>
      <c r="AP859" s="634" t="str">
        <f>IFERROR(VLOOKUP(J859,Listas!$A$182:$E$215,5,FALSE),"Alerta: Seleccione la celda en la comumna B con el nombre del proyecto")</f>
        <v>Alerta: Seleccione la celda en la comumna B con el nombre del proyecto</v>
      </c>
      <c r="AQ859" s="634" t="str">
        <f>IF(J859="Funcionamiento Gastos Generales","No aplica",IF(J859="Funcionamiento Servicios Personales","No aplica",IFERROR(VLOOKUP(J859,Listas!$A$220:$D$224,4,FALSE),"Alerta: Seleccione la celda en la comumna B con el nombre del proyecto")))</f>
        <v>Alerta: Seleccione la celda en la comumna B con el nombre del proyecto</v>
      </c>
      <c r="AR859" s="633"/>
      <c r="AS859" s="634" t="str">
        <f>IFERROR(VLOOKUP(AU859,Listas!$E$85:$L$105,7,FALSE),"Alerta: Seleccione la celda en la comumna AI con el concepto de gasto")</f>
        <v>Alerta: Seleccione la celda en la comumna AI con el concepto de gasto</v>
      </c>
      <c r="AT859" s="634" t="str">
        <f>IFERROR(VLOOKUP(AU859,Listas!$E$85:$L$105,8,FALSE),"Alerta: Seleccione la celda en la comumna AI con el concepto de gasto")</f>
        <v>Alerta: Seleccione la celda en la comumna AI con el concepto de gasto</v>
      </c>
      <c r="AU859" s="633"/>
      <c r="AV859" s="634" t="str">
        <f>IFERROR(VLOOKUP(AU859,Listas!$E$85:$F$105,2,FALSE),"Alerta: Seleccione el Concepto de Gasto primero")</f>
        <v>Alerta: Seleccione el Concepto de Gasto primero</v>
      </c>
      <c r="AW859" s="644"/>
      <c r="AX859" s="645"/>
      <c r="AY859" s="645"/>
      <c r="AZ859" s="645"/>
      <c r="BA859" s="646">
        <f t="shared" si="256"/>
        <v>0</v>
      </c>
      <c r="BB859" s="647"/>
      <c r="BC859" s="648"/>
      <c r="BD859" s="649"/>
      <c r="BE859" s="647"/>
      <c r="BF859" s="644"/>
      <c r="BG859" s="646">
        <f t="shared" si="257"/>
        <v>0</v>
      </c>
      <c r="BH859" s="650"/>
      <c r="BI859" s="647"/>
      <c r="BJ859" s="644"/>
      <c r="BK859" s="646">
        <f t="shared" si="258"/>
        <v>0</v>
      </c>
      <c r="BL859" s="651"/>
      <c r="BM859" s="652">
        <f t="shared" si="259"/>
        <v>1</v>
      </c>
      <c r="BN859" s="628"/>
      <c r="BO859" s="670"/>
      <c r="BP859" s="644"/>
      <c r="BQ859" s="644"/>
      <c r="BR859" s="644"/>
      <c r="BS859" s="644"/>
      <c r="BT859" s="644"/>
      <c r="BU859" s="644"/>
      <c r="BV859" s="644"/>
      <c r="BW859" s="644"/>
      <c r="BX859" s="644"/>
      <c r="BY859" s="644"/>
      <c r="BZ859" s="644"/>
      <c r="CA859" s="644"/>
      <c r="CB859" s="646">
        <f t="shared" si="260"/>
        <v>0</v>
      </c>
      <c r="CC859" s="646">
        <f t="shared" si="261"/>
        <v>0</v>
      </c>
      <c r="CD859" s="614"/>
    </row>
    <row r="860" spans="1:82" s="561" customFormat="1" ht="61.5" customHeight="1">
      <c r="A860" s="625" t="str">
        <f t="shared" si="243"/>
        <v>proyecto-Alerta: Seleccione la celda en la comumna B con el nombre del proyecto-Al-Al--</v>
      </c>
      <c r="B860" s="626" t="str">
        <f t="shared" si="244"/>
        <v>proyecto-Alerta: Seleccione la celda en la comumna B con el nombre del proyecto-Al-Al-</v>
      </c>
      <c r="C860" s="626" t="str">
        <f t="shared" si="245"/>
        <v>proyecto-Alerta: Seleccione la celda en la comumna B con el nombre del proyecto-</v>
      </c>
      <c r="D860" s="626" t="str">
        <f t="shared" si="246"/>
        <v>proyecto--Al-Al-</v>
      </c>
      <c r="E860" s="626" t="str">
        <f t="shared" si="247"/>
        <v>--</v>
      </c>
      <c r="F860" s="627"/>
      <c r="G860" s="628">
        <f t="shared" si="248"/>
        <v>0</v>
      </c>
      <c r="H860" s="629" t="b">
        <f t="shared" si="249"/>
        <v>1</v>
      </c>
      <c r="I860" s="630"/>
      <c r="J860" s="627"/>
      <c r="K860" s="631" t="str">
        <f>+IFERROR(VLOOKUP(J860,Listas!$A$108:$B$114,2,FALSE),"Alerta: Seleccione la celda en la comumna B con el nombre del proyecto")</f>
        <v>Alerta: Seleccione la celda en la comumna B con el nombre del proyecto</v>
      </c>
      <c r="L860" s="632"/>
      <c r="M860" s="633"/>
      <c r="N860" s="634" t="str">
        <f t="shared" si="250"/>
        <v xml:space="preserve">(Cód. ) </v>
      </c>
      <c r="O860" s="635"/>
      <c r="P860" s="636">
        <f>IFERROR(VLOOKUP(W860,'Estimación CRP'!$D$21:$E$30,2,FALSE),0)</f>
        <v>0</v>
      </c>
      <c r="Q860" s="637">
        <f>IF(O860="No aplica","No aplica",WORKDAY.INTL(O860,P860,1,'Estimación CRP'!A1046:A1062))</f>
        <v>0</v>
      </c>
      <c r="R860" s="636">
        <f t="shared" si="251"/>
        <v>1</v>
      </c>
      <c r="S860" s="636">
        <f t="shared" si="252"/>
        <v>1</v>
      </c>
      <c r="T860" s="636">
        <f t="shared" si="253"/>
        <v>1</v>
      </c>
      <c r="U860" s="638"/>
      <c r="V860" s="638"/>
      <c r="W860" s="639"/>
      <c r="X860" s="640" t="str">
        <f>IFERROR(VLOOKUP(W860,Listas!$A$60:$B$73,2,FALSE),"Alerta: Seleccione primero Modalidad de selección")</f>
        <v>Alerta: Seleccione primero Modalidad de selección</v>
      </c>
      <c r="Y860" s="641">
        <v>0</v>
      </c>
      <c r="Z860" s="641"/>
      <c r="AA860" s="641"/>
      <c r="AB860" s="642">
        <f t="shared" si="254"/>
        <v>0</v>
      </c>
      <c r="AC860" s="642">
        <f t="shared" si="255"/>
        <v>0</v>
      </c>
      <c r="AD860" s="641">
        <v>0</v>
      </c>
      <c r="AE860" s="643">
        <v>0</v>
      </c>
      <c r="AF860" s="639" t="s">
        <v>276</v>
      </c>
      <c r="AG860" s="639" t="s">
        <v>277</v>
      </c>
      <c r="AH860" s="639"/>
      <c r="AI860" s="626" t="str">
        <f>IFERROR(VLOOKUP(AH860,Listas!$A$77:$C$83,2,FALSE),"Alerta: Seleccione primero el responsable")</f>
        <v>Alerta: Seleccione primero el responsable</v>
      </c>
      <c r="AJ860" s="640" t="str">
        <f>IFERROR(VLOOKUP(AH860,Listas!$A$77:$C$83,3,FALSE),"Alerta: Seleccione primero el responsable")</f>
        <v>Alerta: Seleccione primero el responsable</v>
      </c>
      <c r="AK860" s="640" t="str">
        <f>IF(J860="Funcionamiento Gastos Generales","No aplica",IF(J860="Funcionamiento Servicios Personales indirectos","No aplica",IFERROR(VLOOKUP(J860,Listas!$A$127:$E$139,3,FALSE),"Alerta: Seleccione la celda en la comumna B con el nombre del proyecto")))</f>
        <v>Alerta: Seleccione la celda en la comumna B con el nombre del proyecto</v>
      </c>
      <c r="AL860" s="640" t="str">
        <f>IF(J860="Funcionamiento Gastos Generales","No aplica",IF(J860="Funcionamiento Servicios Personales","No aplica",IFERROR(VLOOKUP(J860,Listas!$A$220:$D$224,2,FALSE),"Alerta: Seleccione la celda en la comumna B con el nombre del proyecto")))</f>
        <v>Alerta: Seleccione la celda en la comumna B con el nombre del proyecto</v>
      </c>
      <c r="AM860" s="640" t="str">
        <f>IF(J860="Funcionamiento Gastos Generales","No aplica",IF(J860="Funcionamiento Servicios Personales","No aplica",IFERROR(VLOOKUP(J860,Listas!$A$220:$D$224,3,FALSE),"Alerta: Seleccione la celda en la comumna B con el nombre del proyecto")))</f>
        <v>Alerta: Seleccione la celda en la comumna B con el nombre del proyecto</v>
      </c>
      <c r="AN860" s="633"/>
      <c r="AO860" s="633"/>
      <c r="AP860" s="634" t="str">
        <f>IFERROR(VLOOKUP(J860,Listas!$A$182:$E$215,5,FALSE),"Alerta: Seleccione la celda en la comumna B con el nombre del proyecto")</f>
        <v>Alerta: Seleccione la celda en la comumna B con el nombre del proyecto</v>
      </c>
      <c r="AQ860" s="634" t="str">
        <f>IF(J860="Funcionamiento Gastos Generales","No aplica",IF(J860="Funcionamiento Servicios Personales","No aplica",IFERROR(VLOOKUP(J860,Listas!$A$220:$D$224,4,FALSE),"Alerta: Seleccione la celda en la comumna B con el nombre del proyecto")))</f>
        <v>Alerta: Seleccione la celda en la comumna B con el nombre del proyecto</v>
      </c>
      <c r="AR860" s="633"/>
      <c r="AS860" s="634" t="str">
        <f>IFERROR(VLOOKUP(AU860,Listas!$E$85:$L$105,7,FALSE),"Alerta: Seleccione la celda en la comumna AI con el concepto de gasto")</f>
        <v>Alerta: Seleccione la celda en la comumna AI con el concepto de gasto</v>
      </c>
      <c r="AT860" s="634" t="str">
        <f>IFERROR(VLOOKUP(AU860,Listas!$E$85:$L$105,8,FALSE),"Alerta: Seleccione la celda en la comumna AI con el concepto de gasto")</f>
        <v>Alerta: Seleccione la celda en la comumna AI con el concepto de gasto</v>
      </c>
      <c r="AU860" s="633"/>
      <c r="AV860" s="634" t="str">
        <f>IFERROR(VLOOKUP(AU860,Listas!$E$85:$F$105,2,FALSE),"Alerta: Seleccione el Concepto de Gasto primero")</f>
        <v>Alerta: Seleccione el Concepto de Gasto primero</v>
      </c>
      <c r="AW860" s="644"/>
      <c r="AX860" s="645"/>
      <c r="AY860" s="645"/>
      <c r="AZ860" s="645"/>
      <c r="BA860" s="646">
        <f t="shared" si="256"/>
        <v>0</v>
      </c>
      <c r="BB860" s="647"/>
      <c r="BC860" s="648"/>
      <c r="BD860" s="649"/>
      <c r="BE860" s="647"/>
      <c r="BF860" s="644"/>
      <c r="BG860" s="646">
        <f t="shared" si="257"/>
        <v>0</v>
      </c>
      <c r="BH860" s="650"/>
      <c r="BI860" s="647"/>
      <c r="BJ860" s="644"/>
      <c r="BK860" s="646">
        <f t="shared" si="258"/>
        <v>0</v>
      </c>
      <c r="BL860" s="651"/>
      <c r="BM860" s="652">
        <f t="shared" si="259"/>
        <v>1</v>
      </c>
      <c r="BN860" s="628"/>
      <c r="BO860" s="670"/>
      <c r="BP860" s="644"/>
      <c r="BQ860" s="644"/>
      <c r="BR860" s="644"/>
      <c r="BS860" s="644"/>
      <c r="BT860" s="644"/>
      <c r="BU860" s="644"/>
      <c r="BV860" s="644"/>
      <c r="BW860" s="644"/>
      <c r="BX860" s="644"/>
      <c r="BY860" s="644"/>
      <c r="BZ860" s="644"/>
      <c r="CA860" s="644"/>
      <c r="CB860" s="646">
        <f t="shared" si="260"/>
        <v>0</v>
      </c>
      <c r="CC860" s="646">
        <f t="shared" si="261"/>
        <v>0</v>
      </c>
      <c r="CD860" s="614"/>
    </row>
    <row r="861" spans="1:82" s="561" customFormat="1" ht="61.5" customHeight="1">
      <c r="A861" s="625" t="str">
        <f t="shared" si="243"/>
        <v>proyecto-Alerta: Seleccione la celda en la comumna B con el nombre del proyecto-Al-Al--</v>
      </c>
      <c r="B861" s="626" t="str">
        <f t="shared" si="244"/>
        <v>proyecto-Alerta: Seleccione la celda en la comumna B con el nombre del proyecto-Al-Al-</v>
      </c>
      <c r="C861" s="626" t="str">
        <f t="shared" si="245"/>
        <v>proyecto-Alerta: Seleccione la celda en la comumna B con el nombre del proyecto-</v>
      </c>
      <c r="D861" s="626" t="str">
        <f t="shared" si="246"/>
        <v>proyecto--Al-Al-</v>
      </c>
      <c r="E861" s="626" t="str">
        <f t="shared" si="247"/>
        <v>--</v>
      </c>
      <c r="F861" s="627"/>
      <c r="G861" s="628">
        <f t="shared" si="248"/>
        <v>0</v>
      </c>
      <c r="H861" s="629" t="b">
        <f t="shared" si="249"/>
        <v>1</v>
      </c>
      <c r="I861" s="630"/>
      <c r="J861" s="627"/>
      <c r="K861" s="631" t="str">
        <f>+IFERROR(VLOOKUP(J861,Listas!$A$108:$B$114,2,FALSE),"Alerta: Seleccione la celda en la comumna B con el nombre del proyecto")</f>
        <v>Alerta: Seleccione la celda en la comumna B con el nombre del proyecto</v>
      </c>
      <c r="L861" s="632"/>
      <c r="M861" s="633"/>
      <c r="N861" s="634" t="str">
        <f t="shared" si="250"/>
        <v xml:space="preserve">(Cód. ) </v>
      </c>
      <c r="O861" s="635"/>
      <c r="P861" s="636">
        <f>IFERROR(VLOOKUP(W861,'Estimación CRP'!$D$21:$E$30,2,FALSE),0)</f>
        <v>0</v>
      </c>
      <c r="Q861" s="637">
        <f>IF(O861="No aplica","No aplica",WORKDAY.INTL(O861,P861,1,'Estimación CRP'!A1047:A1063))</f>
        <v>0</v>
      </c>
      <c r="R861" s="636">
        <f t="shared" si="251"/>
        <v>1</v>
      </c>
      <c r="S861" s="636">
        <f t="shared" si="252"/>
        <v>1</v>
      </c>
      <c r="T861" s="636">
        <f t="shared" si="253"/>
        <v>1</v>
      </c>
      <c r="U861" s="638"/>
      <c r="V861" s="638"/>
      <c r="W861" s="639"/>
      <c r="X861" s="640" t="str">
        <f>IFERROR(VLOOKUP(W861,Listas!$A$60:$B$73,2,FALSE),"Alerta: Seleccione primero Modalidad de selección")</f>
        <v>Alerta: Seleccione primero Modalidad de selección</v>
      </c>
      <c r="Y861" s="641">
        <v>0</v>
      </c>
      <c r="Z861" s="641"/>
      <c r="AA861" s="641"/>
      <c r="AB861" s="642">
        <f t="shared" si="254"/>
        <v>0</v>
      </c>
      <c r="AC861" s="642">
        <f t="shared" si="255"/>
        <v>0</v>
      </c>
      <c r="AD861" s="641">
        <v>0</v>
      </c>
      <c r="AE861" s="643">
        <v>0</v>
      </c>
      <c r="AF861" s="639" t="s">
        <v>276</v>
      </c>
      <c r="AG861" s="639" t="s">
        <v>277</v>
      </c>
      <c r="AH861" s="639"/>
      <c r="AI861" s="626" t="str">
        <f>IFERROR(VLOOKUP(AH861,Listas!$A$77:$C$83,2,FALSE),"Alerta: Seleccione primero el responsable")</f>
        <v>Alerta: Seleccione primero el responsable</v>
      </c>
      <c r="AJ861" s="640" t="str">
        <f>IFERROR(VLOOKUP(AH861,Listas!$A$77:$C$83,3,FALSE),"Alerta: Seleccione primero el responsable")</f>
        <v>Alerta: Seleccione primero el responsable</v>
      </c>
      <c r="AK861" s="640" t="str">
        <f>IF(J861="Funcionamiento Gastos Generales","No aplica",IF(J861="Funcionamiento Servicios Personales indirectos","No aplica",IFERROR(VLOOKUP(J861,Listas!$A$127:$E$139,3,FALSE),"Alerta: Seleccione la celda en la comumna B con el nombre del proyecto")))</f>
        <v>Alerta: Seleccione la celda en la comumna B con el nombre del proyecto</v>
      </c>
      <c r="AL861" s="640" t="str">
        <f>IF(J861="Funcionamiento Gastos Generales","No aplica",IF(J861="Funcionamiento Servicios Personales","No aplica",IFERROR(VLOOKUP(J861,Listas!$A$220:$D$224,2,FALSE),"Alerta: Seleccione la celda en la comumna B con el nombre del proyecto")))</f>
        <v>Alerta: Seleccione la celda en la comumna B con el nombre del proyecto</v>
      </c>
      <c r="AM861" s="640" t="str">
        <f>IF(J861="Funcionamiento Gastos Generales","No aplica",IF(J861="Funcionamiento Servicios Personales","No aplica",IFERROR(VLOOKUP(J861,Listas!$A$220:$D$224,3,FALSE),"Alerta: Seleccione la celda en la comumna B con el nombre del proyecto")))</f>
        <v>Alerta: Seleccione la celda en la comumna B con el nombre del proyecto</v>
      </c>
      <c r="AN861" s="633"/>
      <c r="AO861" s="633"/>
      <c r="AP861" s="634" t="str">
        <f>IFERROR(VLOOKUP(J861,Listas!$A$182:$E$215,5,FALSE),"Alerta: Seleccione la celda en la comumna B con el nombre del proyecto")</f>
        <v>Alerta: Seleccione la celda en la comumna B con el nombre del proyecto</v>
      </c>
      <c r="AQ861" s="634" t="str">
        <f>IF(J861="Funcionamiento Gastos Generales","No aplica",IF(J861="Funcionamiento Servicios Personales","No aplica",IFERROR(VLOOKUP(J861,Listas!$A$220:$D$224,4,FALSE),"Alerta: Seleccione la celda en la comumna B con el nombre del proyecto")))</f>
        <v>Alerta: Seleccione la celda en la comumna B con el nombre del proyecto</v>
      </c>
      <c r="AR861" s="633"/>
      <c r="AS861" s="634" t="str">
        <f>IFERROR(VLOOKUP(AU861,Listas!$E$85:$L$105,7,FALSE),"Alerta: Seleccione la celda en la comumna AI con el concepto de gasto")</f>
        <v>Alerta: Seleccione la celda en la comumna AI con el concepto de gasto</v>
      </c>
      <c r="AT861" s="634" t="str">
        <f>IFERROR(VLOOKUP(AU861,Listas!$E$85:$L$105,8,FALSE),"Alerta: Seleccione la celda en la comumna AI con el concepto de gasto")</f>
        <v>Alerta: Seleccione la celda en la comumna AI con el concepto de gasto</v>
      </c>
      <c r="AU861" s="633"/>
      <c r="AV861" s="634" t="str">
        <f>IFERROR(VLOOKUP(AU861,Listas!$E$85:$F$105,2,FALSE),"Alerta: Seleccione el Concepto de Gasto primero")</f>
        <v>Alerta: Seleccione el Concepto de Gasto primero</v>
      </c>
      <c r="AW861" s="644"/>
      <c r="AX861" s="645"/>
      <c r="AY861" s="645"/>
      <c r="AZ861" s="645"/>
      <c r="BA861" s="646">
        <f t="shared" si="256"/>
        <v>0</v>
      </c>
      <c r="BB861" s="647"/>
      <c r="BC861" s="648"/>
      <c r="BD861" s="649"/>
      <c r="BE861" s="647"/>
      <c r="BF861" s="644"/>
      <c r="BG861" s="646">
        <f t="shared" si="257"/>
        <v>0</v>
      </c>
      <c r="BH861" s="650"/>
      <c r="BI861" s="647"/>
      <c r="BJ861" s="644"/>
      <c r="BK861" s="646">
        <f t="shared" si="258"/>
        <v>0</v>
      </c>
      <c r="BL861" s="651"/>
      <c r="BM861" s="652">
        <f t="shared" si="259"/>
        <v>1</v>
      </c>
      <c r="BN861" s="628"/>
      <c r="BO861" s="670"/>
      <c r="BP861" s="644"/>
      <c r="BQ861" s="644"/>
      <c r="BR861" s="644"/>
      <c r="BS861" s="644"/>
      <c r="BT861" s="644"/>
      <c r="BU861" s="644"/>
      <c r="BV861" s="644"/>
      <c r="BW861" s="644"/>
      <c r="BX861" s="644"/>
      <c r="BY861" s="644"/>
      <c r="BZ861" s="644"/>
      <c r="CA861" s="644"/>
      <c r="CB861" s="646">
        <f t="shared" si="260"/>
        <v>0</v>
      </c>
      <c r="CC861" s="646">
        <f t="shared" si="261"/>
        <v>0</v>
      </c>
      <c r="CD861" s="614"/>
    </row>
    <row r="862" spans="1:82" s="561" customFormat="1" ht="61.5" customHeight="1">
      <c r="A862" s="625" t="str">
        <f t="shared" si="243"/>
        <v>proyecto-Alerta: Seleccione la celda en la comumna B con el nombre del proyecto-Al-Al--</v>
      </c>
      <c r="B862" s="626" t="str">
        <f t="shared" si="244"/>
        <v>proyecto-Alerta: Seleccione la celda en la comumna B con el nombre del proyecto-Al-Al-</v>
      </c>
      <c r="C862" s="626" t="str">
        <f t="shared" si="245"/>
        <v>proyecto-Alerta: Seleccione la celda en la comumna B con el nombre del proyecto-</v>
      </c>
      <c r="D862" s="626" t="str">
        <f t="shared" si="246"/>
        <v>proyecto--Al-Al-</v>
      </c>
      <c r="E862" s="626" t="str">
        <f t="shared" si="247"/>
        <v>--</v>
      </c>
      <c r="F862" s="627"/>
      <c r="G862" s="628">
        <f t="shared" si="248"/>
        <v>0</v>
      </c>
      <c r="H862" s="629" t="b">
        <f t="shared" si="249"/>
        <v>1</v>
      </c>
      <c r="I862" s="630"/>
      <c r="J862" s="627"/>
      <c r="K862" s="631" t="str">
        <f>+IFERROR(VLOOKUP(J862,Listas!$A$108:$B$114,2,FALSE),"Alerta: Seleccione la celda en la comumna B con el nombre del proyecto")</f>
        <v>Alerta: Seleccione la celda en la comumna B con el nombre del proyecto</v>
      </c>
      <c r="L862" s="632"/>
      <c r="M862" s="633"/>
      <c r="N862" s="634" t="str">
        <f t="shared" si="250"/>
        <v xml:space="preserve">(Cód. ) </v>
      </c>
      <c r="O862" s="635"/>
      <c r="P862" s="636">
        <f>IFERROR(VLOOKUP(W862,'Estimación CRP'!$D$21:$E$30,2,FALSE),0)</f>
        <v>0</v>
      </c>
      <c r="Q862" s="637">
        <f>IF(O862="No aplica","No aplica",WORKDAY.INTL(O862,P862,1,'Estimación CRP'!A1048:A1064))</f>
        <v>0</v>
      </c>
      <c r="R862" s="636">
        <f t="shared" si="251"/>
        <v>1</v>
      </c>
      <c r="S862" s="636">
        <f t="shared" si="252"/>
        <v>1</v>
      </c>
      <c r="T862" s="636">
        <f t="shared" si="253"/>
        <v>1</v>
      </c>
      <c r="U862" s="638"/>
      <c r="V862" s="638"/>
      <c r="W862" s="639"/>
      <c r="X862" s="640" t="str">
        <f>IFERROR(VLOOKUP(W862,Listas!$A$60:$B$73,2,FALSE),"Alerta: Seleccione primero Modalidad de selección")</f>
        <v>Alerta: Seleccione primero Modalidad de selección</v>
      </c>
      <c r="Y862" s="641">
        <v>0</v>
      </c>
      <c r="Z862" s="641"/>
      <c r="AA862" s="641"/>
      <c r="AB862" s="642">
        <f t="shared" si="254"/>
        <v>0</v>
      </c>
      <c r="AC862" s="642">
        <f t="shared" si="255"/>
        <v>0</v>
      </c>
      <c r="AD862" s="641">
        <v>0</v>
      </c>
      <c r="AE862" s="643">
        <v>0</v>
      </c>
      <c r="AF862" s="639" t="s">
        <v>276</v>
      </c>
      <c r="AG862" s="639" t="s">
        <v>277</v>
      </c>
      <c r="AH862" s="639"/>
      <c r="AI862" s="626" t="str">
        <f>IFERROR(VLOOKUP(AH862,Listas!$A$77:$C$83,2,FALSE),"Alerta: Seleccione primero el responsable")</f>
        <v>Alerta: Seleccione primero el responsable</v>
      </c>
      <c r="AJ862" s="640" t="str">
        <f>IFERROR(VLOOKUP(AH862,Listas!$A$77:$C$83,3,FALSE),"Alerta: Seleccione primero el responsable")</f>
        <v>Alerta: Seleccione primero el responsable</v>
      </c>
      <c r="AK862" s="640" t="str">
        <f>IF(J862="Funcionamiento Gastos Generales","No aplica",IF(J862="Funcionamiento Servicios Personales indirectos","No aplica",IFERROR(VLOOKUP(J862,Listas!$A$127:$E$139,3,FALSE),"Alerta: Seleccione la celda en la comumna B con el nombre del proyecto")))</f>
        <v>Alerta: Seleccione la celda en la comumna B con el nombre del proyecto</v>
      </c>
      <c r="AL862" s="640" t="str">
        <f>IF(J862="Funcionamiento Gastos Generales","No aplica",IF(J862="Funcionamiento Servicios Personales","No aplica",IFERROR(VLOOKUP(J862,Listas!$A$220:$D$224,2,FALSE),"Alerta: Seleccione la celda en la comumna B con el nombre del proyecto")))</f>
        <v>Alerta: Seleccione la celda en la comumna B con el nombre del proyecto</v>
      </c>
      <c r="AM862" s="640" t="str">
        <f>IF(J862="Funcionamiento Gastos Generales","No aplica",IF(J862="Funcionamiento Servicios Personales","No aplica",IFERROR(VLOOKUP(J862,Listas!$A$220:$D$224,3,FALSE),"Alerta: Seleccione la celda en la comumna B con el nombre del proyecto")))</f>
        <v>Alerta: Seleccione la celda en la comumna B con el nombre del proyecto</v>
      </c>
      <c r="AN862" s="633"/>
      <c r="AO862" s="633"/>
      <c r="AP862" s="634" t="str">
        <f>IFERROR(VLOOKUP(J862,Listas!$A$182:$E$215,5,FALSE),"Alerta: Seleccione la celda en la comumna B con el nombre del proyecto")</f>
        <v>Alerta: Seleccione la celda en la comumna B con el nombre del proyecto</v>
      </c>
      <c r="AQ862" s="634" t="str">
        <f>IF(J862="Funcionamiento Gastos Generales","No aplica",IF(J862="Funcionamiento Servicios Personales","No aplica",IFERROR(VLOOKUP(J862,Listas!$A$220:$D$224,4,FALSE),"Alerta: Seleccione la celda en la comumna B con el nombre del proyecto")))</f>
        <v>Alerta: Seleccione la celda en la comumna B con el nombre del proyecto</v>
      </c>
      <c r="AR862" s="633"/>
      <c r="AS862" s="634" t="str">
        <f>IFERROR(VLOOKUP(AU862,Listas!$E$85:$L$105,7,FALSE),"Alerta: Seleccione la celda en la comumna AI con el concepto de gasto")</f>
        <v>Alerta: Seleccione la celda en la comumna AI con el concepto de gasto</v>
      </c>
      <c r="AT862" s="634" t="str">
        <f>IFERROR(VLOOKUP(AU862,Listas!$E$85:$L$105,8,FALSE),"Alerta: Seleccione la celda en la comumna AI con el concepto de gasto")</f>
        <v>Alerta: Seleccione la celda en la comumna AI con el concepto de gasto</v>
      </c>
      <c r="AU862" s="633"/>
      <c r="AV862" s="634" t="str">
        <f>IFERROR(VLOOKUP(AU862,Listas!$E$85:$F$105,2,FALSE),"Alerta: Seleccione el Concepto de Gasto primero")</f>
        <v>Alerta: Seleccione el Concepto de Gasto primero</v>
      </c>
      <c r="AW862" s="644"/>
      <c r="AX862" s="645"/>
      <c r="AY862" s="645"/>
      <c r="AZ862" s="645"/>
      <c r="BA862" s="646">
        <f t="shared" si="256"/>
        <v>0</v>
      </c>
      <c r="BB862" s="647"/>
      <c r="BC862" s="648"/>
      <c r="BD862" s="649"/>
      <c r="BE862" s="647"/>
      <c r="BF862" s="644"/>
      <c r="BG862" s="646">
        <f t="shared" si="257"/>
        <v>0</v>
      </c>
      <c r="BH862" s="650"/>
      <c r="BI862" s="647"/>
      <c r="BJ862" s="644"/>
      <c r="BK862" s="646">
        <f t="shared" si="258"/>
        <v>0</v>
      </c>
      <c r="BL862" s="651"/>
      <c r="BM862" s="652">
        <f t="shared" si="259"/>
        <v>1</v>
      </c>
      <c r="BN862" s="628"/>
      <c r="BO862" s="670"/>
      <c r="BP862" s="644"/>
      <c r="BQ862" s="644"/>
      <c r="BR862" s="644"/>
      <c r="BS862" s="644"/>
      <c r="BT862" s="644"/>
      <c r="BU862" s="644"/>
      <c r="BV862" s="644"/>
      <c r="BW862" s="644"/>
      <c r="BX862" s="644"/>
      <c r="BY862" s="644"/>
      <c r="BZ862" s="644"/>
      <c r="CA862" s="644"/>
      <c r="CB862" s="646">
        <f t="shared" si="260"/>
        <v>0</v>
      </c>
      <c r="CC862" s="646">
        <f t="shared" si="261"/>
        <v>0</v>
      </c>
      <c r="CD862" s="614"/>
    </row>
    <row r="863" spans="1:82" s="561" customFormat="1" ht="61.5" customHeight="1">
      <c r="A863" s="625" t="str">
        <f t="shared" si="243"/>
        <v>proyecto-Alerta: Seleccione la celda en la comumna B con el nombre del proyecto-Al-Al--</v>
      </c>
      <c r="B863" s="626" t="str">
        <f t="shared" si="244"/>
        <v>proyecto-Alerta: Seleccione la celda en la comumna B con el nombre del proyecto-Al-Al-</v>
      </c>
      <c r="C863" s="626" t="str">
        <f t="shared" si="245"/>
        <v>proyecto-Alerta: Seleccione la celda en la comumna B con el nombre del proyecto-</v>
      </c>
      <c r="D863" s="626" t="str">
        <f t="shared" si="246"/>
        <v>proyecto--Al-Al-</v>
      </c>
      <c r="E863" s="626" t="str">
        <f t="shared" si="247"/>
        <v>--</v>
      </c>
      <c r="F863" s="627"/>
      <c r="G863" s="628">
        <f t="shared" si="248"/>
        <v>0</v>
      </c>
      <c r="H863" s="629" t="b">
        <f t="shared" si="249"/>
        <v>1</v>
      </c>
      <c r="I863" s="630"/>
      <c r="J863" s="627"/>
      <c r="K863" s="631" t="str">
        <f>+IFERROR(VLOOKUP(J863,Listas!$A$108:$B$114,2,FALSE),"Alerta: Seleccione la celda en la comumna B con el nombre del proyecto")</f>
        <v>Alerta: Seleccione la celda en la comumna B con el nombre del proyecto</v>
      </c>
      <c r="L863" s="632"/>
      <c r="M863" s="633"/>
      <c r="N863" s="634" t="str">
        <f t="shared" si="250"/>
        <v xml:space="preserve">(Cód. ) </v>
      </c>
      <c r="O863" s="635"/>
      <c r="P863" s="636">
        <f>IFERROR(VLOOKUP(W863,'Estimación CRP'!$D$21:$E$30,2,FALSE),0)</f>
        <v>0</v>
      </c>
      <c r="Q863" s="637">
        <f>IF(O863="No aplica","No aplica",WORKDAY.INTL(O863,P863,1,'Estimación CRP'!A1049:A1065))</f>
        <v>0</v>
      </c>
      <c r="R863" s="636">
        <f t="shared" si="251"/>
        <v>1</v>
      </c>
      <c r="S863" s="636">
        <f t="shared" si="252"/>
        <v>1</v>
      </c>
      <c r="T863" s="636">
        <f t="shared" si="253"/>
        <v>1</v>
      </c>
      <c r="U863" s="638"/>
      <c r="V863" s="638"/>
      <c r="W863" s="639"/>
      <c r="X863" s="640" t="str">
        <f>IFERROR(VLOOKUP(W863,Listas!$A$60:$B$73,2,FALSE),"Alerta: Seleccione primero Modalidad de selección")</f>
        <v>Alerta: Seleccione primero Modalidad de selección</v>
      </c>
      <c r="Y863" s="641">
        <v>0</v>
      </c>
      <c r="Z863" s="641"/>
      <c r="AA863" s="641"/>
      <c r="AB863" s="642">
        <f t="shared" si="254"/>
        <v>0</v>
      </c>
      <c r="AC863" s="642">
        <f t="shared" si="255"/>
        <v>0</v>
      </c>
      <c r="AD863" s="641">
        <v>0</v>
      </c>
      <c r="AE863" s="643">
        <v>0</v>
      </c>
      <c r="AF863" s="639" t="s">
        <v>276</v>
      </c>
      <c r="AG863" s="639" t="s">
        <v>277</v>
      </c>
      <c r="AH863" s="639"/>
      <c r="AI863" s="626" t="str">
        <f>IFERROR(VLOOKUP(AH863,Listas!$A$77:$C$83,2,FALSE),"Alerta: Seleccione primero el responsable")</f>
        <v>Alerta: Seleccione primero el responsable</v>
      </c>
      <c r="AJ863" s="640" t="str">
        <f>IFERROR(VLOOKUP(AH863,Listas!$A$77:$C$83,3,FALSE),"Alerta: Seleccione primero el responsable")</f>
        <v>Alerta: Seleccione primero el responsable</v>
      </c>
      <c r="AK863" s="640" t="str">
        <f>IF(J863="Funcionamiento Gastos Generales","No aplica",IF(J863="Funcionamiento Servicios Personales indirectos","No aplica",IFERROR(VLOOKUP(J863,Listas!$A$127:$E$139,3,FALSE),"Alerta: Seleccione la celda en la comumna B con el nombre del proyecto")))</f>
        <v>Alerta: Seleccione la celda en la comumna B con el nombre del proyecto</v>
      </c>
      <c r="AL863" s="640" t="str">
        <f>IF(J863="Funcionamiento Gastos Generales","No aplica",IF(J863="Funcionamiento Servicios Personales","No aplica",IFERROR(VLOOKUP(J863,Listas!$A$220:$D$224,2,FALSE),"Alerta: Seleccione la celda en la comumna B con el nombre del proyecto")))</f>
        <v>Alerta: Seleccione la celda en la comumna B con el nombre del proyecto</v>
      </c>
      <c r="AM863" s="640" t="str">
        <f>IF(J863="Funcionamiento Gastos Generales","No aplica",IF(J863="Funcionamiento Servicios Personales","No aplica",IFERROR(VLOOKUP(J863,Listas!$A$220:$D$224,3,FALSE),"Alerta: Seleccione la celda en la comumna B con el nombre del proyecto")))</f>
        <v>Alerta: Seleccione la celda en la comumna B con el nombre del proyecto</v>
      </c>
      <c r="AN863" s="633"/>
      <c r="AO863" s="633"/>
      <c r="AP863" s="634" t="str">
        <f>IFERROR(VLOOKUP(J863,Listas!$A$182:$E$215,5,FALSE),"Alerta: Seleccione la celda en la comumna B con el nombre del proyecto")</f>
        <v>Alerta: Seleccione la celda en la comumna B con el nombre del proyecto</v>
      </c>
      <c r="AQ863" s="634" t="str">
        <f>IF(J863="Funcionamiento Gastos Generales","No aplica",IF(J863="Funcionamiento Servicios Personales","No aplica",IFERROR(VLOOKUP(J863,Listas!$A$220:$D$224,4,FALSE),"Alerta: Seleccione la celda en la comumna B con el nombre del proyecto")))</f>
        <v>Alerta: Seleccione la celda en la comumna B con el nombre del proyecto</v>
      </c>
      <c r="AR863" s="633"/>
      <c r="AS863" s="634" t="str">
        <f>IFERROR(VLOOKUP(AU863,Listas!$E$85:$L$105,7,FALSE),"Alerta: Seleccione la celda en la comumna AI con el concepto de gasto")</f>
        <v>Alerta: Seleccione la celda en la comumna AI con el concepto de gasto</v>
      </c>
      <c r="AT863" s="634" t="str">
        <f>IFERROR(VLOOKUP(AU863,Listas!$E$85:$L$105,8,FALSE),"Alerta: Seleccione la celda en la comumna AI con el concepto de gasto")</f>
        <v>Alerta: Seleccione la celda en la comumna AI con el concepto de gasto</v>
      </c>
      <c r="AU863" s="633"/>
      <c r="AV863" s="634" t="str">
        <f>IFERROR(VLOOKUP(AU863,Listas!$E$85:$F$105,2,FALSE),"Alerta: Seleccione el Concepto de Gasto primero")</f>
        <v>Alerta: Seleccione el Concepto de Gasto primero</v>
      </c>
      <c r="AW863" s="644"/>
      <c r="AX863" s="645"/>
      <c r="AY863" s="645"/>
      <c r="AZ863" s="645"/>
      <c r="BA863" s="646">
        <f t="shared" si="256"/>
        <v>0</v>
      </c>
      <c r="BB863" s="647"/>
      <c r="BC863" s="648"/>
      <c r="BD863" s="649"/>
      <c r="BE863" s="647"/>
      <c r="BF863" s="644"/>
      <c r="BG863" s="646">
        <f t="shared" si="257"/>
        <v>0</v>
      </c>
      <c r="BH863" s="650"/>
      <c r="BI863" s="647"/>
      <c r="BJ863" s="644"/>
      <c r="BK863" s="646">
        <f t="shared" si="258"/>
        <v>0</v>
      </c>
      <c r="BL863" s="651"/>
      <c r="BM863" s="652">
        <f t="shared" si="259"/>
        <v>1</v>
      </c>
      <c r="BN863" s="628"/>
      <c r="BO863" s="670"/>
      <c r="BP863" s="644"/>
      <c r="BQ863" s="644"/>
      <c r="BR863" s="644"/>
      <c r="BS863" s="644"/>
      <c r="BT863" s="644"/>
      <c r="BU863" s="644"/>
      <c r="BV863" s="644"/>
      <c r="BW863" s="644"/>
      <c r="BX863" s="644"/>
      <c r="BY863" s="644"/>
      <c r="BZ863" s="644"/>
      <c r="CA863" s="644"/>
      <c r="CB863" s="646">
        <f t="shared" si="260"/>
        <v>0</v>
      </c>
      <c r="CC863" s="646">
        <f t="shared" si="261"/>
        <v>0</v>
      </c>
      <c r="CD863" s="614"/>
    </row>
    <row r="864" spans="1:82" s="561" customFormat="1" ht="61.5" customHeight="1">
      <c r="A864" s="625" t="str">
        <f t="shared" ref="A864:A927" si="262">+CONCATENATE(B864,"-",AO864)</f>
        <v>proyecto-Alerta: Seleccione la celda en la comumna B con el nombre del proyecto-Al-Al--</v>
      </c>
      <c r="B864" s="626" t="str">
        <f t="shared" ref="B864:B927" si="263">CONCATENATE(RIGHT(K864,8),"-",AQ864,"-",LEFT(AS864,2),"-",LEFT(AT864,2),"-",LEFT(AU864,4))</f>
        <v>proyecto-Alerta: Seleccione la celda en la comumna B con el nombre del proyecto-Al-Al-</v>
      </c>
      <c r="C864" s="626" t="str">
        <f t="shared" ref="C864:C927" si="264">+CONCATENATE(RIGHT(K864,8),"-",AQ864,"-",AO864)</f>
        <v>proyecto-Alerta: Seleccione la celda en la comumna B con el nombre del proyecto-</v>
      </c>
      <c r="D864" s="626" t="str">
        <f t="shared" ref="D864:D927" si="265">+CONCATENATE(RIGHT(K864,8),"-",AR864,"-",LEFT(AS864,2),"-",LEFT(AT864,2),"-",LEFT(AU864,4))</f>
        <v>proyecto--Al-Al-</v>
      </c>
      <c r="E864" s="626" t="str">
        <f t="shared" si="247"/>
        <v>--</v>
      </c>
      <c r="F864" s="627"/>
      <c r="G864" s="628">
        <f t="shared" si="248"/>
        <v>0</v>
      </c>
      <c r="H864" s="629" t="b">
        <f t="shared" si="249"/>
        <v>1</v>
      </c>
      <c r="I864" s="630"/>
      <c r="J864" s="627"/>
      <c r="K864" s="631" t="str">
        <f>+IFERROR(VLOOKUP(J864,Listas!$A$108:$B$114,2,FALSE),"Alerta: Seleccione la celda en la comumna B con el nombre del proyecto")</f>
        <v>Alerta: Seleccione la celda en la comumna B con el nombre del proyecto</v>
      </c>
      <c r="L864" s="632"/>
      <c r="M864" s="633"/>
      <c r="N864" s="634" t="str">
        <f t="shared" si="250"/>
        <v xml:space="preserve">(Cód. ) </v>
      </c>
      <c r="O864" s="635"/>
      <c r="P864" s="636">
        <f>IFERROR(VLOOKUP(W864,'Estimación CRP'!$D$21:$E$30,2,FALSE),0)</f>
        <v>0</v>
      </c>
      <c r="Q864" s="637">
        <f>IF(O864="No aplica","No aplica",WORKDAY.INTL(O864,P864,1,'Estimación CRP'!A1050:A1066))</f>
        <v>0</v>
      </c>
      <c r="R864" s="636">
        <f t="shared" si="251"/>
        <v>1</v>
      </c>
      <c r="S864" s="636">
        <f t="shared" si="252"/>
        <v>1</v>
      </c>
      <c r="T864" s="636">
        <f t="shared" si="253"/>
        <v>1</v>
      </c>
      <c r="U864" s="638"/>
      <c r="V864" s="638"/>
      <c r="W864" s="639"/>
      <c r="X864" s="640" t="str">
        <f>IFERROR(VLOOKUP(W864,Listas!$A$60:$B$73,2,FALSE),"Alerta: Seleccione primero Modalidad de selección")</f>
        <v>Alerta: Seleccione primero Modalidad de selección</v>
      </c>
      <c r="Y864" s="641">
        <v>0</v>
      </c>
      <c r="Z864" s="641"/>
      <c r="AA864" s="641"/>
      <c r="AB864" s="642">
        <f t="shared" si="254"/>
        <v>0</v>
      </c>
      <c r="AC864" s="642">
        <f t="shared" si="255"/>
        <v>0</v>
      </c>
      <c r="AD864" s="641">
        <v>0</v>
      </c>
      <c r="AE864" s="643">
        <v>0</v>
      </c>
      <c r="AF864" s="639" t="s">
        <v>276</v>
      </c>
      <c r="AG864" s="639" t="s">
        <v>277</v>
      </c>
      <c r="AH864" s="639"/>
      <c r="AI864" s="626" t="str">
        <f>IFERROR(VLOOKUP(AH864,Listas!$A$77:$C$83,2,FALSE),"Alerta: Seleccione primero el responsable")</f>
        <v>Alerta: Seleccione primero el responsable</v>
      </c>
      <c r="AJ864" s="640" t="str">
        <f>IFERROR(VLOOKUP(AH864,Listas!$A$77:$C$83,3,FALSE),"Alerta: Seleccione primero el responsable")</f>
        <v>Alerta: Seleccione primero el responsable</v>
      </c>
      <c r="AK864" s="640" t="str">
        <f>IF(J864="Funcionamiento Gastos Generales","No aplica",IF(J864="Funcionamiento Servicios Personales indirectos","No aplica",IFERROR(VLOOKUP(J864,Listas!$A$127:$E$139,3,FALSE),"Alerta: Seleccione la celda en la comumna B con el nombre del proyecto")))</f>
        <v>Alerta: Seleccione la celda en la comumna B con el nombre del proyecto</v>
      </c>
      <c r="AL864" s="640" t="str">
        <f>IF(J864="Funcionamiento Gastos Generales","No aplica",IF(J864="Funcionamiento Servicios Personales","No aplica",IFERROR(VLOOKUP(J864,Listas!$A$220:$D$224,2,FALSE),"Alerta: Seleccione la celda en la comumna B con el nombre del proyecto")))</f>
        <v>Alerta: Seleccione la celda en la comumna B con el nombre del proyecto</v>
      </c>
      <c r="AM864" s="640" t="str">
        <f>IF(J864="Funcionamiento Gastos Generales","No aplica",IF(J864="Funcionamiento Servicios Personales","No aplica",IFERROR(VLOOKUP(J864,Listas!$A$220:$D$224,3,FALSE),"Alerta: Seleccione la celda en la comumna B con el nombre del proyecto")))</f>
        <v>Alerta: Seleccione la celda en la comumna B con el nombre del proyecto</v>
      </c>
      <c r="AN864" s="633"/>
      <c r="AO864" s="633"/>
      <c r="AP864" s="634" t="str">
        <f>IFERROR(VLOOKUP(J864,Listas!$A$182:$E$215,5,FALSE),"Alerta: Seleccione la celda en la comumna B con el nombre del proyecto")</f>
        <v>Alerta: Seleccione la celda en la comumna B con el nombre del proyecto</v>
      </c>
      <c r="AQ864" s="634" t="str">
        <f>IF(J864="Funcionamiento Gastos Generales","No aplica",IF(J864="Funcionamiento Servicios Personales","No aplica",IFERROR(VLOOKUP(J864,Listas!$A$220:$D$224,4,FALSE),"Alerta: Seleccione la celda en la comumna B con el nombre del proyecto")))</f>
        <v>Alerta: Seleccione la celda en la comumna B con el nombre del proyecto</v>
      </c>
      <c r="AR864" s="633"/>
      <c r="AS864" s="634" t="str">
        <f>IFERROR(VLOOKUP(AU864,Listas!$E$85:$L$105,7,FALSE),"Alerta: Seleccione la celda en la comumna AI con el concepto de gasto")</f>
        <v>Alerta: Seleccione la celda en la comumna AI con el concepto de gasto</v>
      </c>
      <c r="AT864" s="634" t="str">
        <f>IFERROR(VLOOKUP(AU864,Listas!$E$85:$L$105,8,FALSE),"Alerta: Seleccione la celda en la comumna AI con el concepto de gasto")</f>
        <v>Alerta: Seleccione la celda en la comumna AI con el concepto de gasto</v>
      </c>
      <c r="AU864" s="633"/>
      <c r="AV864" s="634" t="str">
        <f>IFERROR(VLOOKUP(AU864,Listas!$E$85:$F$105,2,FALSE),"Alerta: Seleccione el Concepto de Gasto primero")</f>
        <v>Alerta: Seleccione el Concepto de Gasto primero</v>
      </c>
      <c r="AW864" s="644"/>
      <c r="AX864" s="645"/>
      <c r="AY864" s="645"/>
      <c r="AZ864" s="645"/>
      <c r="BA864" s="646">
        <f t="shared" si="256"/>
        <v>0</v>
      </c>
      <c r="BB864" s="647"/>
      <c r="BC864" s="648"/>
      <c r="BD864" s="649"/>
      <c r="BE864" s="647"/>
      <c r="BF864" s="644"/>
      <c r="BG864" s="646">
        <f t="shared" si="257"/>
        <v>0</v>
      </c>
      <c r="BH864" s="650"/>
      <c r="BI864" s="647"/>
      <c r="BJ864" s="644"/>
      <c r="BK864" s="646">
        <f t="shared" si="258"/>
        <v>0</v>
      </c>
      <c r="BL864" s="651"/>
      <c r="BM864" s="652">
        <f t="shared" si="259"/>
        <v>1</v>
      </c>
      <c r="BN864" s="628"/>
      <c r="BO864" s="670"/>
      <c r="BP864" s="644"/>
      <c r="BQ864" s="644"/>
      <c r="BR864" s="644"/>
      <c r="BS864" s="644"/>
      <c r="BT864" s="644"/>
      <c r="BU864" s="644"/>
      <c r="BV864" s="644"/>
      <c r="BW864" s="644"/>
      <c r="BX864" s="644"/>
      <c r="BY864" s="644"/>
      <c r="BZ864" s="644"/>
      <c r="CA864" s="644"/>
      <c r="CB864" s="646">
        <f t="shared" si="260"/>
        <v>0</v>
      </c>
      <c r="CC864" s="646">
        <f t="shared" si="261"/>
        <v>0</v>
      </c>
      <c r="CD864" s="614"/>
    </row>
    <row r="865" spans="1:82" s="561" customFormat="1" ht="61.5" customHeight="1">
      <c r="A865" s="625" t="str">
        <f t="shared" si="262"/>
        <v>proyecto-Alerta: Seleccione la celda en la comumna B con el nombre del proyecto-Al-Al--</v>
      </c>
      <c r="B865" s="626" t="str">
        <f t="shared" si="263"/>
        <v>proyecto-Alerta: Seleccione la celda en la comumna B con el nombre del proyecto-Al-Al-</v>
      </c>
      <c r="C865" s="626" t="str">
        <f t="shared" si="264"/>
        <v>proyecto-Alerta: Seleccione la celda en la comumna B con el nombre del proyecto-</v>
      </c>
      <c r="D865" s="626" t="str">
        <f t="shared" si="265"/>
        <v>proyecto--Al-Al-</v>
      </c>
      <c r="E865" s="626" t="str">
        <f t="shared" ref="E865:E928" si="266">+CONCATENATE(AO865,"-",AR865,"-",AU865)</f>
        <v>--</v>
      </c>
      <c r="F865" s="627"/>
      <c r="G865" s="628">
        <f t="shared" ref="G865:G928" si="267">+F865</f>
        <v>0</v>
      </c>
      <c r="H865" s="629" t="b">
        <f t="shared" ref="H865:H928" si="268">+G865=G864</f>
        <v>1</v>
      </c>
      <c r="I865" s="630"/>
      <c r="J865" s="627"/>
      <c r="K865" s="631" t="str">
        <f>+IFERROR(VLOOKUP(J865,Listas!$A$108:$B$114,2,FALSE),"Alerta: Seleccione la celda en la comumna B con el nombre del proyecto")</f>
        <v>Alerta: Seleccione la celda en la comumna B con el nombre del proyecto</v>
      </c>
      <c r="L865" s="632"/>
      <c r="M865" s="633"/>
      <c r="N865" s="634" t="str">
        <f t="shared" ref="N865:N928" si="269">+CONCATENATE("(Cód. ",F865,") ",M865)</f>
        <v xml:space="preserve">(Cód. ) </v>
      </c>
      <c r="O865" s="635"/>
      <c r="P865" s="636">
        <f>IFERROR(VLOOKUP(W865,'Estimación CRP'!$D$21:$E$30,2,FALSE),0)</f>
        <v>0</v>
      </c>
      <c r="Q865" s="637">
        <f>IF(O865="No aplica","No aplica",WORKDAY.INTL(O865,P865,1,'Estimación CRP'!A1051:A1067))</f>
        <v>0</v>
      </c>
      <c r="R865" s="636">
        <f t="shared" ref="R865:R928" si="270">IF(O865="No aplica","No aplica",MONTH(Q865))</f>
        <v>1</v>
      </c>
      <c r="S865" s="636">
        <f t="shared" ref="S865:S928" si="271">IF(O865="No aplica","No aplica",MONTH(O865))</f>
        <v>1</v>
      </c>
      <c r="T865" s="636">
        <f t="shared" ref="T865:T928" si="272">IF(O865="No aplica","No aplica",S865)</f>
        <v>1</v>
      </c>
      <c r="U865" s="638"/>
      <c r="V865" s="638"/>
      <c r="W865" s="639"/>
      <c r="X865" s="640" t="str">
        <f>IFERROR(VLOOKUP(W865,Listas!$A$60:$B$73,2,FALSE),"Alerta: Seleccione primero Modalidad de selección")</f>
        <v>Alerta: Seleccione primero Modalidad de selección</v>
      </c>
      <c r="Y865" s="641">
        <v>0</v>
      </c>
      <c r="Z865" s="641"/>
      <c r="AA865" s="641"/>
      <c r="AB865" s="642">
        <f t="shared" ref="AB865:AB928" si="273">+BA865</f>
        <v>0</v>
      </c>
      <c r="AC865" s="642">
        <f t="shared" ref="AC865:AC928" si="274">+AB865</f>
        <v>0</v>
      </c>
      <c r="AD865" s="641">
        <v>0</v>
      </c>
      <c r="AE865" s="643">
        <v>0</v>
      </c>
      <c r="AF865" s="639" t="s">
        <v>276</v>
      </c>
      <c r="AG865" s="639" t="s">
        <v>277</v>
      </c>
      <c r="AH865" s="639"/>
      <c r="AI865" s="626" t="str">
        <f>IFERROR(VLOOKUP(AH865,Listas!$A$77:$C$83,2,FALSE),"Alerta: Seleccione primero el responsable")</f>
        <v>Alerta: Seleccione primero el responsable</v>
      </c>
      <c r="AJ865" s="640" t="str">
        <f>IFERROR(VLOOKUP(AH865,Listas!$A$77:$C$83,3,FALSE),"Alerta: Seleccione primero el responsable")</f>
        <v>Alerta: Seleccione primero el responsable</v>
      </c>
      <c r="AK865" s="640" t="str">
        <f>IF(J865="Funcionamiento Gastos Generales","No aplica",IF(J865="Funcionamiento Servicios Personales indirectos","No aplica",IFERROR(VLOOKUP(J865,Listas!$A$127:$E$139,3,FALSE),"Alerta: Seleccione la celda en la comumna B con el nombre del proyecto")))</f>
        <v>Alerta: Seleccione la celda en la comumna B con el nombre del proyecto</v>
      </c>
      <c r="AL865" s="640" t="str">
        <f>IF(J865="Funcionamiento Gastos Generales","No aplica",IF(J865="Funcionamiento Servicios Personales","No aplica",IFERROR(VLOOKUP(J865,Listas!$A$220:$D$224,2,FALSE),"Alerta: Seleccione la celda en la comumna B con el nombre del proyecto")))</f>
        <v>Alerta: Seleccione la celda en la comumna B con el nombre del proyecto</v>
      </c>
      <c r="AM865" s="640" t="str">
        <f>IF(J865="Funcionamiento Gastos Generales","No aplica",IF(J865="Funcionamiento Servicios Personales","No aplica",IFERROR(VLOOKUP(J865,Listas!$A$220:$D$224,3,FALSE),"Alerta: Seleccione la celda en la comumna B con el nombre del proyecto")))</f>
        <v>Alerta: Seleccione la celda en la comumna B con el nombre del proyecto</v>
      </c>
      <c r="AN865" s="633"/>
      <c r="AO865" s="633"/>
      <c r="AP865" s="634" t="str">
        <f>IFERROR(VLOOKUP(J865,Listas!$A$182:$E$215,5,FALSE),"Alerta: Seleccione la celda en la comumna B con el nombre del proyecto")</f>
        <v>Alerta: Seleccione la celda en la comumna B con el nombre del proyecto</v>
      </c>
      <c r="AQ865" s="634" t="str">
        <f>IF(J865="Funcionamiento Gastos Generales","No aplica",IF(J865="Funcionamiento Servicios Personales","No aplica",IFERROR(VLOOKUP(J865,Listas!$A$220:$D$224,4,FALSE),"Alerta: Seleccione la celda en la comumna B con el nombre del proyecto")))</f>
        <v>Alerta: Seleccione la celda en la comumna B con el nombre del proyecto</v>
      </c>
      <c r="AR865" s="633"/>
      <c r="AS865" s="634" t="str">
        <f>IFERROR(VLOOKUP(AU865,Listas!$E$85:$L$105,7,FALSE),"Alerta: Seleccione la celda en la comumna AI con el concepto de gasto")</f>
        <v>Alerta: Seleccione la celda en la comumna AI con el concepto de gasto</v>
      </c>
      <c r="AT865" s="634" t="str">
        <f>IFERROR(VLOOKUP(AU865,Listas!$E$85:$L$105,8,FALSE),"Alerta: Seleccione la celda en la comumna AI con el concepto de gasto")</f>
        <v>Alerta: Seleccione la celda en la comumna AI con el concepto de gasto</v>
      </c>
      <c r="AU865" s="633"/>
      <c r="AV865" s="634" t="str">
        <f>IFERROR(VLOOKUP(AU865,Listas!$E$85:$F$105,2,FALSE),"Alerta: Seleccione el Concepto de Gasto primero")</f>
        <v>Alerta: Seleccione el Concepto de Gasto primero</v>
      </c>
      <c r="AW865" s="644"/>
      <c r="AX865" s="645"/>
      <c r="AY865" s="645"/>
      <c r="AZ865" s="645"/>
      <c r="BA865" s="646">
        <f t="shared" ref="BA865:BA928" si="275">+AW865+AX865+AY865-AZ865</f>
        <v>0</v>
      </c>
      <c r="BB865" s="647"/>
      <c r="BC865" s="648"/>
      <c r="BD865" s="649"/>
      <c r="BE865" s="647"/>
      <c r="BF865" s="644"/>
      <c r="BG865" s="646">
        <f t="shared" ref="BG865:BG928" si="276">+BA865-BF865</f>
        <v>0</v>
      </c>
      <c r="BH865" s="650"/>
      <c r="BI865" s="647"/>
      <c r="BJ865" s="644"/>
      <c r="BK865" s="646">
        <f t="shared" ref="BK865:BK928" si="277">BF865-BJ865</f>
        <v>0</v>
      </c>
      <c r="BL865" s="651"/>
      <c r="BM865" s="652">
        <f t="shared" ref="BM865:BM928" si="278">MONTH(BL865)</f>
        <v>1</v>
      </c>
      <c r="BN865" s="628"/>
      <c r="BO865" s="670"/>
      <c r="BP865" s="644"/>
      <c r="BQ865" s="644"/>
      <c r="BR865" s="644"/>
      <c r="BS865" s="644"/>
      <c r="BT865" s="644"/>
      <c r="BU865" s="644"/>
      <c r="BV865" s="644"/>
      <c r="BW865" s="644"/>
      <c r="BX865" s="644"/>
      <c r="BY865" s="644"/>
      <c r="BZ865" s="644"/>
      <c r="CA865" s="644"/>
      <c r="CB865" s="646">
        <f t="shared" ref="CB865:CB928" si="279">+SUM(BP865:CA865)</f>
        <v>0</v>
      </c>
      <c r="CC865" s="646">
        <f t="shared" ref="CC865:CC928" si="280">BJ865-CB865</f>
        <v>0</v>
      </c>
      <c r="CD865" s="614"/>
    </row>
    <row r="866" spans="1:82" s="561" customFormat="1" ht="61.5" customHeight="1">
      <c r="A866" s="625" t="str">
        <f t="shared" si="262"/>
        <v>proyecto-Alerta: Seleccione la celda en la comumna B con el nombre del proyecto-Al-Al--</v>
      </c>
      <c r="B866" s="626" t="str">
        <f t="shared" si="263"/>
        <v>proyecto-Alerta: Seleccione la celda en la comumna B con el nombre del proyecto-Al-Al-</v>
      </c>
      <c r="C866" s="626" t="str">
        <f t="shared" si="264"/>
        <v>proyecto-Alerta: Seleccione la celda en la comumna B con el nombre del proyecto-</v>
      </c>
      <c r="D866" s="626" t="str">
        <f t="shared" si="265"/>
        <v>proyecto--Al-Al-</v>
      </c>
      <c r="E866" s="626" t="str">
        <f t="shared" si="266"/>
        <v>--</v>
      </c>
      <c r="F866" s="627"/>
      <c r="G866" s="628">
        <f t="shared" si="267"/>
        <v>0</v>
      </c>
      <c r="H866" s="629" t="b">
        <f t="shared" si="268"/>
        <v>1</v>
      </c>
      <c r="I866" s="630"/>
      <c r="J866" s="627"/>
      <c r="K866" s="631" t="str">
        <f>+IFERROR(VLOOKUP(J866,Listas!$A$108:$B$114,2,FALSE),"Alerta: Seleccione la celda en la comumna B con el nombre del proyecto")</f>
        <v>Alerta: Seleccione la celda en la comumna B con el nombre del proyecto</v>
      </c>
      <c r="L866" s="632"/>
      <c r="M866" s="633"/>
      <c r="N866" s="634" t="str">
        <f t="shared" si="269"/>
        <v xml:space="preserve">(Cód. ) </v>
      </c>
      <c r="O866" s="635"/>
      <c r="P866" s="636">
        <f>IFERROR(VLOOKUP(W866,'Estimación CRP'!$D$21:$E$30,2,FALSE),0)</f>
        <v>0</v>
      </c>
      <c r="Q866" s="637">
        <f>IF(O866="No aplica","No aplica",WORKDAY.INTL(O866,P866,1,'Estimación CRP'!A1052:A1068))</f>
        <v>0</v>
      </c>
      <c r="R866" s="636">
        <f t="shared" si="270"/>
        <v>1</v>
      </c>
      <c r="S866" s="636">
        <f t="shared" si="271"/>
        <v>1</v>
      </c>
      <c r="T866" s="636">
        <f t="shared" si="272"/>
        <v>1</v>
      </c>
      <c r="U866" s="638"/>
      <c r="V866" s="638"/>
      <c r="W866" s="639"/>
      <c r="X866" s="640" t="str">
        <f>IFERROR(VLOOKUP(W866,Listas!$A$60:$B$73,2,FALSE),"Alerta: Seleccione primero Modalidad de selección")</f>
        <v>Alerta: Seleccione primero Modalidad de selección</v>
      </c>
      <c r="Y866" s="641">
        <v>0</v>
      </c>
      <c r="Z866" s="641"/>
      <c r="AA866" s="641"/>
      <c r="AB866" s="642">
        <f t="shared" si="273"/>
        <v>0</v>
      </c>
      <c r="AC866" s="642">
        <f t="shared" si="274"/>
        <v>0</v>
      </c>
      <c r="AD866" s="641">
        <v>0</v>
      </c>
      <c r="AE866" s="643">
        <v>0</v>
      </c>
      <c r="AF866" s="639" t="s">
        <v>276</v>
      </c>
      <c r="AG866" s="639" t="s">
        <v>277</v>
      </c>
      <c r="AH866" s="639"/>
      <c r="AI866" s="626" t="str">
        <f>IFERROR(VLOOKUP(AH866,Listas!$A$77:$C$83,2,FALSE),"Alerta: Seleccione primero el responsable")</f>
        <v>Alerta: Seleccione primero el responsable</v>
      </c>
      <c r="AJ866" s="640" t="str">
        <f>IFERROR(VLOOKUP(AH866,Listas!$A$77:$C$83,3,FALSE),"Alerta: Seleccione primero el responsable")</f>
        <v>Alerta: Seleccione primero el responsable</v>
      </c>
      <c r="AK866" s="640" t="str">
        <f>IF(J866="Funcionamiento Gastos Generales","No aplica",IF(J866="Funcionamiento Servicios Personales indirectos","No aplica",IFERROR(VLOOKUP(J866,Listas!$A$127:$E$139,3,FALSE),"Alerta: Seleccione la celda en la comumna B con el nombre del proyecto")))</f>
        <v>Alerta: Seleccione la celda en la comumna B con el nombre del proyecto</v>
      </c>
      <c r="AL866" s="640" t="str">
        <f>IF(J866="Funcionamiento Gastos Generales","No aplica",IF(J866="Funcionamiento Servicios Personales","No aplica",IFERROR(VLOOKUP(J866,Listas!$A$220:$D$224,2,FALSE),"Alerta: Seleccione la celda en la comumna B con el nombre del proyecto")))</f>
        <v>Alerta: Seleccione la celda en la comumna B con el nombre del proyecto</v>
      </c>
      <c r="AM866" s="640" t="str">
        <f>IF(J866="Funcionamiento Gastos Generales","No aplica",IF(J866="Funcionamiento Servicios Personales","No aplica",IFERROR(VLOOKUP(J866,Listas!$A$220:$D$224,3,FALSE),"Alerta: Seleccione la celda en la comumna B con el nombre del proyecto")))</f>
        <v>Alerta: Seleccione la celda en la comumna B con el nombre del proyecto</v>
      </c>
      <c r="AN866" s="633"/>
      <c r="AO866" s="633"/>
      <c r="AP866" s="634" t="str">
        <f>IFERROR(VLOOKUP(J866,Listas!$A$182:$E$215,5,FALSE),"Alerta: Seleccione la celda en la comumna B con el nombre del proyecto")</f>
        <v>Alerta: Seleccione la celda en la comumna B con el nombre del proyecto</v>
      </c>
      <c r="AQ866" s="634" t="str">
        <f>IF(J866="Funcionamiento Gastos Generales","No aplica",IF(J866="Funcionamiento Servicios Personales","No aplica",IFERROR(VLOOKUP(J866,Listas!$A$220:$D$224,4,FALSE),"Alerta: Seleccione la celda en la comumna B con el nombre del proyecto")))</f>
        <v>Alerta: Seleccione la celda en la comumna B con el nombre del proyecto</v>
      </c>
      <c r="AR866" s="633"/>
      <c r="AS866" s="634" t="str">
        <f>IFERROR(VLOOKUP(AU866,Listas!$E$85:$L$105,7,FALSE),"Alerta: Seleccione la celda en la comumna AI con el concepto de gasto")</f>
        <v>Alerta: Seleccione la celda en la comumna AI con el concepto de gasto</v>
      </c>
      <c r="AT866" s="634" t="str">
        <f>IFERROR(VLOOKUP(AU866,Listas!$E$85:$L$105,8,FALSE),"Alerta: Seleccione la celda en la comumna AI con el concepto de gasto")</f>
        <v>Alerta: Seleccione la celda en la comumna AI con el concepto de gasto</v>
      </c>
      <c r="AU866" s="633"/>
      <c r="AV866" s="634" t="str">
        <f>IFERROR(VLOOKUP(AU866,Listas!$E$85:$F$105,2,FALSE),"Alerta: Seleccione el Concepto de Gasto primero")</f>
        <v>Alerta: Seleccione el Concepto de Gasto primero</v>
      </c>
      <c r="AW866" s="644"/>
      <c r="AX866" s="645"/>
      <c r="AY866" s="645"/>
      <c r="AZ866" s="645"/>
      <c r="BA866" s="646">
        <f t="shared" si="275"/>
        <v>0</v>
      </c>
      <c r="BB866" s="647"/>
      <c r="BC866" s="648"/>
      <c r="BD866" s="649"/>
      <c r="BE866" s="647"/>
      <c r="BF866" s="644"/>
      <c r="BG866" s="646">
        <f t="shared" si="276"/>
        <v>0</v>
      </c>
      <c r="BH866" s="650"/>
      <c r="BI866" s="647"/>
      <c r="BJ866" s="644"/>
      <c r="BK866" s="646">
        <f t="shared" si="277"/>
        <v>0</v>
      </c>
      <c r="BL866" s="651"/>
      <c r="BM866" s="652">
        <f t="shared" si="278"/>
        <v>1</v>
      </c>
      <c r="BN866" s="628"/>
      <c r="BO866" s="670"/>
      <c r="BP866" s="644"/>
      <c r="BQ866" s="644"/>
      <c r="BR866" s="644"/>
      <c r="BS866" s="644"/>
      <c r="BT866" s="644"/>
      <c r="BU866" s="644"/>
      <c r="BV866" s="644"/>
      <c r="BW866" s="644"/>
      <c r="BX866" s="644"/>
      <c r="BY866" s="644"/>
      <c r="BZ866" s="644"/>
      <c r="CA866" s="644"/>
      <c r="CB866" s="646">
        <f t="shared" si="279"/>
        <v>0</v>
      </c>
      <c r="CC866" s="646">
        <f t="shared" si="280"/>
        <v>0</v>
      </c>
      <c r="CD866" s="614"/>
    </row>
    <row r="867" spans="1:82" s="561" customFormat="1" ht="61.5" customHeight="1">
      <c r="A867" s="625" t="str">
        <f t="shared" si="262"/>
        <v>proyecto-Alerta: Seleccione la celda en la comumna B con el nombre del proyecto-Al-Al--</v>
      </c>
      <c r="B867" s="626" t="str">
        <f t="shared" si="263"/>
        <v>proyecto-Alerta: Seleccione la celda en la comumna B con el nombre del proyecto-Al-Al-</v>
      </c>
      <c r="C867" s="626" t="str">
        <f t="shared" si="264"/>
        <v>proyecto-Alerta: Seleccione la celda en la comumna B con el nombre del proyecto-</v>
      </c>
      <c r="D867" s="626" t="str">
        <f t="shared" si="265"/>
        <v>proyecto--Al-Al-</v>
      </c>
      <c r="E867" s="626" t="str">
        <f t="shared" si="266"/>
        <v>--</v>
      </c>
      <c r="F867" s="627"/>
      <c r="G867" s="628">
        <f t="shared" si="267"/>
        <v>0</v>
      </c>
      <c r="H867" s="629" t="b">
        <f t="shared" si="268"/>
        <v>1</v>
      </c>
      <c r="I867" s="630"/>
      <c r="J867" s="627"/>
      <c r="K867" s="631" t="str">
        <f>+IFERROR(VLOOKUP(J867,Listas!$A$108:$B$114,2,FALSE),"Alerta: Seleccione la celda en la comumna B con el nombre del proyecto")</f>
        <v>Alerta: Seleccione la celda en la comumna B con el nombre del proyecto</v>
      </c>
      <c r="L867" s="632"/>
      <c r="M867" s="633"/>
      <c r="N867" s="634" t="str">
        <f t="shared" si="269"/>
        <v xml:space="preserve">(Cód. ) </v>
      </c>
      <c r="O867" s="635"/>
      <c r="P867" s="636">
        <f>IFERROR(VLOOKUP(W867,'Estimación CRP'!$D$21:$E$30,2,FALSE),0)</f>
        <v>0</v>
      </c>
      <c r="Q867" s="637">
        <f>IF(O867="No aplica","No aplica",WORKDAY.INTL(O867,P867,1,'Estimación CRP'!A1053:A1069))</f>
        <v>0</v>
      </c>
      <c r="R867" s="636">
        <f t="shared" si="270"/>
        <v>1</v>
      </c>
      <c r="S867" s="636">
        <f t="shared" si="271"/>
        <v>1</v>
      </c>
      <c r="T867" s="636">
        <f t="shared" si="272"/>
        <v>1</v>
      </c>
      <c r="U867" s="638"/>
      <c r="V867" s="638"/>
      <c r="W867" s="639"/>
      <c r="X867" s="640" t="str">
        <f>IFERROR(VLOOKUP(W867,Listas!$A$60:$B$73,2,FALSE),"Alerta: Seleccione primero Modalidad de selección")</f>
        <v>Alerta: Seleccione primero Modalidad de selección</v>
      </c>
      <c r="Y867" s="641">
        <v>0</v>
      </c>
      <c r="Z867" s="641"/>
      <c r="AA867" s="641"/>
      <c r="AB867" s="642">
        <f t="shared" si="273"/>
        <v>0</v>
      </c>
      <c r="AC867" s="642">
        <f t="shared" si="274"/>
        <v>0</v>
      </c>
      <c r="AD867" s="641">
        <v>0</v>
      </c>
      <c r="AE867" s="643">
        <v>0</v>
      </c>
      <c r="AF867" s="639" t="s">
        <v>276</v>
      </c>
      <c r="AG867" s="639" t="s">
        <v>277</v>
      </c>
      <c r="AH867" s="639"/>
      <c r="AI867" s="626" t="str">
        <f>IFERROR(VLOOKUP(AH867,Listas!$A$77:$C$83,2,FALSE),"Alerta: Seleccione primero el responsable")</f>
        <v>Alerta: Seleccione primero el responsable</v>
      </c>
      <c r="AJ867" s="640" t="str">
        <f>IFERROR(VLOOKUP(AH867,Listas!$A$77:$C$83,3,FALSE),"Alerta: Seleccione primero el responsable")</f>
        <v>Alerta: Seleccione primero el responsable</v>
      </c>
      <c r="AK867" s="640" t="str">
        <f>IF(J867="Funcionamiento Gastos Generales","No aplica",IF(J867="Funcionamiento Servicios Personales indirectos","No aplica",IFERROR(VLOOKUP(J867,Listas!$A$127:$E$139,3,FALSE),"Alerta: Seleccione la celda en la comumna B con el nombre del proyecto")))</f>
        <v>Alerta: Seleccione la celda en la comumna B con el nombre del proyecto</v>
      </c>
      <c r="AL867" s="640" t="str">
        <f>IF(J867="Funcionamiento Gastos Generales","No aplica",IF(J867="Funcionamiento Servicios Personales","No aplica",IFERROR(VLOOKUP(J867,Listas!$A$220:$D$224,2,FALSE),"Alerta: Seleccione la celda en la comumna B con el nombre del proyecto")))</f>
        <v>Alerta: Seleccione la celda en la comumna B con el nombre del proyecto</v>
      </c>
      <c r="AM867" s="640" t="str">
        <f>IF(J867="Funcionamiento Gastos Generales","No aplica",IF(J867="Funcionamiento Servicios Personales","No aplica",IFERROR(VLOOKUP(J867,Listas!$A$220:$D$224,3,FALSE),"Alerta: Seleccione la celda en la comumna B con el nombre del proyecto")))</f>
        <v>Alerta: Seleccione la celda en la comumna B con el nombre del proyecto</v>
      </c>
      <c r="AN867" s="633"/>
      <c r="AO867" s="633"/>
      <c r="AP867" s="634" t="str">
        <f>IFERROR(VLOOKUP(J867,Listas!$A$182:$E$215,5,FALSE),"Alerta: Seleccione la celda en la comumna B con el nombre del proyecto")</f>
        <v>Alerta: Seleccione la celda en la comumna B con el nombre del proyecto</v>
      </c>
      <c r="AQ867" s="634" t="str">
        <f>IF(J867="Funcionamiento Gastos Generales","No aplica",IF(J867="Funcionamiento Servicios Personales","No aplica",IFERROR(VLOOKUP(J867,Listas!$A$220:$D$224,4,FALSE),"Alerta: Seleccione la celda en la comumna B con el nombre del proyecto")))</f>
        <v>Alerta: Seleccione la celda en la comumna B con el nombre del proyecto</v>
      </c>
      <c r="AR867" s="633"/>
      <c r="AS867" s="634" t="str">
        <f>IFERROR(VLOOKUP(AU867,Listas!$E$85:$L$105,7,FALSE),"Alerta: Seleccione la celda en la comumna AI con el concepto de gasto")</f>
        <v>Alerta: Seleccione la celda en la comumna AI con el concepto de gasto</v>
      </c>
      <c r="AT867" s="634" t="str">
        <f>IFERROR(VLOOKUP(AU867,Listas!$E$85:$L$105,8,FALSE),"Alerta: Seleccione la celda en la comumna AI con el concepto de gasto")</f>
        <v>Alerta: Seleccione la celda en la comumna AI con el concepto de gasto</v>
      </c>
      <c r="AU867" s="633"/>
      <c r="AV867" s="634" t="str">
        <f>IFERROR(VLOOKUP(AU867,Listas!$E$85:$F$105,2,FALSE),"Alerta: Seleccione el Concepto de Gasto primero")</f>
        <v>Alerta: Seleccione el Concepto de Gasto primero</v>
      </c>
      <c r="AW867" s="644"/>
      <c r="AX867" s="645"/>
      <c r="AY867" s="645"/>
      <c r="AZ867" s="645"/>
      <c r="BA867" s="646">
        <f t="shared" si="275"/>
        <v>0</v>
      </c>
      <c r="BB867" s="647"/>
      <c r="BC867" s="648"/>
      <c r="BD867" s="649"/>
      <c r="BE867" s="647"/>
      <c r="BF867" s="644"/>
      <c r="BG867" s="646">
        <f t="shared" si="276"/>
        <v>0</v>
      </c>
      <c r="BH867" s="650"/>
      <c r="BI867" s="647"/>
      <c r="BJ867" s="644"/>
      <c r="BK867" s="646">
        <f t="shared" si="277"/>
        <v>0</v>
      </c>
      <c r="BL867" s="651"/>
      <c r="BM867" s="652">
        <f t="shared" si="278"/>
        <v>1</v>
      </c>
      <c r="BN867" s="628"/>
      <c r="BO867" s="670"/>
      <c r="BP867" s="644"/>
      <c r="BQ867" s="644"/>
      <c r="BR867" s="644"/>
      <c r="BS867" s="644"/>
      <c r="BT867" s="644"/>
      <c r="BU867" s="644"/>
      <c r="BV867" s="644"/>
      <c r="BW867" s="644"/>
      <c r="BX867" s="644"/>
      <c r="BY867" s="644"/>
      <c r="BZ867" s="644"/>
      <c r="CA867" s="644"/>
      <c r="CB867" s="646">
        <f t="shared" si="279"/>
        <v>0</v>
      </c>
      <c r="CC867" s="646">
        <f t="shared" si="280"/>
        <v>0</v>
      </c>
      <c r="CD867" s="614"/>
    </row>
    <row r="868" spans="1:82" s="561" customFormat="1" ht="61.5" customHeight="1">
      <c r="A868" s="625" t="str">
        <f t="shared" si="262"/>
        <v>proyecto-Alerta: Seleccione la celda en la comumna B con el nombre del proyecto-Al-Al--</v>
      </c>
      <c r="B868" s="626" t="str">
        <f t="shared" si="263"/>
        <v>proyecto-Alerta: Seleccione la celda en la comumna B con el nombre del proyecto-Al-Al-</v>
      </c>
      <c r="C868" s="626" t="str">
        <f t="shared" si="264"/>
        <v>proyecto-Alerta: Seleccione la celda en la comumna B con el nombre del proyecto-</v>
      </c>
      <c r="D868" s="626" t="str">
        <f t="shared" si="265"/>
        <v>proyecto--Al-Al-</v>
      </c>
      <c r="E868" s="626" t="str">
        <f t="shared" si="266"/>
        <v>--</v>
      </c>
      <c r="F868" s="627"/>
      <c r="G868" s="628">
        <f t="shared" si="267"/>
        <v>0</v>
      </c>
      <c r="H868" s="629" t="b">
        <f t="shared" si="268"/>
        <v>1</v>
      </c>
      <c r="I868" s="630"/>
      <c r="J868" s="627"/>
      <c r="K868" s="631" t="str">
        <f>+IFERROR(VLOOKUP(J868,Listas!$A$108:$B$114,2,FALSE),"Alerta: Seleccione la celda en la comumna B con el nombre del proyecto")</f>
        <v>Alerta: Seleccione la celda en la comumna B con el nombre del proyecto</v>
      </c>
      <c r="L868" s="632"/>
      <c r="M868" s="633"/>
      <c r="N868" s="634" t="str">
        <f t="shared" si="269"/>
        <v xml:space="preserve">(Cód. ) </v>
      </c>
      <c r="O868" s="635"/>
      <c r="P868" s="636">
        <f>IFERROR(VLOOKUP(W868,'Estimación CRP'!$D$21:$E$30,2,FALSE),0)</f>
        <v>0</v>
      </c>
      <c r="Q868" s="637">
        <f>IF(O868="No aplica","No aplica",WORKDAY.INTL(O868,P868,1,'Estimación CRP'!A1054:A1070))</f>
        <v>0</v>
      </c>
      <c r="R868" s="636">
        <f t="shared" si="270"/>
        <v>1</v>
      </c>
      <c r="S868" s="636">
        <f t="shared" si="271"/>
        <v>1</v>
      </c>
      <c r="T868" s="636">
        <f t="shared" si="272"/>
        <v>1</v>
      </c>
      <c r="U868" s="638"/>
      <c r="V868" s="638"/>
      <c r="W868" s="639"/>
      <c r="X868" s="640" t="str">
        <f>IFERROR(VLOOKUP(W868,Listas!$A$60:$B$73,2,FALSE),"Alerta: Seleccione primero Modalidad de selección")</f>
        <v>Alerta: Seleccione primero Modalidad de selección</v>
      </c>
      <c r="Y868" s="641">
        <v>0</v>
      </c>
      <c r="Z868" s="641"/>
      <c r="AA868" s="641"/>
      <c r="AB868" s="642">
        <f t="shared" si="273"/>
        <v>0</v>
      </c>
      <c r="AC868" s="642">
        <f t="shared" si="274"/>
        <v>0</v>
      </c>
      <c r="AD868" s="641">
        <v>0</v>
      </c>
      <c r="AE868" s="643">
        <v>0</v>
      </c>
      <c r="AF868" s="639" t="s">
        <v>276</v>
      </c>
      <c r="AG868" s="639" t="s">
        <v>277</v>
      </c>
      <c r="AH868" s="639"/>
      <c r="AI868" s="626" t="str">
        <f>IFERROR(VLOOKUP(AH868,Listas!$A$77:$C$83,2,FALSE),"Alerta: Seleccione primero el responsable")</f>
        <v>Alerta: Seleccione primero el responsable</v>
      </c>
      <c r="AJ868" s="640" t="str">
        <f>IFERROR(VLOOKUP(AH868,Listas!$A$77:$C$83,3,FALSE),"Alerta: Seleccione primero el responsable")</f>
        <v>Alerta: Seleccione primero el responsable</v>
      </c>
      <c r="AK868" s="640" t="str">
        <f>IF(J868="Funcionamiento Gastos Generales","No aplica",IF(J868="Funcionamiento Servicios Personales indirectos","No aplica",IFERROR(VLOOKUP(J868,Listas!$A$127:$E$139,3,FALSE),"Alerta: Seleccione la celda en la comumna B con el nombre del proyecto")))</f>
        <v>Alerta: Seleccione la celda en la comumna B con el nombre del proyecto</v>
      </c>
      <c r="AL868" s="640" t="str">
        <f>IF(J868="Funcionamiento Gastos Generales","No aplica",IF(J868="Funcionamiento Servicios Personales","No aplica",IFERROR(VLOOKUP(J868,Listas!$A$220:$D$224,2,FALSE),"Alerta: Seleccione la celda en la comumna B con el nombre del proyecto")))</f>
        <v>Alerta: Seleccione la celda en la comumna B con el nombre del proyecto</v>
      </c>
      <c r="AM868" s="640" t="str">
        <f>IF(J868="Funcionamiento Gastos Generales","No aplica",IF(J868="Funcionamiento Servicios Personales","No aplica",IFERROR(VLOOKUP(J868,Listas!$A$220:$D$224,3,FALSE),"Alerta: Seleccione la celda en la comumna B con el nombre del proyecto")))</f>
        <v>Alerta: Seleccione la celda en la comumna B con el nombre del proyecto</v>
      </c>
      <c r="AN868" s="633"/>
      <c r="AO868" s="633"/>
      <c r="AP868" s="634" t="str">
        <f>IFERROR(VLOOKUP(J868,Listas!$A$182:$E$215,5,FALSE),"Alerta: Seleccione la celda en la comumna B con el nombre del proyecto")</f>
        <v>Alerta: Seleccione la celda en la comumna B con el nombre del proyecto</v>
      </c>
      <c r="AQ868" s="634" t="str">
        <f>IF(J868="Funcionamiento Gastos Generales","No aplica",IF(J868="Funcionamiento Servicios Personales","No aplica",IFERROR(VLOOKUP(J868,Listas!$A$220:$D$224,4,FALSE),"Alerta: Seleccione la celda en la comumna B con el nombre del proyecto")))</f>
        <v>Alerta: Seleccione la celda en la comumna B con el nombre del proyecto</v>
      </c>
      <c r="AR868" s="633"/>
      <c r="AS868" s="634" t="str">
        <f>IFERROR(VLOOKUP(AU868,Listas!$E$85:$L$105,7,FALSE),"Alerta: Seleccione la celda en la comumna AI con el concepto de gasto")</f>
        <v>Alerta: Seleccione la celda en la comumna AI con el concepto de gasto</v>
      </c>
      <c r="AT868" s="634" t="str">
        <f>IFERROR(VLOOKUP(AU868,Listas!$E$85:$L$105,8,FALSE),"Alerta: Seleccione la celda en la comumna AI con el concepto de gasto")</f>
        <v>Alerta: Seleccione la celda en la comumna AI con el concepto de gasto</v>
      </c>
      <c r="AU868" s="633"/>
      <c r="AV868" s="634" t="str">
        <f>IFERROR(VLOOKUP(AU868,Listas!$E$85:$F$105,2,FALSE),"Alerta: Seleccione el Concepto de Gasto primero")</f>
        <v>Alerta: Seleccione el Concepto de Gasto primero</v>
      </c>
      <c r="AW868" s="644"/>
      <c r="AX868" s="645"/>
      <c r="AY868" s="645"/>
      <c r="AZ868" s="645"/>
      <c r="BA868" s="646">
        <f t="shared" si="275"/>
        <v>0</v>
      </c>
      <c r="BB868" s="647"/>
      <c r="BC868" s="648"/>
      <c r="BD868" s="649"/>
      <c r="BE868" s="647"/>
      <c r="BF868" s="644"/>
      <c r="BG868" s="646">
        <f t="shared" si="276"/>
        <v>0</v>
      </c>
      <c r="BH868" s="650"/>
      <c r="BI868" s="647"/>
      <c r="BJ868" s="644"/>
      <c r="BK868" s="646">
        <f t="shared" si="277"/>
        <v>0</v>
      </c>
      <c r="BL868" s="651"/>
      <c r="BM868" s="652">
        <f t="shared" si="278"/>
        <v>1</v>
      </c>
      <c r="BN868" s="628"/>
      <c r="BO868" s="670"/>
      <c r="BP868" s="644"/>
      <c r="BQ868" s="644"/>
      <c r="BR868" s="644"/>
      <c r="BS868" s="644"/>
      <c r="BT868" s="644"/>
      <c r="BU868" s="644"/>
      <c r="BV868" s="644"/>
      <c r="BW868" s="644"/>
      <c r="BX868" s="644"/>
      <c r="BY868" s="644"/>
      <c r="BZ868" s="644"/>
      <c r="CA868" s="644"/>
      <c r="CB868" s="646">
        <f t="shared" si="279"/>
        <v>0</v>
      </c>
      <c r="CC868" s="646">
        <f t="shared" si="280"/>
        <v>0</v>
      </c>
      <c r="CD868" s="614"/>
    </row>
    <row r="869" spans="1:82" s="561" customFormat="1" ht="61.5" customHeight="1">
      <c r="A869" s="625" t="str">
        <f t="shared" si="262"/>
        <v>proyecto-Alerta: Seleccione la celda en la comumna B con el nombre del proyecto-Al-Al--</v>
      </c>
      <c r="B869" s="626" t="str">
        <f t="shared" si="263"/>
        <v>proyecto-Alerta: Seleccione la celda en la comumna B con el nombre del proyecto-Al-Al-</v>
      </c>
      <c r="C869" s="626" t="str">
        <f t="shared" si="264"/>
        <v>proyecto-Alerta: Seleccione la celda en la comumna B con el nombre del proyecto-</v>
      </c>
      <c r="D869" s="626" t="str">
        <f t="shared" si="265"/>
        <v>proyecto--Al-Al-</v>
      </c>
      <c r="E869" s="626" t="str">
        <f t="shared" si="266"/>
        <v>--</v>
      </c>
      <c r="F869" s="627"/>
      <c r="G869" s="628">
        <f t="shared" si="267"/>
        <v>0</v>
      </c>
      <c r="H869" s="629" t="b">
        <f t="shared" si="268"/>
        <v>1</v>
      </c>
      <c r="I869" s="630"/>
      <c r="J869" s="627"/>
      <c r="K869" s="631" t="str">
        <f>+IFERROR(VLOOKUP(J869,Listas!$A$108:$B$114,2,FALSE),"Alerta: Seleccione la celda en la comumna B con el nombre del proyecto")</f>
        <v>Alerta: Seleccione la celda en la comumna B con el nombre del proyecto</v>
      </c>
      <c r="L869" s="632"/>
      <c r="M869" s="633"/>
      <c r="N869" s="634" t="str">
        <f t="shared" si="269"/>
        <v xml:space="preserve">(Cód. ) </v>
      </c>
      <c r="O869" s="635"/>
      <c r="P869" s="636">
        <f>IFERROR(VLOOKUP(W869,'Estimación CRP'!$D$21:$E$30,2,FALSE),0)</f>
        <v>0</v>
      </c>
      <c r="Q869" s="637">
        <f>IF(O869="No aplica","No aplica",WORKDAY.INTL(O869,P869,1,'Estimación CRP'!A1055:A1071))</f>
        <v>0</v>
      </c>
      <c r="R869" s="636">
        <f t="shared" si="270"/>
        <v>1</v>
      </c>
      <c r="S869" s="636">
        <f t="shared" si="271"/>
        <v>1</v>
      </c>
      <c r="T869" s="636">
        <f t="shared" si="272"/>
        <v>1</v>
      </c>
      <c r="U869" s="638"/>
      <c r="V869" s="638"/>
      <c r="W869" s="639"/>
      <c r="X869" s="640" t="str">
        <f>IFERROR(VLOOKUP(W869,Listas!$A$60:$B$73,2,FALSE),"Alerta: Seleccione primero Modalidad de selección")</f>
        <v>Alerta: Seleccione primero Modalidad de selección</v>
      </c>
      <c r="Y869" s="641">
        <v>0</v>
      </c>
      <c r="Z869" s="641"/>
      <c r="AA869" s="641"/>
      <c r="AB869" s="642">
        <f t="shared" si="273"/>
        <v>0</v>
      </c>
      <c r="AC869" s="642">
        <f t="shared" si="274"/>
        <v>0</v>
      </c>
      <c r="AD869" s="641">
        <v>0</v>
      </c>
      <c r="AE869" s="643">
        <v>0</v>
      </c>
      <c r="AF869" s="639" t="s">
        <v>276</v>
      </c>
      <c r="AG869" s="639" t="s">
        <v>277</v>
      </c>
      <c r="AH869" s="639"/>
      <c r="AI869" s="626" t="str">
        <f>IFERROR(VLOOKUP(AH869,Listas!$A$77:$C$83,2,FALSE),"Alerta: Seleccione primero el responsable")</f>
        <v>Alerta: Seleccione primero el responsable</v>
      </c>
      <c r="AJ869" s="640" t="str">
        <f>IFERROR(VLOOKUP(AH869,Listas!$A$77:$C$83,3,FALSE),"Alerta: Seleccione primero el responsable")</f>
        <v>Alerta: Seleccione primero el responsable</v>
      </c>
      <c r="AK869" s="640" t="str">
        <f>IF(J869="Funcionamiento Gastos Generales","No aplica",IF(J869="Funcionamiento Servicios Personales indirectos","No aplica",IFERROR(VLOOKUP(J869,Listas!$A$127:$E$139,3,FALSE),"Alerta: Seleccione la celda en la comumna B con el nombre del proyecto")))</f>
        <v>Alerta: Seleccione la celda en la comumna B con el nombre del proyecto</v>
      </c>
      <c r="AL869" s="640" t="str">
        <f>IF(J869="Funcionamiento Gastos Generales","No aplica",IF(J869="Funcionamiento Servicios Personales","No aplica",IFERROR(VLOOKUP(J869,Listas!$A$220:$D$224,2,FALSE),"Alerta: Seleccione la celda en la comumna B con el nombre del proyecto")))</f>
        <v>Alerta: Seleccione la celda en la comumna B con el nombre del proyecto</v>
      </c>
      <c r="AM869" s="640" t="str">
        <f>IF(J869="Funcionamiento Gastos Generales","No aplica",IF(J869="Funcionamiento Servicios Personales","No aplica",IFERROR(VLOOKUP(J869,Listas!$A$220:$D$224,3,FALSE),"Alerta: Seleccione la celda en la comumna B con el nombre del proyecto")))</f>
        <v>Alerta: Seleccione la celda en la comumna B con el nombre del proyecto</v>
      </c>
      <c r="AN869" s="633"/>
      <c r="AO869" s="633"/>
      <c r="AP869" s="634" t="str">
        <f>IFERROR(VLOOKUP(J869,Listas!$A$182:$E$215,5,FALSE),"Alerta: Seleccione la celda en la comumna B con el nombre del proyecto")</f>
        <v>Alerta: Seleccione la celda en la comumna B con el nombre del proyecto</v>
      </c>
      <c r="AQ869" s="634" t="str">
        <f>IF(J869="Funcionamiento Gastos Generales","No aplica",IF(J869="Funcionamiento Servicios Personales","No aplica",IFERROR(VLOOKUP(J869,Listas!$A$220:$D$224,4,FALSE),"Alerta: Seleccione la celda en la comumna B con el nombre del proyecto")))</f>
        <v>Alerta: Seleccione la celda en la comumna B con el nombre del proyecto</v>
      </c>
      <c r="AR869" s="633"/>
      <c r="AS869" s="634" t="str">
        <f>IFERROR(VLOOKUP(AU869,Listas!$E$85:$L$105,7,FALSE),"Alerta: Seleccione la celda en la comumna AI con el concepto de gasto")</f>
        <v>Alerta: Seleccione la celda en la comumna AI con el concepto de gasto</v>
      </c>
      <c r="AT869" s="634" t="str">
        <f>IFERROR(VLOOKUP(AU869,Listas!$E$85:$L$105,8,FALSE),"Alerta: Seleccione la celda en la comumna AI con el concepto de gasto")</f>
        <v>Alerta: Seleccione la celda en la comumna AI con el concepto de gasto</v>
      </c>
      <c r="AU869" s="633"/>
      <c r="AV869" s="634" t="str">
        <f>IFERROR(VLOOKUP(AU869,Listas!$E$85:$F$105,2,FALSE),"Alerta: Seleccione el Concepto de Gasto primero")</f>
        <v>Alerta: Seleccione el Concepto de Gasto primero</v>
      </c>
      <c r="AW869" s="644"/>
      <c r="AX869" s="645"/>
      <c r="AY869" s="645"/>
      <c r="AZ869" s="645"/>
      <c r="BA869" s="646">
        <f t="shared" si="275"/>
        <v>0</v>
      </c>
      <c r="BB869" s="647"/>
      <c r="BC869" s="648"/>
      <c r="BD869" s="649"/>
      <c r="BE869" s="647"/>
      <c r="BF869" s="644"/>
      <c r="BG869" s="646">
        <f t="shared" si="276"/>
        <v>0</v>
      </c>
      <c r="BH869" s="650"/>
      <c r="BI869" s="647"/>
      <c r="BJ869" s="644"/>
      <c r="BK869" s="646">
        <f t="shared" si="277"/>
        <v>0</v>
      </c>
      <c r="BL869" s="651"/>
      <c r="BM869" s="652">
        <f t="shared" si="278"/>
        <v>1</v>
      </c>
      <c r="BN869" s="628"/>
      <c r="BO869" s="670"/>
      <c r="BP869" s="644"/>
      <c r="BQ869" s="644"/>
      <c r="BR869" s="644"/>
      <c r="BS869" s="644"/>
      <c r="BT869" s="644"/>
      <c r="BU869" s="644"/>
      <c r="BV869" s="644"/>
      <c r="BW869" s="644"/>
      <c r="BX869" s="644"/>
      <c r="BY869" s="644"/>
      <c r="BZ869" s="644"/>
      <c r="CA869" s="644"/>
      <c r="CB869" s="646">
        <f t="shared" si="279"/>
        <v>0</v>
      </c>
      <c r="CC869" s="646">
        <f t="shared" si="280"/>
        <v>0</v>
      </c>
      <c r="CD869" s="614"/>
    </row>
    <row r="870" spans="1:82" s="561" customFormat="1" ht="61.5" customHeight="1">
      <c r="A870" s="625" t="str">
        <f t="shared" si="262"/>
        <v>proyecto-Alerta: Seleccione la celda en la comumna B con el nombre del proyecto-Al-Al--</v>
      </c>
      <c r="B870" s="626" t="str">
        <f t="shared" si="263"/>
        <v>proyecto-Alerta: Seleccione la celda en la comumna B con el nombre del proyecto-Al-Al-</v>
      </c>
      <c r="C870" s="626" t="str">
        <f t="shared" si="264"/>
        <v>proyecto-Alerta: Seleccione la celda en la comumna B con el nombre del proyecto-</v>
      </c>
      <c r="D870" s="626" t="str">
        <f t="shared" si="265"/>
        <v>proyecto--Al-Al-</v>
      </c>
      <c r="E870" s="626" t="str">
        <f t="shared" si="266"/>
        <v>--</v>
      </c>
      <c r="F870" s="627"/>
      <c r="G870" s="628">
        <f t="shared" si="267"/>
        <v>0</v>
      </c>
      <c r="H870" s="629" t="b">
        <f t="shared" si="268"/>
        <v>1</v>
      </c>
      <c r="I870" s="630"/>
      <c r="J870" s="627"/>
      <c r="K870" s="631" t="str">
        <f>+IFERROR(VLOOKUP(J870,Listas!$A$108:$B$114,2,FALSE),"Alerta: Seleccione la celda en la comumna B con el nombre del proyecto")</f>
        <v>Alerta: Seleccione la celda en la comumna B con el nombre del proyecto</v>
      </c>
      <c r="L870" s="632"/>
      <c r="M870" s="633"/>
      <c r="N870" s="634" t="str">
        <f t="shared" si="269"/>
        <v xml:space="preserve">(Cód. ) </v>
      </c>
      <c r="O870" s="635"/>
      <c r="P870" s="636">
        <f>IFERROR(VLOOKUP(W870,'Estimación CRP'!$D$21:$E$30,2,FALSE),0)</f>
        <v>0</v>
      </c>
      <c r="Q870" s="637">
        <f>IF(O870="No aplica","No aplica",WORKDAY.INTL(O870,P870,1,'Estimación CRP'!A1056:A1072))</f>
        <v>0</v>
      </c>
      <c r="R870" s="636">
        <f t="shared" si="270"/>
        <v>1</v>
      </c>
      <c r="S870" s="636">
        <f t="shared" si="271"/>
        <v>1</v>
      </c>
      <c r="T870" s="636">
        <f t="shared" si="272"/>
        <v>1</v>
      </c>
      <c r="U870" s="638"/>
      <c r="V870" s="638"/>
      <c r="W870" s="639"/>
      <c r="X870" s="640" t="str">
        <f>IFERROR(VLOOKUP(W870,Listas!$A$60:$B$73,2,FALSE),"Alerta: Seleccione primero Modalidad de selección")</f>
        <v>Alerta: Seleccione primero Modalidad de selección</v>
      </c>
      <c r="Y870" s="641">
        <v>0</v>
      </c>
      <c r="Z870" s="641"/>
      <c r="AA870" s="641"/>
      <c r="AB870" s="642">
        <f t="shared" si="273"/>
        <v>0</v>
      </c>
      <c r="AC870" s="642">
        <f t="shared" si="274"/>
        <v>0</v>
      </c>
      <c r="AD870" s="641">
        <v>0</v>
      </c>
      <c r="AE870" s="643">
        <v>0</v>
      </c>
      <c r="AF870" s="639" t="s">
        <v>276</v>
      </c>
      <c r="AG870" s="639" t="s">
        <v>277</v>
      </c>
      <c r="AH870" s="639"/>
      <c r="AI870" s="626" t="str">
        <f>IFERROR(VLOOKUP(AH870,Listas!$A$77:$C$83,2,FALSE),"Alerta: Seleccione primero el responsable")</f>
        <v>Alerta: Seleccione primero el responsable</v>
      </c>
      <c r="AJ870" s="640" t="str">
        <f>IFERROR(VLOOKUP(AH870,Listas!$A$77:$C$83,3,FALSE),"Alerta: Seleccione primero el responsable")</f>
        <v>Alerta: Seleccione primero el responsable</v>
      </c>
      <c r="AK870" s="640" t="str">
        <f>IF(J870="Funcionamiento Gastos Generales","No aplica",IF(J870="Funcionamiento Servicios Personales indirectos","No aplica",IFERROR(VLOOKUP(J870,Listas!$A$127:$E$139,3,FALSE),"Alerta: Seleccione la celda en la comumna B con el nombre del proyecto")))</f>
        <v>Alerta: Seleccione la celda en la comumna B con el nombre del proyecto</v>
      </c>
      <c r="AL870" s="640" t="str">
        <f>IF(J870="Funcionamiento Gastos Generales","No aplica",IF(J870="Funcionamiento Servicios Personales","No aplica",IFERROR(VLOOKUP(J870,Listas!$A$220:$D$224,2,FALSE),"Alerta: Seleccione la celda en la comumna B con el nombre del proyecto")))</f>
        <v>Alerta: Seleccione la celda en la comumna B con el nombre del proyecto</v>
      </c>
      <c r="AM870" s="640" t="str">
        <f>IF(J870="Funcionamiento Gastos Generales","No aplica",IF(J870="Funcionamiento Servicios Personales","No aplica",IFERROR(VLOOKUP(J870,Listas!$A$220:$D$224,3,FALSE),"Alerta: Seleccione la celda en la comumna B con el nombre del proyecto")))</f>
        <v>Alerta: Seleccione la celda en la comumna B con el nombre del proyecto</v>
      </c>
      <c r="AN870" s="633"/>
      <c r="AO870" s="633"/>
      <c r="AP870" s="634" t="str">
        <f>IFERROR(VLOOKUP(J870,Listas!$A$182:$E$215,5,FALSE),"Alerta: Seleccione la celda en la comumna B con el nombre del proyecto")</f>
        <v>Alerta: Seleccione la celda en la comumna B con el nombre del proyecto</v>
      </c>
      <c r="AQ870" s="634" t="str">
        <f>IF(J870="Funcionamiento Gastos Generales","No aplica",IF(J870="Funcionamiento Servicios Personales","No aplica",IFERROR(VLOOKUP(J870,Listas!$A$220:$D$224,4,FALSE),"Alerta: Seleccione la celda en la comumna B con el nombre del proyecto")))</f>
        <v>Alerta: Seleccione la celda en la comumna B con el nombre del proyecto</v>
      </c>
      <c r="AR870" s="633"/>
      <c r="AS870" s="634" t="str">
        <f>IFERROR(VLOOKUP(AU870,Listas!$E$85:$L$105,7,FALSE),"Alerta: Seleccione la celda en la comumna AI con el concepto de gasto")</f>
        <v>Alerta: Seleccione la celda en la comumna AI con el concepto de gasto</v>
      </c>
      <c r="AT870" s="634" t="str">
        <f>IFERROR(VLOOKUP(AU870,Listas!$E$85:$L$105,8,FALSE),"Alerta: Seleccione la celda en la comumna AI con el concepto de gasto")</f>
        <v>Alerta: Seleccione la celda en la comumna AI con el concepto de gasto</v>
      </c>
      <c r="AU870" s="633"/>
      <c r="AV870" s="634" t="str">
        <f>IFERROR(VLOOKUP(AU870,Listas!$E$85:$F$105,2,FALSE),"Alerta: Seleccione el Concepto de Gasto primero")</f>
        <v>Alerta: Seleccione el Concepto de Gasto primero</v>
      </c>
      <c r="AW870" s="644"/>
      <c r="AX870" s="645"/>
      <c r="AY870" s="645"/>
      <c r="AZ870" s="645"/>
      <c r="BA870" s="646">
        <f t="shared" si="275"/>
        <v>0</v>
      </c>
      <c r="BB870" s="647"/>
      <c r="BC870" s="648"/>
      <c r="BD870" s="649"/>
      <c r="BE870" s="647"/>
      <c r="BF870" s="644"/>
      <c r="BG870" s="646">
        <f t="shared" si="276"/>
        <v>0</v>
      </c>
      <c r="BH870" s="650"/>
      <c r="BI870" s="647"/>
      <c r="BJ870" s="644"/>
      <c r="BK870" s="646">
        <f t="shared" si="277"/>
        <v>0</v>
      </c>
      <c r="BL870" s="651"/>
      <c r="BM870" s="652">
        <f t="shared" si="278"/>
        <v>1</v>
      </c>
      <c r="BN870" s="628"/>
      <c r="BO870" s="670"/>
      <c r="BP870" s="644"/>
      <c r="BQ870" s="644"/>
      <c r="BR870" s="644"/>
      <c r="BS870" s="644"/>
      <c r="BT870" s="644"/>
      <c r="BU870" s="644"/>
      <c r="BV870" s="644"/>
      <c r="BW870" s="644"/>
      <c r="BX870" s="644"/>
      <c r="BY870" s="644"/>
      <c r="BZ870" s="644"/>
      <c r="CA870" s="644"/>
      <c r="CB870" s="646">
        <f t="shared" si="279"/>
        <v>0</v>
      </c>
      <c r="CC870" s="646">
        <f t="shared" si="280"/>
        <v>0</v>
      </c>
      <c r="CD870" s="614"/>
    </row>
    <row r="871" spans="1:82" s="561" customFormat="1" ht="61.5" customHeight="1">
      <c r="A871" s="625" t="str">
        <f t="shared" si="262"/>
        <v>proyecto-Alerta: Seleccione la celda en la comumna B con el nombre del proyecto-Al-Al--</v>
      </c>
      <c r="B871" s="626" t="str">
        <f t="shared" si="263"/>
        <v>proyecto-Alerta: Seleccione la celda en la comumna B con el nombre del proyecto-Al-Al-</v>
      </c>
      <c r="C871" s="626" t="str">
        <f t="shared" si="264"/>
        <v>proyecto-Alerta: Seleccione la celda en la comumna B con el nombre del proyecto-</v>
      </c>
      <c r="D871" s="626" t="str">
        <f t="shared" si="265"/>
        <v>proyecto--Al-Al-</v>
      </c>
      <c r="E871" s="626" t="str">
        <f t="shared" si="266"/>
        <v>--</v>
      </c>
      <c r="F871" s="627"/>
      <c r="G871" s="628">
        <f t="shared" si="267"/>
        <v>0</v>
      </c>
      <c r="H871" s="629" t="b">
        <f t="shared" si="268"/>
        <v>1</v>
      </c>
      <c r="I871" s="630"/>
      <c r="J871" s="627"/>
      <c r="K871" s="631" t="str">
        <f>+IFERROR(VLOOKUP(J871,Listas!$A$108:$B$114,2,FALSE),"Alerta: Seleccione la celda en la comumna B con el nombre del proyecto")</f>
        <v>Alerta: Seleccione la celda en la comumna B con el nombre del proyecto</v>
      </c>
      <c r="L871" s="632"/>
      <c r="M871" s="633"/>
      <c r="N871" s="634" t="str">
        <f t="shared" si="269"/>
        <v xml:space="preserve">(Cód. ) </v>
      </c>
      <c r="O871" s="635"/>
      <c r="P871" s="636">
        <f>IFERROR(VLOOKUP(W871,'Estimación CRP'!$D$21:$E$30,2,FALSE),0)</f>
        <v>0</v>
      </c>
      <c r="Q871" s="637">
        <f>IF(O871="No aplica","No aplica",WORKDAY.INTL(O871,P871,1,'Estimación CRP'!A1057:A1073))</f>
        <v>0</v>
      </c>
      <c r="R871" s="636">
        <f t="shared" si="270"/>
        <v>1</v>
      </c>
      <c r="S871" s="636">
        <f t="shared" si="271"/>
        <v>1</v>
      </c>
      <c r="T871" s="636">
        <f t="shared" si="272"/>
        <v>1</v>
      </c>
      <c r="U871" s="638"/>
      <c r="V871" s="638"/>
      <c r="W871" s="639"/>
      <c r="X871" s="640" t="str">
        <f>IFERROR(VLOOKUP(W871,Listas!$A$60:$B$73,2,FALSE),"Alerta: Seleccione primero Modalidad de selección")</f>
        <v>Alerta: Seleccione primero Modalidad de selección</v>
      </c>
      <c r="Y871" s="641">
        <v>0</v>
      </c>
      <c r="Z871" s="641"/>
      <c r="AA871" s="641"/>
      <c r="AB871" s="642">
        <f t="shared" si="273"/>
        <v>0</v>
      </c>
      <c r="AC871" s="642">
        <f t="shared" si="274"/>
        <v>0</v>
      </c>
      <c r="AD871" s="641">
        <v>0</v>
      </c>
      <c r="AE871" s="643">
        <v>0</v>
      </c>
      <c r="AF871" s="639" t="s">
        <v>276</v>
      </c>
      <c r="AG871" s="639" t="s">
        <v>277</v>
      </c>
      <c r="AH871" s="639"/>
      <c r="AI871" s="626" t="str">
        <f>IFERROR(VLOOKUP(AH871,Listas!$A$77:$C$83,2,FALSE),"Alerta: Seleccione primero el responsable")</f>
        <v>Alerta: Seleccione primero el responsable</v>
      </c>
      <c r="AJ871" s="640" t="str">
        <f>IFERROR(VLOOKUP(AH871,Listas!$A$77:$C$83,3,FALSE),"Alerta: Seleccione primero el responsable")</f>
        <v>Alerta: Seleccione primero el responsable</v>
      </c>
      <c r="AK871" s="640" t="str">
        <f>IF(J871="Funcionamiento Gastos Generales","No aplica",IF(J871="Funcionamiento Servicios Personales indirectos","No aplica",IFERROR(VLOOKUP(J871,Listas!$A$127:$E$139,3,FALSE),"Alerta: Seleccione la celda en la comumna B con el nombre del proyecto")))</f>
        <v>Alerta: Seleccione la celda en la comumna B con el nombre del proyecto</v>
      </c>
      <c r="AL871" s="640" t="str">
        <f>IF(J871="Funcionamiento Gastos Generales","No aplica",IF(J871="Funcionamiento Servicios Personales","No aplica",IFERROR(VLOOKUP(J871,Listas!$A$220:$D$224,2,FALSE),"Alerta: Seleccione la celda en la comumna B con el nombre del proyecto")))</f>
        <v>Alerta: Seleccione la celda en la comumna B con el nombre del proyecto</v>
      </c>
      <c r="AM871" s="640" t="str">
        <f>IF(J871="Funcionamiento Gastos Generales","No aplica",IF(J871="Funcionamiento Servicios Personales","No aplica",IFERROR(VLOOKUP(J871,Listas!$A$220:$D$224,3,FALSE),"Alerta: Seleccione la celda en la comumna B con el nombre del proyecto")))</f>
        <v>Alerta: Seleccione la celda en la comumna B con el nombre del proyecto</v>
      </c>
      <c r="AN871" s="633"/>
      <c r="AO871" s="633"/>
      <c r="AP871" s="634" t="str">
        <f>IFERROR(VLOOKUP(J871,Listas!$A$182:$E$215,5,FALSE),"Alerta: Seleccione la celda en la comumna B con el nombre del proyecto")</f>
        <v>Alerta: Seleccione la celda en la comumna B con el nombre del proyecto</v>
      </c>
      <c r="AQ871" s="634" t="str">
        <f>IF(J871="Funcionamiento Gastos Generales","No aplica",IF(J871="Funcionamiento Servicios Personales","No aplica",IFERROR(VLOOKUP(J871,Listas!$A$220:$D$224,4,FALSE),"Alerta: Seleccione la celda en la comumna B con el nombre del proyecto")))</f>
        <v>Alerta: Seleccione la celda en la comumna B con el nombre del proyecto</v>
      </c>
      <c r="AR871" s="633"/>
      <c r="AS871" s="634" t="str">
        <f>IFERROR(VLOOKUP(AU871,Listas!$E$85:$L$105,7,FALSE),"Alerta: Seleccione la celda en la comumna AI con el concepto de gasto")</f>
        <v>Alerta: Seleccione la celda en la comumna AI con el concepto de gasto</v>
      </c>
      <c r="AT871" s="634" t="str">
        <f>IFERROR(VLOOKUP(AU871,Listas!$E$85:$L$105,8,FALSE),"Alerta: Seleccione la celda en la comumna AI con el concepto de gasto")</f>
        <v>Alerta: Seleccione la celda en la comumna AI con el concepto de gasto</v>
      </c>
      <c r="AU871" s="633"/>
      <c r="AV871" s="634" t="str">
        <f>IFERROR(VLOOKUP(AU871,Listas!$E$85:$F$105,2,FALSE),"Alerta: Seleccione el Concepto de Gasto primero")</f>
        <v>Alerta: Seleccione el Concepto de Gasto primero</v>
      </c>
      <c r="AW871" s="644"/>
      <c r="AX871" s="645"/>
      <c r="AY871" s="645"/>
      <c r="AZ871" s="645"/>
      <c r="BA871" s="646">
        <f t="shared" si="275"/>
        <v>0</v>
      </c>
      <c r="BB871" s="647"/>
      <c r="BC871" s="648"/>
      <c r="BD871" s="649"/>
      <c r="BE871" s="647"/>
      <c r="BF871" s="644"/>
      <c r="BG871" s="646">
        <f t="shared" si="276"/>
        <v>0</v>
      </c>
      <c r="BH871" s="650"/>
      <c r="BI871" s="647"/>
      <c r="BJ871" s="644"/>
      <c r="BK871" s="646">
        <f t="shared" si="277"/>
        <v>0</v>
      </c>
      <c r="BL871" s="651"/>
      <c r="BM871" s="652">
        <f t="shared" si="278"/>
        <v>1</v>
      </c>
      <c r="BN871" s="628"/>
      <c r="BO871" s="670"/>
      <c r="BP871" s="644"/>
      <c r="BQ871" s="644"/>
      <c r="BR871" s="644"/>
      <c r="BS871" s="644"/>
      <c r="BT871" s="644"/>
      <c r="BU871" s="644"/>
      <c r="BV871" s="644"/>
      <c r="BW871" s="644"/>
      <c r="BX871" s="644"/>
      <c r="BY871" s="644"/>
      <c r="BZ871" s="644"/>
      <c r="CA871" s="644"/>
      <c r="CB871" s="646">
        <f t="shared" si="279"/>
        <v>0</v>
      </c>
      <c r="CC871" s="646">
        <f t="shared" si="280"/>
        <v>0</v>
      </c>
      <c r="CD871" s="614"/>
    </row>
    <row r="872" spans="1:82" s="574" customFormat="1" ht="61.5" customHeight="1">
      <c r="A872" s="625" t="str">
        <f t="shared" si="262"/>
        <v>proyecto-Alerta: Seleccione la celda en la comumna B con el nombre del proyecto-Al-Al--</v>
      </c>
      <c r="B872" s="626" t="str">
        <f t="shared" si="263"/>
        <v>proyecto-Alerta: Seleccione la celda en la comumna B con el nombre del proyecto-Al-Al-</v>
      </c>
      <c r="C872" s="626" t="str">
        <f t="shared" si="264"/>
        <v>proyecto-Alerta: Seleccione la celda en la comumna B con el nombre del proyecto-</v>
      </c>
      <c r="D872" s="626" t="str">
        <f t="shared" si="265"/>
        <v>proyecto--Al-Al-</v>
      </c>
      <c r="E872" s="626" t="str">
        <f t="shared" si="266"/>
        <v>--</v>
      </c>
      <c r="F872" s="627"/>
      <c r="G872" s="628">
        <f t="shared" si="267"/>
        <v>0</v>
      </c>
      <c r="H872" s="629" t="b">
        <f t="shared" si="268"/>
        <v>1</v>
      </c>
      <c r="I872" s="630"/>
      <c r="J872" s="627"/>
      <c r="K872" s="631" t="str">
        <f>+IFERROR(VLOOKUP(J872,Listas!$A$108:$B$114,2,FALSE),"Alerta: Seleccione la celda en la comumna B con el nombre del proyecto")</f>
        <v>Alerta: Seleccione la celda en la comumna B con el nombre del proyecto</v>
      </c>
      <c r="L872" s="632"/>
      <c r="M872" s="633"/>
      <c r="N872" s="634" t="str">
        <f t="shared" si="269"/>
        <v xml:space="preserve">(Cód. ) </v>
      </c>
      <c r="O872" s="635"/>
      <c r="P872" s="636">
        <f>IFERROR(VLOOKUP(W872,'Estimación CRP'!$D$21:$E$30,2,FALSE),0)</f>
        <v>0</v>
      </c>
      <c r="Q872" s="637">
        <f>IF(O872="No aplica","No aplica",WORKDAY.INTL(O872,P872,1,'Estimación CRP'!A1058:A1074))</f>
        <v>0</v>
      </c>
      <c r="R872" s="636">
        <f t="shared" si="270"/>
        <v>1</v>
      </c>
      <c r="S872" s="636">
        <f t="shared" si="271"/>
        <v>1</v>
      </c>
      <c r="T872" s="636">
        <f t="shared" si="272"/>
        <v>1</v>
      </c>
      <c r="U872" s="638"/>
      <c r="V872" s="638"/>
      <c r="W872" s="639"/>
      <c r="X872" s="640" t="str">
        <f>IFERROR(VLOOKUP(W872,Listas!$A$60:$B$73,2,FALSE),"Alerta: Seleccione primero Modalidad de selección")</f>
        <v>Alerta: Seleccione primero Modalidad de selección</v>
      </c>
      <c r="Y872" s="641">
        <v>0</v>
      </c>
      <c r="Z872" s="641"/>
      <c r="AA872" s="641"/>
      <c r="AB872" s="642">
        <f t="shared" si="273"/>
        <v>0</v>
      </c>
      <c r="AC872" s="642">
        <f t="shared" si="274"/>
        <v>0</v>
      </c>
      <c r="AD872" s="641">
        <v>0</v>
      </c>
      <c r="AE872" s="643">
        <v>0</v>
      </c>
      <c r="AF872" s="639" t="s">
        <v>276</v>
      </c>
      <c r="AG872" s="639" t="s">
        <v>277</v>
      </c>
      <c r="AH872" s="639"/>
      <c r="AI872" s="626" t="str">
        <f>IFERROR(VLOOKUP(AH872,Listas!$A$77:$C$83,2,FALSE),"Alerta: Seleccione primero el responsable")</f>
        <v>Alerta: Seleccione primero el responsable</v>
      </c>
      <c r="AJ872" s="640" t="str">
        <f>IFERROR(VLOOKUP(AH872,Listas!$A$77:$C$83,3,FALSE),"Alerta: Seleccione primero el responsable")</f>
        <v>Alerta: Seleccione primero el responsable</v>
      </c>
      <c r="AK872" s="640" t="str">
        <f>IF(J872="Funcionamiento Gastos Generales","No aplica",IF(J872="Funcionamiento Servicios Personales indirectos","No aplica",IFERROR(VLOOKUP(J872,Listas!$A$127:$E$139,3,FALSE),"Alerta: Seleccione la celda en la comumna B con el nombre del proyecto")))</f>
        <v>Alerta: Seleccione la celda en la comumna B con el nombre del proyecto</v>
      </c>
      <c r="AL872" s="640" t="str">
        <f>IF(J872="Funcionamiento Gastos Generales","No aplica",IF(J872="Funcionamiento Servicios Personales","No aplica",IFERROR(VLOOKUP(J872,Listas!$A$220:$D$224,2,FALSE),"Alerta: Seleccione la celda en la comumna B con el nombre del proyecto")))</f>
        <v>Alerta: Seleccione la celda en la comumna B con el nombre del proyecto</v>
      </c>
      <c r="AM872" s="640" t="str">
        <f>IF(J872="Funcionamiento Gastos Generales","No aplica",IF(J872="Funcionamiento Servicios Personales","No aplica",IFERROR(VLOOKUP(J872,Listas!$A$220:$D$224,3,FALSE),"Alerta: Seleccione la celda en la comumna B con el nombre del proyecto")))</f>
        <v>Alerta: Seleccione la celda en la comumna B con el nombre del proyecto</v>
      </c>
      <c r="AN872" s="633"/>
      <c r="AO872" s="633"/>
      <c r="AP872" s="634" t="str">
        <f>IFERROR(VLOOKUP(J872,Listas!$A$182:$E$215,5,FALSE),"Alerta: Seleccione la celda en la comumna B con el nombre del proyecto")</f>
        <v>Alerta: Seleccione la celda en la comumna B con el nombre del proyecto</v>
      </c>
      <c r="AQ872" s="634" t="str">
        <f>IF(J872="Funcionamiento Gastos Generales","No aplica",IF(J872="Funcionamiento Servicios Personales","No aplica",IFERROR(VLOOKUP(J872,Listas!$A$220:$D$224,4,FALSE),"Alerta: Seleccione la celda en la comumna B con el nombre del proyecto")))</f>
        <v>Alerta: Seleccione la celda en la comumna B con el nombre del proyecto</v>
      </c>
      <c r="AR872" s="633"/>
      <c r="AS872" s="634" t="str">
        <f>IFERROR(VLOOKUP(AU872,Listas!$E$85:$L$105,7,FALSE),"Alerta: Seleccione la celda en la comumna AI con el concepto de gasto")</f>
        <v>Alerta: Seleccione la celda en la comumna AI con el concepto de gasto</v>
      </c>
      <c r="AT872" s="634" t="str">
        <f>IFERROR(VLOOKUP(AU872,Listas!$E$85:$L$105,8,FALSE),"Alerta: Seleccione la celda en la comumna AI con el concepto de gasto")</f>
        <v>Alerta: Seleccione la celda en la comumna AI con el concepto de gasto</v>
      </c>
      <c r="AU872" s="633"/>
      <c r="AV872" s="634" t="str">
        <f>IFERROR(VLOOKUP(AU872,Listas!$E$85:$F$105,2,FALSE),"Alerta: Seleccione el Concepto de Gasto primero")</f>
        <v>Alerta: Seleccione el Concepto de Gasto primero</v>
      </c>
      <c r="AW872" s="644"/>
      <c r="AX872" s="645"/>
      <c r="AY872" s="645"/>
      <c r="AZ872" s="645"/>
      <c r="BA872" s="646">
        <f t="shared" si="275"/>
        <v>0</v>
      </c>
      <c r="BB872" s="647"/>
      <c r="BC872" s="648"/>
      <c r="BD872" s="649"/>
      <c r="BE872" s="647"/>
      <c r="BF872" s="644"/>
      <c r="BG872" s="646">
        <f t="shared" si="276"/>
        <v>0</v>
      </c>
      <c r="BH872" s="650"/>
      <c r="BI872" s="647"/>
      <c r="BJ872" s="644"/>
      <c r="BK872" s="646">
        <f t="shared" si="277"/>
        <v>0</v>
      </c>
      <c r="BL872" s="651"/>
      <c r="BM872" s="652">
        <f t="shared" si="278"/>
        <v>1</v>
      </c>
      <c r="BN872" s="628"/>
      <c r="BO872" s="670"/>
      <c r="BP872" s="644"/>
      <c r="BQ872" s="644"/>
      <c r="BR872" s="644"/>
      <c r="BS872" s="644"/>
      <c r="BT872" s="644"/>
      <c r="BU872" s="644"/>
      <c r="BV872" s="644"/>
      <c r="BW872" s="644"/>
      <c r="BX872" s="644"/>
      <c r="BY872" s="644"/>
      <c r="BZ872" s="644"/>
      <c r="CA872" s="644"/>
      <c r="CB872" s="646">
        <f t="shared" si="279"/>
        <v>0</v>
      </c>
      <c r="CC872" s="646">
        <f t="shared" si="280"/>
        <v>0</v>
      </c>
      <c r="CD872" s="614"/>
    </row>
    <row r="873" spans="1:82" s="574" customFormat="1" ht="61.5" customHeight="1">
      <c r="A873" s="625" t="str">
        <f t="shared" si="262"/>
        <v>proyecto-Alerta: Seleccione la celda en la comumna B con el nombre del proyecto-Al-Al--</v>
      </c>
      <c r="B873" s="626" t="str">
        <f t="shared" si="263"/>
        <v>proyecto-Alerta: Seleccione la celda en la comumna B con el nombre del proyecto-Al-Al-</v>
      </c>
      <c r="C873" s="626" t="str">
        <f t="shared" si="264"/>
        <v>proyecto-Alerta: Seleccione la celda en la comumna B con el nombre del proyecto-</v>
      </c>
      <c r="D873" s="626" t="str">
        <f t="shared" si="265"/>
        <v>proyecto--Al-Al-</v>
      </c>
      <c r="E873" s="626" t="str">
        <f t="shared" si="266"/>
        <v>--</v>
      </c>
      <c r="F873" s="627"/>
      <c r="G873" s="628">
        <f t="shared" si="267"/>
        <v>0</v>
      </c>
      <c r="H873" s="629" t="b">
        <f t="shared" si="268"/>
        <v>1</v>
      </c>
      <c r="I873" s="630"/>
      <c r="J873" s="627"/>
      <c r="K873" s="631" t="str">
        <f>+IFERROR(VLOOKUP(J873,Listas!$A$108:$B$114,2,FALSE),"Alerta: Seleccione la celda en la comumna B con el nombre del proyecto")</f>
        <v>Alerta: Seleccione la celda en la comumna B con el nombre del proyecto</v>
      </c>
      <c r="L873" s="632"/>
      <c r="M873" s="633"/>
      <c r="N873" s="634" t="str">
        <f t="shared" si="269"/>
        <v xml:space="preserve">(Cód. ) </v>
      </c>
      <c r="O873" s="635"/>
      <c r="P873" s="636">
        <f>IFERROR(VLOOKUP(W873,'Estimación CRP'!$D$21:$E$30,2,FALSE),0)</f>
        <v>0</v>
      </c>
      <c r="Q873" s="637">
        <f>IF(O873="No aplica","No aplica",WORKDAY.INTL(O873,P873,1,'Estimación CRP'!A1059:A1075))</f>
        <v>0</v>
      </c>
      <c r="R873" s="636">
        <f t="shared" si="270"/>
        <v>1</v>
      </c>
      <c r="S873" s="636">
        <f t="shared" si="271"/>
        <v>1</v>
      </c>
      <c r="T873" s="636">
        <f t="shared" si="272"/>
        <v>1</v>
      </c>
      <c r="U873" s="638"/>
      <c r="V873" s="638"/>
      <c r="W873" s="639"/>
      <c r="X873" s="640" t="str">
        <f>IFERROR(VLOOKUP(W873,Listas!$A$60:$B$73,2,FALSE),"Alerta: Seleccione primero Modalidad de selección")</f>
        <v>Alerta: Seleccione primero Modalidad de selección</v>
      </c>
      <c r="Y873" s="641">
        <v>0</v>
      </c>
      <c r="Z873" s="641"/>
      <c r="AA873" s="641"/>
      <c r="AB873" s="642">
        <f t="shared" si="273"/>
        <v>0</v>
      </c>
      <c r="AC873" s="642">
        <f t="shared" si="274"/>
        <v>0</v>
      </c>
      <c r="AD873" s="641">
        <v>0</v>
      </c>
      <c r="AE873" s="643">
        <v>0</v>
      </c>
      <c r="AF873" s="639" t="s">
        <v>276</v>
      </c>
      <c r="AG873" s="639" t="s">
        <v>277</v>
      </c>
      <c r="AH873" s="639"/>
      <c r="AI873" s="626" t="str">
        <f>IFERROR(VLOOKUP(AH873,Listas!$A$77:$C$83,2,FALSE),"Alerta: Seleccione primero el responsable")</f>
        <v>Alerta: Seleccione primero el responsable</v>
      </c>
      <c r="AJ873" s="640" t="str">
        <f>IFERROR(VLOOKUP(AH873,Listas!$A$77:$C$83,3,FALSE),"Alerta: Seleccione primero el responsable")</f>
        <v>Alerta: Seleccione primero el responsable</v>
      </c>
      <c r="AK873" s="640" t="str">
        <f>IF(J873="Funcionamiento Gastos Generales","No aplica",IF(J873="Funcionamiento Servicios Personales indirectos","No aplica",IFERROR(VLOOKUP(J873,Listas!$A$127:$E$139,3,FALSE),"Alerta: Seleccione la celda en la comumna B con el nombre del proyecto")))</f>
        <v>Alerta: Seleccione la celda en la comumna B con el nombre del proyecto</v>
      </c>
      <c r="AL873" s="640" t="str">
        <f>IF(J873="Funcionamiento Gastos Generales","No aplica",IF(J873="Funcionamiento Servicios Personales","No aplica",IFERROR(VLOOKUP(J873,Listas!$A$220:$D$224,2,FALSE),"Alerta: Seleccione la celda en la comumna B con el nombre del proyecto")))</f>
        <v>Alerta: Seleccione la celda en la comumna B con el nombre del proyecto</v>
      </c>
      <c r="AM873" s="640" t="str">
        <f>IF(J873="Funcionamiento Gastos Generales","No aplica",IF(J873="Funcionamiento Servicios Personales","No aplica",IFERROR(VLOOKUP(J873,Listas!$A$220:$D$224,3,FALSE),"Alerta: Seleccione la celda en la comumna B con el nombre del proyecto")))</f>
        <v>Alerta: Seleccione la celda en la comumna B con el nombre del proyecto</v>
      </c>
      <c r="AN873" s="633"/>
      <c r="AO873" s="633"/>
      <c r="AP873" s="634" t="str">
        <f>IFERROR(VLOOKUP(J873,Listas!$A$182:$E$215,5,FALSE),"Alerta: Seleccione la celda en la comumna B con el nombre del proyecto")</f>
        <v>Alerta: Seleccione la celda en la comumna B con el nombre del proyecto</v>
      </c>
      <c r="AQ873" s="634" t="str">
        <f>IF(J873="Funcionamiento Gastos Generales","No aplica",IF(J873="Funcionamiento Servicios Personales","No aplica",IFERROR(VLOOKUP(J873,Listas!$A$220:$D$224,4,FALSE),"Alerta: Seleccione la celda en la comumna B con el nombre del proyecto")))</f>
        <v>Alerta: Seleccione la celda en la comumna B con el nombre del proyecto</v>
      </c>
      <c r="AR873" s="633"/>
      <c r="AS873" s="634" t="str">
        <f>IFERROR(VLOOKUP(AU873,Listas!$E$85:$L$105,7,FALSE),"Alerta: Seleccione la celda en la comumna AI con el concepto de gasto")</f>
        <v>Alerta: Seleccione la celda en la comumna AI con el concepto de gasto</v>
      </c>
      <c r="AT873" s="634" t="str">
        <f>IFERROR(VLOOKUP(AU873,Listas!$E$85:$L$105,8,FALSE),"Alerta: Seleccione la celda en la comumna AI con el concepto de gasto")</f>
        <v>Alerta: Seleccione la celda en la comumna AI con el concepto de gasto</v>
      </c>
      <c r="AU873" s="633"/>
      <c r="AV873" s="634" t="str">
        <f>IFERROR(VLOOKUP(AU873,Listas!$E$85:$F$105,2,FALSE),"Alerta: Seleccione el Concepto de Gasto primero")</f>
        <v>Alerta: Seleccione el Concepto de Gasto primero</v>
      </c>
      <c r="AW873" s="644"/>
      <c r="AX873" s="645"/>
      <c r="AY873" s="645"/>
      <c r="AZ873" s="645"/>
      <c r="BA873" s="646">
        <f t="shared" si="275"/>
        <v>0</v>
      </c>
      <c r="BB873" s="647"/>
      <c r="BC873" s="648"/>
      <c r="BD873" s="649"/>
      <c r="BE873" s="647"/>
      <c r="BF873" s="644"/>
      <c r="BG873" s="646">
        <f t="shared" si="276"/>
        <v>0</v>
      </c>
      <c r="BH873" s="650"/>
      <c r="BI873" s="647"/>
      <c r="BJ873" s="644"/>
      <c r="BK873" s="646">
        <f t="shared" si="277"/>
        <v>0</v>
      </c>
      <c r="BL873" s="651"/>
      <c r="BM873" s="652">
        <f t="shared" si="278"/>
        <v>1</v>
      </c>
      <c r="BN873" s="628"/>
      <c r="BO873" s="670"/>
      <c r="BP873" s="644"/>
      <c r="BQ873" s="644"/>
      <c r="BR873" s="644"/>
      <c r="BS873" s="644"/>
      <c r="BT873" s="644"/>
      <c r="BU873" s="644"/>
      <c r="BV873" s="644"/>
      <c r="BW873" s="644"/>
      <c r="BX873" s="644"/>
      <c r="BY873" s="644"/>
      <c r="BZ873" s="644"/>
      <c r="CA873" s="644"/>
      <c r="CB873" s="646">
        <f t="shared" si="279"/>
        <v>0</v>
      </c>
      <c r="CC873" s="646">
        <f t="shared" si="280"/>
        <v>0</v>
      </c>
      <c r="CD873" s="614"/>
    </row>
    <row r="874" spans="1:82" s="574" customFormat="1" ht="61.5" customHeight="1">
      <c r="A874" s="625" t="str">
        <f t="shared" si="262"/>
        <v>proyecto-Alerta: Seleccione la celda en la comumna B con el nombre del proyecto-Al-Al--</v>
      </c>
      <c r="B874" s="626" t="str">
        <f t="shared" si="263"/>
        <v>proyecto-Alerta: Seleccione la celda en la comumna B con el nombre del proyecto-Al-Al-</v>
      </c>
      <c r="C874" s="626" t="str">
        <f t="shared" si="264"/>
        <v>proyecto-Alerta: Seleccione la celda en la comumna B con el nombre del proyecto-</v>
      </c>
      <c r="D874" s="626" t="str">
        <f t="shared" si="265"/>
        <v>proyecto--Al-Al-</v>
      </c>
      <c r="E874" s="626" t="str">
        <f t="shared" si="266"/>
        <v>--</v>
      </c>
      <c r="F874" s="627"/>
      <c r="G874" s="628">
        <f t="shared" si="267"/>
        <v>0</v>
      </c>
      <c r="H874" s="629" t="b">
        <f t="shared" si="268"/>
        <v>1</v>
      </c>
      <c r="I874" s="630"/>
      <c r="J874" s="627"/>
      <c r="K874" s="631" t="str">
        <f>+IFERROR(VLOOKUP(J874,Listas!$A$108:$B$114,2,FALSE),"Alerta: Seleccione la celda en la comumna B con el nombre del proyecto")</f>
        <v>Alerta: Seleccione la celda en la comumna B con el nombre del proyecto</v>
      </c>
      <c r="L874" s="632"/>
      <c r="M874" s="633"/>
      <c r="N874" s="634" t="str">
        <f t="shared" si="269"/>
        <v xml:space="preserve">(Cód. ) </v>
      </c>
      <c r="O874" s="635"/>
      <c r="P874" s="636">
        <f>IFERROR(VLOOKUP(W874,'Estimación CRP'!$D$21:$E$30,2,FALSE),0)</f>
        <v>0</v>
      </c>
      <c r="Q874" s="637">
        <f>IF(O874="No aplica","No aplica",WORKDAY.INTL(O874,P874,1,'Estimación CRP'!A1060:A1076))</f>
        <v>0</v>
      </c>
      <c r="R874" s="636">
        <f t="shared" si="270"/>
        <v>1</v>
      </c>
      <c r="S874" s="636">
        <f t="shared" si="271"/>
        <v>1</v>
      </c>
      <c r="T874" s="636">
        <f t="shared" si="272"/>
        <v>1</v>
      </c>
      <c r="U874" s="638"/>
      <c r="V874" s="638"/>
      <c r="W874" s="639"/>
      <c r="X874" s="640" t="str">
        <f>IFERROR(VLOOKUP(W874,Listas!$A$60:$B$73,2,FALSE),"Alerta: Seleccione primero Modalidad de selección")</f>
        <v>Alerta: Seleccione primero Modalidad de selección</v>
      </c>
      <c r="Y874" s="641">
        <v>0</v>
      </c>
      <c r="Z874" s="641"/>
      <c r="AA874" s="641"/>
      <c r="AB874" s="642">
        <f t="shared" si="273"/>
        <v>0</v>
      </c>
      <c r="AC874" s="642">
        <f t="shared" si="274"/>
        <v>0</v>
      </c>
      <c r="AD874" s="641">
        <v>0</v>
      </c>
      <c r="AE874" s="643">
        <v>0</v>
      </c>
      <c r="AF874" s="639" t="s">
        <v>276</v>
      </c>
      <c r="AG874" s="639" t="s">
        <v>277</v>
      </c>
      <c r="AH874" s="639"/>
      <c r="AI874" s="626" t="str">
        <f>IFERROR(VLOOKUP(AH874,Listas!$A$77:$C$83,2,FALSE),"Alerta: Seleccione primero el responsable")</f>
        <v>Alerta: Seleccione primero el responsable</v>
      </c>
      <c r="AJ874" s="640" t="str">
        <f>IFERROR(VLOOKUP(AH874,Listas!$A$77:$C$83,3,FALSE),"Alerta: Seleccione primero el responsable")</f>
        <v>Alerta: Seleccione primero el responsable</v>
      </c>
      <c r="AK874" s="640" t="str">
        <f>IF(J874="Funcionamiento Gastos Generales","No aplica",IF(J874="Funcionamiento Servicios Personales indirectos","No aplica",IFERROR(VLOOKUP(J874,Listas!$A$127:$E$139,3,FALSE),"Alerta: Seleccione la celda en la comumna B con el nombre del proyecto")))</f>
        <v>Alerta: Seleccione la celda en la comumna B con el nombre del proyecto</v>
      </c>
      <c r="AL874" s="640" t="str">
        <f>IF(J874="Funcionamiento Gastos Generales","No aplica",IF(J874="Funcionamiento Servicios Personales","No aplica",IFERROR(VLOOKUP(J874,Listas!$A$220:$D$224,2,FALSE),"Alerta: Seleccione la celda en la comumna B con el nombre del proyecto")))</f>
        <v>Alerta: Seleccione la celda en la comumna B con el nombre del proyecto</v>
      </c>
      <c r="AM874" s="640" t="str">
        <f>IF(J874="Funcionamiento Gastos Generales","No aplica",IF(J874="Funcionamiento Servicios Personales","No aplica",IFERROR(VLOOKUP(J874,Listas!$A$220:$D$224,3,FALSE),"Alerta: Seleccione la celda en la comumna B con el nombre del proyecto")))</f>
        <v>Alerta: Seleccione la celda en la comumna B con el nombre del proyecto</v>
      </c>
      <c r="AN874" s="633"/>
      <c r="AO874" s="633"/>
      <c r="AP874" s="634" t="str">
        <f>IFERROR(VLOOKUP(J874,Listas!$A$182:$E$215,5,FALSE),"Alerta: Seleccione la celda en la comumna B con el nombre del proyecto")</f>
        <v>Alerta: Seleccione la celda en la comumna B con el nombre del proyecto</v>
      </c>
      <c r="AQ874" s="634" t="str">
        <f>IF(J874="Funcionamiento Gastos Generales","No aplica",IF(J874="Funcionamiento Servicios Personales","No aplica",IFERROR(VLOOKUP(J874,Listas!$A$220:$D$224,4,FALSE),"Alerta: Seleccione la celda en la comumna B con el nombre del proyecto")))</f>
        <v>Alerta: Seleccione la celda en la comumna B con el nombre del proyecto</v>
      </c>
      <c r="AR874" s="633"/>
      <c r="AS874" s="634" t="str">
        <f>IFERROR(VLOOKUP(AU874,Listas!$E$85:$L$105,7,FALSE),"Alerta: Seleccione la celda en la comumna AI con el concepto de gasto")</f>
        <v>Alerta: Seleccione la celda en la comumna AI con el concepto de gasto</v>
      </c>
      <c r="AT874" s="634" t="str">
        <f>IFERROR(VLOOKUP(AU874,Listas!$E$85:$L$105,8,FALSE),"Alerta: Seleccione la celda en la comumna AI con el concepto de gasto")</f>
        <v>Alerta: Seleccione la celda en la comumna AI con el concepto de gasto</v>
      </c>
      <c r="AU874" s="633"/>
      <c r="AV874" s="634" t="str">
        <f>IFERROR(VLOOKUP(AU874,Listas!$E$85:$F$105,2,FALSE),"Alerta: Seleccione el Concepto de Gasto primero")</f>
        <v>Alerta: Seleccione el Concepto de Gasto primero</v>
      </c>
      <c r="AW874" s="644"/>
      <c r="AX874" s="645"/>
      <c r="AY874" s="645"/>
      <c r="AZ874" s="645"/>
      <c r="BA874" s="646">
        <f t="shared" si="275"/>
        <v>0</v>
      </c>
      <c r="BB874" s="647"/>
      <c r="BC874" s="648"/>
      <c r="BD874" s="649"/>
      <c r="BE874" s="647"/>
      <c r="BF874" s="644"/>
      <c r="BG874" s="646">
        <f t="shared" si="276"/>
        <v>0</v>
      </c>
      <c r="BH874" s="650"/>
      <c r="BI874" s="647"/>
      <c r="BJ874" s="644"/>
      <c r="BK874" s="646">
        <f t="shared" si="277"/>
        <v>0</v>
      </c>
      <c r="BL874" s="651"/>
      <c r="BM874" s="652">
        <f t="shared" si="278"/>
        <v>1</v>
      </c>
      <c r="BN874" s="628"/>
      <c r="BO874" s="670"/>
      <c r="BP874" s="644"/>
      <c r="BQ874" s="644"/>
      <c r="BR874" s="644"/>
      <c r="BS874" s="644"/>
      <c r="BT874" s="644"/>
      <c r="BU874" s="644"/>
      <c r="BV874" s="644"/>
      <c r="BW874" s="644"/>
      <c r="BX874" s="644"/>
      <c r="BY874" s="644"/>
      <c r="BZ874" s="644"/>
      <c r="CA874" s="644"/>
      <c r="CB874" s="646">
        <f t="shared" si="279"/>
        <v>0</v>
      </c>
      <c r="CC874" s="646">
        <f t="shared" si="280"/>
        <v>0</v>
      </c>
      <c r="CD874" s="614"/>
    </row>
    <row r="875" spans="1:82" s="574" customFormat="1" ht="61.5" customHeight="1">
      <c r="A875" s="625" t="str">
        <f t="shared" si="262"/>
        <v>proyecto-Alerta: Seleccione la celda en la comumna B con el nombre del proyecto-Al-Al--</v>
      </c>
      <c r="B875" s="626" t="str">
        <f t="shared" si="263"/>
        <v>proyecto-Alerta: Seleccione la celda en la comumna B con el nombre del proyecto-Al-Al-</v>
      </c>
      <c r="C875" s="626" t="str">
        <f t="shared" si="264"/>
        <v>proyecto-Alerta: Seleccione la celda en la comumna B con el nombre del proyecto-</v>
      </c>
      <c r="D875" s="626" t="str">
        <f t="shared" si="265"/>
        <v>proyecto--Al-Al-</v>
      </c>
      <c r="E875" s="626" t="str">
        <f t="shared" si="266"/>
        <v>--</v>
      </c>
      <c r="F875" s="627"/>
      <c r="G875" s="628">
        <f t="shared" si="267"/>
        <v>0</v>
      </c>
      <c r="H875" s="629" t="b">
        <f t="shared" si="268"/>
        <v>1</v>
      </c>
      <c r="I875" s="630"/>
      <c r="J875" s="627"/>
      <c r="K875" s="631" t="str">
        <f>+IFERROR(VLOOKUP(J875,Listas!$A$108:$B$114,2,FALSE),"Alerta: Seleccione la celda en la comumna B con el nombre del proyecto")</f>
        <v>Alerta: Seleccione la celda en la comumna B con el nombre del proyecto</v>
      </c>
      <c r="L875" s="632"/>
      <c r="M875" s="633"/>
      <c r="N875" s="634" t="str">
        <f t="shared" si="269"/>
        <v xml:space="preserve">(Cód. ) </v>
      </c>
      <c r="O875" s="635"/>
      <c r="P875" s="636">
        <f>IFERROR(VLOOKUP(W875,'Estimación CRP'!$D$21:$E$30,2,FALSE),0)</f>
        <v>0</v>
      </c>
      <c r="Q875" s="637">
        <f>IF(O875="No aplica","No aplica",WORKDAY.INTL(O875,P875,1,'Estimación CRP'!A1061:A1077))</f>
        <v>0</v>
      </c>
      <c r="R875" s="636">
        <f t="shared" si="270"/>
        <v>1</v>
      </c>
      <c r="S875" s="636">
        <f t="shared" si="271"/>
        <v>1</v>
      </c>
      <c r="T875" s="636">
        <f t="shared" si="272"/>
        <v>1</v>
      </c>
      <c r="U875" s="638"/>
      <c r="V875" s="638"/>
      <c r="W875" s="639"/>
      <c r="X875" s="640" t="str">
        <f>IFERROR(VLOOKUP(W875,Listas!$A$60:$B$73,2,FALSE),"Alerta: Seleccione primero Modalidad de selección")</f>
        <v>Alerta: Seleccione primero Modalidad de selección</v>
      </c>
      <c r="Y875" s="641">
        <v>0</v>
      </c>
      <c r="Z875" s="641"/>
      <c r="AA875" s="641"/>
      <c r="AB875" s="642">
        <f t="shared" si="273"/>
        <v>0</v>
      </c>
      <c r="AC875" s="642">
        <f t="shared" si="274"/>
        <v>0</v>
      </c>
      <c r="AD875" s="641">
        <v>0</v>
      </c>
      <c r="AE875" s="643">
        <v>0</v>
      </c>
      <c r="AF875" s="639" t="s">
        <v>276</v>
      </c>
      <c r="AG875" s="639" t="s">
        <v>277</v>
      </c>
      <c r="AH875" s="639"/>
      <c r="AI875" s="626" t="str">
        <f>IFERROR(VLOOKUP(AH875,Listas!$A$77:$C$83,2,FALSE),"Alerta: Seleccione primero el responsable")</f>
        <v>Alerta: Seleccione primero el responsable</v>
      </c>
      <c r="AJ875" s="640" t="str">
        <f>IFERROR(VLOOKUP(AH875,Listas!$A$77:$C$83,3,FALSE),"Alerta: Seleccione primero el responsable")</f>
        <v>Alerta: Seleccione primero el responsable</v>
      </c>
      <c r="AK875" s="640" t="str">
        <f>IF(J875="Funcionamiento Gastos Generales","No aplica",IF(J875="Funcionamiento Servicios Personales indirectos","No aplica",IFERROR(VLOOKUP(J875,Listas!$A$127:$E$139,3,FALSE),"Alerta: Seleccione la celda en la comumna B con el nombre del proyecto")))</f>
        <v>Alerta: Seleccione la celda en la comumna B con el nombre del proyecto</v>
      </c>
      <c r="AL875" s="640" t="str">
        <f>IF(J875="Funcionamiento Gastos Generales","No aplica",IF(J875="Funcionamiento Servicios Personales","No aplica",IFERROR(VLOOKUP(J875,Listas!$A$220:$D$224,2,FALSE),"Alerta: Seleccione la celda en la comumna B con el nombre del proyecto")))</f>
        <v>Alerta: Seleccione la celda en la comumna B con el nombre del proyecto</v>
      </c>
      <c r="AM875" s="640" t="str">
        <f>IF(J875="Funcionamiento Gastos Generales","No aplica",IF(J875="Funcionamiento Servicios Personales","No aplica",IFERROR(VLOOKUP(J875,Listas!$A$220:$D$224,3,FALSE),"Alerta: Seleccione la celda en la comumna B con el nombre del proyecto")))</f>
        <v>Alerta: Seleccione la celda en la comumna B con el nombre del proyecto</v>
      </c>
      <c r="AN875" s="633"/>
      <c r="AO875" s="633"/>
      <c r="AP875" s="634" t="str">
        <f>IFERROR(VLOOKUP(J875,Listas!$A$182:$E$215,5,FALSE),"Alerta: Seleccione la celda en la comumna B con el nombre del proyecto")</f>
        <v>Alerta: Seleccione la celda en la comumna B con el nombre del proyecto</v>
      </c>
      <c r="AQ875" s="634" t="str">
        <f>IF(J875="Funcionamiento Gastos Generales","No aplica",IF(J875="Funcionamiento Servicios Personales","No aplica",IFERROR(VLOOKUP(J875,Listas!$A$220:$D$224,4,FALSE),"Alerta: Seleccione la celda en la comumna B con el nombre del proyecto")))</f>
        <v>Alerta: Seleccione la celda en la comumna B con el nombre del proyecto</v>
      </c>
      <c r="AR875" s="633"/>
      <c r="AS875" s="634" t="str">
        <f>IFERROR(VLOOKUP(AU875,Listas!$E$85:$L$105,7,FALSE),"Alerta: Seleccione la celda en la comumna AI con el concepto de gasto")</f>
        <v>Alerta: Seleccione la celda en la comumna AI con el concepto de gasto</v>
      </c>
      <c r="AT875" s="634" t="str">
        <f>IFERROR(VLOOKUP(AU875,Listas!$E$85:$L$105,8,FALSE),"Alerta: Seleccione la celda en la comumna AI con el concepto de gasto")</f>
        <v>Alerta: Seleccione la celda en la comumna AI con el concepto de gasto</v>
      </c>
      <c r="AU875" s="633"/>
      <c r="AV875" s="634" t="str">
        <f>IFERROR(VLOOKUP(AU875,Listas!$E$85:$F$105,2,FALSE),"Alerta: Seleccione el Concepto de Gasto primero")</f>
        <v>Alerta: Seleccione el Concepto de Gasto primero</v>
      </c>
      <c r="AW875" s="644"/>
      <c r="AX875" s="645"/>
      <c r="AY875" s="645"/>
      <c r="AZ875" s="645"/>
      <c r="BA875" s="646">
        <f t="shared" si="275"/>
        <v>0</v>
      </c>
      <c r="BB875" s="647"/>
      <c r="BC875" s="648"/>
      <c r="BD875" s="649"/>
      <c r="BE875" s="647"/>
      <c r="BF875" s="644"/>
      <c r="BG875" s="646">
        <f t="shared" si="276"/>
        <v>0</v>
      </c>
      <c r="BH875" s="650"/>
      <c r="BI875" s="647"/>
      <c r="BJ875" s="644"/>
      <c r="BK875" s="646">
        <f t="shared" si="277"/>
        <v>0</v>
      </c>
      <c r="BL875" s="651"/>
      <c r="BM875" s="652">
        <f t="shared" si="278"/>
        <v>1</v>
      </c>
      <c r="BN875" s="628"/>
      <c r="BO875" s="670"/>
      <c r="BP875" s="644"/>
      <c r="BQ875" s="644"/>
      <c r="BR875" s="644"/>
      <c r="BS875" s="644"/>
      <c r="BT875" s="644"/>
      <c r="BU875" s="644"/>
      <c r="BV875" s="644"/>
      <c r="BW875" s="644"/>
      <c r="BX875" s="644"/>
      <c r="BY875" s="644"/>
      <c r="BZ875" s="644"/>
      <c r="CA875" s="644"/>
      <c r="CB875" s="646">
        <f t="shared" si="279"/>
        <v>0</v>
      </c>
      <c r="CC875" s="646">
        <f t="shared" si="280"/>
        <v>0</v>
      </c>
      <c r="CD875" s="614"/>
    </row>
    <row r="876" spans="1:82" s="574" customFormat="1" ht="61.5" customHeight="1">
      <c r="A876" s="625" t="str">
        <f t="shared" si="262"/>
        <v>proyecto-Alerta: Seleccione la celda en la comumna B con el nombre del proyecto-Al-Al--</v>
      </c>
      <c r="B876" s="626" t="str">
        <f t="shared" si="263"/>
        <v>proyecto-Alerta: Seleccione la celda en la comumna B con el nombre del proyecto-Al-Al-</v>
      </c>
      <c r="C876" s="626" t="str">
        <f t="shared" si="264"/>
        <v>proyecto-Alerta: Seleccione la celda en la comumna B con el nombre del proyecto-</v>
      </c>
      <c r="D876" s="626" t="str">
        <f t="shared" si="265"/>
        <v>proyecto--Al-Al-</v>
      </c>
      <c r="E876" s="626" t="str">
        <f t="shared" si="266"/>
        <v>--</v>
      </c>
      <c r="F876" s="627"/>
      <c r="G876" s="628">
        <f t="shared" si="267"/>
        <v>0</v>
      </c>
      <c r="H876" s="629" t="b">
        <f t="shared" si="268"/>
        <v>1</v>
      </c>
      <c r="I876" s="630"/>
      <c r="J876" s="627"/>
      <c r="K876" s="631" t="str">
        <f>+IFERROR(VLOOKUP(J876,Listas!$A$108:$B$114,2,FALSE),"Alerta: Seleccione la celda en la comumna B con el nombre del proyecto")</f>
        <v>Alerta: Seleccione la celda en la comumna B con el nombre del proyecto</v>
      </c>
      <c r="L876" s="632"/>
      <c r="M876" s="633"/>
      <c r="N876" s="634" t="str">
        <f t="shared" si="269"/>
        <v xml:space="preserve">(Cód. ) </v>
      </c>
      <c r="O876" s="635"/>
      <c r="P876" s="636">
        <f>IFERROR(VLOOKUP(W876,'Estimación CRP'!$D$21:$E$30,2,FALSE),0)</f>
        <v>0</v>
      </c>
      <c r="Q876" s="637">
        <f>IF(O876="No aplica","No aplica",WORKDAY.INTL(O876,P876,1,'Estimación CRP'!A1062:A1078))</f>
        <v>0</v>
      </c>
      <c r="R876" s="636">
        <f t="shared" si="270"/>
        <v>1</v>
      </c>
      <c r="S876" s="636">
        <f t="shared" si="271"/>
        <v>1</v>
      </c>
      <c r="T876" s="636">
        <f t="shared" si="272"/>
        <v>1</v>
      </c>
      <c r="U876" s="638"/>
      <c r="V876" s="638"/>
      <c r="W876" s="639"/>
      <c r="X876" s="640" t="str">
        <f>IFERROR(VLOOKUP(W876,Listas!$A$60:$B$73,2,FALSE),"Alerta: Seleccione primero Modalidad de selección")</f>
        <v>Alerta: Seleccione primero Modalidad de selección</v>
      </c>
      <c r="Y876" s="641">
        <v>0</v>
      </c>
      <c r="Z876" s="641"/>
      <c r="AA876" s="641"/>
      <c r="AB876" s="642">
        <f t="shared" si="273"/>
        <v>0</v>
      </c>
      <c r="AC876" s="642">
        <f t="shared" si="274"/>
        <v>0</v>
      </c>
      <c r="AD876" s="641">
        <v>0</v>
      </c>
      <c r="AE876" s="643">
        <v>0</v>
      </c>
      <c r="AF876" s="639" t="s">
        <v>276</v>
      </c>
      <c r="AG876" s="639" t="s">
        <v>277</v>
      </c>
      <c r="AH876" s="639"/>
      <c r="AI876" s="626" t="str">
        <f>IFERROR(VLOOKUP(AH876,Listas!$A$77:$C$83,2,FALSE),"Alerta: Seleccione primero el responsable")</f>
        <v>Alerta: Seleccione primero el responsable</v>
      </c>
      <c r="AJ876" s="640" t="str">
        <f>IFERROR(VLOOKUP(AH876,Listas!$A$77:$C$83,3,FALSE),"Alerta: Seleccione primero el responsable")</f>
        <v>Alerta: Seleccione primero el responsable</v>
      </c>
      <c r="AK876" s="640" t="str">
        <f>IF(J876="Funcionamiento Gastos Generales","No aplica",IF(J876="Funcionamiento Servicios Personales indirectos","No aplica",IFERROR(VLOOKUP(J876,Listas!$A$127:$E$139,3,FALSE),"Alerta: Seleccione la celda en la comumna B con el nombre del proyecto")))</f>
        <v>Alerta: Seleccione la celda en la comumna B con el nombre del proyecto</v>
      </c>
      <c r="AL876" s="640" t="str">
        <f>IF(J876="Funcionamiento Gastos Generales","No aplica",IF(J876="Funcionamiento Servicios Personales","No aplica",IFERROR(VLOOKUP(J876,Listas!$A$220:$D$224,2,FALSE),"Alerta: Seleccione la celda en la comumna B con el nombre del proyecto")))</f>
        <v>Alerta: Seleccione la celda en la comumna B con el nombre del proyecto</v>
      </c>
      <c r="AM876" s="640" t="str">
        <f>IF(J876="Funcionamiento Gastos Generales","No aplica",IF(J876="Funcionamiento Servicios Personales","No aplica",IFERROR(VLOOKUP(J876,Listas!$A$220:$D$224,3,FALSE),"Alerta: Seleccione la celda en la comumna B con el nombre del proyecto")))</f>
        <v>Alerta: Seleccione la celda en la comumna B con el nombre del proyecto</v>
      </c>
      <c r="AN876" s="633"/>
      <c r="AO876" s="633"/>
      <c r="AP876" s="634" t="str">
        <f>IFERROR(VLOOKUP(J876,Listas!$A$182:$E$215,5,FALSE),"Alerta: Seleccione la celda en la comumna B con el nombre del proyecto")</f>
        <v>Alerta: Seleccione la celda en la comumna B con el nombre del proyecto</v>
      </c>
      <c r="AQ876" s="634" t="str">
        <f>IF(J876="Funcionamiento Gastos Generales","No aplica",IF(J876="Funcionamiento Servicios Personales","No aplica",IFERROR(VLOOKUP(J876,Listas!$A$220:$D$224,4,FALSE),"Alerta: Seleccione la celda en la comumna B con el nombre del proyecto")))</f>
        <v>Alerta: Seleccione la celda en la comumna B con el nombre del proyecto</v>
      </c>
      <c r="AR876" s="633"/>
      <c r="AS876" s="634" t="str">
        <f>IFERROR(VLOOKUP(AU876,Listas!$E$85:$L$105,7,FALSE),"Alerta: Seleccione la celda en la comumna AI con el concepto de gasto")</f>
        <v>Alerta: Seleccione la celda en la comumna AI con el concepto de gasto</v>
      </c>
      <c r="AT876" s="634" t="str">
        <f>IFERROR(VLOOKUP(AU876,Listas!$E$85:$L$105,8,FALSE),"Alerta: Seleccione la celda en la comumna AI con el concepto de gasto")</f>
        <v>Alerta: Seleccione la celda en la comumna AI con el concepto de gasto</v>
      </c>
      <c r="AU876" s="633"/>
      <c r="AV876" s="634" t="str">
        <f>IFERROR(VLOOKUP(AU876,Listas!$E$85:$F$105,2,FALSE),"Alerta: Seleccione el Concepto de Gasto primero")</f>
        <v>Alerta: Seleccione el Concepto de Gasto primero</v>
      </c>
      <c r="AW876" s="644"/>
      <c r="AX876" s="645"/>
      <c r="AY876" s="645"/>
      <c r="AZ876" s="645"/>
      <c r="BA876" s="646">
        <f t="shared" si="275"/>
        <v>0</v>
      </c>
      <c r="BB876" s="647"/>
      <c r="BC876" s="648"/>
      <c r="BD876" s="649"/>
      <c r="BE876" s="647"/>
      <c r="BF876" s="644"/>
      <c r="BG876" s="646">
        <f t="shared" si="276"/>
        <v>0</v>
      </c>
      <c r="BH876" s="650"/>
      <c r="BI876" s="647"/>
      <c r="BJ876" s="644"/>
      <c r="BK876" s="646">
        <f t="shared" si="277"/>
        <v>0</v>
      </c>
      <c r="BL876" s="651"/>
      <c r="BM876" s="652">
        <f t="shared" si="278"/>
        <v>1</v>
      </c>
      <c r="BN876" s="628"/>
      <c r="BO876" s="670"/>
      <c r="BP876" s="644"/>
      <c r="BQ876" s="644"/>
      <c r="BR876" s="644"/>
      <c r="BS876" s="644"/>
      <c r="BT876" s="644"/>
      <c r="BU876" s="644"/>
      <c r="BV876" s="644"/>
      <c r="BW876" s="644"/>
      <c r="BX876" s="644"/>
      <c r="BY876" s="644"/>
      <c r="BZ876" s="644"/>
      <c r="CA876" s="644"/>
      <c r="CB876" s="646">
        <f t="shared" si="279"/>
        <v>0</v>
      </c>
      <c r="CC876" s="646">
        <f t="shared" si="280"/>
        <v>0</v>
      </c>
      <c r="CD876" s="614"/>
    </row>
    <row r="877" spans="1:82" s="654" customFormat="1" ht="61.5" customHeight="1">
      <c r="A877" s="625" t="str">
        <f t="shared" si="262"/>
        <v>proyecto-Alerta: Seleccione la celda en la comumna B con el nombre del proyecto-Al-Al--</v>
      </c>
      <c r="B877" s="626" t="str">
        <f t="shared" si="263"/>
        <v>proyecto-Alerta: Seleccione la celda en la comumna B con el nombre del proyecto-Al-Al-</v>
      </c>
      <c r="C877" s="626" t="str">
        <f t="shared" si="264"/>
        <v>proyecto-Alerta: Seleccione la celda en la comumna B con el nombre del proyecto-</v>
      </c>
      <c r="D877" s="626" t="str">
        <f t="shared" si="265"/>
        <v>proyecto--Al-Al-</v>
      </c>
      <c r="E877" s="626" t="str">
        <f t="shared" si="266"/>
        <v>--</v>
      </c>
      <c r="F877" s="627"/>
      <c r="G877" s="628">
        <f t="shared" si="267"/>
        <v>0</v>
      </c>
      <c r="H877" s="629" t="b">
        <f t="shared" si="268"/>
        <v>1</v>
      </c>
      <c r="I877" s="630"/>
      <c r="J877" s="627"/>
      <c r="K877" s="631" t="str">
        <f>+IFERROR(VLOOKUP(J877,Listas!$A$108:$B$114,2,FALSE),"Alerta: Seleccione la celda en la comumna B con el nombre del proyecto")</f>
        <v>Alerta: Seleccione la celda en la comumna B con el nombre del proyecto</v>
      </c>
      <c r="L877" s="632"/>
      <c r="M877" s="633"/>
      <c r="N877" s="634" t="str">
        <f t="shared" si="269"/>
        <v xml:space="preserve">(Cód. ) </v>
      </c>
      <c r="O877" s="635"/>
      <c r="P877" s="636">
        <f>IFERROR(VLOOKUP(W877,'Estimación CRP'!$D$21:$E$30,2,FALSE),0)</f>
        <v>0</v>
      </c>
      <c r="Q877" s="637">
        <f>IF(O877="No aplica","No aplica",WORKDAY.INTL(O877,P877,1,'Estimación CRP'!A1063:A1079))</f>
        <v>0</v>
      </c>
      <c r="R877" s="636">
        <f t="shared" si="270"/>
        <v>1</v>
      </c>
      <c r="S877" s="636">
        <f t="shared" si="271"/>
        <v>1</v>
      </c>
      <c r="T877" s="636">
        <f t="shared" si="272"/>
        <v>1</v>
      </c>
      <c r="U877" s="638"/>
      <c r="V877" s="638"/>
      <c r="W877" s="639"/>
      <c r="X877" s="640" t="str">
        <f>IFERROR(VLOOKUP(W877,Listas!$A$60:$B$73,2,FALSE),"Alerta: Seleccione primero Modalidad de selección")</f>
        <v>Alerta: Seleccione primero Modalidad de selección</v>
      </c>
      <c r="Y877" s="641">
        <v>0</v>
      </c>
      <c r="Z877" s="641"/>
      <c r="AA877" s="641"/>
      <c r="AB877" s="642">
        <f t="shared" si="273"/>
        <v>0</v>
      </c>
      <c r="AC877" s="642">
        <f t="shared" si="274"/>
        <v>0</v>
      </c>
      <c r="AD877" s="641">
        <v>0</v>
      </c>
      <c r="AE877" s="643">
        <v>0</v>
      </c>
      <c r="AF877" s="639" t="s">
        <v>276</v>
      </c>
      <c r="AG877" s="639" t="s">
        <v>277</v>
      </c>
      <c r="AH877" s="639"/>
      <c r="AI877" s="626" t="str">
        <f>IFERROR(VLOOKUP(AH877,Listas!$A$77:$C$83,2,FALSE),"Alerta: Seleccione primero el responsable")</f>
        <v>Alerta: Seleccione primero el responsable</v>
      </c>
      <c r="AJ877" s="640" t="str">
        <f>IFERROR(VLOOKUP(AH877,Listas!$A$77:$C$83,3,FALSE),"Alerta: Seleccione primero el responsable")</f>
        <v>Alerta: Seleccione primero el responsable</v>
      </c>
      <c r="AK877" s="640" t="str">
        <f>IF(J877="Funcionamiento Gastos Generales","No aplica",IF(J877="Funcionamiento Servicios Personales indirectos","No aplica",IFERROR(VLOOKUP(J877,Listas!$A$127:$E$139,3,FALSE),"Alerta: Seleccione la celda en la comumna B con el nombre del proyecto")))</f>
        <v>Alerta: Seleccione la celda en la comumna B con el nombre del proyecto</v>
      </c>
      <c r="AL877" s="640" t="str">
        <f>IF(J877="Funcionamiento Gastos Generales","No aplica",IF(J877="Funcionamiento Servicios Personales","No aplica",IFERROR(VLOOKUP(J877,Listas!$A$220:$D$224,2,FALSE),"Alerta: Seleccione la celda en la comumna B con el nombre del proyecto")))</f>
        <v>Alerta: Seleccione la celda en la comumna B con el nombre del proyecto</v>
      </c>
      <c r="AM877" s="640" t="str">
        <f>IF(J877="Funcionamiento Gastos Generales","No aplica",IF(J877="Funcionamiento Servicios Personales","No aplica",IFERROR(VLOOKUP(J877,Listas!$A$220:$D$224,3,FALSE),"Alerta: Seleccione la celda en la comumna B con el nombre del proyecto")))</f>
        <v>Alerta: Seleccione la celda en la comumna B con el nombre del proyecto</v>
      </c>
      <c r="AN877" s="633"/>
      <c r="AO877" s="633"/>
      <c r="AP877" s="634" t="str">
        <f>IFERROR(VLOOKUP(J877,Listas!$A$182:$E$215,5,FALSE),"Alerta: Seleccione la celda en la comumna B con el nombre del proyecto")</f>
        <v>Alerta: Seleccione la celda en la comumna B con el nombre del proyecto</v>
      </c>
      <c r="AQ877" s="634" t="str">
        <f>IF(J877="Funcionamiento Gastos Generales","No aplica",IF(J877="Funcionamiento Servicios Personales","No aplica",IFERROR(VLOOKUP(J877,Listas!$A$220:$D$224,4,FALSE),"Alerta: Seleccione la celda en la comumna B con el nombre del proyecto")))</f>
        <v>Alerta: Seleccione la celda en la comumna B con el nombre del proyecto</v>
      </c>
      <c r="AR877" s="633"/>
      <c r="AS877" s="634" t="str">
        <f>IFERROR(VLOOKUP(AU877,Listas!$E$85:$L$105,7,FALSE),"Alerta: Seleccione la celda en la comumna AI con el concepto de gasto")</f>
        <v>Alerta: Seleccione la celda en la comumna AI con el concepto de gasto</v>
      </c>
      <c r="AT877" s="634" t="str">
        <f>IFERROR(VLOOKUP(AU877,Listas!$E$85:$L$105,8,FALSE),"Alerta: Seleccione la celda en la comumna AI con el concepto de gasto")</f>
        <v>Alerta: Seleccione la celda en la comumna AI con el concepto de gasto</v>
      </c>
      <c r="AU877" s="633"/>
      <c r="AV877" s="634" t="str">
        <f>IFERROR(VLOOKUP(AU877,Listas!$E$85:$F$105,2,FALSE),"Alerta: Seleccione el Concepto de Gasto primero")</f>
        <v>Alerta: Seleccione el Concepto de Gasto primero</v>
      </c>
      <c r="AW877" s="644"/>
      <c r="AX877" s="645"/>
      <c r="AY877" s="645"/>
      <c r="AZ877" s="645"/>
      <c r="BA877" s="646">
        <f t="shared" si="275"/>
        <v>0</v>
      </c>
      <c r="BB877" s="647"/>
      <c r="BC877" s="648"/>
      <c r="BD877" s="649"/>
      <c r="BE877" s="647"/>
      <c r="BF877" s="644"/>
      <c r="BG877" s="646">
        <f t="shared" si="276"/>
        <v>0</v>
      </c>
      <c r="BH877" s="650"/>
      <c r="BI877" s="647"/>
      <c r="BJ877" s="644"/>
      <c r="BK877" s="646">
        <f t="shared" si="277"/>
        <v>0</v>
      </c>
      <c r="BL877" s="651"/>
      <c r="BM877" s="652">
        <f t="shared" si="278"/>
        <v>1</v>
      </c>
      <c r="BN877" s="628"/>
      <c r="BO877" s="670"/>
      <c r="BP877" s="644"/>
      <c r="BQ877" s="644"/>
      <c r="BR877" s="644"/>
      <c r="BS877" s="644"/>
      <c r="BT877" s="644"/>
      <c r="BU877" s="644"/>
      <c r="BV877" s="644"/>
      <c r="BW877" s="644"/>
      <c r="BX877" s="644"/>
      <c r="BY877" s="644"/>
      <c r="BZ877" s="644"/>
      <c r="CA877" s="644"/>
      <c r="CB877" s="646">
        <f t="shared" si="279"/>
        <v>0</v>
      </c>
      <c r="CC877" s="646">
        <f t="shared" si="280"/>
        <v>0</v>
      </c>
      <c r="CD877" s="614"/>
    </row>
    <row r="878" spans="1:82" s="654" customFormat="1" ht="61.5" customHeight="1">
      <c r="A878" s="625" t="str">
        <f t="shared" si="262"/>
        <v>proyecto-Alerta: Seleccione la celda en la comumna B con el nombre del proyecto-Al-Al--</v>
      </c>
      <c r="B878" s="626" t="str">
        <f t="shared" si="263"/>
        <v>proyecto-Alerta: Seleccione la celda en la comumna B con el nombre del proyecto-Al-Al-</v>
      </c>
      <c r="C878" s="626" t="str">
        <f t="shared" si="264"/>
        <v>proyecto-Alerta: Seleccione la celda en la comumna B con el nombre del proyecto-</v>
      </c>
      <c r="D878" s="626" t="str">
        <f t="shared" si="265"/>
        <v>proyecto--Al-Al-</v>
      </c>
      <c r="E878" s="626" t="str">
        <f t="shared" si="266"/>
        <v>--</v>
      </c>
      <c r="F878" s="627"/>
      <c r="G878" s="628">
        <f t="shared" si="267"/>
        <v>0</v>
      </c>
      <c r="H878" s="629" t="b">
        <f t="shared" si="268"/>
        <v>1</v>
      </c>
      <c r="I878" s="630"/>
      <c r="J878" s="627"/>
      <c r="K878" s="631" t="str">
        <f>+IFERROR(VLOOKUP(J878,Listas!$A$108:$B$114,2,FALSE),"Alerta: Seleccione la celda en la comumna B con el nombre del proyecto")</f>
        <v>Alerta: Seleccione la celda en la comumna B con el nombre del proyecto</v>
      </c>
      <c r="L878" s="632"/>
      <c r="M878" s="633"/>
      <c r="N878" s="634" t="str">
        <f t="shared" si="269"/>
        <v xml:space="preserve">(Cód. ) </v>
      </c>
      <c r="O878" s="635"/>
      <c r="P878" s="636">
        <f>IFERROR(VLOOKUP(W878,'Estimación CRP'!$D$21:$E$30,2,FALSE),0)</f>
        <v>0</v>
      </c>
      <c r="Q878" s="637">
        <f>IF(O878="No aplica","No aplica",WORKDAY.INTL(O878,P878,1,'Estimación CRP'!A1064:A1080))</f>
        <v>0</v>
      </c>
      <c r="R878" s="636">
        <f t="shared" si="270"/>
        <v>1</v>
      </c>
      <c r="S878" s="636">
        <f t="shared" si="271"/>
        <v>1</v>
      </c>
      <c r="T878" s="636">
        <f t="shared" si="272"/>
        <v>1</v>
      </c>
      <c r="U878" s="638"/>
      <c r="V878" s="638"/>
      <c r="W878" s="639"/>
      <c r="X878" s="640" t="str">
        <f>IFERROR(VLOOKUP(W878,Listas!$A$60:$B$73,2,FALSE),"Alerta: Seleccione primero Modalidad de selección")</f>
        <v>Alerta: Seleccione primero Modalidad de selección</v>
      </c>
      <c r="Y878" s="641">
        <v>0</v>
      </c>
      <c r="Z878" s="641"/>
      <c r="AA878" s="641"/>
      <c r="AB878" s="642">
        <f t="shared" si="273"/>
        <v>0</v>
      </c>
      <c r="AC878" s="642">
        <f t="shared" si="274"/>
        <v>0</v>
      </c>
      <c r="AD878" s="641">
        <v>0</v>
      </c>
      <c r="AE878" s="643">
        <v>0</v>
      </c>
      <c r="AF878" s="639" t="s">
        <v>276</v>
      </c>
      <c r="AG878" s="639" t="s">
        <v>277</v>
      </c>
      <c r="AH878" s="639"/>
      <c r="AI878" s="626" t="str">
        <f>IFERROR(VLOOKUP(AH878,Listas!$A$77:$C$83,2,FALSE),"Alerta: Seleccione primero el responsable")</f>
        <v>Alerta: Seleccione primero el responsable</v>
      </c>
      <c r="AJ878" s="640" t="str">
        <f>IFERROR(VLOOKUP(AH878,Listas!$A$77:$C$83,3,FALSE),"Alerta: Seleccione primero el responsable")</f>
        <v>Alerta: Seleccione primero el responsable</v>
      </c>
      <c r="AK878" s="640" t="str">
        <f>IF(J878="Funcionamiento Gastos Generales","No aplica",IF(J878="Funcionamiento Servicios Personales indirectos","No aplica",IFERROR(VLOOKUP(J878,Listas!$A$127:$E$139,3,FALSE),"Alerta: Seleccione la celda en la comumna B con el nombre del proyecto")))</f>
        <v>Alerta: Seleccione la celda en la comumna B con el nombre del proyecto</v>
      </c>
      <c r="AL878" s="640" t="str">
        <f>IF(J878="Funcionamiento Gastos Generales","No aplica",IF(J878="Funcionamiento Servicios Personales","No aplica",IFERROR(VLOOKUP(J878,Listas!$A$220:$D$224,2,FALSE),"Alerta: Seleccione la celda en la comumna B con el nombre del proyecto")))</f>
        <v>Alerta: Seleccione la celda en la comumna B con el nombre del proyecto</v>
      </c>
      <c r="AM878" s="640" t="str">
        <f>IF(J878="Funcionamiento Gastos Generales","No aplica",IF(J878="Funcionamiento Servicios Personales","No aplica",IFERROR(VLOOKUP(J878,Listas!$A$220:$D$224,3,FALSE),"Alerta: Seleccione la celda en la comumna B con el nombre del proyecto")))</f>
        <v>Alerta: Seleccione la celda en la comumna B con el nombre del proyecto</v>
      </c>
      <c r="AN878" s="633"/>
      <c r="AO878" s="633"/>
      <c r="AP878" s="634" t="str">
        <f>IFERROR(VLOOKUP(J878,Listas!$A$182:$E$215,5,FALSE),"Alerta: Seleccione la celda en la comumna B con el nombre del proyecto")</f>
        <v>Alerta: Seleccione la celda en la comumna B con el nombre del proyecto</v>
      </c>
      <c r="AQ878" s="634" t="str">
        <f>IF(J878="Funcionamiento Gastos Generales","No aplica",IF(J878="Funcionamiento Servicios Personales","No aplica",IFERROR(VLOOKUP(J878,Listas!$A$220:$D$224,4,FALSE),"Alerta: Seleccione la celda en la comumna B con el nombre del proyecto")))</f>
        <v>Alerta: Seleccione la celda en la comumna B con el nombre del proyecto</v>
      </c>
      <c r="AR878" s="633"/>
      <c r="AS878" s="634" t="str">
        <f>IFERROR(VLOOKUP(AU878,Listas!$E$85:$L$105,7,FALSE),"Alerta: Seleccione la celda en la comumna AI con el concepto de gasto")</f>
        <v>Alerta: Seleccione la celda en la comumna AI con el concepto de gasto</v>
      </c>
      <c r="AT878" s="634" t="str">
        <f>IFERROR(VLOOKUP(AU878,Listas!$E$85:$L$105,8,FALSE),"Alerta: Seleccione la celda en la comumna AI con el concepto de gasto")</f>
        <v>Alerta: Seleccione la celda en la comumna AI con el concepto de gasto</v>
      </c>
      <c r="AU878" s="633"/>
      <c r="AV878" s="634" t="str">
        <f>IFERROR(VLOOKUP(AU878,Listas!$E$85:$F$105,2,FALSE),"Alerta: Seleccione el Concepto de Gasto primero")</f>
        <v>Alerta: Seleccione el Concepto de Gasto primero</v>
      </c>
      <c r="AW878" s="644"/>
      <c r="AX878" s="645"/>
      <c r="AY878" s="645"/>
      <c r="AZ878" s="645"/>
      <c r="BA878" s="646">
        <f t="shared" si="275"/>
        <v>0</v>
      </c>
      <c r="BB878" s="647"/>
      <c r="BC878" s="648"/>
      <c r="BD878" s="649"/>
      <c r="BE878" s="647"/>
      <c r="BF878" s="644"/>
      <c r="BG878" s="646">
        <f t="shared" si="276"/>
        <v>0</v>
      </c>
      <c r="BH878" s="650"/>
      <c r="BI878" s="647"/>
      <c r="BJ878" s="644"/>
      <c r="BK878" s="646">
        <f t="shared" si="277"/>
        <v>0</v>
      </c>
      <c r="BL878" s="651"/>
      <c r="BM878" s="652">
        <f t="shared" si="278"/>
        <v>1</v>
      </c>
      <c r="BN878" s="628"/>
      <c r="BO878" s="670"/>
      <c r="BP878" s="644"/>
      <c r="BQ878" s="644"/>
      <c r="BR878" s="644"/>
      <c r="BS878" s="644"/>
      <c r="BT878" s="644"/>
      <c r="BU878" s="644"/>
      <c r="BV878" s="644"/>
      <c r="BW878" s="644"/>
      <c r="BX878" s="644"/>
      <c r="BY878" s="644"/>
      <c r="BZ878" s="644"/>
      <c r="CA878" s="644"/>
      <c r="CB878" s="646">
        <f t="shared" si="279"/>
        <v>0</v>
      </c>
      <c r="CC878" s="646">
        <f t="shared" si="280"/>
        <v>0</v>
      </c>
      <c r="CD878" s="614"/>
    </row>
    <row r="879" spans="1:82" s="654" customFormat="1" ht="61.5" customHeight="1">
      <c r="A879" s="625" t="str">
        <f t="shared" si="262"/>
        <v>proyecto-Alerta: Seleccione la celda en la comumna B con el nombre del proyecto-Al-Al--</v>
      </c>
      <c r="B879" s="626" t="str">
        <f t="shared" si="263"/>
        <v>proyecto-Alerta: Seleccione la celda en la comumna B con el nombre del proyecto-Al-Al-</v>
      </c>
      <c r="C879" s="626" t="str">
        <f t="shared" si="264"/>
        <v>proyecto-Alerta: Seleccione la celda en la comumna B con el nombre del proyecto-</v>
      </c>
      <c r="D879" s="626" t="str">
        <f t="shared" si="265"/>
        <v>proyecto--Al-Al-</v>
      </c>
      <c r="E879" s="626" t="str">
        <f t="shared" si="266"/>
        <v>--</v>
      </c>
      <c r="F879" s="627"/>
      <c r="G879" s="628">
        <f t="shared" si="267"/>
        <v>0</v>
      </c>
      <c r="H879" s="629" t="b">
        <f t="shared" si="268"/>
        <v>1</v>
      </c>
      <c r="I879" s="630"/>
      <c r="J879" s="627"/>
      <c r="K879" s="631" t="str">
        <f>+IFERROR(VLOOKUP(J879,Listas!$A$108:$B$114,2,FALSE),"Alerta: Seleccione la celda en la comumna B con el nombre del proyecto")</f>
        <v>Alerta: Seleccione la celda en la comumna B con el nombre del proyecto</v>
      </c>
      <c r="L879" s="632"/>
      <c r="M879" s="633"/>
      <c r="N879" s="634" t="str">
        <f t="shared" si="269"/>
        <v xml:space="preserve">(Cód. ) </v>
      </c>
      <c r="O879" s="635"/>
      <c r="P879" s="636">
        <f>IFERROR(VLOOKUP(W879,'Estimación CRP'!$D$21:$E$30,2,FALSE),0)</f>
        <v>0</v>
      </c>
      <c r="Q879" s="637">
        <f>IF(O879="No aplica","No aplica",WORKDAY.INTL(O879,P879,1,'Estimación CRP'!A1065:A1081))</f>
        <v>0</v>
      </c>
      <c r="R879" s="636">
        <f t="shared" si="270"/>
        <v>1</v>
      </c>
      <c r="S879" s="636">
        <f t="shared" si="271"/>
        <v>1</v>
      </c>
      <c r="T879" s="636">
        <f t="shared" si="272"/>
        <v>1</v>
      </c>
      <c r="U879" s="638"/>
      <c r="V879" s="638"/>
      <c r="W879" s="639"/>
      <c r="X879" s="640" t="str">
        <f>IFERROR(VLOOKUP(W879,Listas!$A$60:$B$73,2,FALSE),"Alerta: Seleccione primero Modalidad de selección")</f>
        <v>Alerta: Seleccione primero Modalidad de selección</v>
      </c>
      <c r="Y879" s="641">
        <v>0</v>
      </c>
      <c r="Z879" s="641"/>
      <c r="AA879" s="641"/>
      <c r="AB879" s="642">
        <f t="shared" si="273"/>
        <v>0</v>
      </c>
      <c r="AC879" s="642">
        <f t="shared" si="274"/>
        <v>0</v>
      </c>
      <c r="AD879" s="641">
        <v>0</v>
      </c>
      <c r="AE879" s="643">
        <v>0</v>
      </c>
      <c r="AF879" s="639" t="s">
        <v>276</v>
      </c>
      <c r="AG879" s="639" t="s">
        <v>277</v>
      </c>
      <c r="AH879" s="639"/>
      <c r="AI879" s="626" t="str">
        <f>IFERROR(VLOOKUP(AH879,Listas!$A$77:$C$83,2,FALSE),"Alerta: Seleccione primero el responsable")</f>
        <v>Alerta: Seleccione primero el responsable</v>
      </c>
      <c r="AJ879" s="640" t="str">
        <f>IFERROR(VLOOKUP(AH879,Listas!$A$77:$C$83,3,FALSE),"Alerta: Seleccione primero el responsable")</f>
        <v>Alerta: Seleccione primero el responsable</v>
      </c>
      <c r="AK879" s="640" t="str">
        <f>IF(J879="Funcionamiento Gastos Generales","No aplica",IF(J879="Funcionamiento Servicios Personales indirectos","No aplica",IFERROR(VLOOKUP(J879,Listas!$A$127:$E$139,3,FALSE),"Alerta: Seleccione la celda en la comumna B con el nombre del proyecto")))</f>
        <v>Alerta: Seleccione la celda en la comumna B con el nombre del proyecto</v>
      </c>
      <c r="AL879" s="640" t="str">
        <f>IF(J879="Funcionamiento Gastos Generales","No aplica",IF(J879="Funcionamiento Servicios Personales","No aplica",IFERROR(VLOOKUP(J879,Listas!$A$220:$D$224,2,FALSE),"Alerta: Seleccione la celda en la comumna B con el nombre del proyecto")))</f>
        <v>Alerta: Seleccione la celda en la comumna B con el nombre del proyecto</v>
      </c>
      <c r="AM879" s="640" t="str">
        <f>IF(J879="Funcionamiento Gastos Generales","No aplica",IF(J879="Funcionamiento Servicios Personales","No aplica",IFERROR(VLOOKUP(J879,Listas!$A$220:$D$224,3,FALSE),"Alerta: Seleccione la celda en la comumna B con el nombre del proyecto")))</f>
        <v>Alerta: Seleccione la celda en la comumna B con el nombre del proyecto</v>
      </c>
      <c r="AN879" s="633"/>
      <c r="AO879" s="633"/>
      <c r="AP879" s="634" t="str">
        <f>IFERROR(VLOOKUP(J879,Listas!$A$182:$E$215,5,FALSE),"Alerta: Seleccione la celda en la comumna B con el nombre del proyecto")</f>
        <v>Alerta: Seleccione la celda en la comumna B con el nombre del proyecto</v>
      </c>
      <c r="AQ879" s="634" t="str">
        <f>IF(J879="Funcionamiento Gastos Generales","No aplica",IF(J879="Funcionamiento Servicios Personales","No aplica",IFERROR(VLOOKUP(J879,Listas!$A$220:$D$224,4,FALSE),"Alerta: Seleccione la celda en la comumna B con el nombre del proyecto")))</f>
        <v>Alerta: Seleccione la celda en la comumna B con el nombre del proyecto</v>
      </c>
      <c r="AR879" s="633"/>
      <c r="AS879" s="634" t="str">
        <f>IFERROR(VLOOKUP(AU879,Listas!$E$85:$L$105,7,FALSE),"Alerta: Seleccione la celda en la comumna AI con el concepto de gasto")</f>
        <v>Alerta: Seleccione la celda en la comumna AI con el concepto de gasto</v>
      </c>
      <c r="AT879" s="634" t="str">
        <f>IFERROR(VLOOKUP(AU879,Listas!$E$85:$L$105,8,FALSE),"Alerta: Seleccione la celda en la comumna AI con el concepto de gasto")</f>
        <v>Alerta: Seleccione la celda en la comumna AI con el concepto de gasto</v>
      </c>
      <c r="AU879" s="633"/>
      <c r="AV879" s="634" t="str">
        <f>IFERROR(VLOOKUP(AU879,Listas!$E$85:$F$105,2,FALSE),"Alerta: Seleccione el Concepto de Gasto primero")</f>
        <v>Alerta: Seleccione el Concepto de Gasto primero</v>
      </c>
      <c r="AW879" s="644"/>
      <c r="AX879" s="645"/>
      <c r="AY879" s="645"/>
      <c r="AZ879" s="645"/>
      <c r="BA879" s="646">
        <f t="shared" si="275"/>
        <v>0</v>
      </c>
      <c r="BB879" s="647"/>
      <c r="BC879" s="648"/>
      <c r="BD879" s="649"/>
      <c r="BE879" s="647"/>
      <c r="BF879" s="644"/>
      <c r="BG879" s="646">
        <f t="shared" si="276"/>
        <v>0</v>
      </c>
      <c r="BH879" s="650"/>
      <c r="BI879" s="647"/>
      <c r="BJ879" s="644"/>
      <c r="BK879" s="646">
        <f t="shared" si="277"/>
        <v>0</v>
      </c>
      <c r="BL879" s="651"/>
      <c r="BM879" s="652">
        <f t="shared" si="278"/>
        <v>1</v>
      </c>
      <c r="BN879" s="628"/>
      <c r="BO879" s="670"/>
      <c r="BP879" s="644"/>
      <c r="BQ879" s="644"/>
      <c r="BR879" s="644"/>
      <c r="BS879" s="644"/>
      <c r="BT879" s="644"/>
      <c r="BU879" s="644"/>
      <c r="BV879" s="644"/>
      <c r="BW879" s="644"/>
      <c r="BX879" s="644"/>
      <c r="BY879" s="644"/>
      <c r="BZ879" s="644"/>
      <c r="CA879" s="644"/>
      <c r="CB879" s="646">
        <f t="shared" si="279"/>
        <v>0</v>
      </c>
      <c r="CC879" s="646">
        <f t="shared" si="280"/>
        <v>0</v>
      </c>
      <c r="CD879" s="614"/>
    </row>
    <row r="880" spans="1:82" s="654" customFormat="1" ht="61.5" customHeight="1">
      <c r="A880" s="625" t="str">
        <f t="shared" si="262"/>
        <v>proyecto-Alerta: Seleccione la celda en la comumna B con el nombre del proyecto-Al-Al--</v>
      </c>
      <c r="B880" s="626" t="str">
        <f t="shared" si="263"/>
        <v>proyecto-Alerta: Seleccione la celda en la comumna B con el nombre del proyecto-Al-Al-</v>
      </c>
      <c r="C880" s="626" t="str">
        <f t="shared" si="264"/>
        <v>proyecto-Alerta: Seleccione la celda en la comumna B con el nombre del proyecto-</v>
      </c>
      <c r="D880" s="626" t="str">
        <f t="shared" si="265"/>
        <v>proyecto--Al-Al-</v>
      </c>
      <c r="E880" s="626" t="str">
        <f t="shared" si="266"/>
        <v>--</v>
      </c>
      <c r="F880" s="627"/>
      <c r="G880" s="628">
        <f t="shared" si="267"/>
        <v>0</v>
      </c>
      <c r="H880" s="629" t="b">
        <f t="shared" si="268"/>
        <v>1</v>
      </c>
      <c r="I880" s="630"/>
      <c r="J880" s="627"/>
      <c r="K880" s="631" t="str">
        <f>+IFERROR(VLOOKUP(J880,Listas!$A$108:$B$114,2,FALSE),"Alerta: Seleccione la celda en la comumna B con el nombre del proyecto")</f>
        <v>Alerta: Seleccione la celda en la comumna B con el nombre del proyecto</v>
      </c>
      <c r="L880" s="632"/>
      <c r="M880" s="633"/>
      <c r="N880" s="634" t="str">
        <f t="shared" si="269"/>
        <v xml:space="preserve">(Cód. ) </v>
      </c>
      <c r="O880" s="635"/>
      <c r="P880" s="636">
        <f>IFERROR(VLOOKUP(W880,'Estimación CRP'!$D$21:$E$30,2,FALSE),0)</f>
        <v>0</v>
      </c>
      <c r="Q880" s="637">
        <f>IF(O880="No aplica","No aplica",WORKDAY.INTL(O880,P880,1,'Estimación CRP'!A1066:A1082))</f>
        <v>0</v>
      </c>
      <c r="R880" s="636">
        <f t="shared" si="270"/>
        <v>1</v>
      </c>
      <c r="S880" s="636">
        <f t="shared" si="271"/>
        <v>1</v>
      </c>
      <c r="T880" s="636">
        <f t="shared" si="272"/>
        <v>1</v>
      </c>
      <c r="U880" s="638"/>
      <c r="V880" s="638"/>
      <c r="W880" s="639"/>
      <c r="X880" s="640" t="str">
        <f>IFERROR(VLOOKUP(W880,Listas!$A$60:$B$73,2,FALSE),"Alerta: Seleccione primero Modalidad de selección")</f>
        <v>Alerta: Seleccione primero Modalidad de selección</v>
      </c>
      <c r="Y880" s="641">
        <v>0</v>
      </c>
      <c r="Z880" s="641"/>
      <c r="AA880" s="641"/>
      <c r="AB880" s="642">
        <f t="shared" si="273"/>
        <v>0</v>
      </c>
      <c r="AC880" s="642">
        <f t="shared" si="274"/>
        <v>0</v>
      </c>
      <c r="AD880" s="641">
        <v>0</v>
      </c>
      <c r="AE880" s="643">
        <v>0</v>
      </c>
      <c r="AF880" s="639" t="s">
        <v>276</v>
      </c>
      <c r="AG880" s="639" t="s">
        <v>277</v>
      </c>
      <c r="AH880" s="639"/>
      <c r="AI880" s="626" t="str">
        <f>IFERROR(VLOOKUP(AH880,Listas!$A$77:$C$83,2,FALSE),"Alerta: Seleccione primero el responsable")</f>
        <v>Alerta: Seleccione primero el responsable</v>
      </c>
      <c r="AJ880" s="640" t="str">
        <f>IFERROR(VLOOKUP(AH880,Listas!$A$77:$C$83,3,FALSE),"Alerta: Seleccione primero el responsable")</f>
        <v>Alerta: Seleccione primero el responsable</v>
      </c>
      <c r="AK880" s="640" t="str">
        <f>IF(J880="Funcionamiento Gastos Generales","No aplica",IF(J880="Funcionamiento Servicios Personales indirectos","No aplica",IFERROR(VLOOKUP(J880,Listas!$A$127:$E$139,3,FALSE),"Alerta: Seleccione la celda en la comumna B con el nombre del proyecto")))</f>
        <v>Alerta: Seleccione la celda en la comumna B con el nombre del proyecto</v>
      </c>
      <c r="AL880" s="640" t="str">
        <f>IF(J880="Funcionamiento Gastos Generales","No aplica",IF(J880="Funcionamiento Servicios Personales","No aplica",IFERROR(VLOOKUP(J880,Listas!$A$220:$D$224,2,FALSE),"Alerta: Seleccione la celda en la comumna B con el nombre del proyecto")))</f>
        <v>Alerta: Seleccione la celda en la comumna B con el nombre del proyecto</v>
      </c>
      <c r="AM880" s="640" t="str">
        <f>IF(J880="Funcionamiento Gastos Generales","No aplica",IF(J880="Funcionamiento Servicios Personales","No aplica",IFERROR(VLOOKUP(J880,Listas!$A$220:$D$224,3,FALSE),"Alerta: Seleccione la celda en la comumna B con el nombre del proyecto")))</f>
        <v>Alerta: Seleccione la celda en la comumna B con el nombre del proyecto</v>
      </c>
      <c r="AN880" s="633"/>
      <c r="AO880" s="633"/>
      <c r="AP880" s="634" t="str">
        <f>IFERROR(VLOOKUP(J880,Listas!$A$182:$E$215,5,FALSE),"Alerta: Seleccione la celda en la comumna B con el nombre del proyecto")</f>
        <v>Alerta: Seleccione la celda en la comumna B con el nombre del proyecto</v>
      </c>
      <c r="AQ880" s="634" t="str">
        <f>IF(J880="Funcionamiento Gastos Generales","No aplica",IF(J880="Funcionamiento Servicios Personales","No aplica",IFERROR(VLOOKUP(J880,Listas!$A$220:$D$224,4,FALSE),"Alerta: Seleccione la celda en la comumna B con el nombre del proyecto")))</f>
        <v>Alerta: Seleccione la celda en la comumna B con el nombre del proyecto</v>
      </c>
      <c r="AR880" s="633"/>
      <c r="AS880" s="634" t="str">
        <f>IFERROR(VLOOKUP(AU880,Listas!$E$85:$L$105,7,FALSE),"Alerta: Seleccione la celda en la comumna AI con el concepto de gasto")</f>
        <v>Alerta: Seleccione la celda en la comumna AI con el concepto de gasto</v>
      </c>
      <c r="AT880" s="634" t="str">
        <f>IFERROR(VLOOKUP(AU880,Listas!$E$85:$L$105,8,FALSE),"Alerta: Seleccione la celda en la comumna AI con el concepto de gasto")</f>
        <v>Alerta: Seleccione la celda en la comumna AI con el concepto de gasto</v>
      </c>
      <c r="AU880" s="633"/>
      <c r="AV880" s="634" t="str">
        <f>IFERROR(VLOOKUP(AU880,Listas!$E$85:$F$105,2,FALSE),"Alerta: Seleccione el Concepto de Gasto primero")</f>
        <v>Alerta: Seleccione el Concepto de Gasto primero</v>
      </c>
      <c r="AW880" s="644"/>
      <c r="AX880" s="645"/>
      <c r="AY880" s="645"/>
      <c r="AZ880" s="645"/>
      <c r="BA880" s="646">
        <f t="shared" si="275"/>
        <v>0</v>
      </c>
      <c r="BB880" s="647"/>
      <c r="BC880" s="648"/>
      <c r="BD880" s="649"/>
      <c r="BE880" s="647"/>
      <c r="BF880" s="644"/>
      <c r="BG880" s="646">
        <f t="shared" si="276"/>
        <v>0</v>
      </c>
      <c r="BH880" s="650"/>
      <c r="BI880" s="647"/>
      <c r="BJ880" s="644"/>
      <c r="BK880" s="646">
        <f t="shared" si="277"/>
        <v>0</v>
      </c>
      <c r="BL880" s="651"/>
      <c r="BM880" s="652">
        <f t="shared" si="278"/>
        <v>1</v>
      </c>
      <c r="BN880" s="628"/>
      <c r="BO880" s="670"/>
      <c r="BP880" s="644"/>
      <c r="BQ880" s="644"/>
      <c r="BR880" s="644"/>
      <c r="BS880" s="644"/>
      <c r="BT880" s="644"/>
      <c r="BU880" s="644"/>
      <c r="BV880" s="644"/>
      <c r="BW880" s="644"/>
      <c r="BX880" s="644"/>
      <c r="BY880" s="644"/>
      <c r="BZ880" s="644"/>
      <c r="CA880" s="644"/>
      <c r="CB880" s="646">
        <f t="shared" si="279"/>
        <v>0</v>
      </c>
      <c r="CC880" s="646">
        <f t="shared" si="280"/>
        <v>0</v>
      </c>
      <c r="CD880" s="614"/>
    </row>
    <row r="881" spans="1:82" s="654" customFormat="1" ht="61.5" customHeight="1">
      <c r="A881" s="625" t="str">
        <f t="shared" si="262"/>
        <v>proyecto-Alerta: Seleccione la celda en la comumna B con el nombre del proyecto-Al-Al--</v>
      </c>
      <c r="B881" s="626" t="str">
        <f t="shared" si="263"/>
        <v>proyecto-Alerta: Seleccione la celda en la comumna B con el nombre del proyecto-Al-Al-</v>
      </c>
      <c r="C881" s="626" t="str">
        <f t="shared" si="264"/>
        <v>proyecto-Alerta: Seleccione la celda en la comumna B con el nombre del proyecto-</v>
      </c>
      <c r="D881" s="626" t="str">
        <f t="shared" si="265"/>
        <v>proyecto--Al-Al-</v>
      </c>
      <c r="E881" s="626" t="str">
        <f t="shared" si="266"/>
        <v>--</v>
      </c>
      <c r="F881" s="627"/>
      <c r="G881" s="628">
        <f t="shared" si="267"/>
        <v>0</v>
      </c>
      <c r="H881" s="629" t="b">
        <f t="shared" si="268"/>
        <v>1</v>
      </c>
      <c r="I881" s="630"/>
      <c r="J881" s="627"/>
      <c r="K881" s="631" t="str">
        <f>+IFERROR(VLOOKUP(J881,Listas!$A$108:$B$114,2,FALSE),"Alerta: Seleccione la celda en la comumna B con el nombre del proyecto")</f>
        <v>Alerta: Seleccione la celda en la comumna B con el nombre del proyecto</v>
      </c>
      <c r="L881" s="632"/>
      <c r="M881" s="633"/>
      <c r="N881" s="634" t="str">
        <f t="shared" si="269"/>
        <v xml:space="preserve">(Cód. ) </v>
      </c>
      <c r="O881" s="635"/>
      <c r="P881" s="636">
        <f>IFERROR(VLOOKUP(W881,'Estimación CRP'!$D$21:$E$30,2,FALSE),0)</f>
        <v>0</v>
      </c>
      <c r="Q881" s="637">
        <f>IF(O881="No aplica","No aplica",WORKDAY.INTL(O881,P881,1,'Estimación CRP'!A1067:A1083))</f>
        <v>0</v>
      </c>
      <c r="R881" s="636">
        <f t="shared" si="270"/>
        <v>1</v>
      </c>
      <c r="S881" s="636">
        <f t="shared" si="271"/>
        <v>1</v>
      </c>
      <c r="T881" s="636">
        <f t="shared" si="272"/>
        <v>1</v>
      </c>
      <c r="U881" s="638"/>
      <c r="V881" s="638"/>
      <c r="W881" s="639"/>
      <c r="X881" s="640" t="str">
        <f>IFERROR(VLOOKUP(W881,Listas!$A$60:$B$73,2,FALSE),"Alerta: Seleccione primero Modalidad de selección")</f>
        <v>Alerta: Seleccione primero Modalidad de selección</v>
      </c>
      <c r="Y881" s="641">
        <v>0</v>
      </c>
      <c r="Z881" s="641"/>
      <c r="AA881" s="641"/>
      <c r="AB881" s="642">
        <f t="shared" si="273"/>
        <v>0</v>
      </c>
      <c r="AC881" s="642">
        <f t="shared" si="274"/>
        <v>0</v>
      </c>
      <c r="AD881" s="641">
        <v>0</v>
      </c>
      <c r="AE881" s="643">
        <v>0</v>
      </c>
      <c r="AF881" s="639" t="s">
        <v>276</v>
      </c>
      <c r="AG881" s="639" t="s">
        <v>277</v>
      </c>
      <c r="AH881" s="639"/>
      <c r="AI881" s="626" t="str">
        <f>IFERROR(VLOOKUP(AH881,Listas!$A$77:$C$83,2,FALSE),"Alerta: Seleccione primero el responsable")</f>
        <v>Alerta: Seleccione primero el responsable</v>
      </c>
      <c r="AJ881" s="640" t="str">
        <f>IFERROR(VLOOKUP(AH881,Listas!$A$77:$C$83,3,FALSE),"Alerta: Seleccione primero el responsable")</f>
        <v>Alerta: Seleccione primero el responsable</v>
      </c>
      <c r="AK881" s="640" t="str">
        <f>IF(J881="Funcionamiento Gastos Generales","No aplica",IF(J881="Funcionamiento Servicios Personales indirectos","No aplica",IFERROR(VLOOKUP(J881,Listas!$A$127:$E$139,3,FALSE),"Alerta: Seleccione la celda en la comumna B con el nombre del proyecto")))</f>
        <v>Alerta: Seleccione la celda en la comumna B con el nombre del proyecto</v>
      </c>
      <c r="AL881" s="640" t="str">
        <f>IF(J881="Funcionamiento Gastos Generales","No aplica",IF(J881="Funcionamiento Servicios Personales","No aplica",IFERROR(VLOOKUP(J881,Listas!$A$220:$D$224,2,FALSE),"Alerta: Seleccione la celda en la comumna B con el nombre del proyecto")))</f>
        <v>Alerta: Seleccione la celda en la comumna B con el nombre del proyecto</v>
      </c>
      <c r="AM881" s="640" t="str">
        <f>IF(J881="Funcionamiento Gastos Generales","No aplica",IF(J881="Funcionamiento Servicios Personales","No aplica",IFERROR(VLOOKUP(J881,Listas!$A$220:$D$224,3,FALSE),"Alerta: Seleccione la celda en la comumna B con el nombre del proyecto")))</f>
        <v>Alerta: Seleccione la celda en la comumna B con el nombre del proyecto</v>
      </c>
      <c r="AN881" s="633"/>
      <c r="AO881" s="633"/>
      <c r="AP881" s="634" t="str">
        <f>IFERROR(VLOOKUP(J881,Listas!$A$182:$E$215,5,FALSE),"Alerta: Seleccione la celda en la comumna B con el nombre del proyecto")</f>
        <v>Alerta: Seleccione la celda en la comumna B con el nombre del proyecto</v>
      </c>
      <c r="AQ881" s="634" t="str">
        <f>IF(J881="Funcionamiento Gastos Generales","No aplica",IF(J881="Funcionamiento Servicios Personales","No aplica",IFERROR(VLOOKUP(J881,Listas!$A$220:$D$224,4,FALSE),"Alerta: Seleccione la celda en la comumna B con el nombre del proyecto")))</f>
        <v>Alerta: Seleccione la celda en la comumna B con el nombre del proyecto</v>
      </c>
      <c r="AR881" s="633"/>
      <c r="AS881" s="634" t="str">
        <f>IFERROR(VLOOKUP(AU881,Listas!$E$85:$L$105,7,FALSE),"Alerta: Seleccione la celda en la comumna AI con el concepto de gasto")</f>
        <v>Alerta: Seleccione la celda en la comumna AI con el concepto de gasto</v>
      </c>
      <c r="AT881" s="634" t="str">
        <f>IFERROR(VLOOKUP(AU881,Listas!$E$85:$L$105,8,FALSE),"Alerta: Seleccione la celda en la comumna AI con el concepto de gasto")</f>
        <v>Alerta: Seleccione la celda en la comumna AI con el concepto de gasto</v>
      </c>
      <c r="AU881" s="633"/>
      <c r="AV881" s="634" t="str">
        <f>IFERROR(VLOOKUP(AU881,Listas!$E$85:$F$105,2,FALSE),"Alerta: Seleccione el Concepto de Gasto primero")</f>
        <v>Alerta: Seleccione el Concepto de Gasto primero</v>
      </c>
      <c r="AW881" s="644"/>
      <c r="AX881" s="645"/>
      <c r="AY881" s="645"/>
      <c r="AZ881" s="645"/>
      <c r="BA881" s="646">
        <f t="shared" si="275"/>
        <v>0</v>
      </c>
      <c r="BB881" s="647"/>
      <c r="BC881" s="648"/>
      <c r="BD881" s="649"/>
      <c r="BE881" s="647"/>
      <c r="BF881" s="644"/>
      <c r="BG881" s="646">
        <f t="shared" si="276"/>
        <v>0</v>
      </c>
      <c r="BH881" s="650"/>
      <c r="BI881" s="647"/>
      <c r="BJ881" s="644"/>
      <c r="BK881" s="646">
        <f t="shared" si="277"/>
        <v>0</v>
      </c>
      <c r="BL881" s="651"/>
      <c r="BM881" s="652">
        <f t="shared" si="278"/>
        <v>1</v>
      </c>
      <c r="BN881" s="628"/>
      <c r="BO881" s="670"/>
      <c r="BP881" s="644"/>
      <c r="BQ881" s="644"/>
      <c r="BR881" s="644"/>
      <c r="BS881" s="644"/>
      <c r="BT881" s="644"/>
      <c r="BU881" s="644"/>
      <c r="BV881" s="644"/>
      <c r="BW881" s="644"/>
      <c r="BX881" s="644"/>
      <c r="BY881" s="644"/>
      <c r="BZ881" s="644"/>
      <c r="CA881" s="644"/>
      <c r="CB881" s="646">
        <f t="shared" si="279"/>
        <v>0</v>
      </c>
      <c r="CC881" s="646">
        <f t="shared" si="280"/>
        <v>0</v>
      </c>
      <c r="CD881" s="614"/>
    </row>
    <row r="882" spans="1:82" s="654" customFormat="1" ht="61.5" customHeight="1">
      <c r="A882" s="625" t="str">
        <f t="shared" si="262"/>
        <v>proyecto-Alerta: Seleccione la celda en la comumna B con el nombre del proyecto-Al-Al--</v>
      </c>
      <c r="B882" s="626" t="str">
        <f t="shared" si="263"/>
        <v>proyecto-Alerta: Seleccione la celda en la comumna B con el nombre del proyecto-Al-Al-</v>
      </c>
      <c r="C882" s="626" t="str">
        <f t="shared" si="264"/>
        <v>proyecto-Alerta: Seleccione la celda en la comumna B con el nombre del proyecto-</v>
      </c>
      <c r="D882" s="626" t="str">
        <f t="shared" si="265"/>
        <v>proyecto--Al-Al-</v>
      </c>
      <c r="E882" s="626" t="str">
        <f t="shared" si="266"/>
        <v>--</v>
      </c>
      <c r="F882" s="627"/>
      <c r="G882" s="628">
        <f t="shared" si="267"/>
        <v>0</v>
      </c>
      <c r="H882" s="629" t="b">
        <f t="shared" si="268"/>
        <v>1</v>
      </c>
      <c r="I882" s="630"/>
      <c r="J882" s="627"/>
      <c r="K882" s="631" t="str">
        <f>+IFERROR(VLOOKUP(J882,Listas!$A$108:$B$114,2,FALSE),"Alerta: Seleccione la celda en la comumna B con el nombre del proyecto")</f>
        <v>Alerta: Seleccione la celda en la comumna B con el nombre del proyecto</v>
      </c>
      <c r="L882" s="632"/>
      <c r="M882" s="633"/>
      <c r="N882" s="634" t="str">
        <f t="shared" si="269"/>
        <v xml:space="preserve">(Cód. ) </v>
      </c>
      <c r="O882" s="635"/>
      <c r="P882" s="636">
        <f>IFERROR(VLOOKUP(W882,'Estimación CRP'!$D$21:$E$30,2,FALSE),0)</f>
        <v>0</v>
      </c>
      <c r="Q882" s="637">
        <f>IF(O882="No aplica","No aplica",WORKDAY.INTL(O882,P882,1,'Estimación CRP'!A1068:A1084))</f>
        <v>0</v>
      </c>
      <c r="R882" s="636">
        <f t="shared" si="270"/>
        <v>1</v>
      </c>
      <c r="S882" s="636">
        <f t="shared" si="271"/>
        <v>1</v>
      </c>
      <c r="T882" s="636">
        <f t="shared" si="272"/>
        <v>1</v>
      </c>
      <c r="U882" s="638"/>
      <c r="V882" s="638"/>
      <c r="W882" s="639"/>
      <c r="X882" s="640" t="str">
        <f>IFERROR(VLOOKUP(W882,Listas!$A$60:$B$73,2,FALSE),"Alerta: Seleccione primero Modalidad de selección")</f>
        <v>Alerta: Seleccione primero Modalidad de selección</v>
      </c>
      <c r="Y882" s="641">
        <v>0</v>
      </c>
      <c r="Z882" s="641"/>
      <c r="AA882" s="641"/>
      <c r="AB882" s="642">
        <f t="shared" si="273"/>
        <v>0</v>
      </c>
      <c r="AC882" s="642">
        <f t="shared" si="274"/>
        <v>0</v>
      </c>
      <c r="AD882" s="641">
        <v>0</v>
      </c>
      <c r="AE882" s="643">
        <v>0</v>
      </c>
      <c r="AF882" s="639" t="s">
        <v>276</v>
      </c>
      <c r="AG882" s="639" t="s">
        <v>277</v>
      </c>
      <c r="AH882" s="639"/>
      <c r="AI882" s="626" t="str">
        <f>IFERROR(VLOOKUP(AH882,Listas!$A$77:$C$83,2,FALSE),"Alerta: Seleccione primero el responsable")</f>
        <v>Alerta: Seleccione primero el responsable</v>
      </c>
      <c r="AJ882" s="640" t="str">
        <f>IFERROR(VLOOKUP(AH882,Listas!$A$77:$C$83,3,FALSE),"Alerta: Seleccione primero el responsable")</f>
        <v>Alerta: Seleccione primero el responsable</v>
      </c>
      <c r="AK882" s="640" t="str">
        <f>IF(J882="Funcionamiento Gastos Generales","No aplica",IF(J882="Funcionamiento Servicios Personales indirectos","No aplica",IFERROR(VLOOKUP(J882,Listas!$A$127:$E$139,3,FALSE),"Alerta: Seleccione la celda en la comumna B con el nombre del proyecto")))</f>
        <v>Alerta: Seleccione la celda en la comumna B con el nombre del proyecto</v>
      </c>
      <c r="AL882" s="640" t="str">
        <f>IF(J882="Funcionamiento Gastos Generales","No aplica",IF(J882="Funcionamiento Servicios Personales","No aplica",IFERROR(VLOOKUP(J882,Listas!$A$220:$D$224,2,FALSE),"Alerta: Seleccione la celda en la comumna B con el nombre del proyecto")))</f>
        <v>Alerta: Seleccione la celda en la comumna B con el nombre del proyecto</v>
      </c>
      <c r="AM882" s="640" t="str">
        <f>IF(J882="Funcionamiento Gastos Generales","No aplica",IF(J882="Funcionamiento Servicios Personales","No aplica",IFERROR(VLOOKUP(J882,Listas!$A$220:$D$224,3,FALSE),"Alerta: Seleccione la celda en la comumna B con el nombre del proyecto")))</f>
        <v>Alerta: Seleccione la celda en la comumna B con el nombre del proyecto</v>
      </c>
      <c r="AN882" s="633"/>
      <c r="AO882" s="633"/>
      <c r="AP882" s="634" t="str">
        <f>IFERROR(VLOOKUP(J882,Listas!$A$182:$E$215,5,FALSE),"Alerta: Seleccione la celda en la comumna B con el nombre del proyecto")</f>
        <v>Alerta: Seleccione la celda en la comumna B con el nombre del proyecto</v>
      </c>
      <c r="AQ882" s="634" t="str">
        <f>IF(J882="Funcionamiento Gastos Generales","No aplica",IF(J882="Funcionamiento Servicios Personales","No aplica",IFERROR(VLOOKUP(J882,Listas!$A$220:$D$224,4,FALSE),"Alerta: Seleccione la celda en la comumna B con el nombre del proyecto")))</f>
        <v>Alerta: Seleccione la celda en la comumna B con el nombre del proyecto</v>
      </c>
      <c r="AR882" s="633"/>
      <c r="AS882" s="634" t="str">
        <f>IFERROR(VLOOKUP(AU882,Listas!$E$85:$L$105,7,FALSE),"Alerta: Seleccione la celda en la comumna AI con el concepto de gasto")</f>
        <v>Alerta: Seleccione la celda en la comumna AI con el concepto de gasto</v>
      </c>
      <c r="AT882" s="634" t="str">
        <f>IFERROR(VLOOKUP(AU882,Listas!$E$85:$L$105,8,FALSE),"Alerta: Seleccione la celda en la comumna AI con el concepto de gasto")</f>
        <v>Alerta: Seleccione la celda en la comumna AI con el concepto de gasto</v>
      </c>
      <c r="AU882" s="633"/>
      <c r="AV882" s="634" t="str">
        <f>IFERROR(VLOOKUP(AU882,Listas!$E$85:$F$105,2,FALSE),"Alerta: Seleccione el Concepto de Gasto primero")</f>
        <v>Alerta: Seleccione el Concepto de Gasto primero</v>
      </c>
      <c r="AW882" s="644"/>
      <c r="AX882" s="645"/>
      <c r="AY882" s="645"/>
      <c r="AZ882" s="645"/>
      <c r="BA882" s="646">
        <f t="shared" si="275"/>
        <v>0</v>
      </c>
      <c r="BB882" s="647"/>
      <c r="BC882" s="648"/>
      <c r="BD882" s="649"/>
      <c r="BE882" s="647"/>
      <c r="BF882" s="644"/>
      <c r="BG882" s="646">
        <f t="shared" si="276"/>
        <v>0</v>
      </c>
      <c r="BH882" s="650"/>
      <c r="BI882" s="647"/>
      <c r="BJ882" s="644"/>
      <c r="BK882" s="646">
        <f t="shared" si="277"/>
        <v>0</v>
      </c>
      <c r="BL882" s="651"/>
      <c r="BM882" s="652">
        <f t="shared" si="278"/>
        <v>1</v>
      </c>
      <c r="BN882" s="628"/>
      <c r="BO882" s="670"/>
      <c r="BP882" s="644"/>
      <c r="BQ882" s="644"/>
      <c r="BR882" s="644"/>
      <c r="BS882" s="644"/>
      <c r="BT882" s="644"/>
      <c r="BU882" s="644"/>
      <c r="BV882" s="644"/>
      <c r="BW882" s="644"/>
      <c r="BX882" s="644"/>
      <c r="BY882" s="644"/>
      <c r="BZ882" s="644"/>
      <c r="CA882" s="644"/>
      <c r="CB882" s="646">
        <f t="shared" si="279"/>
        <v>0</v>
      </c>
      <c r="CC882" s="646">
        <f t="shared" si="280"/>
        <v>0</v>
      </c>
      <c r="CD882" s="614"/>
    </row>
    <row r="883" spans="1:82" s="654" customFormat="1" ht="61.5" customHeight="1">
      <c r="A883" s="625" t="str">
        <f t="shared" si="262"/>
        <v>proyecto-Alerta: Seleccione la celda en la comumna B con el nombre del proyecto-Al-Al--</v>
      </c>
      <c r="B883" s="626" t="str">
        <f t="shared" si="263"/>
        <v>proyecto-Alerta: Seleccione la celda en la comumna B con el nombre del proyecto-Al-Al-</v>
      </c>
      <c r="C883" s="626" t="str">
        <f t="shared" si="264"/>
        <v>proyecto-Alerta: Seleccione la celda en la comumna B con el nombre del proyecto-</v>
      </c>
      <c r="D883" s="626" t="str">
        <f t="shared" si="265"/>
        <v>proyecto--Al-Al-</v>
      </c>
      <c r="E883" s="626" t="str">
        <f t="shared" si="266"/>
        <v>--</v>
      </c>
      <c r="F883" s="627"/>
      <c r="G883" s="628">
        <f t="shared" si="267"/>
        <v>0</v>
      </c>
      <c r="H883" s="629" t="b">
        <f t="shared" si="268"/>
        <v>1</v>
      </c>
      <c r="I883" s="630"/>
      <c r="J883" s="627"/>
      <c r="K883" s="631" t="str">
        <f>+IFERROR(VLOOKUP(J883,Listas!$A$108:$B$114,2,FALSE),"Alerta: Seleccione la celda en la comumna B con el nombre del proyecto")</f>
        <v>Alerta: Seleccione la celda en la comumna B con el nombre del proyecto</v>
      </c>
      <c r="L883" s="632"/>
      <c r="M883" s="633"/>
      <c r="N883" s="634" t="str">
        <f t="shared" si="269"/>
        <v xml:space="preserve">(Cód. ) </v>
      </c>
      <c r="O883" s="635"/>
      <c r="P883" s="636">
        <f>IFERROR(VLOOKUP(W883,'Estimación CRP'!$D$21:$E$30,2,FALSE),0)</f>
        <v>0</v>
      </c>
      <c r="Q883" s="637">
        <f>IF(O883="No aplica","No aplica",WORKDAY.INTL(O883,P883,1,'Estimación CRP'!A1069:A1085))</f>
        <v>0</v>
      </c>
      <c r="R883" s="636">
        <f t="shared" si="270"/>
        <v>1</v>
      </c>
      <c r="S883" s="636">
        <f t="shared" si="271"/>
        <v>1</v>
      </c>
      <c r="T883" s="636">
        <f t="shared" si="272"/>
        <v>1</v>
      </c>
      <c r="U883" s="638"/>
      <c r="V883" s="638"/>
      <c r="W883" s="639"/>
      <c r="X883" s="640" t="str">
        <f>IFERROR(VLOOKUP(W883,Listas!$A$60:$B$73,2,FALSE),"Alerta: Seleccione primero Modalidad de selección")</f>
        <v>Alerta: Seleccione primero Modalidad de selección</v>
      </c>
      <c r="Y883" s="641">
        <v>0</v>
      </c>
      <c r="Z883" s="641"/>
      <c r="AA883" s="641"/>
      <c r="AB883" s="642">
        <f t="shared" si="273"/>
        <v>0</v>
      </c>
      <c r="AC883" s="642">
        <f t="shared" si="274"/>
        <v>0</v>
      </c>
      <c r="AD883" s="641">
        <v>0</v>
      </c>
      <c r="AE883" s="643">
        <v>0</v>
      </c>
      <c r="AF883" s="639" t="s">
        <v>276</v>
      </c>
      <c r="AG883" s="639" t="s">
        <v>277</v>
      </c>
      <c r="AH883" s="639"/>
      <c r="AI883" s="626" t="str">
        <f>IFERROR(VLOOKUP(AH883,Listas!$A$77:$C$83,2,FALSE),"Alerta: Seleccione primero el responsable")</f>
        <v>Alerta: Seleccione primero el responsable</v>
      </c>
      <c r="AJ883" s="640" t="str">
        <f>IFERROR(VLOOKUP(AH883,Listas!$A$77:$C$83,3,FALSE),"Alerta: Seleccione primero el responsable")</f>
        <v>Alerta: Seleccione primero el responsable</v>
      </c>
      <c r="AK883" s="640" t="str">
        <f>IF(J883="Funcionamiento Gastos Generales","No aplica",IF(J883="Funcionamiento Servicios Personales indirectos","No aplica",IFERROR(VLOOKUP(J883,Listas!$A$127:$E$139,3,FALSE),"Alerta: Seleccione la celda en la comumna B con el nombre del proyecto")))</f>
        <v>Alerta: Seleccione la celda en la comumna B con el nombre del proyecto</v>
      </c>
      <c r="AL883" s="640" t="str">
        <f>IF(J883="Funcionamiento Gastos Generales","No aplica",IF(J883="Funcionamiento Servicios Personales","No aplica",IFERROR(VLOOKUP(J883,Listas!$A$220:$D$224,2,FALSE),"Alerta: Seleccione la celda en la comumna B con el nombre del proyecto")))</f>
        <v>Alerta: Seleccione la celda en la comumna B con el nombre del proyecto</v>
      </c>
      <c r="AM883" s="640" t="str">
        <f>IF(J883="Funcionamiento Gastos Generales","No aplica",IF(J883="Funcionamiento Servicios Personales","No aplica",IFERROR(VLOOKUP(J883,Listas!$A$220:$D$224,3,FALSE),"Alerta: Seleccione la celda en la comumna B con el nombre del proyecto")))</f>
        <v>Alerta: Seleccione la celda en la comumna B con el nombre del proyecto</v>
      </c>
      <c r="AN883" s="633"/>
      <c r="AO883" s="633"/>
      <c r="AP883" s="634" t="str">
        <f>IFERROR(VLOOKUP(J883,Listas!$A$182:$E$215,5,FALSE),"Alerta: Seleccione la celda en la comumna B con el nombre del proyecto")</f>
        <v>Alerta: Seleccione la celda en la comumna B con el nombre del proyecto</v>
      </c>
      <c r="AQ883" s="634" t="str">
        <f>IF(J883="Funcionamiento Gastos Generales","No aplica",IF(J883="Funcionamiento Servicios Personales","No aplica",IFERROR(VLOOKUP(J883,Listas!$A$220:$D$224,4,FALSE),"Alerta: Seleccione la celda en la comumna B con el nombre del proyecto")))</f>
        <v>Alerta: Seleccione la celda en la comumna B con el nombre del proyecto</v>
      </c>
      <c r="AR883" s="633"/>
      <c r="AS883" s="634" t="str">
        <f>IFERROR(VLOOKUP(AU883,Listas!$E$85:$L$105,7,FALSE),"Alerta: Seleccione la celda en la comumna AI con el concepto de gasto")</f>
        <v>Alerta: Seleccione la celda en la comumna AI con el concepto de gasto</v>
      </c>
      <c r="AT883" s="634" t="str">
        <f>IFERROR(VLOOKUP(AU883,Listas!$E$85:$L$105,8,FALSE),"Alerta: Seleccione la celda en la comumna AI con el concepto de gasto")</f>
        <v>Alerta: Seleccione la celda en la comumna AI con el concepto de gasto</v>
      </c>
      <c r="AU883" s="633"/>
      <c r="AV883" s="634" t="str">
        <f>IFERROR(VLOOKUP(AU883,Listas!$E$85:$F$105,2,FALSE),"Alerta: Seleccione el Concepto de Gasto primero")</f>
        <v>Alerta: Seleccione el Concepto de Gasto primero</v>
      </c>
      <c r="AW883" s="644"/>
      <c r="AX883" s="645"/>
      <c r="AY883" s="645"/>
      <c r="AZ883" s="645"/>
      <c r="BA883" s="646">
        <f t="shared" si="275"/>
        <v>0</v>
      </c>
      <c r="BB883" s="647"/>
      <c r="BC883" s="648"/>
      <c r="BD883" s="649"/>
      <c r="BE883" s="647"/>
      <c r="BF883" s="644"/>
      <c r="BG883" s="646">
        <f t="shared" si="276"/>
        <v>0</v>
      </c>
      <c r="BH883" s="650"/>
      <c r="BI883" s="647"/>
      <c r="BJ883" s="644"/>
      <c r="BK883" s="646">
        <f t="shared" si="277"/>
        <v>0</v>
      </c>
      <c r="BL883" s="651"/>
      <c r="BM883" s="652">
        <f t="shared" si="278"/>
        <v>1</v>
      </c>
      <c r="BN883" s="628"/>
      <c r="BO883" s="670"/>
      <c r="BP883" s="644"/>
      <c r="BQ883" s="644"/>
      <c r="BR883" s="644"/>
      <c r="BS883" s="644"/>
      <c r="BT883" s="644"/>
      <c r="BU883" s="644"/>
      <c r="BV883" s="644"/>
      <c r="BW883" s="644"/>
      <c r="BX883" s="644"/>
      <c r="BY883" s="644"/>
      <c r="BZ883" s="644"/>
      <c r="CA883" s="644"/>
      <c r="CB883" s="646">
        <f t="shared" si="279"/>
        <v>0</v>
      </c>
      <c r="CC883" s="646">
        <f t="shared" si="280"/>
        <v>0</v>
      </c>
      <c r="CD883" s="614"/>
    </row>
    <row r="884" spans="1:82" s="654" customFormat="1" ht="61.5" customHeight="1">
      <c r="A884" s="625" t="str">
        <f t="shared" si="262"/>
        <v>proyecto-Alerta: Seleccione la celda en la comumna B con el nombre del proyecto-Al-Al--</v>
      </c>
      <c r="B884" s="626" t="str">
        <f t="shared" si="263"/>
        <v>proyecto-Alerta: Seleccione la celda en la comumna B con el nombre del proyecto-Al-Al-</v>
      </c>
      <c r="C884" s="626" t="str">
        <f t="shared" si="264"/>
        <v>proyecto-Alerta: Seleccione la celda en la comumna B con el nombre del proyecto-</v>
      </c>
      <c r="D884" s="626" t="str">
        <f t="shared" si="265"/>
        <v>proyecto--Al-Al-</v>
      </c>
      <c r="E884" s="626" t="str">
        <f t="shared" si="266"/>
        <v>--</v>
      </c>
      <c r="F884" s="627"/>
      <c r="G884" s="628">
        <f t="shared" si="267"/>
        <v>0</v>
      </c>
      <c r="H884" s="629" t="b">
        <f t="shared" si="268"/>
        <v>1</v>
      </c>
      <c r="I884" s="630"/>
      <c r="J884" s="627"/>
      <c r="K884" s="631" t="str">
        <f>+IFERROR(VLOOKUP(J884,Listas!$A$108:$B$114,2,FALSE),"Alerta: Seleccione la celda en la comumna B con el nombre del proyecto")</f>
        <v>Alerta: Seleccione la celda en la comumna B con el nombre del proyecto</v>
      </c>
      <c r="L884" s="632"/>
      <c r="M884" s="633"/>
      <c r="N884" s="634" t="str">
        <f t="shared" si="269"/>
        <v xml:space="preserve">(Cód. ) </v>
      </c>
      <c r="O884" s="635"/>
      <c r="P884" s="636">
        <f>IFERROR(VLOOKUP(W884,'Estimación CRP'!$D$21:$E$30,2,FALSE),0)</f>
        <v>0</v>
      </c>
      <c r="Q884" s="637">
        <f>IF(O884="No aplica","No aplica",WORKDAY.INTL(O884,P884,1,'Estimación CRP'!A1070:A1086))</f>
        <v>0</v>
      </c>
      <c r="R884" s="636">
        <f t="shared" si="270"/>
        <v>1</v>
      </c>
      <c r="S884" s="636">
        <f t="shared" si="271"/>
        <v>1</v>
      </c>
      <c r="T884" s="636">
        <f t="shared" si="272"/>
        <v>1</v>
      </c>
      <c r="U884" s="638"/>
      <c r="V884" s="638"/>
      <c r="W884" s="639"/>
      <c r="X884" s="640" t="str">
        <f>IFERROR(VLOOKUP(W884,Listas!$A$60:$B$73,2,FALSE),"Alerta: Seleccione primero Modalidad de selección")</f>
        <v>Alerta: Seleccione primero Modalidad de selección</v>
      </c>
      <c r="Y884" s="641">
        <v>0</v>
      </c>
      <c r="Z884" s="641"/>
      <c r="AA884" s="641"/>
      <c r="AB884" s="642">
        <f t="shared" si="273"/>
        <v>0</v>
      </c>
      <c r="AC884" s="642">
        <f t="shared" si="274"/>
        <v>0</v>
      </c>
      <c r="AD884" s="641">
        <v>0</v>
      </c>
      <c r="AE884" s="643">
        <v>0</v>
      </c>
      <c r="AF884" s="639" t="s">
        <v>276</v>
      </c>
      <c r="AG884" s="639" t="s">
        <v>277</v>
      </c>
      <c r="AH884" s="639"/>
      <c r="AI884" s="626" t="str">
        <f>IFERROR(VLOOKUP(AH884,Listas!$A$77:$C$83,2,FALSE),"Alerta: Seleccione primero el responsable")</f>
        <v>Alerta: Seleccione primero el responsable</v>
      </c>
      <c r="AJ884" s="640" t="str">
        <f>IFERROR(VLOOKUP(AH884,Listas!$A$77:$C$83,3,FALSE),"Alerta: Seleccione primero el responsable")</f>
        <v>Alerta: Seleccione primero el responsable</v>
      </c>
      <c r="AK884" s="640" t="str">
        <f>IF(J884="Funcionamiento Gastos Generales","No aplica",IF(J884="Funcionamiento Servicios Personales indirectos","No aplica",IFERROR(VLOOKUP(J884,Listas!$A$127:$E$139,3,FALSE),"Alerta: Seleccione la celda en la comumna B con el nombre del proyecto")))</f>
        <v>Alerta: Seleccione la celda en la comumna B con el nombre del proyecto</v>
      </c>
      <c r="AL884" s="640" t="str">
        <f>IF(J884="Funcionamiento Gastos Generales","No aplica",IF(J884="Funcionamiento Servicios Personales","No aplica",IFERROR(VLOOKUP(J884,Listas!$A$220:$D$224,2,FALSE),"Alerta: Seleccione la celda en la comumna B con el nombre del proyecto")))</f>
        <v>Alerta: Seleccione la celda en la comumna B con el nombre del proyecto</v>
      </c>
      <c r="AM884" s="640" t="str">
        <f>IF(J884="Funcionamiento Gastos Generales","No aplica",IF(J884="Funcionamiento Servicios Personales","No aplica",IFERROR(VLOOKUP(J884,Listas!$A$220:$D$224,3,FALSE),"Alerta: Seleccione la celda en la comumna B con el nombre del proyecto")))</f>
        <v>Alerta: Seleccione la celda en la comumna B con el nombre del proyecto</v>
      </c>
      <c r="AN884" s="633"/>
      <c r="AO884" s="633"/>
      <c r="AP884" s="634" t="str">
        <f>IFERROR(VLOOKUP(J884,Listas!$A$182:$E$215,5,FALSE),"Alerta: Seleccione la celda en la comumna B con el nombre del proyecto")</f>
        <v>Alerta: Seleccione la celda en la comumna B con el nombre del proyecto</v>
      </c>
      <c r="AQ884" s="634" t="str">
        <f>IF(J884="Funcionamiento Gastos Generales","No aplica",IF(J884="Funcionamiento Servicios Personales","No aplica",IFERROR(VLOOKUP(J884,Listas!$A$220:$D$224,4,FALSE),"Alerta: Seleccione la celda en la comumna B con el nombre del proyecto")))</f>
        <v>Alerta: Seleccione la celda en la comumna B con el nombre del proyecto</v>
      </c>
      <c r="AR884" s="633"/>
      <c r="AS884" s="634" t="str">
        <f>IFERROR(VLOOKUP(AU884,Listas!$E$85:$L$105,7,FALSE),"Alerta: Seleccione la celda en la comumna AI con el concepto de gasto")</f>
        <v>Alerta: Seleccione la celda en la comumna AI con el concepto de gasto</v>
      </c>
      <c r="AT884" s="634" t="str">
        <f>IFERROR(VLOOKUP(AU884,Listas!$E$85:$L$105,8,FALSE),"Alerta: Seleccione la celda en la comumna AI con el concepto de gasto")</f>
        <v>Alerta: Seleccione la celda en la comumna AI con el concepto de gasto</v>
      </c>
      <c r="AU884" s="633"/>
      <c r="AV884" s="634" t="str">
        <f>IFERROR(VLOOKUP(AU884,Listas!$E$85:$F$105,2,FALSE),"Alerta: Seleccione el Concepto de Gasto primero")</f>
        <v>Alerta: Seleccione el Concepto de Gasto primero</v>
      </c>
      <c r="AW884" s="644"/>
      <c r="AX884" s="645"/>
      <c r="AY884" s="645"/>
      <c r="AZ884" s="645"/>
      <c r="BA884" s="646">
        <f t="shared" si="275"/>
        <v>0</v>
      </c>
      <c r="BB884" s="647"/>
      <c r="BC884" s="648"/>
      <c r="BD884" s="649"/>
      <c r="BE884" s="647"/>
      <c r="BF884" s="644"/>
      <c r="BG884" s="646">
        <f t="shared" si="276"/>
        <v>0</v>
      </c>
      <c r="BH884" s="650"/>
      <c r="BI884" s="647"/>
      <c r="BJ884" s="644"/>
      <c r="BK884" s="646">
        <f t="shared" si="277"/>
        <v>0</v>
      </c>
      <c r="BL884" s="651"/>
      <c r="BM884" s="652">
        <f t="shared" si="278"/>
        <v>1</v>
      </c>
      <c r="BN884" s="628"/>
      <c r="BO884" s="670"/>
      <c r="BP884" s="644"/>
      <c r="BQ884" s="644"/>
      <c r="BR884" s="644"/>
      <c r="BS884" s="644"/>
      <c r="BT884" s="644"/>
      <c r="BU884" s="644"/>
      <c r="BV884" s="644"/>
      <c r="BW884" s="644"/>
      <c r="BX884" s="644"/>
      <c r="BY884" s="644"/>
      <c r="BZ884" s="644"/>
      <c r="CA884" s="644"/>
      <c r="CB884" s="646">
        <f t="shared" si="279"/>
        <v>0</v>
      </c>
      <c r="CC884" s="646">
        <f t="shared" si="280"/>
        <v>0</v>
      </c>
      <c r="CD884" s="614"/>
    </row>
    <row r="885" spans="1:82" s="654" customFormat="1" ht="61.5" customHeight="1">
      <c r="A885" s="625" t="str">
        <f t="shared" si="262"/>
        <v>proyecto-Alerta: Seleccione la celda en la comumna B con el nombre del proyecto-Al-Al--</v>
      </c>
      <c r="B885" s="626" t="str">
        <f t="shared" si="263"/>
        <v>proyecto-Alerta: Seleccione la celda en la comumna B con el nombre del proyecto-Al-Al-</v>
      </c>
      <c r="C885" s="626" t="str">
        <f t="shared" si="264"/>
        <v>proyecto-Alerta: Seleccione la celda en la comumna B con el nombre del proyecto-</v>
      </c>
      <c r="D885" s="626" t="str">
        <f t="shared" si="265"/>
        <v>proyecto--Al-Al-</v>
      </c>
      <c r="E885" s="626" t="str">
        <f t="shared" si="266"/>
        <v>--</v>
      </c>
      <c r="F885" s="627"/>
      <c r="G885" s="628">
        <f t="shared" si="267"/>
        <v>0</v>
      </c>
      <c r="H885" s="629" t="b">
        <f t="shared" si="268"/>
        <v>1</v>
      </c>
      <c r="I885" s="630"/>
      <c r="J885" s="627"/>
      <c r="K885" s="631" t="str">
        <f>+IFERROR(VLOOKUP(J885,Listas!$A$108:$B$114,2,FALSE),"Alerta: Seleccione la celda en la comumna B con el nombre del proyecto")</f>
        <v>Alerta: Seleccione la celda en la comumna B con el nombre del proyecto</v>
      </c>
      <c r="L885" s="632"/>
      <c r="M885" s="633"/>
      <c r="N885" s="634" t="str">
        <f t="shared" si="269"/>
        <v xml:space="preserve">(Cód. ) </v>
      </c>
      <c r="O885" s="635"/>
      <c r="P885" s="636">
        <f>IFERROR(VLOOKUP(W885,'Estimación CRP'!$D$21:$E$30,2,FALSE),0)</f>
        <v>0</v>
      </c>
      <c r="Q885" s="637">
        <f>IF(O885="No aplica","No aplica",WORKDAY.INTL(O885,P885,1,'Estimación CRP'!A1071:A1087))</f>
        <v>0</v>
      </c>
      <c r="R885" s="636">
        <f t="shared" si="270"/>
        <v>1</v>
      </c>
      <c r="S885" s="636">
        <f t="shared" si="271"/>
        <v>1</v>
      </c>
      <c r="T885" s="636">
        <f t="shared" si="272"/>
        <v>1</v>
      </c>
      <c r="U885" s="638"/>
      <c r="V885" s="638"/>
      <c r="W885" s="639"/>
      <c r="X885" s="640" t="str">
        <f>IFERROR(VLOOKUP(W885,Listas!$A$60:$B$73,2,FALSE),"Alerta: Seleccione primero Modalidad de selección")</f>
        <v>Alerta: Seleccione primero Modalidad de selección</v>
      </c>
      <c r="Y885" s="641">
        <v>0</v>
      </c>
      <c r="Z885" s="641"/>
      <c r="AA885" s="641"/>
      <c r="AB885" s="642">
        <f t="shared" si="273"/>
        <v>0</v>
      </c>
      <c r="AC885" s="642">
        <f t="shared" si="274"/>
        <v>0</v>
      </c>
      <c r="AD885" s="641">
        <v>0</v>
      </c>
      <c r="AE885" s="643">
        <v>0</v>
      </c>
      <c r="AF885" s="639" t="s">
        <v>276</v>
      </c>
      <c r="AG885" s="639" t="s">
        <v>277</v>
      </c>
      <c r="AH885" s="639"/>
      <c r="AI885" s="626" t="str">
        <f>IFERROR(VLOOKUP(AH885,Listas!$A$77:$C$83,2,FALSE),"Alerta: Seleccione primero el responsable")</f>
        <v>Alerta: Seleccione primero el responsable</v>
      </c>
      <c r="AJ885" s="640" t="str">
        <f>IFERROR(VLOOKUP(AH885,Listas!$A$77:$C$83,3,FALSE),"Alerta: Seleccione primero el responsable")</f>
        <v>Alerta: Seleccione primero el responsable</v>
      </c>
      <c r="AK885" s="640" t="str">
        <f>IF(J885="Funcionamiento Gastos Generales","No aplica",IF(J885="Funcionamiento Servicios Personales indirectos","No aplica",IFERROR(VLOOKUP(J885,Listas!$A$127:$E$139,3,FALSE),"Alerta: Seleccione la celda en la comumna B con el nombre del proyecto")))</f>
        <v>Alerta: Seleccione la celda en la comumna B con el nombre del proyecto</v>
      </c>
      <c r="AL885" s="640" t="str">
        <f>IF(J885="Funcionamiento Gastos Generales","No aplica",IF(J885="Funcionamiento Servicios Personales","No aplica",IFERROR(VLOOKUP(J885,Listas!$A$220:$D$224,2,FALSE),"Alerta: Seleccione la celda en la comumna B con el nombre del proyecto")))</f>
        <v>Alerta: Seleccione la celda en la comumna B con el nombre del proyecto</v>
      </c>
      <c r="AM885" s="640" t="str">
        <f>IF(J885="Funcionamiento Gastos Generales","No aplica",IF(J885="Funcionamiento Servicios Personales","No aplica",IFERROR(VLOOKUP(J885,Listas!$A$220:$D$224,3,FALSE),"Alerta: Seleccione la celda en la comumna B con el nombre del proyecto")))</f>
        <v>Alerta: Seleccione la celda en la comumna B con el nombre del proyecto</v>
      </c>
      <c r="AN885" s="633"/>
      <c r="AO885" s="633"/>
      <c r="AP885" s="634" t="str">
        <f>IFERROR(VLOOKUP(J885,Listas!$A$182:$E$215,5,FALSE),"Alerta: Seleccione la celda en la comumna B con el nombre del proyecto")</f>
        <v>Alerta: Seleccione la celda en la comumna B con el nombre del proyecto</v>
      </c>
      <c r="AQ885" s="634" t="str">
        <f>IF(J885="Funcionamiento Gastos Generales","No aplica",IF(J885="Funcionamiento Servicios Personales","No aplica",IFERROR(VLOOKUP(J885,Listas!$A$220:$D$224,4,FALSE),"Alerta: Seleccione la celda en la comumna B con el nombre del proyecto")))</f>
        <v>Alerta: Seleccione la celda en la comumna B con el nombre del proyecto</v>
      </c>
      <c r="AR885" s="633"/>
      <c r="AS885" s="634" t="str">
        <f>IFERROR(VLOOKUP(AU885,Listas!$E$85:$L$105,7,FALSE),"Alerta: Seleccione la celda en la comumna AI con el concepto de gasto")</f>
        <v>Alerta: Seleccione la celda en la comumna AI con el concepto de gasto</v>
      </c>
      <c r="AT885" s="634" t="str">
        <f>IFERROR(VLOOKUP(AU885,Listas!$E$85:$L$105,8,FALSE),"Alerta: Seleccione la celda en la comumna AI con el concepto de gasto")</f>
        <v>Alerta: Seleccione la celda en la comumna AI con el concepto de gasto</v>
      </c>
      <c r="AU885" s="633"/>
      <c r="AV885" s="634" t="str">
        <f>IFERROR(VLOOKUP(AU885,Listas!$E$85:$F$105,2,FALSE),"Alerta: Seleccione el Concepto de Gasto primero")</f>
        <v>Alerta: Seleccione el Concepto de Gasto primero</v>
      </c>
      <c r="AW885" s="644"/>
      <c r="AX885" s="645"/>
      <c r="AY885" s="645"/>
      <c r="AZ885" s="645"/>
      <c r="BA885" s="646">
        <f t="shared" si="275"/>
        <v>0</v>
      </c>
      <c r="BB885" s="647"/>
      <c r="BC885" s="648"/>
      <c r="BD885" s="649"/>
      <c r="BE885" s="647"/>
      <c r="BF885" s="644"/>
      <c r="BG885" s="646">
        <f t="shared" si="276"/>
        <v>0</v>
      </c>
      <c r="BH885" s="650"/>
      <c r="BI885" s="647"/>
      <c r="BJ885" s="644"/>
      <c r="BK885" s="646">
        <f t="shared" si="277"/>
        <v>0</v>
      </c>
      <c r="BL885" s="651"/>
      <c r="BM885" s="652">
        <f t="shared" si="278"/>
        <v>1</v>
      </c>
      <c r="BN885" s="628"/>
      <c r="BO885" s="670"/>
      <c r="BP885" s="644"/>
      <c r="BQ885" s="644"/>
      <c r="BR885" s="644"/>
      <c r="BS885" s="644"/>
      <c r="BT885" s="644"/>
      <c r="BU885" s="644"/>
      <c r="BV885" s="644"/>
      <c r="BW885" s="644"/>
      <c r="BX885" s="644"/>
      <c r="BY885" s="644"/>
      <c r="BZ885" s="644"/>
      <c r="CA885" s="644"/>
      <c r="CB885" s="646">
        <f t="shared" si="279"/>
        <v>0</v>
      </c>
      <c r="CC885" s="646">
        <f t="shared" si="280"/>
        <v>0</v>
      </c>
      <c r="CD885" s="614"/>
    </row>
    <row r="886" spans="1:82" s="654" customFormat="1" ht="61.5" customHeight="1">
      <c r="A886" s="625" t="str">
        <f t="shared" si="262"/>
        <v>proyecto-Alerta: Seleccione la celda en la comumna B con el nombre del proyecto-Al-Al--</v>
      </c>
      <c r="B886" s="626" t="str">
        <f t="shared" si="263"/>
        <v>proyecto-Alerta: Seleccione la celda en la comumna B con el nombre del proyecto-Al-Al-</v>
      </c>
      <c r="C886" s="626" t="str">
        <f t="shared" si="264"/>
        <v>proyecto-Alerta: Seleccione la celda en la comumna B con el nombre del proyecto-</v>
      </c>
      <c r="D886" s="626" t="str">
        <f t="shared" si="265"/>
        <v>proyecto--Al-Al-</v>
      </c>
      <c r="E886" s="626" t="str">
        <f t="shared" si="266"/>
        <v>--</v>
      </c>
      <c r="F886" s="627"/>
      <c r="G886" s="628">
        <f t="shared" si="267"/>
        <v>0</v>
      </c>
      <c r="H886" s="629" t="b">
        <f t="shared" si="268"/>
        <v>1</v>
      </c>
      <c r="I886" s="630"/>
      <c r="J886" s="627"/>
      <c r="K886" s="631" t="str">
        <f>+IFERROR(VLOOKUP(J886,Listas!$A$108:$B$114,2,FALSE),"Alerta: Seleccione la celda en la comumna B con el nombre del proyecto")</f>
        <v>Alerta: Seleccione la celda en la comumna B con el nombre del proyecto</v>
      </c>
      <c r="L886" s="632"/>
      <c r="M886" s="633"/>
      <c r="N886" s="634" t="str">
        <f t="shared" si="269"/>
        <v xml:space="preserve">(Cód. ) </v>
      </c>
      <c r="O886" s="635"/>
      <c r="P886" s="636">
        <f>IFERROR(VLOOKUP(W886,'Estimación CRP'!$D$21:$E$30,2,FALSE),0)</f>
        <v>0</v>
      </c>
      <c r="Q886" s="637">
        <f>IF(O886="No aplica","No aplica",WORKDAY.INTL(O886,P886,1,'Estimación CRP'!A1072:A1088))</f>
        <v>0</v>
      </c>
      <c r="R886" s="636">
        <f t="shared" si="270"/>
        <v>1</v>
      </c>
      <c r="S886" s="636">
        <f t="shared" si="271"/>
        <v>1</v>
      </c>
      <c r="T886" s="636">
        <f t="shared" si="272"/>
        <v>1</v>
      </c>
      <c r="U886" s="638"/>
      <c r="V886" s="638"/>
      <c r="W886" s="639"/>
      <c r="X886" s="640" t="str">
        <f>IFERROR(VLOOKUP(W886,Listas!$A$60:$B$73,2,FALSE),"Alerta: Seleccione primero Modalidad de selección")</f>
        <v>Alerta: Seleccione primero Modalidad de selección</v>
      </c>
      <c r="Y886" s="641">
        <v>0</v>
      </c>
      <c r="Z886" s="641"/>
      <c r="AA886" s="641"/>
      <c r="AB886" s="642">
        <f t="shared" si="273"/>
        <v>0</v>
      </c>
      <c r="AC886" s="642">
        <f t="shared" si="274"/>
        <v>0</v>
      </c>
      <c r="AD886" s="641">
        <v>0</v>
      </c>
      <c r="AE886" s="643">
        <v>0</v>
      </c>
      <c r="AF886" s="639" t="s">
        <v>276</v>
      </c>
      <c r="AG886" s="639" t="s">
        <v>277</v>
      </c>
      <c r="AH886" s="639"/>
      <c r="AI886" s="626" t="str">
        <f>IFERROR(VLOOKUP(AH886,Listas!$A$77:$C$83,2,FALSE),"Alerta: Seleccione primero el responsable")</f>
        <v>Alerta: Seleccione primero el responsable</v>
      </c>
      <c r="AJ886" s="640" t="str">
        <f>IFERROR(VLOOKUP(AH886,Listas!$A$77:$C$83,3,FALSE),"Alerta: Seleccione primero el responsable")</f>
        <v>Alerta: Seleccione primero el responsable</v>
      </c>
      <c r="AK886" s="640" t="str">
        <f>IF(J886="Funcionamiento Gastos Generales","No aplica",IF(J886="Funcionamiento Servicios Personales indirectos","No aplica",IFERROR(VLOOKUP(J886,Listas!$A$127:$E$139,3,FALSE),"Alerta: Seleccione la celda en la comumna B con el nombre del proyecto")))</f>
        <v>Alerta: Seleccione la celda en la comumna B con el nombre del proyecto</v>
      </c>
      <c r="AL886" s="640" t="str">
        <f>IF(J886="Funcionamiento Gastos Generales","No aplica",IF(J886="Funcionamiento Servicios Personales","No aplica",IFERROR(VLOOKUP(J886,Listas!$A$220:$D$224,2,FALSE),"Alerta: Seleccione la celda en la comumna B con el nombre del proyecto")))</f>
        <v>Alerta: Seleccione la celda en la comumna B con el nombre del proyecto</v>
      </c>
      <c r="AM886" s="640" t="str">
        <f>IF(J886="Funcionamiento Gastos Generales","No aplica",IF(J886="Funcionamiento Servicios Personales","No aplica",IFERROR(VLOOKUP(J886,Listas!$A$220:$D$224,3,FALSE),"Alerta: Seleccione la celda en la comumna B con el nombre del proyecto")))</f>
        <v>Alerta: Seleccione la celda en la comumna B con el nombre del proyecto</v>
      </c>
      <c r="AN886" s="633"/>
      <c r="AO886" s="633"/>
      <c r="AP886" s="634" t="str">
        <f>IFERROR(VLOOKUP(J886,Listas!$A$182:$E$215,5,FALSE),"Alerta: Seleccione la celda en la comumna B con el nombre del proyecto")</f>
        <v>Alerta: Seleccione la celda en la comumna B con el nombre del proyecto</v>
      </c>
      <c r="AQ886" s="634" t="str">
        <f>IF(J886="Funcionamiento Gastos Generales","No aplica",IF(J886="Funcionamiento Servicios Personales","No aplica",IFERROR(VLOOKUP(J886,Listas!$A$220:$D$224,4,FALSE),"Alerta: Seleccione la celda en la comumna B con el nombre del proyecto")))</f>
        <v>Alerta: Seleccione la celda en la comumna B con el nombre del proyecto</v>
      </c>
      <c r="AR886" s="633"/>
      <c r="AS886" s="634" t="str">
        <f>IFERROR(VLOOKUP(AU886,Listas!$E$85:$L$105,7,FALSE),"Alerta: Seleccione la celda en la comumna AI con el concepto de gasto")</f>
        <v>Alerta: Seleccione la celda en la comumna AI con el concepto de gasto</v>
      </c>
      <c r="AT886" s="634" t="str">
        <f>IFERROR(VLOOKUP(AU886,Listas!$E$85:$L$105,8,FALSE),"Alerta: Seleccione la celda en la comumna AI con el concepto de gasto")</f>
        <v>Alerta: Seleccione la celda en la comumna AI con el concepto de gasto</v>
      </c>
      <c r="AU886" s="633"/>
      <c r="AV886" s="634" t="str">
        <f>IFERROR(VLOOKUP(AU886,Listas!$E$85:$F$105,2,FALSE),"Alerta: Seleccione el Concepto de Gasto primero")</f>
        <v>Alerta: Seleccione el Concepto de Gasto primero</v>
      </c>
      <c r="AW886" s="644"/>
      <c r="AX886" s="645"/>
      <c r="AY886" s="645"/>
      <c r="AZ886" s="645"/>
      <c r="BA886" s="646">
        <f t="shared" si="275"/>
        <v>0</v>
      </c>
      <c r="BB886" s="647"/>
      <c r="BC886" s="648"/>
      <c r="BD886" s="649"/>
      <c r="BE886" s="647"/>
      <c r="BF886" s="644"/>
      <c r="BG886" s="646">
        <f t="shared" si="276"/>
        <v>0</v>
      </c>
      <c r="BH886" s="650"/>
      <c r="BI886" s="647"/>
      <c r="BJ886" s="644"/>
      <c r="BK886" s="646">
        <f t="shared" si="277"/>
        <v>0</v>
      </c>
      <c r="BL886" s="651"/>
      <c r="BM886" s="652">
        <f t="shared" si="278"/>
        <v>1</v>
      </c>
      <c r="BN886" s="628"/>
      <c r="BO886" s="670"/>
      <c r="BP886" s="644"/>
      <c r="BQ886" s="644"/>
      <c r="BR886" s="644"/>
      <c r="BS886" s="644"/>
      <c r="BT886" s="644"/>
      <c r="BU886" s="644"/>
      <c r="BV886" s="644"/>
      <c r="BW886" s="644"/>
      <c r="BX886" s="644"/>
      <c r="BY886" s="644"/>
      <c r="BZ886" s="644"/>
      <c r="CA886" s="644"/>
      <c r="CB886" s="646">
        <f t="shared" si="279"/>
        <v>0</v>
      </c>
      <c r="CC886" s="646">
        <f t="shared" si="280"/>
        <v>0</v>
      </c>
      <c r="CD886" s="614"/>
    </row>
    <row r="887" spans="1:82" s="654" customFormat="1" ht="61.5" customHeight="1">
      <c r="A887" s="625" t="str">
        <f t="shared" si="262"/>
        <v>proyecto-Alerta: Seleccione la celda en la comumna B con el nombre del proyecto-Al-Al--</v>
      </c>
      <c r="B887" s="626" t="str">
        <f t="shared" si="263"/>
        <v>proyecto-Alerta: Seleccione la celda en la comumna B con el nombre del proyecto-Al-Al-</v>
      </c>
      <c r="C887" s="626" t="str">
        <f t="shared" si="264"/>
        <v>proyecto-Alerta: Seleccione la celda en la comumna B con el nombre del proyecto-</v>
      </c>
      <c r="D887" s="626" t="str">
        <f t="shared" si="265"/>
        <v>proyecto--Al-Al-</v>
      </c>
      <c r="E887" s="626" t="str">
        <f t="shared" si="266"/>
        <v>--</v>
      </c>
      <c r="F887" s="627"/>
      <c r="G887" s="628">
        <f t="shared" si="267"/>
        <v>0</v>
      </c>
      <c r="H887" s="629" t="b">
        <f t="shared" si="268"/>
        <v>1</v>
      </c>
      <c r="I887" s="630"/>
      <c r="J887" s="627"/>
      <c r="K887" s="631" t="str">
        <f>+IFERROR(VLOOKUP(J887,Listas!$A$108:$B$114,2,FALSE),"Alerta: Seleccione la celda en la comumna B con el nombre del proyecto")</f>
        <v>Alerta: Seleccione la celda en la comumna B con el nombre del proyecto</v>
      </c>
      <c r="L887" s="632"/>
      <c r="M887" s="633"/>
      <c r="N887" s="634" t="str">
        <f t="shared" si="269"/>
        <v xml:space="preserve">(Cód. ) </v>
      </c>
      <c r="O887" s="635"/>
      <c r="P887" s="636">
        <f>IFERROR(VLOOKUP(W887,'Estimación CRP'!$D$21:$E$30,2,FALSE),0)</f>
        <v>0</v>
      </c>
      <c r="Q887" s="637">
        <f>IF(O887="No aplica","No aplica",WORKDAY.INTL(O887,P887,1,'Estimación CRP'!A1073:A1089))</f>
        <v>0</v>
      </c>
      <c r="R887" s="636">
        <f t="shared" si="270"/>
        <v>1</v>
      </c>
      <c r="S887" s="636">
        <f t="shared" si="271"/>
        <v>1</v>
      </c>
      <c r="T887" s="636">
        <f t="shared" si="272"/>
        <v>1</v>
      </c>
      <c r="U887" s="638"/>
      <c r="V887" s="638"/>
      <c r="W887" s="639"/>
      <c r="X887" s="640" t="str">
        <f>IFERROR(VLOOKUP(W887,Listas!$A$60:$B$73,2,FALSE),"Alerta: Seleccione primero Modalidad de selección")</f>
        <v>Alerta: Seleccione primero Modalidad de selección</v>
      </c>
      <c r="Y887" s="641">
        <v>0</v>
      </c>
      <c r="Z887" s="641"/>
      <c r="AA887" s="641"/>
      <c r="AB887" s="642">
        <f t="shared" si="273"/>
        <v>0</v>
      </c>
      <c r="AC887" s="642">
        <f t="shared" si="274"/>
        <v>0</v>
      </c>
      <c r="AD887" s="641">
        <v>0</v>
      </c>
      <c r="AE887" s="643">
        <v>0</v>
      </c>
      <c r="AF887" s="639" t="s">
        <v>276</v>
      </c>
      <c r="AG887" s="639" t="s">
        <v>277</v>
      </c>
      <c r="AH887" s="639"/>
      <c r="AI887" s="626" t="str">
        <f>IFERROR(VLOOKUP(AH887,Listas!$A$77:$C$83,2,FALSE),"Alerta: Seleccione primero el responsable")</f>
        <v>Alerta: Seleccione primero el responsable</v>
      </c>
      <c r="AJ887" s="640" t="str">
        <f>IFERROR(VLOOKUP(AH887,Listas!$A$77:$C$83,3,FALSE),"Alerta: Seleccione primero el responsable")</f>
        <v>Alerta: Seleccione primero el responsable</v>
      </c>
      <c r="AK887" s="640" t="str">
        <f>IF(J887="Funcionamiento Gastos Generales","No aplica",IF(J887="Funcionamiento Servicios Personales indirectos","No aplica",IFERROR(VLOOKUP(J887,Listas!$A$127:$E$139,3,FALSE),"Alerta: Seleccione la celda en la comumna B con el nombre del proyecto")))</f>
        <v>Alerta: Seleccione la celda en la comumna B con el nombre del proyecto</v>
      </c>
      <c r="AL887" s="640" t="str">
        <f>IF(J887="Funcionamiento Gastos Generales","No aplica",IF(J887="Funcionamiento Servicios Personales","No aplica",IFERROR(VLOOKUP(J887,Listas!$A$220:$D$224,2,FALSE),"Alerta: Seleccione la celda en la comumna B con el nombre del proyecto")))</f>
        <v>Alerta: Seleccione la celda en la comumna B con el nombre del proyecto</v>
      </c>
      <c r="AM887" s="640" t="str">
        <f>IF(J887="Funcionamiento Gastos Generales","No aplica",IF(J887="Funcionamiento Servicios Personales","No aplica",IFERROR(VLOOKUP(J887,Listas!$A$220:$D$224,3,FALSE),"Alerta: Seleccione la celda en la comumna B con el nombre del proyecto")))</f>
        <v>Alerta: Seleccione la celda en la comumna B con el nombre del proyecto</v>
      </c>
      <c r="AN887" s="633"/>
      <c r="AO887" s="633"/>
      <c r="AP887" s="634" t="str">
        <f>IFERROR(VLOOKUP(J887,Listas!$A$182:$E$215,5,FALSE),"Alerta: Seleccione la celda en la comumna B con el nombre del proyecto")</f>
        <v>Alerta: Seleccione la celda en la comumna B con el nombre del proyecto</v>
      </c>
      <c r="AQ887" s="634" t="str">
        <f>IF(J887="Funcionamiento Gastos Generales","No aplica",IF(J887="Funcionamiento Servicios Personales","No aplica",IFERROR(VLOOKUP(J887,Listas!$A$220:$D$224,4,FALSE),"Alerta: Seleccione la celda en la comumna B con el nombre del proyecto")))</f>
        <v>Alerta: Seleccione la celda en la comumna B con el nombre del proyecto</v>
      </c>
      <c r="AR887" s="633"/>
      <c r="AS887" s="634" t="str">
        <f>IFERROR(VLOOKUP(AU887,Listas!$E$85:$L$105,7,FALSE),"Alerta: Seleccione la celda en la comumna AI con el concepto de gasto")</f>
        <v>Alerta: Seleccione la celda en la comumna AI con el concepto de gasto</v>
      </c>
      <c r="AT887" s="634" t="str">
        <f>IFERROR(VLOOKUP(AU887,Listas!$E$85:$L$105,8,FALSE),"Alerta: Seleccione la celda en la comumna AI con el concepto de gasto")</f>
        <v>Alerta: Seleccione la celda en la comumna AI con el concepto de gasto</v>
      </c>
      <c r="AU887" s="633"/>
      <c r="AV887" s="634" t="str">
        <f>IFERROR(VLOOKUP(AU887,Listas!$E$85:$F$105,2,FALSE),"Alerta: Seleccione el Concepto de Gasto primero")</f>
        <v>Alerta: Seleccione el Concepto de Gasto primero</v>
      </c>
      <c r="AW887" s="644"/>
      <c r="AX887" s="645"/>
      <c r="AY887" s="645"/>
      <c r="AZ887" s="645"/>
      <c r="BA887" s="646">
        <f t="shared" si="275"/>
        <v>0</v>
      </c>
      <c r="BB887" s="647"/>
      <c r="BC887" s="648"/>
      <c r="BD887" s="649"/>
      <c r="BE887" s="647"/>
      <c r="BF887" s="644"/>
      <c r="BG887" s="646">
        <f t="shared" si="276"/>
        <v>0</v>
      </c>
      <c r="BH887" s="650"/>
      <c r="BI887" s="647"/>
      <c r="BJ887" s="644"/>
      <c r="BK887" s="646">
        <f t="shared" si="277"/>
        <v>0</v>
      </c>
      <c r="BL887" s="651"/>
      <c r="BM887" s="652">
        <f t="shared" si="278"/>
        <v>1</v>
      </c>
      <c r="BN887" s="628"/>
      <c r="BO887" s="670"/>
      <c r="BP887" s="644"/>
      <c r="BQ887" s="644"/>
      <c r="BR887" s="644"/>
      <c r="BS887" s="644"/>
      <c r="BT887" s="644"/>
      <c r="BU887" s="644"/>
      <c r="BV887" s="644"/>
      <c r="BW887" s="644"/>
      <c r="BX887" s="644"/>
      <c r="BY887" s="644"/>
      <c r="BZ887" s="644"/>
      <c r="CA887" s="644"/>
      <c r="CB887" s="646">
        <f t="shared" si="279"/>
        <v>0</v>
      </c>
      <c r="CC887" s="646">
        <f t="shared" si="280"/>
        <v>0</v>
      </c>
      <c r="CD887" s="614"/>
    </row>
    <row r="888" spans="1:82" s="654" customFormat="1" ht="61.5" customHeight="1">
      <c r="A888" s="625" t="str">
        <f t="shared" si="262"/>
        <v>proyecto-Alerta: Seleccione la celda en la comumna B con el nombre del proyecto-Al-Al--</v>
      </c>
      <c r="B888" s="626" t="str">
        <f t="shared" si="263"/>
        <v>proyecto-Alerta: Seleccione la celda en la comumna B con el nombre del proyecto-Al-Al-</v>
      </c>
      <c r="C888" s="626" t="str">
        <f t="shared" si="264"/>
        <v>proyecto-Alerta: Seleccione la celda en la comumna B con el nombre del proyecto-</v>
      </c>
      <c r="D888" s="626" t="str">
        <f t="shared" si="265"/>
        <v>proyecto--Al-Al-</v>
      </c>
      <c r="E888" s="626" t="str">
        <f t="shared" si="266"/>
        <v>--</v>
      </c>
      <c r="F888" s="627"/>
      <c r="G888" s="628">
        <f t="shared" si="267"/>
        <v>0</v>
      </c>
      <c r="H888" s="629" t="b">
        <f t="shared" si="268"/>
        <v>1</v>
      </c>
      <c r="I888" s="630"/>
      <c r="J888" s="627"/>
      <c r="K888" s="631" t="str">
        <f>+IFERROR(VLOOKUP(J888,Listas!$A$108:$B$114,2,FALSE),"Alerta: Seleccione la celda en la comumna B con el nombre del proyecto")</f>
        <v>Alerta: Seleccione la celda en la comumna B con el nombre del proyecto</v>
      </c>
      <c r="L888" s="632"/>
      <c r="M888" s="633"/>
      <c r="N888" s="634" t="str">
        <f t="shared" si="269"/>
        <v xml:space="preserve">(Cód. ) </v>
      </c>
      <c r="O888" s="635"/>
      <c r="P888" s="636">
        <f>IFERROR(VLOOKUP(W888,'Estimación CRP'!$D$21:$E$30,2,FALSE),0)</f>
        <v>0</v>
      </c>
      <c r="Q888" s="637">
        <f>IF(O888="No aplica","No aplica",WORKDAY.INTL(O888,P888,1,'Estimación CRP'!A1074:A1090))</f>
        <v>0</v>
      </c>
      <c r="R888" s="636">
        <f t="shared" si="270"/>
        <v>1</v>
      </c>
      <c r="S888" s="636">
        <f t="shared" si="271"/>
        <v>1</v>
      </c>
      <c r="T888" s="636">
        <f t="shared" si="272"/>
        <v>1</v>
      </c>
      <c r="U888" s="638"/>
      <c r="V888" s="638"/>
      <c r="W888" s="639"/>
      <c r="X888" s="640" t="str">
        <f>IFERROR(VLOOKUP(W888,Listas!$A$60:$B$73,2,FALSE),"Alerta: Seleccione primero Modalidad de selección")</f>
        <v>Alerta: Seleccione primero Modalidad de selección</v>
      </c>
      <c r="Y888" s="641">
        <v>0</v>
      </c>
      <c r="Z888" s="641"/>
      <c r="AA888" s="641"/>
      <c r="AB888" s="642">
        <f t="shared" si="273"/>
        <v>0</v>
      </c>
      <c r="AC888" s="642">
        <f t="shared" si="274"/>
        <v>0</v>
      </c>
      <c r="AD888" s="641">
        <v>0</v>
      </c>
      <c r="AE888" s="643">
        <v>0</v>
      </c>
      <c r="AF888" s="639" t="s">
        <v>276</v>
      </c>
      <c r="AG888" s="639" t="s">
        <v>277</v>
      </c>
      <c r="AH888" s="639"/>
      <c r="AI888" s="626" t="str">
        <f>IFERROR(VLOOKUP(AH888,Listas!$A$77:$C$83,2,FALSE),"Alerta: Seleccione primero el responsable")</f>
        <v>Alerta: Seleccione primero el responsable</v>
      </c>
      <c r="AJ888" s="640" t="str">
        <f>IFERROR(VLOOKUP(AH888,Listas!$A$77:$C$83,3,FALSE),"Alerta: Seleccione primero el responsable")</f>
        <v>Alerta: Seleccione primero el responsable</v>
      </c>
      <c r="AK888" s="640" t="str">
        <f>IF(J888="Funcionamiento Gastos Generales","No aplica",IF(J888="Funcionamiento Servicios Personales indirectos","No aplica",IFERROR(VLOOKUP(J888,Listas!$A$127:$E$139,3,FALSE),"Alerta: Seleccione la celda en la comumna B con el nombre del proyecto")))</f>
        <v>Alerta: Seleccione la celda en la comumna B con el nombre del proyecto</v>
      </c>
      <c r="AL888" s="640" t="str">
        <f>IF(J888="Funcionamiento Gastos Generales","No aplica",IF(J888="Funcionamiento Servicios Personales","No aplica",IFERROR(VLOOKUP(J888,Listas!$A$220:$D$224,2,FALSE),"Alerta: Seleccione la celda en la comumna B con el nombre del proyecto")))</f>
        <v>Alerta: Seleccione la celda en la comumna B con el nombre del proyecto</v>
      </c>
      <c r="AM888" s="640" t="str">
        <f>IF(J888="Funcionamiento Gastos Generales","No aplica",IF(J888="Funcionamiento Servicios Personales","No aplica",IFERROR(VLOOKUP(J888,Listas!$A$220:$D$224,3,FALSE),"Alerta: Seleccione la celda en la comumna B con el nombre del proyecto")))</f>
        <v>Alerta: Seleccione la celda en la comumna B con el nombre del proyecto</v>
      </c>
      <c r="AN888" s="633"/>
      <c r="AO888" s="633"/>
      <c r="AP888" s="634" t="str">
        <f>IFERROR(VLOOKUP(J888,Listas!$A$182:$E$215,5,FALSE),"Alerta: Seleccione la celda en la comumna B con el nombre del proyecto")</f>
        <v>Alerta: Seleccione la celda en la comumna B con el nombre del proyecto</v>
      </c>
      <c r="AQ888" s="634" t="str">
        <f>IF(J888="Funcionamiento Gastos Generales","No aplica",IF(J888="Funcionamiento Servicios Personales","No aplica",IFERROR(VLOOKUP(J888,Listas!$A$220:$D$224,4,FALSE),"Alerta: Seleccione la celda en la comumna B con el nombre del proyecto")))</f>
        <v>Alerta: Seleccione la celda en la comumna B con el nombre del proyecto</v>
      </c>
      <c r="AR888" s="633"/>
      <c r="AS888" s="634" t="str">
        <f>IFERROR(VLOOKUP(AU888,Listas!$E$85:$L$105,7,FALSE),"Alerta: Seleccione la celda en la comumna AI con el concepto de gasto")</f>
        <v>Alerta: Seleccione la celda en la comumna AI con el concepto de gasto</v>
      </c>
      <c r="AT888" s="634" t="str">
        <f>IFERROR(VLOOKUP(AU888,Listas!$E$85:$L$105,8,FALSE),"Alerta: Seleccione la celda en la comumna AI con el concepto de gasto")</f>
        <v>Alerta: Seleccione la celda en la comumna AI con el concepto de gasto</v>
      </c>
      <c r="AU888" s="633"/>
      <c r="AV888" s="634" t="str">
        <f>IFERROR(VLOOKUP(AU888,Listas!$E$85:$F$105,2,FALSE),"Alerta: Seleccione el Concepto de Gasto primero")</f>
        <v>Alerta: Seleccione el Concepto de Gasto primero</v>
      </c>
      <c r="AW888" s="644"/>
      <c r="AX888" s="645"/>
      <c r="AY888" s="645"/>
      <c r="AZ888" s="645"/>
      <c r="BA888" s="646">
        <f t="shared" si="275"/>
        <v>0</v>
      </c>
      <c r="BB888" s="647"/>
      <c r="BC888" s="648"/>
      <c r="BD888" s="649"/>
      <c r="BE888" s="647"/>
      <c r="BF888" s="644"/>
      <c r="BG888" s="646">
        <f t="shared" si="276"/>
        <v>0</v>
      </c>
      <c r="BH888" s="650"/>
      <c r="BI888" s="647"/>
      <c r="BJ888" s="644"/>
      <c r="BK888" s="646">
        <f t="shared" si="277"/>
        <v>0</v>
      </c>
      <c r="BL888" s="651"/>
      <c r="BM888" s="652">
        <f t="shared" si="278"/>
        <v>1</v>
      </c>
      <c r="BN888" s="628"/>
      <c r="BO888" s="670"/>
      <c r="BP888" s="644"/>
      <c r="BQ888" s="644"/>
      <c r="BR888" s="644"/>
      <c r="BS888" s="644"/>
      <c r="BT888" s="644"/>
      <c r="BU888" s="644"/>
      <c r="BV888" s="644"/>
      <c r="BW888" s="644"/>
      <c r="BX888" s="644"/>
      <c r="BY888" s="644"/>
      <c r="BZ888" s="644"/>
      <c r="CA888" s="644"/>
      <c r="CB888" s="646">
        <f t="shared" si="279"/>
        <v>0</v>
      </c>
      <c r="CC888" s="646">
        <f t="shared" si="280"/>
        <v>0</v>
      </c>
      <c r="CD888" s="614"/>
    </row>
    <row r="889" spans="1:82" s="654" customFormat="1" ht="61.5" customHeight="1">
      <c r="A889" s="625" t="str">
        <f t="shared" si="262"/>
        <v>proyecto-Alerta: Seleccione la celda en la comumna B con el nombre del proyecto-Al-Al--</v>
      </c>
      <c r="B889" s="626" t="str">
        <f t="shared" si="263"/>
        <v>proyecto-Alerta: Seleccione la celda en la comumna B con el nombre del proyecto-Al-Al-</v>
      </c>
      <c r="C889" s="626" t="str">
        <f t="shared" si="264"/>
        <v>proyecto-Alerta: Seleccione la celda en la comumna B con el nombre del proyecto-</v>
      </c>
      <c r="D889" s="626" t="str">
        <f t="shared" si="265"/>
        <v>proyecto--Al-Al-</v>
      </c>
      <c r="E889" s="626" t="str">
        <f t="shared" si="266"/>
        <v>--</v>
      </c>
      <c r="F889" s="627"/>
      <c r="G889" s="628">
        <f t="shared" si="267"/>
        <v>0</v>
      </c>
      <c r="H889" s="629" t="b">
        <f t="shared" si="268"/>
        <v>1</v>
      </c>
      <c r="I889" s="630"/>
      <c r="J889" s="627"/>
      <c r="K889" s="631" t="str">
        <f>+IFERROR(VLOOKUP(J889,Listas!$A$108:$B$114,2,FALSE),"Alerta: Seleccione la celda en la comumna B con el nombre del proyecto")</f>
        <v>Alerta: Seleccione la celda en la comumna B con el nombre del proyecto</v>
      </c>
      <c r="L889" s="632"/>
      <c r="M889" s="633"/>
      <c r="N889" s="634" t="str">
        <f t="shared" si="269"/>
        <v xml:space="preserve">(Cód. ) </v>
      </c>
      <c r="O889" s="635"/>
      <c r="P889" s="636">
        <f>IFERROR(VLOOKUP(W889,'Estimación CRP'!$D$21:$E$30,2,FALSE),0)</f>
        <v>0</v>
      </c>
      <c r="Q889" s="637">
        <f>IF(O889="No aplica","No aplica",WORKDAY.INTL(O889,P889,1,'Estimación CRP'!A1075:A1091))</f>
        <v>0</v>
      </c>
      <c r="R889" s="636">
        <f t="shared" si="270"/>
        <v>1</v>
      </c>
      <c r="S889" s="636">
        <f t="shared" si="271"/>
        <v>1</v>
      </c>
      <c r="T889" s="636">
        <f t="shared" si="272"/>
        <v>1</v>
      </c>
      <c r="U889" s="638"/>
      <c r="V889" s="638"/>
      <c r="W889" s="639"/>
      <c r="X889" s="640" t="str">
        <f>IFERROR(VLOOKUP(W889,Listas!$A$60:$B$73,2,FALSE),"Alerta: Seleccione primero Modalidad de selección")</f>
        <v>Alerta: Seleccione primero Modalidad de selección</v>
      </c>
      <c r="Y889" s="641">
        <v>0</v>
      </c>
      <c r="Z889" s="641"/>
      <c r="AA889" s="641"/>
      <c r="AB889" s="642">
        <f t="shared" si="273"/>
        <v>0</v>
      </c>
      <c r="AC889" s="642">
        <f t="shared" si="274"/>
        <v>0</v>
      </c>
      <c r="AD889" s="641">
        <v>0</v>
      </c>
      <c r="AE889" s="643">
        <v>0</v>
      </c>
      <c r="AF889" s="639" t="s">
        <v>276</v>
      </c>
      <c r="AG889" s="639" t="s">
        <v>277</v>
      </c>
      <c r="AH889" s="639"/>
      <c r="AI889" s="626" t="str">
        <f>IFERROR(VLOOKUP(AH889,Listas!$A$77:$C$83,2,FALSE),"Alerta: Seleccione primero el responsable")</f>
        <v>Alerta: Seleccione primero el responsable</v>
      </c>
      <c r="AJ889" s="640" t="str">
        <f>IFERROR(VLOOKUP(AH889,Listas!$A$77:$C$83,3,FALSE),"Alerta: Seleccione primero el responsable")</f>
        <v>Alerta: Seleccione primero el responsable</v>
      </c>
      <c r="AK889" s="640" t="str">
        <f>IF(J889="Funcionamiento Gastos Generales","No aplica",IF(J889="Funcionamiento Servicios Personales indirectos","No aplica",IFERROR(VLOOKUP(J889,Listas!$A$127:$E$139,3,FALSE),"Alerta: Seleccione la celda en la comumna B con el nombre del proyecto")))</f>
        <v>Alerta: Seleccione la celda en la comumna B con el nombre del proyecto</v>
      </c>
      <c r="AL889" s="640" t="str">
        <f>IF(J889="Funcionamiento Gastos Generales","No aplica",IF(J889="Funcionamiento Servicios Personales","No aplica",IFERROR(VLOOKUP(J889,Listas!$A$220:$D$224,2,FALSE),"Alerta: Seleccione la celda en la comumna B con el nombre del proyecto")))</f>
        <v>Alerta: Seleccione la celda en la comumna B con el nombre del proyecto</v>
      </c>
      <c r="AM889" s="640" t="str">
        <f>IF(J889="Funcionamiento Gastos Generales","No aplica",IF(J889="Funcionamiento Servicios Personales","No aplica",IFERROR(VLOOKUP(J889,Listas!$A$220:$D$224,3,FALSE),"Alerta: Seleccione la celda en la comumna B con el nombre del proyecto")))</f>
        <v>Alerta: Seleccione la celda en la comumna B con el nombre del proyecto</v>
      </c>
      <c r="AN889" s="633"/>
      <c r="AO889" s="633"/>
      <c r="AP889" s="634" t="str">
        <f>IFERROR(VLOOKUP(J889,Listas!$A$182:$E$215,5,FALSE),"Alerta: Seleccione la celda en la comumna B con el nombre del proyecto")</f>
        <v>Alerta: Seleccione la celda en la comumna B con el nombre del proyecto</v>
      </c>
      <c r="AQ889" s="634" t="str">
        <f>IF(J889="Funcionamiento Gastos Generales","No aplica",IF(J889="Funcionamiento Servicios Personales","No aplica",IFERROR(VLOOKUP(J889,Listas!$A$220:$D$224,4,FALSE),"Alerta: Seleccione la celda en la comumna B con el nombre del proyecto")))</f>
        <v>Alerta: Seleccione la celda en la comumna B con el nombre del proyecto</v>
      </c>
      <c r="AR889" s="633"/>
      <c r="AS889" s="634" t="str">
        <f>IFERROR(VLOOKUP(AU889,Listas!$E$85:$L$105,7,FALSE),"Alerta: Seleccione la celda en la comumna AI con el concepto de gasto")</f>
        <v>Alerta: Seleccione la celda en la comumna AI con el concepto de gasto</v>
      </c>
      <c r="AT889" s="634" t="str">
        <f>IFERROR(VLOOKUP(AU889,Listas!$E$85:$L$105,8,FALSE),"Alerta: Seleccione la celda en la comumna AI con el concepto de gasto")</f>
        <v>Alerta: Seleccione la celda en la comumna AI con el concepto de gasto</v>
      </c>
      <c r="AU889" s="633"/>
      <c r="AV889" s="634" t="str">
        <f>IFERROR(VLOOKUP(AU889,Listas!$E$85:$F$105,2,FALSE),"Alerta: Seleccione el Concepto de Gasto primero")</f>
        <v>Alerta: Seleccione el Concepto de Gasto primero</v>
      </c>
      <c r="AW889" s="644"/>
      <c r="AX889" s="645"/>
      <c r="AY889" s="645"/>
      <c r="AZ889" s="645"/>
      <c r="BA889" s="646">
        <f t="shared" si="275"/>
        <v>0</v>
      </c>
      <c r="BB889" s="647"/>
      <c r="BC889" s="648"/>
      <c r="BD889" s="649"/>
      <c r="BE889" s="647"/>
      <c r="BF889" s="644"/>
      <c r="BG889" s="646">
        <f t="shared" si="276"/>
        <v>0</v>
      </c>
      <c r="BH889" s="650"/>
      <c r="BI889" s="647"/>
      <c r="BJ889" s="644"/>
      <c r="BK889" s="646">
        <f t="shared" si="277"/>
        <v>0</v>
      </c>
      <c r="BL889" s="651"/>
      <c r="BM889" s="652">
        <f t="shared" si="278"/>
        <v>1</v>
      </c>
      <c r="BN889" s="628"/>
      <c r="BO889" s="670"/>
      <c r="BP889" s="644"/>
      <c r="BQ889" s="644"/>
      <c r="BR889" s="644"/>
      <c r="BS889" s="644"/>
      <c r="BT889" s="644"/>
      <c r="BU889" s="644"/>
      <c r="BV889" s="644"/>
      <c r="BW889" s="644"/>
      <c r="BX889" s="644"/>
      <c r="BY889" s="644"/>
      <c r="BZ889" s="644"/>
      <c r="CA889" s="644"/>
      <c r="CB889" s="646">
        <f t="shared" si="279"/>
        <v>0</v>
      </c>
      <c r="CC889" s="646">
        <f t="shared" si="280"/>
        <v>0</v>
      </c>
      <c r="CD889" s="614"/>
    </row>
    <row r="890" spans="1:82" s="654" customFormat="1" ht="61.5" customHeight="1">
      <c r="A890" s="625" t="str">
        <f t="shared" si="262"/>
        <v>proyecto-Alerta: Seleccione la celda en la comumna B con el nombre del proyecto-Al-Al--</v>
      </c>
      <c r="B890" s="626" t="str">
        <f t="shared" si="263"/>
        <v>proyecto-Alerta: Seleccione la celda en la comumna B con el nombre del proyecto-Al-Al-</v>
      </c>
      <c r="C890" s="626" t="str">
        <f t="shared" si="264"/>
        <v>proyecto-Alerta: Seleccione la celda en la comumna B con el nombre del proyecto-</v>
      </c>
      <c r="D890" s="626" t="str">
        <f t="shared" si="265"/>
        <v>proyecto--Al-Al-</v>
      </c>
      <c r="E890" s="626" t="str">
        <f t="shared" si="266"/>
        <v>--</v>
      </c>
      <c r="F890" s="627"/>
      <c r="G890" s="628">
        <f t="shared" si="267"/>
        <v>0</v>
      </c>
      <c r="H890" s="629" t="b">
        <f t="shared" si="268"/>
        <v>1</v>
      </c>
      <c r="I890" s="630"/>
      <c r="J890" s="627"/>
      <c r="K890" s="631" t="str">
        <f>+IFERROR(VLOOKUP(J890,Listas!$A$108:$B$114,2,FALSE),"Alerta: Seleccione la celda en la comumna B con el nombre del proyecto")</f>
        <v>Alerta: Seleccione la celda en la comumna B con el nombre del proyecto</v>
      </c>
      <c r="L890" s="632"/>
      <c r="M890" s="633"/>
      <c r="N890" s="634" t="str">
        <f t="shared" si="269"/>
        <v xml:space="preserve">(Cód. ) </v>
      </c>
      <c r="O890" s="635"/>
      <c r="P890" s="636">
        <f>IFERROR(VLOOKUP(W890,'Estimación CRP'!$D$21:$E$30,2,FALSE),0)</f>
        <v>0</v>
      </c>
      <c r="Q890" s="637">
        <f>IF(O890="No aplica","No aplica",WORKDAY.INTL(O890,P890,1,'Estimación CRP'!A1076:A1092))</f>
        <v>0</v>
      </c>
      <c r="R890" s="636">
        <f t="shared" si="270"/>
        <v>1</v>
      </c>
      <c r="S890" s="636">
        <f t="shared" si="271"/>
        <v>1</v>
      </c>
      <c r="T890" s="636">
        <f t="shared" si="272"/>
        <v>1</v>
      </c>
      <c r="U890" s="638"/>
      <c r="V890" s="638"/>
      <c r="W890" s="639"/>
      <c r="X890" s="640" t="str">
        <f>IFERROR(VLOOKUP(W890,Listas!$A$60:$B$73,2,FALSE),"Alerta: Seleccione primero Modalidad de selección")</f>
        <v>Alerta: Seleccione primero Modalidad de selección</v>
      </c>
      <c r="Y890" s="641">
        <v>0</v>
      </c>
      <c r="Z890" s="641"/>
      <c r="AA890" s="641"/>
      <c r="AB890" s="642">
        <f t="shared" si="273"/>
        <v>0</v>
      </c>
      <c r="AC890" s="642">
        <f t="shared" si="274"/>
        <v>0</v>
      </c>
      <c r="AD890" s="641">
        <v>0</v>
      </c>
      <c r="AE890" s="643">
        <v>0</v>
      </c>
      <c r="AF890" s="639" t="s">
        <v>276</v>
      </c>
      <c r="AG890" s="639" t="s">
        <v>277</v>
      </c>
      <c r="AH890" s="639"/>
      <c r="AI890" s="626" t="str">
        <f>IFERROR(VLOOKUP(AH890,Listas!$A$77:$C$83,2,FALSE),"Alerta: Seleccione primero el responsable")</f>
        <v>Alerta: Seleccione primero el responsable</v>
      </c>
      <c r="AJ890" s="640" t="str">
        <f>IFERROR(VLOOKUP(AH890,Listas!$A$77:$C$83,3,FALSE),"Alerta: Seleccione primero el responsable")</f>
        <v>Alerta: Seleccione primero el responsable</v>
      </c>
      <c r="AK890" s="640" t="str">
        <f>IF(J890="Funcionamiento Gastos Generales","No aplica",IF(J890="Funcionamiento Servicios Personales indirectos","No aplica",IFERROR(VLOOKUP(J890,Listas!$A$127:$E$139,3,FALSE),"Alerta: Seleccione la celda en la comumna B con el nombre del proyecto")))</f>
        <v>Alerta: Seleccione la celda en la comumna B con el nombre del proyecto</v>
      </c>
      <c r="AL890" s="640" t="str">
        <f>IF(J890="Funcionamiento Gastos Generales","No aplica",IF(J890="Funcionamiento Servicios Personales","No aplica",IFERROR(VLOOKUP(J890,Listas!$A$220:$D$224,2,FALSE),"Alerta: Seleccione la celda en la comumna B con el nombre del proyecto")))</f>
        <v>Alerta: Seleccione la celda en la comumna B con el nombre del proyecto</v>
      </c>
      <c r="AM890" s="640" t="str">
        <f>IF(J890="Funcionamiento Gastos Generales","No aplica",IF(J890="Funcionamiento Servicios Personales","No aplica",IFERROR(VLOOKUP(J890,Listas!$A$220:$D$224,3,FALSE),"Alerta: Seleccione la celda en la comumna B con el nombre del proyecto")))</f>
        <v>Alerta: Seleccione la celda en la comumna B con el nombre del proyecto</v>
      </c>
      <c r="AN890" s="633"/>
      <c r="AO890" s="633"/>
      <c r="AP890" s="634" t="str">
        <f>IFERROR(VLOOKUP(J890,Listas!$A$182:$E$215,5,FALSE),"Alerta: Seleccione la celda en la comumna B con el nombre del proyecto")</f>
        <v>Alerta: Seleccione la celda en la comumna B con el nombre del proyecto</v>
      </c>
      <c r="AQ890" s="634" t="str">
        <f>IF(J890="Funcionamiento Gastos Generales","No aplica",IF(J890="Funcionamiento Servicios Personales","No aplica",IFERROR(VLOOKUP(J890,Listas!$A$220:$D$224,4,FALSE),"Alerta: Seleccione la celda en la comumna B con el nombre del proyecto")))</f>
        <v>Alerta: Seleccione la celda en la comumna B con el nombre del proyecto</v>
      </c>
      <c r="AR890" s="633"/>
      <c r="AS890" s="634" t="str">
        <f>IFERROR(VLOOKUP(AU890,Listas!$E$85:$L$105,7,FALSE),"Alerta: Seleccione la celda en la comumna AI con el concepto de gasto")</f>
        <v>Alerta: Seleccione la celda en la comumna AI con el concepto de gasto</v>
      </c>
      <c r="AT890" s="634" t="str">
        <f>IFERROR(VLOOKUP(AU890,Listas!$E$85:$L$105,8,FALSE),"Alerta: Seleccione la celda en la comumna AI con el concepto de gasto")</f>
        <v>Alerta: Seleccione la celda en la comumna AI con el concepto de gasto</v>
      </c>
      <c r="AU890" s="633"/>
      <c r="AV890" s="634" t="str">
        <f>IFERROR(VLOOKUP(AU890,Listas!$E$85:$F$105,2,FALSE),"Alerta: Seleccione el Concepto de Gasto primero")</f>
        <v>Alerta: Seleccione el Concepto de Gasto primero</v>
      </c>
      <c r="AW890" s="644"/>
      <c r="AX890" s="645"/>
      <c r="AY890" s="645"/>
      <c r="AZ890" s="645"/>
      <c r="BA890" s="646">
        <f t="shared" si="275"/>
        <v>0</v>
      </c>
      <c r="BB890" s="647"/>
      <c r="BC890" s="648"/>
      <c r="BD890" s="649"/>
      <c r="BE890" s="647"/>
      <c r="BF890" s="644"/>
      <c r="BG890" s="646">
        <f t="shared" si="276"/>
        <v>0</v>
      </c>
      <c r="BH890" s="650"/>
      <c r="BI890" s="647"/>
      <c r="BJ890" s="644"/>
      <c r="BK890" s="646">
        <f t="shared" si="277"/>
        <v>0</v>
      </c>
      <c r="BL890" s="651"/>
      <c r="BM890" s="652">
        <f t="shared" si="278"/>
        <v>1</v>
      </c>
      <c r="BN890" s="628"/>
      <c r="BO890" s="670"/>
      <c r="BP890" s="644"/>
      <c r="BQ890" s="644"/>
      <c r="BR890" s="644"/>
      <c r="BS890" s="644"/>
      <c r="BT890" s="644"/>
      <c r="BU890" s="644"/>
      <c r="BV890" s="644"/>
      <c r="BW890" s="644"/>
      <c r="BX890" s="644"/>
      <c r="BY890" s="644"/>
      <c r="BZ890" s="644"/>
      <c r="CA890" s="644"/>
      <c r="CB890" s="646">
        <f t="shared" si="279"/>
        <v>0</v>
      </c>
      <c r="CC890" s="646">
        <f t="shared" si="280"/>
        <v>0</v>
      </c>
      <c r="CD890" s="614"/>
    </row>
    <row r="891" spans="1:82" s="561" customFormat="1" ht="61.5" customHeight="1">
      <c r="A891" s="625" t="str">
        <f t="shared" si="262"/>
        <v>proyecto-Alerta: Seleccione la celda en la comumna B con el nombre del proyecto-Al-Al--</v>
      </c>
      <c r="B891" s="626" t="str">
        <f t="shared" si="263"/>
        <v>proyecto-Alerta: Seleccione la celda en la comumna B con el nombre del proyecto-Al-Al-</v>
      </c>
      <c r="C891" s="626" t="str">
        <f t="shared" si="264"/>
        <v>proyecto-Alerta: Seleccione la celda en la comumna B con el nombre del proyecto-</v>
      </c>
      <c r="D891" s="626" t="str">
        <f t="shared" si="265"/>
        <v>proyecto--Al-Al-</v>
      </c>
      <c r="E891" s="626" t="str">
        <f t="shared" si="266"/>
        <v>--</v>
      </c>
      <c r="F891" s="627"/>
      <c r="G891" s="628">
        <f t="shared" si="267"/>
        <v>0</v>
      </c>
      <c r="H891" s="629" t="b">
        <f t="shared" si="268"/>
        <v>1</v>
      </c>
      <c r="I891" s="630"/>
      <c r="J891" s="627"/>
      <c r="K891" s="631" t="str">
        <f>+IFERROR(VLOOKUP(J891,Listas!$A$108:$B$114,2,FALSE),"Alerta: Seleccione la celda en la comumna B con el nombre del proyecto")</f>
        <v>Alerta: Seleccione la celda en la comumna B con el nombre del proyecto</v>
      </c>
      <c r="L891" s="632"/>
      <c r="M891" s="633"/>
      <c r="N891" s="634" t="str">
        <f t="shared" si="269"/>
        <v xml:space="preserve">(Cód. ) </v>
      </c>
      <c r="O891" s="635"/>
      <c r="P891" s="636">
        <f>IFERROR(VLOOKUP(W891,'Estimación CRP'!$D$21:$E$30,2,FALSE),0)</f>
        <v>0</v>
      </c>
      <c r="Q891" s="637">
        <f>IF(O891="No aplica","No aplica",WORKDAY.INTL(O891,P891,1,'Estimación CRP'!A1077:A1093))</f>
        <v>0</v>
      </c>
      <c r="R891" s="636">
        <f t="shared" si="270"/>
        <v>1</v>
      </c>
      <c r="S891" s="636">
        <f t="shared" si="271"/>
        <v>1</v>
      </c>
      <c r="T891" s="636">
        <f t="shared" si="272"/>
        <v>1</v>
      </c>
      <c r="U891" s="638"/>
      <c r="V891" s="638"/>
      <c r="W891" s="639"/>
      <c r="X891" s="640" t="str">
        <f>IFERROR(VLOOKUP(W891,Listas!$A$60:$B$73,2,FALSE),"Alerta: Seleccione primero Modalidad de selección")</f>
        <v>Alerta: Seleccione primero Modalidad de selección</v>
      </c>
      <c r="Y891" s="641">
        <v>0</v>
      </c>
      <c r="Z891" s="641"/>
      <c r="AA891" s="641"/>
      <c r="AB891" s="642">
        <f t="shared" si="273"/>
        <v>0</v>
      </c>
      <c r="AC891" s="642">
        <f t="shared" si="274"/>
        <v>0</v>
      </c>
      <c r="AD891" s="641">
        <v>0</v>
      </c>
      <c r="AE891" s="643">
        <v>0</v>
      </c>
      <c r="AF891" s="639" t="s">
        <v>276</v>
      </c>
      <c r="AG891" s="639" t="s">
        <v>277</v>
      </c>
      <c r="AH891" s="639"/>
      <c r="AI891" s="626" t="str">
        <f>IFERROR(VLOOKUP(AH891,Listas!$A$77:$C$83,2,FALSE),"Alerta: Seleccione primero el responsable")</f>
        <v>Alerta: Seleccione primero el responsable</v>
      </c>
      <c r="AJ891" s="640" t="str">
        <f>IFERROR(VLOOKUP(AH891,Listas!$A$77:$C$83,3,FALSE),"Alerta: Seleccione primero el responsable")</f>
        <v>Alerta: Seleccione primero el responsable</v>
      </c>
      <c r="AK891" s="640" t="str">
        <f>IF(J891="Funcionamiento Gastos Generales","No aplica",IF(J891="Funcionamiento Servicios Personales indirectos","No aplica",IFERROR(VLOOKUP(J891,Listas!$A$127:$E$139,3,FALSE),"Alerta: Seleccione la celda en la comumna B con el nombre del proyecto")))</f>
        <v>Alerta: Seleccione la celda en la comumna B con el nombre del proyecto</v>
      </c>
      <c r="AL891" s="640" t="str">
        <f>IF(J891="Funcionamiento Gastos Generales","No aplica",IF(J891="Funcionamiento Servicios Personales","No aplica",IFERROR(VLOOKUP(J891,Listas!$A$220:$D$224,2,FALSE),"Alerta: Seleccione la celda en la comumna B con el nombre del proyecto")))</f>
        <v>Alerta: Seleccione la celda en la comumna B con el nombre del proyecto</v>
      </c>
      <c r="AM891" s="640" t="str">
        <f>IF(J891="Funcionamiento Gastos Generales","No aplica",IF(J891="Funcionamiento Servicios Personales","No aplica",IFERROR(VLOOKUP(J891,Listas!$A$220:$D$224,3,FALSE),"Alerta: Seleccione la celda en la comumna B con el nombre del proyecto")))</f>
        <v>Alerta: Seleccione la celda en la comumna B con el nombre del proyecto</v>
      </c>
      <c r="AN891" s="633"/>
      <c r="AO891" s="633"/>
      <c r="AP891" s="634" t="str">
        <f>IFERROR(VLOOKUP(J891,Listas!$A$182:$E$215,5,FALSE),"Alerta: Seleccione la celda en la comumna B con el nombre del proyecto")</f>
        <v>Alerta: Seleccione la celda en la comumna B con el nombre del proyecto</v>
      </c>
      <c r="AQ891" s="634" t="str">
        <f>IF(J891="Funcionamiento Gastos Generales","No aplica",IF(J891="Funcionamiento Servicios Personales","No aplica",IFERROR(VLOOKUP(J891,Listas!$A$220:$D$224,4,FALSE),"Alerta: Seleccione la celda en la comumna B con el nombre del proyecto")))</f>
        <v>Alerta: Seleccione la celda en la comumna B con el nombre del proyecto</v>
      </c>
      <c r="AR891" s="633"/>
      <c r="AS891" s="634" t="str">
        <f>IFERROR(VLOOKUP(AU891,Listas!$E$85:$L$105,7,FALSE),"Alerta: Seleccione la celda en la comumna AI con el concepto de gasto")</f>
        <v>Alerta: Seleccione la celda en la comumna AI con el concepto de gasto</v>
      </c>
      <c r="AT891" s="634" t="str">
        <f>IFERROR(VLOOKUP(AU891,Listas!$E$85:$L$105,8,FALSE),"Alerta: Seleccione la celda en la comumna AI con el concepto de gasto")</f>
        <v>Alerta: Seleccione la celda en la comumna AI con el concepto de gasto</v>
      </c>
      <c r="AU891" s="633"/>
      <c r="AV891" s="634" t="str">
        <f>IFERROR(VLOOKUP(AU891,Listas!$E$85:$F$105,2,FALSE),"Alerta: Seleccione el Concepto de Gasto primero")</f>
        <v>Alerta: Seleccione el Concepto de Gasto primero</v>
      </c>
      <c r="AW891" s="644"/>
      <c r="AX891" s="645"/>
      <c r="AY891" s="645"/>
      <c r="AZ891" s="645"/>
      <c r="BA891" s="646">
        <f t="shared" si="275"/>
        <v>0</v>
      </c>
      <c r="BB891" s="647"/>
      <c r="BC891" s="648"/>
      <c r="BD891" s="649"/>
      <c r="BE891" s="647"/>
      <c r="BF891" s="644"/>
      <c r="BG891" s="646">
        <f t="shared" si="276"/>
        <v>0</v>
      </c>
      <c r="BH891" s="650"/>
      <c r="BI891" s="647"/>
      <c r="BJ891" s="644"/>
      <c r="BK891" s="646">
        <f t="shared" si="277"/>
        <v>0</v>
      </c>
      <c r="BL891" s="651"/>
      <c r="BM891" s="652">
        <f t="shared" si="278"/>
        <v>1</v>
      </c>
      <c r="BN891" s="628"/>
      <c r="BO891" s="670"/>
      <c r="BP891" s="644"/>
      <c r="BQ891" s="644"/>
      <c r="BR891" s="644"/>
      <c r="BS891" s="644"/>
      <c r="BT891" s="644"/>
      <c r="BU891" s="644"/>
      <c r="BV891" s="644"/>
      <c r="BW891" s="644"/>
      <c r="BX891" s="644"/>
      <c r="BY891" s="644"/>
      <c r="BZ891" s="644"/>
      <c r="CA891" s="644"/>
      <c r="CB891" s="646">
        <f t="shared" si="279"/>
        <v>0</v>
      </c>
      <c r="CC891" s="646">
        <f t="shared" si="280"/>
        <v>0</v>
      </c>
      <c r="CD891" s="614"/>
    </row>
    <row r="892" spans="1:82" s="561" customFormat="1" ht="61.5" customHeight="1">
      <c r="A892" s="625" t="str">
        <f t="shared" si="262"/>
        <v>proyecto-Alerta: Seleccione la celda en la comumna B con el nombre del proyecto-Al-Al--</v>
      </c>
      <c r="B892" s="626" t="str">
        <f t="shared" si="263"/>
        <v>proyecto-Alerta: Seleccione la celda en la comumna B con el nombre del proyecto-Al-Al-</v>
      </c>
      <c r="C892" s="626" t="str">
        <f t="shared" si="264"/>
        <v>proyecto-Alerta: Seleccione la celda en la comumna B con el nombre del proyecto-</v>
      </c>
      <c r="D892" s="626" t="str">
        <f t="shared" si="265"/>
        <v>proyecto--Al-Al-</v>
      </c>
      <c r="E892" s="626" t="str">
        <f t="shared" si="266"/>
        <v>--</v>
      </c>
      <c r="F892" s="627"/>
      <c r="G892" s="628">
        <f t="shared" si="267"/>
        <v>0</v>
      </c>
      <c r="H892" s="629" t="b">
        <f t="shared" si="268"/>
        <v>1</v>
      </c>
      <c r="I892" s="630"/>
      <c r="J892" s="627"/>
      <c r="K892" s="631" t="str">
        <f>+IFERROR(VLOOKUP(J892,Listas!$A$108:$B$114,2,FALSE),"Alerta: Seleccione la celda en la comumna B con el nombre del proyecto")</f>
        <v>Alerta: Seleccione la celda en la comumna B con el nombre del proyecto</v>
      </c>
      <c r="L892" s="632"/>
      <c r="M892" s="633"/>
      <c r="N892" s="634" t="str">
        <f t="shared" si="269"/>
        <v xml:space="preserve">(Cód. ) </v>
      </c>
      <c r="O892" s="635"/>
      <c r="P892" s="636">
        <f>IFERROR(VLOOKUP(W892,'Estimación CRP'!$D$21:$E$30,2,FALSE),0)</f>
        <v>0</v>
      </c>
      <c r="Q892" s="637">
        <f>IF(O892="No aplica","No aplica",WORKDAY.INTL(O892,P892,1,'Estimación CRP'!A1078:A1094))</f>
        <v>0</v>
      </c>
      <c r="R892" s="636">
        <f t="shared" si="270"/>
        <v>1</v>
      </c>
      <c r="S892" s="636">
        <f t="shared" si="271"/>
        <v>1</v>
      </c>
      <c r="T892" s="636">
        <f t="shared" si="272"/>
        <v>1</v>
      </c>
      <c r="U892" s="638"/>
      <c r="V892" s="638"/>
      <c r="W892" s="639"/>
      <c r="X892" s="640" t="str">
        <f>IFERROR(VLOOKUP(W892,Listas!$A$60:$B$73,2,FALSE),"Alerta: Seleccione primero Modalidad de selección")</f>
        <v>Alerta: Seleccione primero Modalidad de selección</v>
      </c>
      <c r="Y892" s="641">
        <v>0</v>
      </c>
      <c r="Z892" s="641"/>
      <c r="AA892" s="641"/>
      <c r="AB892" s="642">
        <f t="shared" si="273"/>
        <v>0</v>
      </c>
      <c r="AC892" s="642">
        <f t="shared" si="274"/>
        <v>0</v>
      </c>
      <c r="AD892" s="641">
        <v>0</v>
      </c>
      <c r="AE892" s="643">
        <v>0</v>
      </c>
      <c r="AF892" s="639" t="s">
        <v>276</v>
      </c>
      <c r="AG892" s="639" t="s">
        <v>277</v>
      </c>
      <c r="AH892" s="639"/>
      <c r="AI892" s="626" t="str">
        <f>IFERROR(VLOOKUP(AH892,Listas!$A$77:$C$83,2,FALSE),"Alerta: Seleccione primero el responsable")</f>
        <v>Alerta: Seleccione primero el responsable</v>
      </c>
      <c r="AJ892" s="640" t="str">
        <f>IFERROR(VLOOKUP(AH892,Listas!$A$77:$C$83,3,FALSE),"Alerta: Seleccione primero el responsable")</f>
        <v>Alerta: Seleccione primero el responsable</v>
      </c>
      <c r="AK892" s="640" t="str">
        <f>IF(J892="Funcionamiento Gastos Generales","No aplica",IF(J892="Funcionamiento Servicios Personales indirectos","No aplica",IFERROR(VLOOKUP(J892,Listas!$A$127:$E$139,3,FALSE),"Alerta: Seleccione la celda en la comumna B con el nombre del proyecto")))</f>
        <v>Alerta: Seleccione la celda en la comumna B con el nombre del proyecto</v>
      </c>
      <c r="AL892" s="640" t="str">
        <f>IF(J892="Funcionamiento Gastos Generales","No aplica",IF(J892="Funcionamiento Servicios Personales","No aplica",IFERROR(VLOOKUP(J892,Listas!$A$220:$D$224,2,FALSE),"Alerta: Seleccione la celda en la comumna B con el nombre del proyecto")))</f>
        <v>Alerta: Seleccione la celda en la comumna B con el nombre del proyecto</v>
      </c>
      <c r="AM892" s="640" t="str">
        <f>IF(J892="Funcionamiento Gastos Generales","No aplica",IF(J892="Funcionamiento Servicios Personales","No aplica",IFERROR(VLOOKUP(J892,Listas!$A$220:$D$224,3,FALSE),"Alerta: Seleccione la celda en la comumna B con el nombre del proyecto")))</f>
        <v>Alerta: Seleccione la celda en la comumna B con el nombre del proyecto</v>
      </c>
      <c r="AN892" s="633"/>
      <c r="AO892" s="633"/>
      <c r="AP892" s="634" t="str">
        <f>IFERROR(VLOOKUP(J892,Listas!$A$182:$E$215,5,FALSE),"Alerta: Seleccione la celda en la comumna B con el nombre del proyecto")</f>
        <v>Alerta: Seleccione la celda en la comumna B con el nombre del proyecto</v>
      </c>
      <c r="AQ892" s="634" t="str">
        <f>IF(J892="Funcionamiento Gastos Generales","No aplica",IF(J892="Funcionamiento Servicios Personales","No aplica",IFERROR(VLOOKUP(J892,Listas!$A$220:$D$224,4,FALSE),"Alerta: Seleccione la celda en la comumna B con el nombre del proyecto")))</f>
        <v>Alerta: Seleccione la celda en la comumna B con el nombre del proyecto</v>
      </c>
      <c r="AR892" s="633"/>
      <c r="AS892" s="634" t="str">
        <f>IFERROR(VLOOKUP(AU892,Listas!$E$85:$L$105,7,FALSE),"Alerta: Seleccione la celda en la comumna AI con el concepto de gasto")</f>
        <v>Alerta: Seleccione la celda en la comumna AI con el concepto de gasto</v>
      </c>
      <c r="AT892" s="634" t="str">
        <f>IFERROR(VLOOKUP(AU892,Listas!$E$85:$L$105,8,FALSE),"Alerta: Seleccione la celda en la comumna AI con el concepto de gasto")</f>
        <v>Alerta: Seleccione la celda en la comumna AI con el concepto de gasto</v>
      </c>
      <c r="AU892" s="633"/>
      <c r="AV892" s="634" t="str">
        <f>IFERROR(VLOOKUP(AU892,Listas!$E$85:$F$105,2,FALSE),"Alerta: Seleccione el Concepto de Gasto primero")</f>
        <v>Alerta: Seleccione el Concepto de Gasto primero</v>
      </c>
      <c r="AW892" s="644"/>
      <c r="AX892" s="645"/>
      <c r="AY892" s="645"/>
      <c r="AZ892" s="645"/>
      <c r="BA892" s="646">
        <f t="shared" si="275"/>
        <v>0</v>
      </c>
      <c r="BB892" s="647"/>
      <c r="BC892" s="648"/>
      <c r="BD892" s="649"/>
      <c r="BE892" s="647"/>
      <c r="BF892" s="644"/>
      <c r="BG892" s="646">
        <f t="shared" si="276"/>
        <v>0</v>
      </c>
      <c r="BH892" s="650"/>
      <c r="BI892" s="647"/>
      <c r="BJ892" s="644"/>
      <c r="BK892" s="646">
        <f t="shared" si="277"/>
        <v>0</v>
      </c>
      <c r="BL892" s="651"/>
      <c r="BM892" s="652">
        <f t="shared" si="278"/>
        <v>1</v>
      </c>
      <c r="BN892" s="628"/>
      <c r="BO892" s="670"/>
      <c r="BP892" s="644"/>
      <c r="BQ892" s="644"/>
      <c r="BR892" s="644"/>
      <c r="BS892" s="644"/>
      <c r="BT892" s="644"/>
      <c r="BU892" s="644"/>
      <c r="BV892" s="644"/>
      <c r="BW892" s="644"/>
      <c r="BX892" s="644"/>
      <c r="BY892" s="644"/>
      <c r="BZ892" s="644"/>
      <c r="CA892" s="644"/>
      <c r="CB892" s="646">
        <f t="shared" si="279"/>
        <v>0</v>
      </c>
      <c r="CC892" s="646">
        <f t="shared" si="280"/>
        <v>0</v>
      </c>
      <c r="CD892" s="614"/>
    </row>
    <row r="893" spans="1:82" s="561" customFormat="1" ht="61.5" customHeight="1">
      <c r="A893" s="625" t="str">
        <f t="shared" si="262"/>
        <v>proyecto-Alerta: Seleccione la celda en la comumna B con el nombre del proyecto-Al-Al--</v>
      </c>
      <c r="B893" s="626" t="str">
        <f t="shared" si="263"/>
        <v>proyecto-Alerta: Seleccione la celda en la comumna B con el nombre del proyecto-Al-Al-</v>
      </c>
      <c r="C893" s="626" t="str">
        <f t="shared" si="264"/>
        <v>proyecto-Alerta: Seleccione la celda en la comumna B con el nombre del proyecto-</v>
      </c>
      <c r="D893" s="626" t="str">
        <f t="shared" si="265"/>
        <v>proyecto--Al-Al-</v>
      </c>
      <c r="E893" s="626" t="str">
        <f t="shared" si="266"/>
        <v>--</v>
      </c>
      <c r="F893" s="627"/>
      <c r="G893" s="628">
        <f t="shared" si="267"/>
        <v>0</v>
      </c>
      <c r="H893" s="629" t="b">
        <f t="shared" si="268"/>
        <v>1</v>
      </c>
      <c r="I893" s="630"/>
      <c r="J893" s="627"/>
      <c r="K893" s="631" t="str">
        <f>+IFERROR(VLOOKUP(J893,Listas!$A$108:$B$114,2,FALSE),"Alerta: Seleccione la celda en la comumna B con el nombre del proyecto")</f>
        <v>Alerta: Seleccione la celda en la comumna B con el nombre del proyecto</v>
      </c>
      <c r="L893" s="632"/>
      <c r="M893" s="633"/>
      <c r="N893" s="634" t="str">
        <f t="shared" si="269"/>
        <v xml:space="preserve">(Cód. ) </v>
      </c>
      <c r="O893" s="635"/>
      <c r="P893" s="636">
        <f>IFERROR(VLOOKUP(W893,'Estimación CRP'!$D$21:$E$30,2,FALSE),0)</f>
        <v>0</v>
      </c>
      <c r="Q893" s="637">
        <f>IF(O893="No aplica","No aplica",WORKDAY.INTL(O893,P893,1,'Estimación CRP'!A1079:A1095))</f>
        <v>0</v>
      </c>
      <c r="R893" s="636">
        <f t="shared" si="270"/>
        <v>1</v>
      </c>
      <c r="S893" s="636">
        <f t="shared" si="271"/>
        <v>1</v>
      </c>
      <c r="T893" s="636">
        <f t="shared" si="272"/>
        <v>1</v>
      </c>
      <c r="U893" s="638"/>
      <c r="V893" s="638"/>
      <c r="W893" s="639"/>
      <c r="X893" s="640" t="str">
        <f>IFERROR(VLOOKUP(W893,Listas!$A$60:$B$73,2,FALSE),"Alerta: Seleccione primero Modalidad de selección")</f>
        <v>Alerta: Seleccione primero Modalidad de selección</v>
      </c>
      <c r="Y893" s="641">
        <v>0</v>
      </c>
      <c r="Z893" s="641"/>
      <c r="AA893" s="641"/>
      <c r="AB893" s="642">
        <f t="shared" si="273"/>
        <v>0</v>
      </c>
      <c r="AC893" s="642">
        <f t="shared" si="274"/>
        <v>0</v>
      </c>
      <c r="AD893" s="641">
        <v>0</v>
      </c>
      <c r="AE893" s="643">
        <v>0</v>
      </c>
      <c r="AF893" s="639" t="s">
        <v>276</v>
      </c>
      <c r="AG893" s="639" t="s">
        <v>277</v>
      </c>
      <c r="AH893" s="639"/>
      <c r="AI893" s="626" t="str">
        <f>IFERROR(VLOOKUP(AH893,Listas!$A$77:$C$83,2,FALSE),"Alerta: Seleccione primero el responsable")</f>
        <v>Alerta: Seleccione primero el responsable</v>
      </c>
      <c r="AJ893" s="640" t="str">
        <f>IFERROR(VLOOKUP(AH893,Listas!$A$77:$C$83,3,FALSE),"Alerta: Seleccione primero el responsable")</f>
        <v>Alerta: Seleccione primero el responsable</v>
      </c>
      <c r="AK893" s="640" t="str">
        <f>IF(J893="Funcionamiento Gastos Generales","No aplica",IF(J893="Funcionamiento Servicios Personales indirectos","No aplica",IFERROR(VLOOKUP(J893,Listas!$A$127:$E$139,3,FALSE),"Alerta: Seleccione la celda en la comumna B con el nombre del proyecto")))</f>
        <v>Alerta: Seleccione la celda en la comumna B con el nombre del proyecto</v>
      </c>
      <c r="AL893" s="640" t="str">
        <f>IF(J893="Funcionamiento Gastos Generales","No aplica",IF(J893="Funcionamiento Servicios Personales","No aplica",IFERROR(VLOOKUP(J893,Listas!$A$220:$D$224,2,FALSE),"Alerta: Seleccione la celda en la comumna B con el nombre del proyecto")))</f>
        <v>Alerta: Seleccione la celda en la comumna B con el nombre del proyecto</v>
      </c>
      <c r="AM893" s="640" t="str">
        <f>IF(J893="Funcionamiento Gastos Generales","No aplica",IF(J893="Funcionamiento Servicios Personales","No aplica",IFERROR(VLOOKUP(J893,Listas!$A$220:$D$224,3,FALSE),"Alerta: Seleccione la celda en la comumna B con el nombre del proyecto")))</f>
        <v>Alerta: Seleccione la celda en la comumna B con el nombre del proyecto</v>
      </c>
      <c r="AN893" s="633"/>
      <c r="AO893" s="633"/>
      <c r="AP893" s="634" t="str">
        <f>IFERROR(VLOOKUP(J893,Listas!$A$182:$E$215,5,FALSE),"Alerta: Seleccione la celda en la comumna B con el nombre del proyecto")</f>
        <v>Alerta: Seleccione la celda en la comumna B con el nombre del proyecto</v>
      </c>
      <c r="AQ893" s="634" t="str">
        <f>IF(J893="Funcionamiento Gastos Generales","No aplica",IF(J893="Funcionamiento Servicios Personales","No aplica",IFERROR(VLOOKUP(J893,Listas!$A$220:$D$224,4,FALSE),"Alerta: Seleccione la celda en la comumna B con el nombre del proyecto")))</f>
        <v>Alerta: Seleccione la celda en la comumna B con el nombre del proyecto</v>
      </c>
      <c r="AR893" s="633"/>
      <c r="AS893" s="634" t="str">
        <f>IFERROR(VLOOKUP(AU893,Listas!$E$85:$L$105,7,FALSE),"Alerta: Seleccione la celda en la comumna AI con el concepto de gasto")</f>
        <v>Alerta: Seleccione la celda en la comumna AI con el concepto de gasto</v>
      </c>
      <c r="AT893" s="634" t="str">
        <f>IFERROR(VLOOKUP(AU893,Listas!$E$85:$L$105,8,FALSE),"Alerta: Seleccione la celda en la comumna AI con el concepto de gasto")</f>
        <v>Alerta: Seleccione la celda en la comumna AI con el concepto de gasto</v>
      </c>
      <c r="AU893" s="633"/>
      <c r="AV893" s="634" t="str">
        <f>IFERROR(VLOOKUP(AU893,Listas!$E$85:$F$105,2,FALSE),"Alerta: Seleccione el Concepto de Gasto primero")</f>
        <v>Alerta: Seleccione el Concepto de Gasto primero</v>
      </c>
      <c r="AW893" s="644"/>
      <c r="AX893" s="645"/>
      <c r="AY893" s="645"/>
      <c r="AZ893" s="645"/>
      <c r="BA893" s="646">
        <f t="shared" si="275"/>
        <v>0</v>
      </c>
      <c r="BB893" s="647"/>
      <c r="BC893" s="648"/>
      <c r="BD893" s="649"/>
      <c r="BE893" s="647"/>
      <c r="BF893" s="644"/>
      <c r="BG893" s="646">
        <f t="shared" si="276"/>
        <v>0</v>
      </c>
      <c r="BH893" s="650"/>
      <c r="BI893" s="647"/>
      <c r="BJ893" s="644"/>
      <c r="BK893" s="646">
        <f t="shared" si="277"/>
        <v>0</v>
      </c>
      <c r="BL893" s="651"/>
      <c r="BM893" s="652">
        <f t="shared" si="278"/>
        <v>1</v>
      </c>
      <c r="BN893" s="628"/>
      <c r="BO893" s="670"/>
      <c r="BP893" s="644"/>
      <c r="BQ893" s="644"/>
      <c r="BR893" s="644"/>
      <c r="BS893" s="644"/>
      <c r="BT893" s="644"/>
      <c r="BU893" s="644"/>
      <c r="BV893" s="644"/>
      <c r="BW893" s="644"/>
      <c r="BX893" s="644"/>
      <c r="BY893" s="644"/>
      <c r="BZ893" s="644"/>
      <c r="CA893" s="644"/>
      <c r="CB893" s="646">
        <f t="shared" si="279"/>
        <v>0</v>
      </c>
      <c r="CC893" s="646">
        <f t="shared" si="280"/>
        <v>0</v>
      </c>
      <c r="CD893" s="614"/>
    </row>
    <row r="894" spans="1:82" s="561" customFormat="1" ht="61.5" customHeight="1">
      <c r="A894" s="625" t="str">
        <f t="shared" si="262"/>
        <v>proyecto-Alerta: Seleccione la celda en la comumna B con el nombre del proyecto-Al-Al--</v>
      </c>
      <c r="B894" s="626" t="str">
        <f t="shared" si="263"/>
        <v>proyecto-Alerta: Seleccione la celda en la comumna B con el nombre del proyecto-Al-Al-</v>
      </c>
      <c r="C894" s="626" t="str">
        <f t="shared" si="264"/>
        <v>proyecto-Alerta: Seleccione la celda en la comumna B con el nombre del proyecto-</v>
      </c>
      <c r="D894" s="626" t="str">
        <f t="shared" si="265"/>
        <v>proyecto--Al-Al-</v>
      </c>
      <c r="E894" s="626" t="str">
        <f t="shared" si="266"/>
        <v>--</v>
      </c>
      <c r="F894" s="627"/>
      <c r="G894" s="628">
        <f t="shared" si="267"/>
        <v>0</v>
      </c>
      <c r="H894" s="629" t="b">
        <f t="shared" si="268"/>
        <v>1</v>
      </c>
      <c r="I894" s="630"/>
      <c r="J894" s="627"/>
      <c r="K894" s="631" t="str">
        <f>+IFERROR(VLOOKUP(J894,Listas!$A$108:$B$114,2,FALSE),"Alerta: Seleccione la celda en la comumna B con el nombre del proyecto")</f>
        <v>Alerta: Seleccione la celda en la comumna B con el nombre del proyecto</v>
      </c>
      <c r="L894" s="632"/>
      <c r="M894" s="633"/>
      <c r="N894" s="634" t="str">
        <f t="shared" si="269"/>
        <v xml:space="preserve">(Cód. ) </v>
      </c>
      <c r="O894" s="635"/>
      <c r="P894" s="636">
        <f>IFERROR(VLOOKUP(W894,'Estimación CRP'!$D$21:$E$30,2,FALSE),0)</f>
        <v>0</v>
      </c>
      <c r="Q894" s="637">
        <f>IF(O894="No aplica","No aplica",WORKDAY.INTL(O894,P894,1,'Estimación CRP'!A1080:A1096))</f>
        <v>0</v>
      </c>
      <c r="R894" s="636">
        <f t="shared" si="270"/>
        <v>1</v>
      </c>
      <c r="S894" s="636">
        <f t="shared" si="271"/>
        <v>1</v>
      </c>
      <c r="T894" s="636">
        <f t="shared" si="272"/>
        <v>1</v>
      </c>
      <c r="U894" s="638"/>
      <c r="V894" s="638"/>
      <c r="W894" s="639"/>
      <c r="X894" s="640" t="str">
        <f>IFERROR(VLOOKUP(W894,Listas!$A$60:$B$73,2,FALSE),"Alerta: Seleccione primero Modalidad de selección")</f>
        <v>Alerta: Seleccione primero Modalidad de selección</v>
      </c>
      <c r="Y894" s="641">
        <v>0</v>
      </c>
      <c r="Z894" s="641"/>
      <c r="AA894" s="641"/>
      <c r="AB894" s="642">
        <f t="shared" si="273"/>
        <v>0</v>
      </c>
      <c r="AC894" s="642">
        <f t="shared" si="274"/>
        <v>0</v>
      </c>
      <c r="AD894" s="641">
        <v>0</v>
      </c>
      <c r="AE894" s="643">
        <v>0</v>
      </c>
      <c r="AF894" s="639" t="s">
        <v>276</v>
      </c>
      <c r="AG894" s="639" t="s">
        <v>277</v>
      </c>
      <c r="AH894" s="639"/>
      <c r="AI894" s="626" t="str">
        <f>IFERROR(VLOOKUP(AH894,Listas!$A$77:$C$83,2,FALSE),"Alerta: Seleccione primero el responsable")</f>
        <v>Alerta: Seleccione primero el responsable</v>
      </c>
      <c r="AJ894" s="640" t="str">
        <f>IFERROR(VLOOKUP(AH894,Listas!$A$77:$C$83,3,FALSE),"Alerta: Seleccione primero el responsable")</f>
        <v>Alerta: Seleccione primero el responsable</v>
      </c>
      <c r="AK894" s="640" t="str">
        <f>IF(J894="Funcionamiento Gastos Generales","No aplica",IF(J894="Funcionamiento Servicios Personales indirectos","No aplica",IFERROR(VLOOKUP(J894,Listas!$A$127:$E$139,3,FALSE),"Alerta: Seleccione la celda en la comumna B con el nombre del proyecto")))</f>
        <v>Alerta: Seleccione la celda en la comumna B con el nombre del proyecto</v>
      </c>
      <c r="AL894" s="640" t="str">
        <f>IF(J894="Funcionamiento Gastos Generales","No aplica",IF(J894="Funcionamiento Servicios Personales","No aplica",IFERROR(VLOOKUP(J894,Listas!$A$220:$D$224,2,FALSE),"Alerta: Seleccione la celda en la comumna B con el nombre del proyecto")))</f>
        <v>Alerta: Seleccione la celda en la comumna B con el nombre del proyecto</v>
      </c>
      <c r="AM894" s="640" t="str">
        <f>IF(J894="Funcionamiento Gastos Generales","No aplica",IF(J894="Funcionamiento Servicios Personales","No aplica",IFERROR(VLOOKUP(J894,Listas!$A$220:$D$224,3,FALSE),"Alerta: Seleccione la celda en la comumna B con el nombre del proyecto")))</f>
        <v>Alerta: Seleccione la celda en la comumna B con el nombre del proyecto</v>
      </c>
      <c r="AN894" s="633"/>
      <c r="AO894" s="633"/>
      <c r="AP894" s="634" t="str">
        <f>IFERROR(VLOOKUP(J894,Listas!$A$182:$E$215,5,FALSE),"Alerta: Seleccione la celda en la comumna B con el nombre del proyecto")</f>
        <v>Alerta: Seleccione la celda en la comumna B con el nombre del proyecto</v>
      </c>
      <c r="AQ894" s="634" t="str">
        <f>IF(J894="Funcionamiento Gastos Generales","No aplica",IF(J894="Funcionamiento Servicios Personales","No aplica",IFERROR(VLOOKUP(J894,Listas!$A$220:$D$224,4,FALSE),"Alerta: Seleccione la celda en la comumna B con el nombre del proyecto")))</f>
        <v>Alerta: Seleccione la celda en la comumna B con el nombre del proyecto</v>
      </c>
      <c r="AR894" s="633"/>
      <c r="AS894" s="634" t="str">
        <f>IFERROR(VLOOKUP(AU894,Listas!$E$85:$L$105,7,FALSE),"Alerta: Seleccione la celda en la comumna AI con el concepto de gasto")</f>
        <v>Alerta: Seleccione la celda en la comumna AI con el concepto de gasto</v>
      </c>
      <c r="AT894" s="634" t="str">
        <f>IFERROR(VLOOKUP(AU894,Listas!$E$85:$L$105,8,FALSE),"Alerta: Seleccione la celda en la comumna AI con el concepto de gasto")</f>
        <v>Alerta: Seleccione la celda en la comumna AI con el concepto de gasto</v>
      </c>
      <c r="AU894" s="633"/>
      <c r="AV894" s="634" t="str">
        <f>IFERROR(VLOOKUP(AU894,Listas!$E$85:$F$105,2,FALSE),"Alerta: Seleccione el Concepto de Gasto primero")</f>
        <v>Alerta: Seleccione el Concepto de Gasto primero</v>
      </c>
      <c r="AW894" s="644"/>
      <c r="AX894" s="645"/>
      <c r="AY894" s="645"/>
      <c r="AZ894" s="645"/>
      <c r="BA894" s="646">
        <f t="shared" si="275"/>
        <v>0</v>
      </c>
      <c r="BB894" s="647"/>
      <c r="BC894" s="648"/>
      <c r="BD894" s="649"/>
      <c r="BE894" s="647"/>
      <c r="BF894" s="644"/>
      <c r="BG894" s="646">
        <f t="shared" si="276"/>
        <v>0</v>
      </c>
      <c r="BH894" s="650"/>
      <c r="BI894" s="647"/>
      <c r="BJ894" s="644"/>
      <c r="BK894" s="646">
        <f t="shared" si="277"/>
        <v>0</v>
      </c>
      <c r="BL894" s="651"/>
      <c r="BM894" s="652">
        <f t="shared" si="278"/>
        <v>1</v>
      </c>
      <c r="BN894" s="628"/>
      <c r="BO894" s="670"/>
      <c r="BP894" s="644"/>
      <c r="BQ894" s="644"/>
      <c r="BR894" s="644"/>
      <c r="BS894" s="644"/>
      <c r="BT894" s="644"/>
      <c r="BU894" s="644"/>
      <c r="BV894" s="644"/>
      <c r="BW894" s="644"/>
      <c r="BX894" s="644"/>
      <c r="BY894" s="644"/>
      <c r="BZ894" s="644"/>
      <c r="CA894" s="644"/>
      <c r="CB894" s="646">
        <f t="shared" si="279"/>
        <v>0</v>
      </c>
      <c r="CC894" s="646">
        <f t="shared" si="280"/>
        <v>0</v>
      </c>
      <c r="CD894" s="614"/>
    </row>
    <row r="895" spans="1:82" s="561" customFormat="1" ht="61.5" customHeight="1">
      <c r="A895" s="625" t="str">
        <f t="shared" si="262"/>
        <v>proyecto-Alerta: Seleccione la celda en la comumna B con el nombre del proyecto-Al-Al--</v>
      </c>
      <c r="B895" s="626" t="str">
        <f t="shared" si="263"/>
        <v>proyecto-Alerta: Seleccione la celda en la comumna B con el nombre del proyecto-Al-Al-</v>
      </c>
      <c r="C895" s="626" t="str">
        <f t="shared" si="264"/>
        <v>proyecto-Alerta: Seleccione la celda en la comumna B con el nombre del proyecto-</v>
      </c>
      <c r="D895" s="626" t="str">
        <f t="shared" si="265"/>
        <v>proyecto--Al-Al-</v>
      </c>
      <c r="E895" s="626" t="str">
        <f t="shared" si="266"/>
        <v>--</v>
      </c>
      <c r="F895" s="627"/>
      <c r="G895" s="628">
        <f t="shared" si="267"/>
        <v>0</v>
      </c>
      <c r="H895" s="629" t="b">
        <f t="shared" si="268"/>
        <v>1</v>
      </c>
      <c r="I895" s="630"/>
      <c r="J895" s="627"/>
      <c r="K895" s="631" t="str">
        <f>+IFERROR(VLOOKUP(J895,Listas!$A$108:$B$114,2,FALSE),"Alerta: Seleccione la celda en la comumna B con el nombre del proyecto")</f>
        <v>Alerta: Seleccione la celda en la comumna B con el nombre del proyecto</v>
      </c>
      <c r="L895" s="632"/>
      <c r="M895" s="633"/>
      <c r="N895" s="634" t="str">
        <f t="shared" si="269"/>
        <v xml:space="preserve">(Cód. ) </v>
      </c>
      <c r="O895" s="635"/>
      <c r="P895" s="636">
        <f>IFERROR(VLOOKUP(W895,'Estimación CRP'!$D$21:$E$30,2,FALSE),0)</f>
        <v>0</v>
      </c>
      <c r="Q895" s="637">
        <f>IF(O895="No aplica","No aplica",WORKDAY.INTL(O895,P895,1,'Estimación CRP'!A1081:A1097))</f>
        <v>0</v>
      </c>
      <c r="R895" s="636">
        <f t="shared" si="270"/>
        <v>1</v>
      </c>
      <c r="S895" s="636">
        <f t="shared" si="271"/>
        <v>1</v>
      </c>
      <c r="T895" s="636">
        <f t="shared" si="272"/>
        <v>1</v>
      </c>
      <c r="U895" s="638"/>
      <c r="V895" s="638"/>
      <c r="W895" s="639"/>
      <c r="X895" s="640" t="str">
        <f>IFERROR(VLOOKUP(W895,Listas!$A$60:$B$73,2,FALSE),"Alerta: Seleccione primero Modalidad de selección")</f>
        <v>Alerta: Seleccione primero Modalidad de selección</v>
      </c>
      <c r="Y895" s="641">
        <v>0</v>
      </c>
      <c r="Z895" s="641"/>
      <c r="AA895" s="641"/>
      <c r="AB895" s="642">
        <f t="shared" si="273"/>
        <v>0</v>
      </c>
      <c r="AC895" s="642">
        <f t="shared" si="274"/>
        <v>0</v>
      </c>
      <c r="AD895" s="641">
        <v>0</v>
      </c>
      <c r="AE895" s="643">
        <v>0</v>
      </c>
      <c r="AF895" s="639" t="s">
        <v>276</v>
      </c>
      <c r="AG895" s="639" t="s">
        <v>277</v>
      </c>
      <c r="AH895" s="639"/>
      <c r="AI895" s="626" t="str">
        <f>IFERROR(VLOOKUP(AH895,Listas!$A$77:$C$83,2,FALSE),"Alerta: Seleccione primero el responsable")</f>
        <v>Alerta: Seleccione primero el responsable</v>
      </c>
      <c r="AJ895" s="640" t="str">
        <f>IFERROR(VLOOKUP(AH895,Listas!$A$77:$C$83,3,FALSE),"Alerta: Seleccione primero el responsable")</f>
        <v>Alerta: Seleccione primero el responsable</v>
      </c>
      <c r="AK895" s="640" t="str">
        <f>IF(J895="Funcionamiento Gastos Generales","No aplica",IF(J895="Funcionamiento Servicios Personales indirectos","No aplica",IFERROR(VLOOKUP(J895,Listas!$A$127:$E$139,3,FALSE),"Alerta: Seleccione la celda en la comumna B con el nombre del proyecto")))</f>
        <v>Alerta: Seleccione la celda en la comumna B con el nombre del proyecto</v>
      </c>
      <c r="AL895" s="640" t="str">
        <f>IF(J895="Funcionamiento Gastos Generales","No aplica",IF(J895="Funcionamiento Servicios Personales","No aplica",IFERROR(VLOOKUP(J895,Listas!$A$220:$D$224,2,FALSE),"Alerta: Seleccione la celda en la comumna B con el nombre del proyecto")))</f>
        <v>Alerta: Seleccione la celda en la comumna B con el nombre del proyecto</v>
      </c>
      <c r="AM895" s="640" t="str">
        <f>IF(J895="Funcionamiento Gastos Generales","No aplica",IF(J895="Funcionamiento Servicios Personales","No aplica",IFERROR(VLOOKUP(J895,Listas!$A$220:$D$224,3,FALSE),"Alerta: Seleccione la celda en la comumna B con el nombre del proyecto")))</f>
        <v>Alerta: Seleccione la celda en la comumna B con el nombre del proyecto</v>
      </c>
      <c r="AN895" s="633"/>
      <c r="AO895" s="633"/>
      <c r="AP895" s="634" t="str">
        <f>IFERROR(VLOOKUP(J895,Listas!$A$182:$E$215,5,FALSE),"Alerta: Seleccione la celda en la comumna B con el nombre del proyecto")</f>
        <v>Alerta: Seleccione la celda en la comumna B con el nombre del proyecto</v>
      </c>
      <c r="AQ895" s="634" t="str">
        <f>IF(J895="Funcionamiento Gastos Generales","No aplica",IF(J895="Funcionamiento Servicios Personales","No aplica",IFERROR(VLOOKUP(J895,Listas!$A$220:$D$224,4,FALSE),"Alerta: Seleccione la celda en la comumna B con el nombre del proyecto")))</f>
        <v>Alerta: Seleccione la celda en la comumna B con el nombre del proyecto</v>
      </c>
      <c r="AR895" s="633"/>
      <c r="AS895" s="634" t="str">
        <f>IFERROR(VLOOKUP(AU895,Listas!$E$85:$L$105,7,FALSE),"Alerta: Seleccione la celda en la comumna AI con el concepto de gasto")</f>
        <v>Alerta: Seleccione la celda en la comumna AI con el concepto de gasto</v>
      </c>
      <c r="AT895" s="634" t="str">
        <f>IFERROR(VLOOKUP(AU895,Listas!$E$85:$L$105,8,FALSE),"Alerta: Seleccione la celda en la comumna AI con el concepto de gasto")</f>
        <v>Alerta: Seleccione la celda en la comumna AI con el concepto de gasto</v>
      </c>
      <c r="AU895" s="633"/>
      <c r="AV895" s="634" t="str">
        <f>IFERROR(VLOOKUP(AU895,Listas!$E$85:$F$105,2,FALSE),"Alerta: Seleccione el Concepto de Gasto primero")</f>
        <v>Alerta: Seleccione el Concepto de Gasto primero</v>
      </c>
      <c r="AW895" s="644"/>
      <c r="AX895" s="645"/>
      <c r="AY895" s="645"/>
      <c r="AZ895" s="645"/>
      <c r="BA895" s="646">
        <f t="shared" si="275"/>
        <v>0</v>
      </c>
      <c r="BB895" s="647"/>
      <c r="BC895" s="648"/>
      <c r="BD895" s="649"/>
      <c r="BE895" s="647"/>
      <c r="BF895" s="644"/>
      <c r="BG895" s="646">
        <f t="shared" si="276"/>
        <v>0</v>
      </c>
      <c r="BH895" s="650"/>
      <c r="BI895" s="647"/>
      <c r="BJ895" s="644"/>
      <c r="BK895" s="646">
        <f t="shared" si="277"/>
        <v>0</v>
      </c>
      <c r="BL895" s="651"/>
      <c r="BM895" s="652">
        <f t="shared" si="278"/>
        <v>1</v>
      </c>
      <c r="BN895" s="628"/>
      <c r="BO895" s="670"/>
      <c r="BP895" s="644"/>
      <c r="BQ895" s="644"/>
      <c r="BR895" s="644"/>
      <c r="BS895" s="644"/>
      <c r="BT895" s="644"/>
      <c r="BU895" s="644"/>
      <c r="BV895" s="644"/>
      <c r="BW895" s="644"/>
      <c r="BX895" s="644"/>
      <c r="BY895" s="644"/>
      <c r="BZ895" s="644"/>
      <c r="CA895" s="644"/>
      <c r="CB895" s="646">
        <f t="shared" si="279"/>
        <v>0</v>
      </c>
      <c r="CC895" s="646">
        <f t="shared" si="280"/>
        <v>0</v>
      </c>
      <c r="CD895" s="614"/>
    </row>
    <row r="896" spans="1:82" s="561" customFormat="1" ht="61.5" customHeight="1">
      <c r="A896" s="625" t="str">
        <f t="shared" si="262"/>
        <v>proyecto-Alerta: Seleccione la celda en la comumna B con el nombre del proyecto-Al-Al--</v>
      </c>
      <c r="B896" s="626" t="str">
        <f t="shared" si="263"/>
        <v>proyecto-Alerta: Seleccione la celda en la comumna B con el nombre del proyecto-Al-Al-</v>
      </c>
      <c r="C896" s="626" t="str">
        <f t="shared" si="264"/>
        <v>proyecto-Alerta: Seleccione la celda en la comumna B con el nombre del proyecto-</v>
      </c>
      <c r="D896" s="626" t="str">
        <f t="shared" si="265"/>
        <v>proyecto--Al-Al-</v>
      </c>
      <c r="E896" s="626" t="str">
        <f t="shared" si="266"/>
        <v>--</v>
      </c>
      <c r="F896" s="627"/>
      <c r="G896" s="628">
        <f t="shared" si="267"/>
        <v>0</v>
      </c>
      <c r="H896" s="629" t="b">
        <f t="shared" si="268"/>
        <v>1</v>
      </c>
      <c r="I896" s="630"/>
      <c r="J896" s="627"/>
      <c r="K896" s="631" t="str">
        <f>+IFERROR(VLOOKUP(J896,Listas!$A$108:$B$114,2,FALSE),"Alerta: Seleccione la celda en la comumna B con el nombre del proyecto")</f>
        <v>Alerta: Seleccione la celda en la comumna B con el nombre del proyecto</v>
      </c>
      <c r="L896" s="632"/>
      <c r="M896" s="633"/>
      <c r="N896" s="634" t="str">
        <f t="shared" si="269"/>
        <v xml:space="preserve">(Cód. ) </v>
      </c>
      <c r="O896" s="635"/>
      <c r="P896" s="636">
        <f>IFERROR(VLOOKUP(W896,'Estimación CRP'!$D$21:$E$30,2,FALSE),0)</f>
        <v>0</v>
      </c>
      <c r="Q896" s="637">
        <f>IF(O896="No aplica","No aplica",WORKDAY.INTL(O896,P896,1,'Estimación CRP'!A1082:A1098))</f>
        <v>0</v>
      </c>
      <c r="R896" s="636">
        <f t="shared" si="270"/>
        <v>1</v>
      </c>
      <c r="S896" s="636">
        <f t="shared" si="271"/>
        <v>1</v>
      </c>
      <c r="T896" s="636">
        <f t="shared" si="272"/>
        <v>1</v>
      </c>
      <c r="U896" s="638"/>
      <c r="V896" s="638"/>
      <c r="W896" s="639"/>
      <c r="X896" s="640" t="str">
        <f>IFERROR(VLOOKUP(W896,Listas!$A$60:$B$73,2,FALSE),"Alerta: Seleccione primero Modalidad de selección")</f>
        <v>Alerta: Seleccione primero Modalidad de selección</v>
      </c>
      <c r="Y896" s="641">
        <v>0</v>
      </c>
      <c r="Z896" s="641"/>
      <c r="AA896" s="641"/>
      <c r="AB896" s="642">
        <f t="shared" si="273"/>
        <v>0</v>
      </c>
      <c r="AC896" s="642">
        <f t="shared" si="274"/>
        <v>0</v>
      </c>
      <c r="AD896" s="641">
        <v>0</v>
      </c>
      <c r="AE896" s="643">
        <v>0</v>
      </c>
      <c r="AF896" s="639" t="s">
        <v>276</v>
      </c>
      <c r="AG896" s="639" t="s">
        <v>277</v>
      </c>
      <c r="AH896" s="639"/>
      <c r="AI896" s="626" t="str">
        <f>IFERROR(VLOOKUP(AH896,Listas!$A$77:$C$83,2,FALSE),"Alerta: Seleccione primero el responsable")</f>
        <v>Alerta: Seleccione primero el responsable</v>
      </c>
      <c r="AJ896" s="640" t="str">
        <f>IFERROR(VLOOKUP(AH896,Listas!$A$77:$C$83,3,FALSE),"Alerta: Seleccione primero el responsable")</f>
        <v>Alerta: Seleccione primero el responsable</v>
      </c>
      <c r="AK896" s="640" t="str">
        <f>IF(J896="Funcionamiento Gastos Generales","No aplica",IF(J896="Funcionamiento Servicios Personales indirectos","No aplica",IFERROR(VLOOKUP(J896,Listas!$A$127:$E$139,3,FALSE),"Alerta: Seleccione la celda en la comumna B con el nombre del proyecto")))</f>
        <v>Alerta: Seleccione la celda en la comumna B con el nombre del proyecto</v>
      </c>
      <c r="AL896" s="640" t="str">
        <f>IF(J896="Funcionamiento Gastos Generales","No aplica",IF(J896="Funcionamiento Servicios Personales","No aplica",IFERROR(VLOOKUP(J896,Listas!$A$220:$D$224,2,FALSE),"Alerta: Seleccione la celda en la comumna B con el nombre del proyecto")))</f>
        <v>Alerta: Seleccione la celda en la comumna B con el nombre del proyecto</v>
      </c>
      <c r="AM896" s="640" t="str">
        <f>IF(J896="Funcionamiento Gastos Generales","No aplica",IF(J896="Funcionamiento Servicios Personales","No aplica",IFERROR(VLOOKUP(J896,Listas!$A$220:$D$224,3,FALSE),"Alerta: Seleccione la celda en la comumna B con el nombre del proyecto")))</f>
        <v>Alerta: Seleccione la celda en la comumna B con el nombre del proyecto</v>
      </c>
      <c r="AN896" s="633"/>
      <c r="AO896" s="633"/>
      <c r="AP896" s="634" t="str">
        <f>IFERROR(VLOOKUP(J896,Listas!$A$182:$E$215,5,FALSE),"Alerta: Seleccione la celda en la comumna B con el nombre del proyecto")</f>
        <v>Alerta: Seleccione la celda en la comumna B con el nombre del proyecto</v>
      </c>
      <c r="AQ896" s="634" t="str">
        <f>IF(J896="Funcionamiento Gastos Generales","No aplica",IF(J896="Funcionamiento Servicios Personales","No aplica",IFERROR(VLOOKUP(J896,Listas!$A$220:$D$224,4,FALSE),"Alerta: Seleccione la celda en la comumna B con el nombre del proyecto")))</f>
        <v>Alerta: Seleccione la celda en la comumna B con el nombre del proyecto</v>
      </c>
      <c r="AR896" s="633"/>
      <c r="AS896" s="634" t="str">
        <f>IFERROR(VLOOKUP(AU896,Listas!$E$85:$L$105,7,FALSE),"Alerta: Seleccione la celda en la comumna AI con el concepto de gasto")</f>
        <v>Alerta: Seleccione la celda en la comumna AI con el concepto de gasto</v>
      </c>
      <c r="AT896" s="634" t="str">
        <f>IFERROR(VLOOKUP(AU896,Listas!$E$85:$L$105,8,FALSE),"Alerta: Seleccione la celda en la comumna AI con el concepto de gasto")</f>
        <v>Alerta: Seleccione la celda en la comumna AI con el concepto de gasto</v>
      </c>
      <c r="AU896" s="633"/>
      <c r="AV896" s="634" t="str">
        <f>IFERROR(VLOOKUP(AU896,Listas!$E$85:$F$105,2,FALSE),"Alerta: Seleccione el Concepto de Gasto primero")</f>
        <v>Alerta: Seleccione el Concepto de Gasto primero</v>
      </c>
      <c r="AW896" s="644"/>
      <c r="AX896" s="645"/>
      <c r="AY896" s="645"/>
      <c r="AZ896" s="645"/>
      <c r="BA896" s="646">
        <f t="shared" si="275"/>
        <v>0</v>
      </c>
      <c r="BB896" s="647"/>
      <c r="BC896" s="648"/>
      <c r="BD896" s="649"/>
      <c r="BE896" s="647"/>
      <c r="BF896" s="644"/>
      <c r="BG896" s="646">
        <f t="shared" si="276"/>
        <v>0</v>
      </c>
      <c r="BH896" s="650"/>
      <c r="BI896" s="647"/>
      <c r="BJ896" s="644"/>
      <c r="BK896" s="646">
        <f t="shared" si="277"/>
        <v>0</v>
      </c>
      <c r="BL896" s="651"/>
      <c r="BM896" s="652">
        <f t="shared" si="278"/>
        <v>1</v>
      </c>
      <c r="BN896" s="628"/>
      <c r="BO896" s="670"/>
      <c r="BP896" s="644"/>
      <c r="BQ896" s="644"/>
      <c r="BR896" s="644"/>
      <c r="BS896" s="644"/>
      <c r="BT896" s="644"/>
      <c r="BU896" s="644"/>
      <c r="BV896" s="644"/>
      <c r="BW896" s="644"/>
      <c r="BX896" s="644"/>
      <c r="BY896" s="644"/>
      <c r="BZ896" s="644"/>
      <c r="CA896" s="644"/>
      <c r="CB896" s="646">
        <f t="shared" si="279"/>
        <v>0</v>
      </c>
      <c r="CC896" s="646">
        <f t="shared" si="280"/>
        <v>0</v>
      </c>
      <c r="CD896" s="614"/>
    </row>
    <row r="897" spans="1:82" s="561" customFormat="1" ht="61.5" customHeight="1">
      <c r="A897" s="625" t="str">
        <f t="shared" si="262"/>
        <v>proyecto-Alerta: Seleccione la celda en la comumna B con el nombre del proyecto-Al-Al--</v>
      </c>
      <c r="B897" s="626" t="str">
        <f t="shared" si="263"/>
        <v>proyecto-Alerta: Seleccione la celda en la comumna B con el nombre del proyecto-Al-Al-</v>
      </c>
      <c r="C897" s="626" t="str">
        <f t="shared" si="264"/>
        <v>proyecto-Alerta: Seleccione la celda en la comumna B con el nombre del proyecto-</v>
      </c>
      <c r="D897" s="626" t="str">
        <f t="shared" si="265"/>
        <v>proyecto--Al-Al-</v>
      </c>
      <c r="E897" s="626" t="str">
        <f t="shared" si="266"/>
        <v>--</v>
      </c>
      <c r="F897" s="627"/>
      <c r="G897" s="628">
        <f t="shared" si="267"/>
        <v>0</v>
      </c>
      <c r="H897" s="629" t="b">
        <f t="shared" si="268"/>
        <v>1</v>
      </c>
      <c r="I897" s="630"/>
      <c r="J897" s="627"/>
      <c r="K897" s="631" t="str">
        <f>+IFERROR(VLOOKUP(J897,Listas!$A$108:$B$114,2,FALSE),"Alerta: Seleccione la celda en la comumna B con el nombre del proyecto")</f>
        <v>Alerta: Seleccione la celda en la comumna B con el nombre del proyecto</v>
      </c>
      <c r="L897" s="632"/>
      <c r="M897" s="633"/>
      <c r="N897" s="634" t="str">
        <f t="shared" si="269"/>
        <v xml:space="preserve">(Cód. ) </v>
      </c>
      <c r="O897" s="635"/>
      <c r="P897" s="636">
        <f>IFERROR(VLOOKUP(W897,'Estimación CRP'!$D$21:$E$30,2,FALSE),0)</f>
        <v>0</v>
      </c>
      <c r="Q897" s="637">
        <f>IF(O897="No aplica","No aplica",WORKDAY.INTL(O897,P897,1,'Estimación CRP'!A1083:A1099))</f>
        <v>0</v>
      </c>
      <c r="R897" s="636">
        <f t="shared" si="270"/>
        <v>1</v>
      </c>
      <c r="S897" s="636">
        <f t="shared" si="271"/>
        <v>1</v>
      </c>
      <c r="T897" s="636">
        <f t="shared" si="272"/>
        <v>1</v>
      </c>
      <c r="U897" s="638"/>
      <c r="V897" s="638"/>
      <c r="W897" s="639"/>
      <c r="X897" s="640" t="str">
        <f>IFERROR(VLOOKUP(W897,Listas!$A$60:$B$73,2,FALSE),"Alerta: Seleccione primero Modalidad de selección")</f>
        <v>Alerta: Seleccione primero Modalidad de selección</v>
      </c>
      <c r="Y897" s="641">
        <v>0</v>
      </c>
      <c r="Z897" s="641"/>
      <c r="AA897" s="641"/>
      <c r="AB897" s="642">
        <f t="shared" si="273"/>
        <v>0</v>
      </c>
      <c r="AC897" s="642">
        <f t="shared" si="274"/>
        <v>0</v>
      </c>
      <c r="AD897" s="641">
        <v>0</v>
      </c>
      <c r="AE897" s="643">
        <v>0</v>
      </c>
      <c r="AF897" s="639" t="s">
        <v>276</v>
      </c>
      <c r="AG897" s="639" t="s">
        <v>277</v>
      </c>
      <c r="AH897" s="639"/>
      <c r="AI897" s="626" t="str">
        <f>IFERROR(VLOOKUP(AH897,Listas!$A$77:$C$83,2,FALSE),"Alerta: Seleccione primero el responsable")</f>
        <v>Alerta: Seleccione primero el responsable</v>
      </c>
      <c r="AJ897" s="640" t="str">
        <f>IFERROR(VLOOKUP(AH897,Listas!$A$77:$C$83,3,FALSE),"Alerta: Seleccione primero el responsable")</f>
        <v>Alerta: Seleccione primero el responsable</v>
      </c>
      <c r="AK897" s="640" t="str">
        <f>IF(J897="Funcionamiento Gastos Generales","No aplica",IF(J897="Funcionamiento Servicios Personales indirectos","No aplica",IFERROR(VLOOKUP(J897,Listas!$A$127:$E$139,3,FALSE),"Alerta: Seleccione la celda en la comumna B con el nombre del proyecto")))</f>
        <v>Alerta: Seleccione la celda en la comumna B con el nombre del proyecto</v>
      </c>
      <c r="AL897" s="640" t="str">
        <f>IF(J897="Funcionamiento Gastos Generales","No aplica",IF(J897="Funcionamiento Servicios Personales","No aplica",IFERROR(VLOOKUP(J897,Listas!$A$220:$D$224,2,FALSE),"Alerta: Seleccione la celda en la comumna B con el nombre del proyecto")))</f>
        <v>Alerta: Seleccione la celda en la comumna B con el nombre del proyecto</v>
      </c>
      <c r="AM897" s="640" t="str">
        <f>IF(J897="Funcionamiento Gastos Generales","No aplica",IF(J897="Funcionamiento Servicios Personales","No aplica",IFERROR(VLOOKUP(J897,Listas!$A$220:$D$224,3,FALSE),"Alerta: Seleccione la celda en la comumna B con el nombre del proyecto")))</f>
        <v>Alerta: Seleccione la celda en la comumna B con el nombre del proyecto</v>
      </c>
      <c r="AN897" s="633"/>
      <c r="AO897" s="633"/>
      <c r="AP897" s="634" t="str">
        <f>IFERROR(VLOOKUP(J897,Listas!$A$182:$E$215,5,FALSE),"Alerta: Seleccione la celda en la comumna B con el nombre del proyecto")</f>
        <v>Alerta: Seleccione la celda en la comumna B con el nombre del proyecto</v>
      </c>
      <c r="AQ897" s="634" t="str">
        <f>IF(J897="Funcionamiento Gastos Generales","No aplica",IF(J897="Funcionamiento Servicios Personales","No aplica",IFERROR(VLOOKUP(J897,Listas!$A$220:$D$224,4,FALSE),"Alerta: Seleccione la celda en la comumna B con el nombre del proyecto")))</f>
        <v>Alerta: Seleccione la celda en la comumna B con el nombre del proyecto</v>
      </c>
      <c r="AR897" s="633"/>
      <c r="AS897" s="634" t="str">
        <f>IFERROR(VLOOKUP(AU897,Listas!$E$85:$L$105,7,FALSE),"Alerta: Seleccione la celda en la comumna AI con el concepto de gasto")</f>
        <v>Alerta: Seleccione la celda en la comumna AI con el concepto de gasto</v>
      </c>
      <c r="AT897" s="634" t="str">
        <f>IFERROR(VLOOKUP(AU897,Listas!$E$85:$L$105,8,FALSE),"Alerta: Seleccione la celda en la comumna AI con el concepto de gasto")</f>
        <v>Alerta: Seleccione la celda en la comumna AI con el concepto de gasto</v>
      </c>
      <c r="AU897" s="633"/>
      <c r="AV897" s="634" t="str">
        <f>IFERROR(VLOOKUP(AU897,Listas!$E$85:$F$105,2,FALSE),"Alerta: Seleccione el Concepto de Gasto primero")</f>
        <v>Alerta: Seleccione el Concepto de Gasto primero</v>
      </c>
      <c r="AW897" s="644"/>
      <c r="AX897" s="645"/>
      <c r="AY897" s="645"/>
      <c r="AZ897" s="645"/>
      <c r="BA897" s="646">
        <f t="shared" si="275"/>
        <v>0</v>
      </c>
      <c r="BB897" s="647"/>
      <c r="BC897" s="648"/>
      <c r="BD897" s="649"/>
      <c r="BE897" s="647"/>
      <c r="BF897" s="644"/>
      <c r="BG897" s="646">
        <f t="shared" si="276"/>
        <v>0</v>
      </c>
      <c r="BH897" s="650"/>
      <c r="BI897" s="647"/>
      <c r="BJ897" s="644"/>
      <c r="BK897" s="646">
        <f t="shared" si="277"/>
        <v>0</v>
      </c>
      <c r="BL897" s="651"/>
      <c r="BM897" s="652">
        <f t="shared" si="278"/>
        <v>1</v>
      </c>
      <c r="BN897" s="628"/>
      <c r="BO897" s="670"/>
      <c r="BP897" s="644"/>
      <c r="BQ897" s="644"/>
      <c r="BR897" s="644"/>
      <c r="BS897" s="644"/>
      <c r="BT897" s="644"/>
      <c r="BU897" s="644"/>
      <c r="BV897" s="644"/>
      <c r="BW897" s="644"/>
      <c r="BX897" s="644"/>
      <c r="BY897" s="644"/>
      <c r="BZ897" s="644"/>
      <c r="CA897" s="644"/>
      <c r="CB897" s="646">
        <f t="shared" si="279"/>
        <v>0</v>
      </c>
      <c r="CC897" s="646">
        <f t="shared" si="280"/>
        <v>0</v>
      </c>
      <c r="CD897" s="614"/>
    </row>
    <row r="898" spans="1:82" s="561" customFormat="1" ht="61.5" customHeight="1">
      <c r="A898" s="625" t="str">
        <f t="shared" si="262"/>
        <v>proyecto-Alerta: Seleccione la celda en la comumna B con el nombre del proyecto-Al-Al--</v>
      </c>
      <c r="B898" s="626" t="str">
        <f t="shared" si="263"/>
        <v>proyecto-Alerta: Seleccione la celda en la comumna B con el nombre del proyecto-Al-Al-</v>
      </c>
      <c r="C898" s="626" t="str">
        <f t="shared" si="264"/>
        <v>proyecto-Alerta: Seleccione la celda en la comumna B con el nombre del proyecto-</v>
      </c>
      <c r="D898" s="626" t="str">
        <f t="shared" si="265"/>
        <v>proyecto--Al-Al-</v>
      </c>
      <c r="E898" s="626" t="str">
        <f t="shared" si="266"/>
        <v>--</v>
      </c>
      <c r="F898" s="627"/>
      <c r="G898" s="628">
        <f t="shared" si="267"/>
        <v>0</v>
      </c>
      <c r="H898" s="629" t="b">
        <f t="shared" si="268"/>
        <v>1</v>
      </c>
      <c r="I898" s="630"/>
      <c r="J898" s="627"/>
      <c r="K898" s="631" t="str">
        <f>+IFERROR(VLOOKUP(J898,Listas!$A$108:$B$114,2,FALSE),"Alerta: Seleccione la celda en la comumna B con el nombre del proyecto")</f>
        <v>Alerta: Seleccione la celda en la comumna B con el nombre del proyecto</v>
      </c>
      <c r="L898" s="632"/>
      <c r="M898" s="633"/>
      <c r="N898" s="634" t="str">
        <f t="shared" si="269"/>
        <v xml:space="preserve">(Cód. ) </v>
      </c>
      <c r="O898" s="635"/>
      <c r="P898" s="636">
        <f>IFERROR(VLOOKUP(W898,'Estimación CRP'!$D$21:$E$30,2,FALSE),0)</f>
        <v>0</v>
      </c>
      <c r="Q898" s="637">
        <f>IF(O898="No aplica","No aplica",WORKDAY.INTL(O898,P898,1,'Estimación CRP'!A1084:A1100))</f>
        <v>0</v>
      </c>
      <c r="R898" s="636">
        <f t="shared" si="270"/>
        <v>1</v>
      </c>
      <c r="S898" s="636">
        <f t="shared" si="271"/>
        <v>1</v>
      </c>
      <c r="T898" s="636">
        <f t="shared" si="272"/>
        <v>1</v>
      </c>
      <c r="U898" s="638"/>
      <c r="V898" s="638"/>
      <c r="W898" s="639"/>
      <c r="X898" s="640" t="str">
        <f>IFERROR(VLOOKUP(W898,Listas!$A$60:$B$73,2,FALSE),"Alerta: Seleccione primero Modalidad de selección")</f>
        <v>Alerta: Seleccione primero Modalidad de selección</v>
      </c>
      <c r="Y898" s="641">
        <v>0</v>
      </c>
      <c r="Z898" s="641"/>
      <c r="AA898" s="641"/>
      <c r="AB898" s="642">
        <f t="shared" si="273"/>
        <v>0</v>
      </c>
      <c r="AC898" s="642">
        <f t="shared" si="274"/>
        <v>0</v>
      </c>
      <c r="AD898" s="641">
        <v>0</v>
      </c>
      <c r="AE898" s="643">
        <v>0</v>
      </c>
      <c r="AF898" s="639" t="s">
        <v>276</v>
      </c>
      <c r="AG898" s="639" t="s">
        <v>277</v>
      </c>
      <c r="AH898" s="639"/>
      <c r="AI898" s="626" t="str">
        <f>IFERROR(VLOOKUP(AH898,Listas!$A$77:$C$83,2,FALSE),"Alerta: Seleccione primero el responsable")</f>
        <v>Alerta: Seleccione primero el responsable</v>
      </c>
      <c r="AJ898" s="640" t="str">
        <f>IFERROR(VLOOKUP(AH898,Listas!$A$77:$C$83,3,FALSE),"Alerta: Seleccione primero el responsable")</f>
        <v>Alerta: Seleccione primero el responsable</v>
      </c>
      <c r="AK898" s="640" t="str">
        <f>IF(J898="Funcionamiento Gastos Generales","No aplica",IF(J898="Funcionamiento Servicios Personales indirectos","No aplica",IFERROR(VLOOKUP(J898,Listas!$A$127:$E$139,3,FALSE),"Alerta: Seleccione la celda en la comumna B con el nombre del proyecto")))</f>
        <v>Alerta: Seleccione la celda en la comumna B con el nombre del proyecto</v>
      </c>
      <c r="AL898" s="640" t="str">
        <f>IF(J898="Funcionamiento Gastos Generales","No aplica",IF(J898="Funcionamiento Servicios Personales","No aplica",IFERROR(VLOOKUP(J898,Listas!$A$220:$D$224,2,FALSE),"Alerta: Seleccione la celda en la comumna B con el nombre del proyecto")))</f>
        <v>Alerta: Seleccione la celda en la comumna B con el nombre del proyecto</v>
      </c>
      <c r="AM898" s="640" t="str">
        <f>IF(J898="Funcionamiento Gastos Generales","No aplica",IF(J898="Funcionamiento Servicios Personales","No aplica",IFERROR(VLOOKUP(J898,Listas!$A$220:$D$224,3,FALSE),"Alerta: Seleccione la celda en la comumna B con el nombre del proyecto")))</f>
        <v>Alerta: Seleccione la celda en la comumna B con el nombre del proyecto</v>
      </c>
      <c r="AN898" s="633"/>
      <c r="AO898" s="633"/>
      <c r="AP898" s="634" t="str">
        <f>IFERROR(VLOOKUP(J898,Listas!$A$182:$E$215,5,FALSE),"Alerta: Seleccione la celda en la comumna B con el nombre del proyecto")</f>
        <v>Alerta: Seleccione la celda en la comumna B con el nombre del proyecto</v>
      </c>
      <c r="AQ898" s="634" t="str">
        <f>IF(J898="Funcionamiento Gastos Generales","No aplica",IF(J898="Funcionamiento Servicios Personales","No aplica",IFERROR(VLOOKUP(J898,Listas!$A$220:$D$224,4,FALSE),"Alerta: Seleccione la celda en la comumna B con el nombre del proyecto")))</f>
        <v>Alerta: Seleccione la celda en la comumna B con el nombre del proyecto</v>
      </c>
      <c r="AR898" s="633"/>
      <c r="AS898" s="634" t="str">
        <f>IFERROR(VLOOKUP(AU898,Listas!$E$85:$L$105,7,FALSE),"Alerta: Seleccione la celda en la comumna AI con el concepto de gasto")</f>
        <v>Alerta: Seleccione la celda en la comumna AI con el concepto de gasto</v>
      </c>
      <c r="AT898" s="634" t="str">
        <f>IFERROR(VLOOKUP(AU898,Listas!$E$85:$L$105,8,FALSE),"Alerta: Seleccione la celda en la comumna AI con el concepto de gasto")</f>
        <v>Alerta: Seleccione la celda en la comumna AI con el concepto de gasto</v>
      </c>
      <c r="AU898" s="633"/>
      <c r="AV898" s="634" t="str">
        <f>IFERROR(VLOOKUP(AU898,Listas!$E$85:$F$105,2,FALSE),"Alerta: Seleccione el Concepto de Gasto primero")</f>
        <v>Alerta: Seleccione el Concepto de Gasto primero</v>
      </c>
      <c r="AW898" s="644"/>
      <c r="AX898" s="645"/>
      <c r="AY898" s="645"/>
      <c r="AZ898" s="645"/>
      <c r="BA898" s="646">
        <f t="shared" si="275"/>
        <v>0</v>
      </c>
      <c r="BB898" s="647"/>
      <c r="BC898" s="648"/>
      <c r="BD898" s="649"/>
      <c r="BE898" s="647"/>
      <c r="BF898" s="644"/>
      <c r="BG898" s="646">
        <f t="shared" si="276"/>
        <v>0</v>
      </c>
      <c r="BH898" s="650"/>
      <c r="BI898" s="647"/>
      <c r="BJ898" s="644"/>
      <c r="BK898" s="646">
        <f t="shared" si="277"/>
        <v>0</v>
      </c>
      <c r="BL898" s="651"/>
      <c r="BM898" s="652">
        <f t="shared" si="278"/>
        <v>1</v>
      </c>
      <c r="BN898" s="628"/>
      <c r="BO898" s="670"/>
      <c r="BP898" s="644"/>
      <c r="BQ898" s="644"/>
      <c r="BR898" s="644"/>
      <c r="BS898" s="644"/>
      <c r="BT898" s="644"/>
      <c r="BU898" s="644"/>
      <c r="BV898" s="644"/>
      <c r="BW898" s="644"/>
      <c r="BX898" s="644"/>
      <c r="BY898" s="644"/>
      <c r="BZ898" s="644"/>
      <c r="CA898" s="644"/>
      <c r="CB898" s="646">
        <f t="shared" si="279"/>
        <v>0</v>
      </c>
      <c r="CC898" s="646">
        <f t="shared" si="280"/>
        <v>0</v>
      </c>
      <c r="CD898" s="614"/>
    </row>
    <row r="899" spans="1:82" s="561" customFormat="1" ht="61.5" customHeight="1">
      <c r="A899" s="625" t="str">
        <f t="shared" si="262"/>
        <v>proyecto-Alerta: Seleccione la celda en la comumna B con el nombre del proyecto-Al-Al--</v>
      </c>
      <c r="B899" s="626" t="str">
        <f t="shared" si="263"/>
        <v>proyecto-Alerta: Seleccione la celda en la comumna B con el nombre del proyecto-Al-Al-</v>
      </c>
      <c r="C899" s="626" t="str">
        <f t="shared" si="264"/>
        <v>proyecto-Alerta: Seleccione la celda en la comumna B con el nombre del proyecto-</v>
      </c>
      <c r="D899" s="626" t="str">
        <f t="shared" si="265"/>
        <v>proyecto--Al-Al-</v>
      </c>
      <c r="E899" s="626" t="str">
        <f t="shared" si="266"/>
        <v>--</v>
      </c>
      <c r="F899" s="627"/>
      <c r="G899" s="628">
        <f t="shared" si="267"/>
        <v>0</v>
      </c>
      <c r="H899" s="629" t="b">
        <f t="shared" si="268"/>
        <v>1</v>
      </c>
      <c r="I899" s="630"/>
      <c r="J899" s="627"/>
      <c r="K899" s="631" t="str">
        <f>+IFERROR(VLOOKUP(J899,Listas!$A$108:$B$114,2,FALSE),"Alerta: Seleccione la celda en la comumna B con el nombre del proyecto")</f>
        <v>Alerta: Seleccione la celda en la comumna B con el nombre del proyecto</v>
      </c>
      <c r="L899" s="632"/>
      <c r="M899" s="633"/>
      <c r="N899" s="634" t="str">
        <f t="shared" si="269"/>
        <v xml:space="preserve">(Cód. ) </v>
      </c>
      <c r="O899" s="635"/>
      <c r="P899" s="636">
        <f>IFERROR(VLOOKUP(W899,'Estimación CRP'!$D$21:$E$30,2,FALSE),0)</f>
        <v>0</v>
      </c>
      <c r="Q899" s="637">
        <f>IF(O899="No aplica","No aplica",WORKDAY.INTL(O899,P899,1,'Estimación CRP'!A1085:A1101))</f>
        <v>0</v>
      </c>
      <c r="R899" s="636">
        <f t="shared" si="270"/>
        <v>1</v>
      </c>
      <c r="S899" s="636">
        <f t="shared" si="271"/>
        <v>1</v>
      </c>
      <c r="T899" s="636">
        <f t="shared" si="272"/>
        <v>1</v>
      </c>
      <c r="U899" s="638"/>
      <c r="V899" s="638"/>
      <c r="W899" s="639"/>
      <c r="X899" s="640" t="str">
        <f>IFERROR(VLOOKUP(W899,Listas!$A$60:$B$73,2,FALSE),"Alerta: Seleccione primero Modalidad de selección")</f>
        <v>Alerta: Seleccione primero Modalidad de selección</v>
      </c>
      <c r="Y899" s="641">
        <v>0</v>
      </c>
      <c r="Z899" s="641"/>
      <c r="AA899" s="641"/>
      <c r="AB899" s="642">
        <f t="shared" si="273"/>
        <v>0</v>
      </c>
      <c r="AC899" s="642">
        <f t="shared" si="274"/>
        <v>0</v>
      </c>
      <c r="AD899" s="641">
        <v>0</v>
      </c>
      <c r="AE899" s="643">
        <v>0</v>
      </c>
      <c r="AF899" s="639" t="s">
        <v>276</v>
      </c>
      <c r="AG899" s="639" t="s">
        <v>277</v>
      </c>
      <c r="AH899" s="639"/>
      <c r="AI899" s="626" t="str">
        <f>IFERROR(VLOOKUP(AH899,Listas!$A$77:$C$83,2,FALSE),"Alerta: Seleccione primero el responsable")</f>
        <v>Alerta: Seleccione primero el responsable</v>
      </c>
      <c r="AJ899" s="640" t="str">
        <f>IFERROR(VLOOKUP(AH899,Listas!$A$77:$C$83,3,FALSE),"Alerta: Seleccione primero el responsable")</f>
        <v>Alerta: Seleccione primero el responsable</v>
      </c>
      <c r="AK899" s="640" t="str">
        <f>IF(J899="Funcionamiento Gastos Generales","No aplica",IF(J899="Funcionamiento Servicios Personales indirectos","No aplica",IFERROR(VLOOKUP(J899,Listas!$A$127:$E$139,3,FALSE),"Alerta: Seleccione la celda en la comumna B con el nombre del proyecto")))</f>
        <v>Alerta: Seleccione la celda en la comumna B con el nombre del proyecto</v>
      </c>
      <c r="AL899" s="640" t="str">
        <f>IF(J899="Funcionamiento Gastos Generales","No aplica",IF(J899="Funcionamiento Servicios Personales","No aplica",IFERROR(VLOOKUP(J899,Listas!$A$220:$D$224,2,FALSE),"Alerta: Seleccione la celda en la comumna B con el nombre del proyecto")))</f>
        <v>Alerta: Seleccione la celda en la comumna B con el nombre del proyecto</v>
      </c>
      <c r="AM899" s="640" t="str">
        <f>IF(J899="Funcionamiento Gastos Generales","No aplica",IF(J899="Funcionamiento Servicios Personales","No aplica",IFERROR(VLOOKUP(J899,Listas!$A$220:$D$224,3,FALSE),"Alerta: Seleccione la celda en la comumna B con el nombre del proyecto")))</f>
        <v>Alerta: Seleccione la celda en la comumna B con el nombre del proyecto</v>
      </c>
      <c r="AN899" s="633"/>
      <c r="AO899" s="633"/>
      <c r="AP899" s="634" t="str">
        <f>IFERROR(VLOOKUP(J899,Listas!$A$182:$E$215,5,FALSE),"Alerta: Seleccione la celda en la comumna B con el nombre del proyecto")</f>
        <v>Alerta: Seleccione la celda en la comumna B con el nombre del proyecto</v>
      </c>
      <c r="AQ899" s="634" t="str">
        <f>IF(J899="Funcionamiento Gastos Generales","No aplica",IF(J899="Funcionamiento Servicios Personales","No aplica",IFERROR(VLOOKUP(J899,Listas!$A$220:$D$224,4,FALSE),"Alerta: Seleccione la celda en la comumna B con el nombre del proyecto")))</f>
        <v>Alerta: Seleccione la celda en la comumna B con el nombre del proyecto</v>
      </c>
      <c r="AR899" s="633"/>
      <c r="AS899" s="634" t="str">
        <f>IFERROR(VLOOKUP(AU899,Listas!$E$85:$L$105,7,FALSE),"Alerta: Seleccione la celda en la comumna AI con el concepto de gasto")</f>
        <v>Alerta: Seleccione la celda en la comumna AI con el concepto de gasto</v>
      </c>
      <c r="AT899" s="634" t="str">
        <f>IFERROR(VLOOKUP(AU899,Listas!$E$85:$L$105,8,FALSE),"Alerta: Seleccione la celda en la comumna AI con el concepto de gasto")</f>
        <v>Alerta: Seleccione la celda en la comumna AI con el concepto de gasto</v>
      </c>
      <c r="AU899" s="633"/>
      <c r="AV899" s="634" t="str">
        <f>IFERROR(VLOOKUP(AU899,Listas!$E$85:$F$105,2,FALSE),"Alerta: Seleccione el Concepto de Gasto primero")</f>
        <v>Alerta: Seleccione el Concepto de Gasto primero</v>
      </c>
      <c r="AW899" s="644"/>
      <c r="AX899" s="645"/>
      <c r="AY899" s="645"/>
      <c r="AZ899" s="645"/>
      <c r="BA899" s="646">
        <f t="shared" si="275"/>
        <v>0</v>
      </c>
      <c r="BB899" s="647"/>
      <c r="BC899" s="648"/>
      <c r="BD899" s="649"/>
      <c r="BE899" s="647"/>
      <c r="BF899" s="644"/>
      <c r="BG899" s="646">
        <f t="shared" si="276"/>
        <v>0</v>
      </c>
      <c r="BH899" s="650"/>
      <c r="BI899" s="647"/>
      <c r="BJ899" s="644"/>
      <c r="BK899" s="646">
        <f t="shared" si="277"/>
        <v>0</v>
      </c>
      <c r="BL899" s="651"/>
      <c r="BM899" s="652">
        <f t="shared" si="278"/>
        <v>1</v>
      </c>
      <c r="BN899" s="628"/>
      <c r="BO899" s="670"/>
      <c r="BP899" s="644"/>
      <c r="BQ899" s="644"/>
      <c r="BR899" s="644"/>
      <c r="BS899" s="644"/>
      <c r="BT899" s="644"/>
      <c r="BU899" s="644"/>
      <c r="BV899" s="644"/>
      <c r="BW899" s="644"/>
      <c r="BX899" s="644"/>
      <c r="BY899" s="644"/>
      <c r="BZ899" s="644"/>
      <c r="CA899" s="644"/>
      <c r="CB899" s="646">
        <f t="shared" si="279"/>
        <v>0</v>
      </c>
      <c r="CC899" s="646">
        <f t="shared" si="280"/>
        <v>0</v>
      </c>
      <c r="CD899" s="614"/>
    </row>
    <row r="900" spans="1:82" s="561" customFormat="1" ht="61.5" customHeight="1">
      <c r="A900" s="625" t="str">
        <f t="shared" si="262"/>
        <v>proyecto-Alerta: Seleccione la celda en la comumna B con el nombre del proyecto-Al-Al--</v>
      </c>
      <c r="B900" s="626" t="str">
        <f t="shared" si="263"/>
        <v>proyecto-Alerta: Seleccione la celda en la comumna B con el nombre del proyecto-Al-Al-</v>
      </c>
      <c r="C900" s="626" t="str">
        <f t="shared" si="264"/>
        <v>proyecto-Alerta: Seleccione la celda en la comumna B con el nombre del proyecto-</v>
      </c>
      <c r="D900" s="626" t="str">
        <f t="shared" si="265"/>
        <v>proyecto--Al-Al-</v>
      </c>
      <c r="E900" s="626" t="str">
        <f t="shared" si="266"/>
        <v>--</v>
      </c>
      <c r="F900" s="627"/>
      <c r="G900" s="628">
        <f t="shared" si="267"/>
        <v>0</v>
      </c>
      <c r="H900" s="629" t="b">
        <f t="shared" si="268"/>
        <v>1</v>
      </c>
      <c r="I900" s="630"/>
      <c r="J900" s="627"/>
      <c r="K900" s="631" t="str">
        <f>+IFERROR(VLOOKUP(J900,Listas!$A$108:$B$114,2,FALSE),"Alerta: Seleccione la celda en la comumna B con el nombre del proyecto")</f>
        <v>Alerta: Seleccione la celda en la comumna B con el nombre del proyecto</v>
      </c>
      <c r="L900" s="632"/>
      <c r="M900" s="633"/>
      <c r="N900" s="634" t="str">
        <f t="shared" si="269"/>
        <v xml:space="preserve">(Cód. ) </v>
      </c>
      <c r="O900" s="635"/>
      <c r="P900" s="636">
        <f>IFERROR(VLOOKUP(W900,'Estimación CRP'!$D$21:$E$30,2,FALSE),0)</f>
        <v>0</v>
      </c>
      <c r="Q900" s="637">
        <f>IF(O900="No aplica","No aplica",WORKDAY.INTL(O900,P900,1,'Estimación CRP'!A1086:A1102))</f>
        <v>0</v>
      </c>
      <c r="R900" s="636">
        <f t="shared" si="270"/>
        <v>1</v>
      </c>
      <c r="S900" s="636">
        <f t="shared" si="271"/>
        <v>1</v>
      </c>
      <c r="T900" s="636">
        <f t="shared" si="272"/>
        <v>1</v>
      </c>
      <c r="U900" s="638"/>
      <c r="V900" s="638"/>
      <c r="W900" s="639"/>
      <c r="X900" s="640" t="str">
        <f>IFERROR(VLOOKUP(W900,Listas!$A$60:$B$73,2,FALSE),"Alerta: Seleccione primero Modalidad de selección")</f>
        <v>Alerta: Seleccione primero Modalidad de selección</v>
      </c>
      <c r="Y900" s="641">
        <v>0</v>
      </c>
      <c r="Z900" s="641"/>
      <c r="AA900" s="641"/>
      <c r="AB900" s="642">
        <f t="shared" si="273"/>
        <v>0</v>
      </c>
      <c r="AC900" s="642">
        <f t="shared" si="274"/>
        <v>0</v>
      </c>
      <c r="AD900" s="641">
        <v>0</v>
      </c>
      <c r="AE900" s="643">
        <v>0</v>
      </c>
      <c r="AF900" s="639" t="s">
        <v>276</v>
      </c>
      <c r="AG900" s="639" t="s">
        <v>277</v>
      </c>
      <c r="AH900" s="639"/>
      <c r="AI900" s="626" t="str">
        <f>IFERROR(VLOOKUP(AH900,Listas!$A$77:$C$83,2,FALSE),"Alerta: Seleccione primero el responsable")</f>
        <v>Alerta: Seleccione primero el responsable</v>
      </c>
      <c r="AJ900" s="640" t="str">
        <f>IFERROR(VLOOKUP(AH900,Listas!$A$77:$C$83,3,FALSE),"Alerta: Seleccione primero el responsable")</f>
        <v>Alerta: Seleccione primero el responsable</v>
      </c>
      <c r="AK900" s="640" t="str">
        <f>IF(J900="Funcionamiento Gastos Generales","No aplica",IF(J900="Funcionamiento Servicios Personales indirectos","No aplica",IFERROR(VLOOKUP(J900,Listas!$A$127:$E$139,3,FALSE),"Alerta: Seleccione la celda en la comumna B con el nombre del proyecto")))</f>
        <v>Alerta: Seleccione la celda en la comumna B con el nombre del proyecto</v>
      </c>
      <c r="AL900" s="640" t="str">
        <f>IF(J900="Funcionamiento Gastos Generales","No aplica",IF(J900="Funcionamiento Servicios Personales","No aplica",IFERROR(VLOOKUP(J900,Listas!$A$220:$D$224,2,FALSE),"Alerta: Seleccione la celda en la comumna B con el nombre del proyecto")))</f>
        <v>Alerta: Seleccione la celda en la comumna B con el nombre del proyecto</v>
      </c>
      <c r="AM900" s="640" t="str">
        <f>IF(J900="Funcionamiento Gastos Generales","No aplica",IF(J900="Funcionamiento Servicios Personales","No aplica",IFERROR(VLOOKUP(J900,Listas!$A$220:$D$224,3,FALSE),"Alerta: Seleccione la celda en la comumna B con el nombre del proyecto")))</f>
        <v>Alerta: Seleccione la celda en la comumna B con el nombre del proyecto</v>
      </c>
      <c r="AN900" s="633"/>
      <c r="AO900" s="633"/>
      <c r="AP900" s="634" t="str">
        <f>IFERROR(VLOOKUP(J900,Listas!$A$182:$E$215,5,FALSE),"Alerta: Seleccione la celda en la comumna B con el nombre del proyecto")</f>
        <v>Alerta: Seleccione la celda en la comumna B con el nombre del proyecto</v>
      </c>
      <c r="AQ900" s="634" t="str">
        <f>IF(J900="Funcionamiento Gastos Generales","No aplica",IF(J900="Funcionamiento Servicios Personales","No aplica",IFERROR(VLOOKUP(J900,Listas!$A$220:$D$224,4,FALSE),"Alerta: Seleccione la celda en la comumna B con el nombre del proyecto")))</f>
        <v>Alerta: Seleccione la celda en la comumna B con el nombre del proyecto</v>
      </c>
      <c r="AR900" s="633"/>
      <c r="AS900" s="634" t="str">
        <f>IFERROR(VLOOKUP(AU900,Listas!$E$85:$L$105,7,FALSE),"Alerta: Seleccione la celda en la comumna AI con el concepto de gasto")</f>
        <v>Alerta: Seleccione la celda en la comumna AI con el concepto de gasto</v>
      </c>
      <c r="AT900" s="634" t="str">
        <f>IFERROR(VLOOKUP(AU900,Listas!$E$85:$L$105,8,FALSE),"Alerta: Seleccione la celda en la comumna AI con el concepto de gasto")</f>
        <v>Alerta: Seleccione la celda en la comumna AI con el concepto de gasto</v>
      </c>
      <c r="AU900" s="633"/>
      <c r="AV900" s="634" t="str">
        <f>IFERROR(VLOOKUP(AU900,Listas!$E$85:$F$105,2,FALSE),"Alerta: Seleccione el Concepto de Gasto primero")</f>
        <v>Alerta: Seleccione el Concepto de Gasto primero</v>
      </c>
      <c r="AW900" s="644"/>
      <c r="AX900" s="645"/>
      <c r="AY900" s="645"/>
      <c r="AZ900" s="645"/>
      <c r="BA900" s="646">
        <f t="shared" si="275"/>
        <v>0</v>
      </c>
      <c r="BB900" s="647"/>
      <c r="BC900" s="648"/>
      <c r="BD900" s="649"/>
      <c r="BE900" s="647"/>
      <c r="BF900" s="644"/>
      <c r="BG900" s="646">
        <f t="shared" si="276"/>
        <v>0</v>
      </c>
      <c r="BH900" s="650"/>
      <c r="BI900" s="647"/>
      <c r="BJ900" s="644"/>
      <c r="BK900" s="646">
        <f t="shared" si="277"/>
        <v>0</v>
      </c>
      <c r="BL900" s="651"/>
      <c r="BM900" s="652">
        <f t="shared" si="278"/>
        <v>1</v>
      </c>
      <c r="BN900" s="628"/>
      <c r="BO900" s="670"/>
      <c r="BP900" s="644"/>
      <c r="BQ900" s="644"/>
      <c r="BR900" s="644"/>
      <c r="BS900" s="644"/>
      <c r="BT900" s="644"/>
      <c r="BU900" s="644"/>
      <c r="BV900" s="644"/>
      <c r="BW900" s="644"/>
      <c r="BX900" s="644"/>
      <c r="BY900" s="644"/>
      <c r="BZ900" s="644"/>
      <c r="CA900" s="644"/>
      <c r="CB900" s="646">
        <f t="shared" si="279"/>
        <v>0</v>
      </c>
      <c r="CC900" s="646">
        <f t="shared" si="280"/>
        <v>0</v>
      </c>
      <c r="CD900" s="614"/>
    </row>
    <row r="901" spans="1:82" s="561" customFormat="1" ht="61.5" customHeight="1">
      <c r="A901" s="625" t="str">
        <f t="shared" si="262"/>
        <v>proyecto-Alerta: Seleccione la celda en la comumna B con el nombre del proyecto-Al-Al--</v>
      </c>
      <c r="B901" s="626" t="str">
        <f t="shared" si="263"/>
        <v>proyecto-Alerta: Seleccione la celda en la comumna B con el nombre del proyecto-Al-Al-</v>
      </c>
      <c r="C901" s="626" t="str">
        <f t="shared" si="264"/>
        <v>proyecto-Alerta: Seleccione la celda en la comumna B con el nombre del proyecto-</v>
      </c>
      <c r="D901" s="626" t="str">
        <f t="shared" si="265"/>
        <v>proyecto--Al-Al-</v>
      </c>
      <c r="E901" s="626" t="str">
        <f t="shared" si="266"/>
        <v>--</v>
      </c>
      <c r="F901" s="627"/>
      <c r="G901" s="628">
        <f t="shared" si="267"/>
        <v>0</v>
      </c>
      <c r="H901" s="629" t="b">
        <f t="shared" si="268"/>
        <v>1</v>
      </c>
      <c r="I901" s="630"/>
      <c r="J901" s="627"/>
      <c r="K901" s="631" t="str">
        <f>+IFERROR(VLOOKUP(J901,Listas!$A$108:$B$114,2,FALSE),"Alerta: Seleccione la celda en la comumna B con el nombre del proyecto")</f>
        <v>Alerta: Seleccione la celda en la comumna B con el nombre del proyecto</v>
      </c>
      <c r="L901" s="632"/>
      <c r="M901" s="633"/>
      <c r="N901" s="634" t="str">
        <f t="shared" si="269"/>
        <v xml:space="preserve">(Cód. ) </v>
      </c>
      <c r="O901" s="635"/>
      <c r="P901" s="636">
        <f>IFERROR(VLOOKUP(W901,'Estimación CRP'!$D$21:$E$30,2,FALSE),0)</f>
        <v>0</v>
      </c>
      <c r="Q901" s="637">
        <f>IF(O901="No aplica","No aplica",WORKDAY.INTL(O901,P901,1,'Estimación CRP'!A1087:A1103))</f>
        <v>0</v>
      </c>
      <c r="R901" s="636">
        <f t="shared" si="270"/>
        <v>1</v>
      </c>
      <c r="S901" s="636">
        <f t="shared" si="271"/>
        <v>1</v>
      </c>
      <c r="T901" s="636">
        <f t="shared" si="272"/>
        <v>1</v>
      </c>
      <c r="U901" s="638"/>
      <c r="V901" s="638"/>
      <c r="W901" s="639"/>
      <c r="X901" s="640" t="str">
        <f>IFERROR(VLOOKUP(W901,Listas!$A$60:$B$73,2,FALSE),"Alerta: Seleccione primero Modalidad de selección")</f>
        <v>Alerta: Seleccione primero Modalidad de selección</v>
      </c>
      <c r="Y901" s="641">
        <v>0</v>
      </c>
      <c r="Z901" s="641"/>
      <c r="AA901" s="641"/>
      <c r="AB901" s="642">
        <f t="shared" si="273"/>
        <v>0</v>
      </c>
      <c r="AC901" s="642">
        <f t="shared" si="274"/>
        <v>0</v>
      </c>
      <c r="AD901" s="641">
        <v>0</v>
      </c>
      <c r="AE901" s="643">
        <v>0</v>
      </c>
      <c r="AF901" s="639" t="s">
        <v>276</v>
      </c>
      <c r="AG901" s="639" t="s">
        <v>277</v>
      </c>
      <c r="AH901" s="639"/>
      <c r="AI901" s="626" t="str">
        <f>IFERROR(VLOOKUP(AH901,Listas!$A$77:$C$83,2,FALSE),"Alerta: Seleccione primero el responsable")</f>
        <v>Alerta: Seleccione primero el responsable</v>
      </c>
      <c r="AJ901" s="640" t="str">
        <f>IFERROR(VLOOKUP(AH901,Listas!$A$77:$C$83,3,FALSE),"Alerta: Seleccione primero el responsable")</f>
        <v>Alerta: Seleccione primero el responsable</v>
      </c>
      <c r="AK901" s="640" t="str">
        <f>IF(J901="Funcionamiento Gastos Generales","No aplica",IF(J901="Funcionamiento Servicios Personales indirectos","No aplica",IFERROR(VLOOKUP(J901,Listas!$A$127:$E$139,3,FALSE),"Alerta: Seleccione la celda en la comumna B con el nombre del proyecto")))</f>
        <v>Alerta: Seleccione la celda en la comumna B con el nombre del proyecto</v>
      </c>
      <c r="AL901" s="640" t="str">
        <f>IF(J901="Funcionamiento Gastos Generales","No aplica",IF(J901="Funcionamiento Servicios Personales","No aplica",IFERROR(VLOOKUP(J901,Listas!$A$220:$D$224,2,FALSE),"Alerta: Seleccione la celda en la comumna B con el nombre del proyecto")))</f>
        <v>Alerta: Seleccione la celda en la comumna B con el nombre del proyecto</v>
      </c>
      <c r="AM901" s="640" t="str">
        <f>IF(J901="Funcionamiento Gastos Generales","No aplica",IF(J901="Funcionamiento Servicios Personales","No aplica",IFERROR(VLOOKUP(J901,Listas!$A$220:$D$224,3,FALSE),"Alerta: Seleccione la celda en la comumna B con el nombre del proyecto")))</f>
        <v>Alerta: Seleccione la celda en la comumna B con el nombre del proyecto</v>
      </c>
      <c r="AN901" s="633"/>
      <c r="AO901" s="633"/>
      <c r="AP901" s="634" t="str">
        <f>IFERROR(VLOOKUP(J901,Listas!$A$182:$E$215,5,FALSE),"Alerta: Seleccione la celda en la comumna B con el nombre del proyecto")</f>
        <v>Alerta: Seleccione la celda en la comumna B con el nombre del proyecto</v>
      </c>
      <c r="AQ901" s="634" t="str">
        <f>IF(J901="Funcionamiento Gastos Generales","No aplica",IF(J901="Funcionamiento Servicios Personales","No aplica",IFERROR(VLOOKUP(J901,Listas!$A$220:$D$224,4,FALSE),"Alerta: Seleccione la celda en la comumna B con el nombre del proyecto")))</f>
        <v>Alerta: Seleccione la celda en la comumna B con el nombre del proyecto</v>
      </c>
      <c r="AR901" s="633"/>
      <c r="AS901" s="634" t="str">
        <f>IFERROR(VLOOKUP(AU901,Listas!$E$85:$L$105,7,FALSE),"Alerta: Seleccione la celda en la comumna AI con el concepto de gasto")</f>
        <v>Alerta: Seleccione la celda en la comumna AI con el concepto de gasto</v>
      </c>
      <c r="AT901" s="634" t="str">
        <f>IFERROR(VLOOKUP(AU901,Listas!$E$85:$L$105,8,FALSE),"Alerta: Seleccione la celda en la comumna AI con el concepto de gasto")</f>
        <v>Alerta: Seleccione la celda en la comumna AI con el concepto de gasto</v>
      </c>
      <c r="AU901" s="633"/>
      <c r="AV901" s="634" t="str">
        <f>IFERROR(VLOOKUP(AU901,Listas!$E$85:$F$105,2,FALSE),"Alerta: Seleccione el Concepto de Gasto primero")</f>
        <v>Alerta: Seleccione el Concepto de Gasto primero</v>
      </c>
      <c r="AW901" s="644"/>
      <c r="AX901" s="645"/>
      <c r="AY901" s="645"/>
      <c r="AZ901" s="645"/>
      <c r="BA901" s="646">
        <f t="shared" si="275"/>
        <v>0</v>
      </c>
      <c r="BB901" s="647"/>
      <c r="BC901" s="648"/>
      <c r="BD901" s="649"/>
      <c r="BE901" s="647"/>
      <c r="BF901" s="644"/>
      <c r="BG901" s="646">
        <f t="shared" si="276"/>
        <v>0</v>
      </c>
      <c r="BH901" s="650"/>
      <c r="BI901" s="647"/>
      <c r="BJ901" s="644"/>
      <c r="BK901" s="646">
        <f t="shared" si="277"/>
        <v>0</v>
      </c>
      <c r="BL901" s="651"/>
      <c r="BM901" s="652">
        <f t="shared" si="278"/>
        <v>1</v>
      </c>
      <c r="BN901" s="628"/>
      <c r="BO901" s="670"/>
      <c r="BP901" s="644"/>
      <c r="BQ901" s="644"/>
      <c r="BR901" s="644"/>
      <c r="BS901" s="644"/>
      <c r="BT901" s="644"/>
      <c r="BU901" s="644"/>
      <c r="BV901" s="644"/>
      <c r="BW901" s="644"/>
      <c r="BX901" s="644"/>
      <c r="BY901" s="644"/>
      <c r="BZ901" s="644"/>
      <c r="CA901" s="644"/>
      <c r="CB901" s="646">
        <f t="shared" si="279"/>
        <v>0</v>
      </c>
      <c r="CC901" s="646">
        <f t="shared" si="280"/>
        <v>0</v>
      </c>
      <c r="CD901" s="614"/>
    </row>
    <row r="902" spans="1:82" s="561" customFormat="1" ht="61.5" customHeight="1">
      <c r="A902" s="625" t="str">
        <f t="shared" si="262"/>
        <v>proyecto-Alerta: Seleccione la celda en la comumna B con el nombre del proyecto-Al-Al--</v>
      </c>
      <c r="B902" s="626" t="str">
        <f t="shared" si="263"/>
        <v>proyecto-Alerta: Seleccione la celda en la comumna B con el nombre del proyecto-Al-Al-</v>
      </c>
      <c r="C902" s="626" t="str">
        <f t="shared" si="264"/>
        <v>proyecto-Alerta: Seleccione la celda en la comumna B con el nombre del proyecto-</v>
      </c>
      <c r="D902" s="626" t="str">
        <f t="shared" si="265"/>
        <v>proyecto--Al-Al-</v>
      </c>
      <c r="E902" s="626" t="str">
        <f t="shared" si="266"/>
        <v>--</v>
      </c>
      <c r="F902" s="627"/>
      <c r="G902" s="628">
        <f t="shared" si="267"/>
        <v>0</v>
      </c>
      <c r="H902" s="629" t="b">
        <f t="shared" si="268"/>
        <v>1</v>
      </c>
      <c r="I902" s="630"/>
      <c r="J902" s="627"/>
      <c r="K902" s="631" t="str">
        <f>+IFERROR(VLOOKUP(J902,Listas!$A$108:$B$114,2,FALSE),"Alerta: Seleccione la celda en la comumna B con el nombre del proyecto")</f>
        <v>Alerta: Seleccione la celda en la comumna B con el nombre del proyecto</v>
      </c>
      <c r="L902" s="632"/>
      <c r="M902" s="633"/>
      <c r="N902" s="634" t="str">
        <f t="shared" si="269"/>
        <v xml:space="preserve">(Cód. ) </v>
      </c>
      <c r="O902" s="635"/>
      <c r="P902" s="636">
        <f>IFERROR(VLOOKUP(W902,'Estimación CRP'!$D$21:$E$30,2,FALSE),0)</f>
        <v>0</v>
      </c>
      <c r="Q902" s="637">
        <f>IF(O902="No aplica","No aplica",WORKDAY.INTL(O902,P902,1,'Estimación CRP'!A1088:A1104))</f>
        <v>0</v>
      </c>
      <c r="R902" s="636">
        <f t="shared" si="270"/>
        <v>1</v>
      </c>
      <c r="S902" s="636">
        <f t="shared" si="271"/>
        <v>1</v>
      </c>
      <c r="T902" s="636">
        <f t="shared" si="272"/>
        <v>1</v>
      </c>
      <c r="U902" s="638"/>
      <c r="V902" s="638"/>
      <c r="W902" s="639"/>
      <c r="X902" s="640" t="str">
        <f>IFERROR(VLOOKUP(W902,Listas!$A$60:$B$73,2,FALSE),"Alerta: Seleccione primero Modalidad de selección")</f>
        <v>Alerta: Seleccione primero Modalidad de selección</v>
      </c>
      <c r="Y902" s="641">
        <v>0</v>
      </c>
      <c r="Z902" s="641"/>
      <c r="AA902" s="641"/>
      <c r="AB902" s="642">
        <f t="shared" si="273"/>
        <v>0</v>
      </c>
      <c r="AC902" s="642">
        <f t="shared" si="274"/>
        <v>0</v>
      </c>
      <c r="AD902" s="641">
        <v>0</v>
      </c>
      <c r="AE902" s="643">
        <v>0</v>
      </c>
      <c r="AF902" s="639" t="s">
        <v>276</v>
      </c>
      <c r="AG902" s="639" t="s">
        <v>277</v>
      </c>
      <c r="AH902" s="639"/>
      <c r="AI902" s="626" t="str">
        <f>IFERROR(VLOOKUP(AH902,Listas!$A$77:$C$83,2,FALSE),"Alerta: Seleccione primero el responsable")</f>
        <v>Alerta: Seleccione primero el responsable</v>
      </c>
      <c r="AJ902" s="640" t="str">
        <f>IFERROR(VLOOKUP(AH902,Listas!$A$77:$C$83,3,FALSE),"Alerta: Seleccione primero el responsable")</f>
        <v>Alerta: Seleccione primero el responsable</v>
      </c>
      <c r="AK902" s="640" t="str">
        <f>IF(J902="Funcionamiento Gastos Generales","No aplica",IF(J902="Funcionamiento Servicios Personales indirectos","No aplica",IFERROR(VLOOKUP(J902,Listas!$A$127:$E$139,3,FALSE),"Alerta: Seleccione la celda en la comumna B con el nombre del proyecto")))</f>
        <v>Alerta: Seleccione la celda en la comumna B con el nombre del proyecto</v>
      </c>
      <c r="AL902" s="640" t="str">
        <f>IF(J902="Funcionamiento Gastos Generales","No aplica",IF(J902="Funcionamiento Servicios Personales","No aplica",IFERROR(VLOOKUP(J902,Listas!$A$220:$D$224,2,FALSE),"Alerta: Seleccione la celda en la comumna B con el nombre del proyecto")))</f>
        <v>Alerta: Seleccione la celda en la comumna B con el nombre del proyecto</v>
      </c>
      <c r="AM902" s="640" t="str">
        <f>IF(J902="Funcionamiento Gastos Generales","No aplica",IF(J902="Funcionamiento Servicios Personales","No aplica",IFERROR(VLOOKUP(J902,Listas!$A$220:$D$224,3,FALSE),"Alerta: Seleccione la celda en la comumna B con el nombre del proyecto")))</f>
        <v>Alerta: Seleccione la celda en la comumna B con el nombre del proyecto</v>
      </c>
      <c r="AN902" s="633"/>
      <c r="AO902" s="633"/>
      <c r="AP902" s="634" t="str">
        <f>IFERROR(VLOOKUP(J902,Listas!$A$182:$E$215,5,FALSE),"Alerta: Seleccione la celda en la comumna B con el nombre del proyecto")</f>
        <v>Alerta: Seleccione la celda en la comumna B con el nombre del proyecto</v>
      </c>
      <c r="AQ902" s="634" t="str">
        <f>IF(J902="Funcionamiento Gastos Generales","No aplica",IF(J902="Funcionamiento Servicios Personales","No aplica",IFERROR(VLOOKUP(J902,Listas!$A$220:$D$224,4,FALSE),"Alerta: Seleccione la celda en la comumna B con el nombre del proyecto")))</f>
        <v>Alerta: Seleccione la celda en la comumna B con el nombre del proyecto</v>
      </c>
      <c r="AR902" s="633"/>
      <c r="AS902" s="634" t="str">
        <f>IFERROR(VLOOKUP(AU902,Listas!$E$85:$L$105,7,FALSE),"Alerta: Seleccione la celda en la comumna AI con el concepto de gasto")</f>
        <v>Alerta: Seleccione la celda en la comumna AI con el concepto de gasto</v>
      </c>
      <c r="AT902" s="634" t="str">
        <f>IFERROR(VLOOKUP(AU902,Listas!$E$85:$L$105,8,FALSE),"Alerta: Seleccione la celda en la comumna AI con el concepto de gasto")</f>
        <v>Alerta: Seleccione la celda en la comumna AI con el concepto de gasto</v>
      </c>
      <c r="AU902" s="633"/>
      <c r="AV902" s="634" t="str">
        <f>IFERROR(VLOOKUP(AU902,Listas!$E$85:$F$105,2,FALSE),"Alerta: Seleccione el Concepto de Gasto primero")</f>
        <v>Alerta: Seleccione el Concepto de Gasto primero</v>
      </c>
      <c r="AW902" s="644"/>
      <c r="AX902" s="645"/>
      <c r="AY902" s="645"/>
      <c r="AZ902" s="645"/>
      <c r="BA902" s="646">
        <f t="shared" si="275"/>
        <v>0</v>
      </c>
      <c r="BB902" s="647"/>
      <c r="BC902" s="648"/>
      <c r="BD902" s="649"/>
      <c r="BE902" s="647"/>
      <c r="BF902" s="644"/>
      <c r="BG902" s="646">
        <f t="shared" si="276"/>
        <v>0</v>
      </c>
      <c r="BH902" s="650"/>
      <c r="BI902" s="647"/>
      <c r="BJ902" s="644"/>
      <c r="BK902" s="646">
        <f t="shared" si="277"/>
        <v>0</v>
      </c>
      <c r="BL902" s="651"/>
      <c r="BM902" s="652">
        <f t="shared" si="278"/>
        <v>1</v>
      </c>
      <c r="BN902" s="628"/>
      <c r="BO902" s="670"/>
      <c r="BP902" s="644"/>
      <c r="BQ902" s="644"/>
      <c r="BR902" s="644"/>
      <c r="BS902" s="644"/>
      <c r="BT902" s="644"/>
      <c r="BU902" s="644"/>
      <c r="BV902" s="644"/>
      <c r="BW902" s="644"/>
      <c r="BX902" s="644"/>
      <c r="BY902" s="644"/>
      <c r="BZ902" s="644"/>
      <c r="CA902" s="644"/>
      <c r="CB902" s="646">
        <f t="shared" si="279"/>
        <v>0</v>
      </c>
      <c r="CC902" s="646">
        <f t="shared" si="280"/>
        <v>0</v>
      </c>
      <c r="CD902" s="614"/>
    </row>
    <row r="903" spans="1:82" s="561" customFormat="1" ht="61.5" customHeight="1">
      <c r="A903" s="625" t="str">
        <f t="shared" si="262"/>
        <v>proyecto-Alerta: Seleccione la celda en la comumna B con el nombre del proyecto-Al-Al--</v>
      </c>
      <c r="B903" s="626" t="str">
        <f t="shared" si="263"/>
        <v>proyecto-Alerta: Seleccione la celda en la comumna B con el nombre del proyecto-Al-Al-</v>
      </c>
      <c r="C903" s="626" t="str">
        <f t="shared" si="264"/>
        <v>proyecto-Alerta: Seleccione la celda en la comumna B con el nombre del proyecto-</v>
      </c>
      <c r="D903" s="626" t="str">
        <f t="shared" si="265"/>
        <v>proyecto--Al-Al-</v>
      </c>
      <c r="E903" s="626" t="str">
        <f t="shared" si="266"/>
        <v>--</v>
      </c>
      <c r="F903" s="627"/>
      <c r="G903" s="628">
        <f t="shared" si="267"/>
        <v>0</v>
      </c>
      <c r="H903" s="629" t="b">
        <f t="shared" si="268"/>
        <v>1</v>
      </c>
      <c r="I903" s="630"/>
      <c r="J903" s="627"/>
      <c r="K903" s="631" t="str">
        <f>+IFERROR(VLOOKUP(J903,Listas!$A$108:$B$114,2,FALSE),"Alerta: Seleccione la celda en la comumna B con el nombre del proyecto")</f>
        <v>Alerta: Seleccione la celda en la comumna B con el nombre del proyecto</v>
      </c>
      <c r="L903" s="632"/>
      <c r="M903" s="633"/>
      <c r="N903" s="634" t="str">
        <f t="shared" si="269"/>
        <v xml:space="preserve">(Cód. ) </v>
      </c>
      <c r="O903" s="635"/>
      <c r="P903" s="636">
        <f>IFERROR(VLOOKUP(W903,'Estimación CRP'!$D$21:$E$30,2,FALSE),0)</f>
        <v>0</v>
      </c>
      <c r="Q903" s="637">
        <f>IF(O903="No aplica","No aplica",WORKDAY.INTL(O903,P903,1,'Estimación CRP'!A1089:A1105))</f>
        <v>0</v>
      </c>
      <c r="R903" s="636">
        <f t="shared" si="270"/>
        <v>1</v>
      </c>
      <c r="S903" s="636">
        <f t="shared" si="271"/>
        <v>1</v>
      </c>
      <c r="T903" s="636">
        <f t="shared" si="272"/>
        <v>1</v>
      </c>
      <c r="U903" s="638"/>
      <c r="V903" s="638"/>
      <c r="W903" s="639"/>
      <c r="X903" s="640" t="str">
        <f>IFERROR(VLOOKUP(W903,Listas!$A$60:$B$73,2,FALSE),"Alerta: Seleccione primero Modalidad de selección")</f>
        <v>Alerta: Seleccione primero Modalidad de selección</v>
      </c>
      <c r="Y903" s="641">
        <v>0</v>
      </c>
      <c r="Z903" s="641"/>
      <c r="AA903" s="641"/>
      <c r="AB903" s="642">
        <f t="shared" si="273"/>
        <v>0</v>
      </c>
      <c r="AC903" s="642">
        <f t="shared" si="274"/>
        <v>0</v>
      </c>
      <c r="AD903" s="641">
        <v>0</v>
      </c>
      <c r="AE903" s="643">
        <v>0</v>
      </c>
      <c r="AF903" s="639" t="s">
        <v>276</v>
      </c>
      <c r="AG903" s="639" t="s">
        <v>277</v>
      </c>
      <c r="AH903" s="639"/>
      <c r="AI903" s="626" t="str">
        <f>IFERROR(VLOOKUP(AH903,Listas!$A$77:$C$83,2,FALSE),"Alerta: Seleccione primero el responsable")</f>
        <v>Alerta: Seleccione primero el responsable</v>
      </c>
      <c r="AJ903" s="640" t="str">
        <f>IFERROR(VLOOKUP(AH903,Listas!$A$77:$C$83,3,FALSE),"Alerta: Seleccione primero el responsable")</f>
        <v>Alerta: Seleccione primero el responsable</v>
      </c>
      <c r="AK903" s="640" t="str">
        <f>IF(J903="Funcionamiento Gastos Generales","No aplica",IF(J903="Funcionamiento Servicios Personales indirectos","No aplica",IFERROR(VLOOKUP(J903,Listas!$A$127:$E$139,3,FALSE),"Alerta: Seleccione la celda en la comumna B con el nombre del proyecto")))</f>
        <v>Alerta: Seleccione la celda en la comumna B con el nombre del proyecto</v>
      </c>
      <c r="AL903" s="640" t="str">
        <f>IF(J903="Funcionamiento Gastos Generales","No aplica",IF(J903="Funcionamiento Servicios Personales","No aplica",IFERROR(VLOOKUP(J903,Listas!$A$220:$D$224,2,FALSE),"Alerta: Seleccione la celda en la comumna B con el nombre del proyecto")))</f>
        <v>Alerta: Seleccione la celda en la comumna B con el nombre del proyecto</v>
      </c>
      <c r="AM903" s="640" t="str">
        <f>IF(J903="Funcionamiento Gastos Generales","No aplica",IF(J903="Funcionamiento Servicios Personales","No aplica",IFERROR(VLOOKUP(J903,Listas!$A$220:$D$224,3,FALSE),"Alerta: Seleccione la celda en la comumna B con el nombre del proyecto")))</f>
        <v>Alerta: Seleccione la celda en la comumna B con el nombre del proyecto</v>
      </c>
      <c r="AN903" s="633"/>
      <c r="AO903" s="633"/>
      <c r="AP903" s="634" t="str">
        <f>IFERROR(VLOOKUP(J903,Listas!$A$182:$E$215,5,FALSE),"Alerta: Seleccione la celda en la comumna B con el nombre del proyecto")</f>
        <v>Alerta: Seleccione la celda en la comumna B con el nombre del proyecto</v>
      </c>
      <c r="AQ903" s="634" t="str">
        <f>IF(J903="Funcionamiento Gastos Generales","No aplica",IF(J903="Funcionamiento Servicios Personales","No aplica",IFERROR(VLOOKUP(J903,Listas!$A$220:$D$224,4,FALSE),"Alerta: Seleccione la celda en la comumna B con el nombre del proyecto")))</f>
        <v>Alerta: Seleccione la celda en la comumna B con el nombre del proyecto</v>
      </c>
      <c r="AR903" s="633"/>
      <c r="AS903" s="634" t="str">
        <f>IFERROR(VLOOKUP(AU903,Listas!$E$85:$L$105,7,FALSE),"Alerta: Seleccione la celda en la comumna AI con el concepto de gasto")</f>
        <v>Alerta: Seleccione la celda en la comumna AI con el concepto de gasto</v>
      </c>
      <c r="AT903" s="634" t="str">
        <f>IFERROR(VLOOKUP(AU903,Listas!$E$85:$L$105,8,FALSE),"Alerta: Seleccione la celda en la comumna AI con el concepto de gasto")</f>
        <v>Alerta: Seleccione la celda en la comumna AI con el concepto de gasto</v>
      </c>
      <c r="AU903" s="633"/>
      <c r="AV903" s="634" t="str">
        <f>IFERROR(VLOOKUP(AU903,Listas!$E$85:$F$105,2,FALSE),"Alerta: Seleccione el Concepto de Gasto primero")</f>
        <v>Alerta: Seleccione el Concepto de Gasto primero</v>
      </c>
      <c r="AW903" s="644"/>
      <c r="AX903" s="645"/>
      <c r="AY903" s="645"/>
      <c r="AZ903" s="645"/>
      <c r="BA903" s="646">
        <f t="shared" si="275"/>
        <v>0</v>
      </c>
      <c r="BB903" s="647"/>
      <c r="BC903" s="648"/>
      <c r="BD903" s="649"/>
      <c r="BE903" s="647"/>
      <c r="BF903" s="644"/>
      <c r="BG903" s="646">
        <f t="shared" si="276"/>
        <v>0</v>
      </c>
      <c r="BH903" s="650"/>
      <c r="BI903" s="647"/>
      <c r="BJ903" s="644"/>
      <c r="BK903" s="646">
        <f t="shared" si="277"/>
        <v>0</v>
      </c>
      <c r="BL903" s="651"/>
      <c r="BM903" s="652">
        <f t="shared" si="278"/>
        <v>1</v>
      </c>
      <c r="BN903" s="628"/>
      <c r="BO903" s="670"/>
      <c r="BP903" s="644"/>
      <c r="BQ903" s="644"/>
      <c r="BR903" s="644"/>
      <c r="BS903" s="644"/>
      <c r="BT903" s="644"/>
      <c r="BU903" s="644"/>
      <c r="BV903" s="644"/>
      <c r="BW903" s="644"/>
      <c r="BX903" s="644"/>
      <c r="BY903" s="644"/>
      <c r="BZ903" s="644"/>
      <c r="CA903" s="644"/>
      <c r="CB903" s="646">
        <f t="shared" si="279"/>
        <v>0</v>
      </c>
      <c r="CC903" s="646">
        <f t="shared" si="280"/>
        <v>0</v>
      </c>
      <c r="CD903" s="614"/>
    </row>
    <row r="904" spans="1:82" s="561" customFormat="1" ht="61.5" customHeight="1">
      <c r="A904" s="625" t="str">
        <f t="shared" si="262"/>
        <v>proyecto-Alerta: Seleccione la celda en la comumna B con el nombre del proyecto-Al-Al--</v>
      </c>
      <c r="B904" s="626" t="str">
        <f t="shared" si="263"/>
        <v>proyecto-Alerta: Seleccione la celda en la comumna B con el nombre del proyecto-Al-Al-</v>
      </c>
      <c r="C904" s="626" t="str">
        <f t="shared" si="264"/>
        <v>proyecto-Alerta: Seleccione la celda en la comumna B con el nombre del proyecto-</v>
      </c>
      <c r="D904" s="626" t="str">
        <f t="shared" si="265"/>
        <v>proyecto--Al-Al-</v>
      </c>
      <c r="E904" s="626" t="str">
        <f t="shared" si="266"/>
        <v>--</v>
      </c>
      <c r="F904" s="627"/>
      <c r="G904" s="628">
        <f t="shared" si="267"/>
        <v>0</v>
      </c>
      <c r="H904" s="629" t="b">
        <f t="shared" si="268"/>
        <v>1</v>
      </c>
      <c r="I904" s="630"/>
      <c r="J904" s="627"/>
      <c r="K904" s="631" t="str">
        <f>+IFERROR(VLOOKUP(J904,Listas!$A$108:$B$114,2,FALSE),"Alerta: Seleccione la celda en la comumna B con el nombre del proyecto")</f>
        <v>Alerta: Seleccione la celda en la comumna B con el nombre del proyecto</v>
      </c>
      <c r="L904" s="632"/>
      <c r="M904" s="633"/>
      <c r="N904" s="634" t="str">
        <f t="shared" si="269"/>
        <v xml:space="preserve">(Cód. ) </v>
      </c>
      <c r="O904" s="635"/>
      <c r="P904" s="636">
        <f>IFERROR(VLOOKUP(W904,'Estimación CRP'!$D$21:$E$30,2,FALSE),0)</f>
        <v>0</v>
      </c>
      <c r="Q904" s="637">
        <f>IF(O904="No aplica","No aplica",WORKDAY.INTL(O904,P904,1,'Estimación CRP'!A1090:A1106))</f>
        <v>0</v>
      </c>
      <c r="R904" s="636">
        <f t="shared" si="270"/>
        <v>1</v>
      </c>
      <c r="S904" s="636">
        <f t="shared" si="271"/>
        <v>1</v>
      </c>
      <c r="T904" s="636">
        <f t="shared" si="272"/>
        <v>1</v>
      </c>
      <c r="U904" s="638"/>
      <c r="V904" s="638"/>
      <c r="W904" s="639"/>
      <c r="X904" s="640" t="str">
        <f>IFERROR(VLOOKUP(W904,Listas!$A$60:$B$73,2,FALSE),"Alerta: Seleccione primero Modalidad de selección")</f>
        <v>Alerta: Seleccione primero Modalidad de selección</v>
      </c>
      <c r="Y904" s="641">
        <v>0</v>
      </c>
      <c r="Z904" s="641"/>
      <c r="AA904" s="641"/>
      <c r="AB904" s="642">
        <f t="shared" si="273"/>
        <v>0</v>
      </c>
      <c r="AC904" s="642">
        <f t="shared" si="274"/>
        <v>0</v>
      </c>
      <c r="AD904" s="641">
        <v>0</v>
      </c>
      <c r="AE904" s="643">
        <v>0</v>
      </c>
      <c r="AF904" s="639" t="s">
        <v>276</v>
      </c>
      <c r="AG904" s="639" t="s">
        <v>277</v>
      </c>
      <c r="AH904" s="639"/>
      <c r="AI904" s="626" t="str">
        <f>IFERROR(VLOOKUP(AH904,Listas!$A$77:$C$83,2,FALSE),"Alerta: Seleccione primero el responsable")</f>
        <v>Alerta: Seleccione primero el responsable</v>
      </c>
      <c r="AJ904" s="640" t="str">
        <f>IFERROR(VLOOKUP(AH904,Listas!$A$77:$C$83,3,FALSE),"Alerta: Seleccione primero el responsable")</f>
        <v>Alerta: Seleccione primero el responsable</v>
      </c>
      <c r="AK904" s="640" t="str">
        <f>IF(J904="Funcionamiento Gastos Generales","No aplica",IF(J904="Funcionamiento Servicios Personales indirectos","No aplica",IFERROR(VLOOKUP(J904,Listas!$A$127:$E$139,3,FALSE),"Alerta: Seleccione la celda en la comumna B con el nombre del proyecto")))</f>
        <v>Alerta: Seleccione la celda en la comumna B con el nombre del proyecto</v>
      </c>
      <c r="AL904" s="640" t="str">
        <f>IF(J904="Funcionamiento Gastos Generales","No aplica",IF(J904="Funcionamiento Servicios Personales","No aplica",IFERROR(VLOOKUP(J904,Listas!$A$220:$D$224,2,FALSE),"Alerta: Seleccione la celda en la comumna B con el nombre del proyecto")))</f>
        <v>Alerta: Seleccione la celda en la comumna B con el nombre del proyecto</v>
      </c>
      <c r="AM904" s="640" t="str">
        <f>IF(J904="Funcionamiento Gastos Generales","No aplica",IF(J904="Funcionamiento Servicios Personales","No aplica",IFERROR(VLOOKUP(J904,Listas!$A$220:$D$224,3,FALSE),"Alerta: Seleccione la celda en la comumna B con el nombre del proyecto")))</f>
        <v>Alerta: Seleccione la celda en la comumna B con el nombre del proyecto</v>
      </c>
      <c r="AN904" s="633"/>
      <c r="AO904" s="633"/>
      <c r="AP904" s="634" t="str">
        <f>IFERROR(VLOOKUP(J904,Listas!$A$182:$E$215,5,FALSE),"Alerta: Seleccione la celda en la comumna B con el nombre del proyecto")</f>
        <v>Alerta: Seleccione la celda en la comumna B con el nombre del proyecto</v>
      </c>
      <c r="AQ904" s="634" t="str">
        <f>IF(J904="Funcionamiento Gastos Generales","No aplica",IF(J904="Funcionamiento Servicios Personales","No aplica",IFERROR(VLOOKUP(J904,Listas!$A$220:$D$224,4,FALSE),"Alerta: Seleccione la celda en la comumna B con el nombre del proyecto")))</f>
        <v>Alerta: Seleccione la celda en la comumna B con el nombre del proyecto</v>
      </c>
      <c r="AR904" s="633"/>
      <c r="AS904" s="634" t="str">
        <f>IFERROR(VLOOKUP(AU904,Listas!$E$85:$L$105,7,FALSE),"Alerta: Seleccione la celda en la comumna AI con el concepto de gasto")</f>
        <v>Alerta: Seleccione la celda en la comumna AI con el concepto de gasto</v>
      </c>
      <c r="AT904" s="634" t="str">
        <f>IFERROR(VLOOKUP(AU904,Listas!$E$85:$L$105,8,FALSE),"Alerta: Seleccione la celda en la comumna AI con el concepto de gasto")</f>
        <v>Alerta: Seleccione la celda en la comumna AI con el concepto de gasto</v>
      </c>
      <c r="AU904" s="633"/>
      <c r="AV904" s="634" t="str">
        <f>IFERROR(VLOOKUP(AU904,Listas!$E$85:$F$105,2,FALSE),"Alerta: Seleccione el Concepto de Gasto primero")</f>
        <v>Alerta: Seleccione el Concepto de Gasto primero</v>
      </c>
      <c r="AW904" s="644"/>
      <c r="AX904" s="645"/>
      <c r="AY904" s="645"/>
      <c r="AZ904" s="645"/>
      <c r="BA904" s="646">
        <f t="shared" si="275"/>
        <v>0</v>
      </c>
      <c r="BB904" s="647"/>
      <c r="BC904" s="648"/>
      <c r="BD904" s="649"/>
      <c r="BE904" s="647"/>
      <c r="BF904" s="644"/>
      <c r="BG904" s="646">
        <f t="shared" si="276"/>
        <v>0</v>
      </c>
      <c r="BH904" s="650"/>
      <c r="BI904" s="647"/>
      <c r="BJ904" s="644"/>
      <c r="BK904" s="646">
        <f t="shared" si="277"/>
        <v>0</v>
      </c>
      <c r="BL904" s="651"/>
      <c r="BM904" s="652">
        <f t="shared" si="278"/>
        <v>1</v>
      </c>
      <c r="BN904" s="628"/>
      <c r="BO904" s="670"/>
      <c r="BP904" s="644"/>
      <c r="BQ904" s="644"/>
      <c r="BR904" s="644"/>
      <c r="BS904" s="644"/>
      <c r="BT904" s="644"/>
      <c r="BU904" s="644"/>
      <c r="BV904" s="644"/>
      <c r="BW904" s="644"/>
      <c r="BX904" s="644"/>
      <c r="BY904" s="644"/>
      <c r="BZ904" s="644"/>
      <c r="CA904" s="644"/>
      <c r="CB904" s="646">
        <f t="shared" si="279"/>
        <v>0</v>
      </c>
      <c r="CC904" s="646">
        <f t="shared" si="280"/>
        <v>0</v>
      </c>
      <c r="CD904" s="614"/>
    </row>
    <row r="905" spans="1:82" s="561" customFormat="1" ht="61.5" customHeight="1">
      <c r="A905" s="625" t="str">
        <f t="shared" si="262"/>
        <v>proyecto-Alerta: Seleccione la celda en la comumna B con el nombre del proyecto-Al-Al--</v>
      </c>
      <c r="B905" s="626" t="str">
        <f t="shared" si="263"/>
        <v>proyecto-Alerta: Seleccione la celda en la comumna B con el nombre del proyecto-Al-Al-</v>
      </c>
      <c r="C905" s="626" t="str">
        <f t="shared" si="264"/>
        <v>proyecto-Alerta: Seleccione la celda en la comumna B con el nombre del proyecto-</v>
      </c>
      <c r="D905" s="626" t="str">
        <f t="shared" si="265"/>
        <v>proyecto--Al-Al-</v>
      </c>
      <c r="E905" s="626" t="str">
        <f t="shared" si="266"/>
        <v>--</v>
      </c>
      <c r="F905" s="627"/>
      <c r="G905" s="628">
        <f t="shared" si="267"/>
        <v>0</v>
      </c>
      <c r="H905" s="629" t="b">
        <f t="shared" si="268"/>
        <v>1</v>
      </c>
      <c r="I905" s="630"/>
      <c r="J905" s="627"/>
      <c r="K905" s="631" t="str">
        <f>+IFERROR(VLOOKUP(J905,Listas!$A$108:$B$114,2,FALSE),"Alerta: Seleccione la celda en la comumna B con el nombre del proyecto")</f>
        <v>Alerta: Seleccione la celda en la comumna B con el nombre del proyecto</v>
      </c>
      <c r="L905" s="632"/>
      <c r="M905" s="633"/>
      <c r="N905" s="634" t="str">
        <f t="shared" si="269"/>
        <v xml:space="preserve">(Cód. ) </v>
      </c>
      <c r="O905" s="635"/>
      <c r="P905" s="636">
        <f>IFERROR(VLOOKUP(W905,'Estimación CRP'!$D$21:$E$30,2,FALSE),0)</f>
        <v>0</v>
      </c>
      <c r="Q905" s="637">
        <f>IF(O905="No aplica","No aplica",WORKDAY.INTL(O905,P905,1,'Estimación CRP'!A1091:A1107))</f>
        <v>0</v>
      </c>
      <c r="R905" s="636">
        <f t="shared" si="270"/>
        <v>1</v>
      </c>
      <c r="S905" s="636">
        <f t="shared" si="271"/>
        <v>1</v>
      </c>
      <c r="T905" s="636">
        <f t="shared" si="272"/>
        <v>1</v>
      </c>
      <c r="U905" s="638"/>
      <c r="V905" s="638"/>
      <c r="W905" s="639"/>
      <c r="X905" s="640" t="str">
        <f>IFERROR(VLOOKUP(W905,Listas!$A$60:$B$73,2,FALSE),"Alerta: Seleccione primero Modalidad de selección")</f>
        <v>Alerta: Seleccione primero Modalidad de selección</v>
      </c>
      <c r="Y905" s="641">
        <v>0</v>
      </c>
      <c r="Z905" s="641"/>
      <c r="AA905" s="641"/>
      <c r="AB905" s="642">
        <f t="shared" si="273"/>
        <v>0</v>
      </c>
      <c r="AC905" s="642">
        <f t="shared" si="274"/>
        <v>0</v>
      </c>
      <c r="AD905" s="641">
        <v>0</v>
      </c>
      <c r="AE905" s="643">
        <v>0</v>
      </c>
      <c r="AF905" s="639" t="s">
        <v>276</v>
      </c>
      <c r="AG905" s="639" t="s">
        <v>277</v>
      </c>
      <c r="AH905" s="639"/>
      <c r="AI905" s="626" t="str">
        <f>IFERROR(VLOOKUP(AH905,Listas!$A$77:$C$83,2,FALSE),"Alerta: Seleccione primero el responsable")</f>
        <v>Alerta: Seleccione primero el responsable</v>
      </c>
      <c r="AJ905" s="640" t="str">
        <f>IFERROR(VLOOKUP(AH905,Listas!$A$77:$C$83,3,FALSE),"Alerta: Seleccione primero el responsable")</f>
        <v>Alerta: Seleccione primero el responsable</v>
      </c>
      <c r="AK905" s="640" t="str">
        <f>IF(J905="Funcionamiento Gastos Generales","No aplica",IF(J905="Funcionamiento Servicios Personales indirectos","No aplica",IFERROR(VLOOKUP(J905,Listas!$A$127:$E$139,3,FALSE),"Alerta: Seleccione la celda en la comumna B con el nombre del proyecto")))</f>
        <v>Alerta: Seleccione la celda en la comumna B con el nombre del proyecto</v>
      </c>
      <c r="AL905" s="640" t="str">
        <f>IF(J905="Funcionamiento Gastos Generales","No aplica",IF(J905="Funcionamiento Servicios Personales","No aplica",IFERROR(VLOOKUP(J905,Listas!$A$220:$D$224,2,FALSE),"Alerta: Seleccione la celda en la comumna B con el nombre del proyecto")))</f>
        <v>Alerta: Seleccione la celda en la comumna B con el nombre del proyecto</v>
      </c>
      <c r="AM905" s="640" t="str">
        <f>IF(J905="Funcionamiento Gastos Generales","No aplica",IF(J905="Funcionamiento Servicios Personales","No aplica",IFERROR(VLOOKUP(J905,Listas!$A$220:$D$224,3,FALSE),"Alerta: Seleccione la celda en la comumna B con el nombre del proyecto")))</f>
        <v>Alerta: Seleccione la celda en la comumna B con el nombre del proyecto</v>
      </c>
      <c r="AN905" s="633"/>
      <c r="AO905" s="633"/>
      <c r="AP905" s="634" t="str">
        <f>IFERROR(VLOOKUP(J905,Listas!$A$182:$E$215,5,FALSE),"Alerta: Seleccione la celda en la comumna B con el nombre del proyecto")</f>
        <v>Alerta: Seleccione la celda en la comumna B con el nombre del proyecto</v>
      </c>
      <c r="AQ905" s="634" t="str">
        <f>IF(J905="Funcionamiento Gastos Generales","No aplica",IF(J905="Funcionamiento Servicios Personales","No aplica",IFERROR(VLOOKUP(J905,Listas!$A$220:$D$224,4,FALSE),"Alerta: Seleccione la celda en la comumna B con el nombre del proyecto")))</f>
        <v>Alerta: Seleccione la celda en la comumna B con el nombre del proyecto</v>
      </c>
      <c r="AR905" s="633"/>
      <c r="AS905" s="634" t="str">
        <f>IFERROR(VLOOKUP(AU905,Listas!$E$85:$L$105,7,FALSE),"Alerta: Seleccione la celda en la comumna AI con el concepto de gasto")</f>
        <v>Alerta: Seleccione la celda en la comumna AI con el concepto de gasto</v>
      </c>
      <c r="AT905" s="634" t="str">
        <f>IFERROR(VLOOKUP(AU905,Listas!$E$85:$L$105,8,FALSE),"Alerta: Seleccione la celda en la comumna AI con el concepto de gasto")</f>
        <v>Alerta: Seleccione la celda en la comumna AI con el concepto de gasto</v>
      </c>
      <c r="AU905" s="633"/>
      <c r="AV905" s="634" t="str">
        <f>IFERROR(VLOOKUP(AU905,Listas!$E$85:$F$105,2,FALSE),"Alerta: Seleccione el Concepto de Gasto primero")</f>
        <v>Alerta: Seleccione el Concepto de Gasto primero</v>
      </c>
      <c r="AW905" s="644"/>
      <c r="AX905" s="645"/>
      <c r="AY905" s="645"/>
      <c r="AZ905" s="645"/>
      <c r="BA905" s="646">
        <f t="shared" si="275"/>
        <v>0</v>
      </c>
      <c r="BB905" s="647"/>
      <c r="BC905" s="648"/>
      <c r="BD905" s="649"/>
      <c r="BE905" s="647"/>
      <c r="BF905" s="644"/>
      <c r="BG905" s="646">
        <f t="shared" si="276"/>
        <v>0</v>
      </c>
      <c r="BH905" s="650"/>
      <c r="BI905" s="647"/>
      <c r="BJ905" s="644"/>
      <c r="BK905" s="646">
        <f t="shared" si="277"/>
        <v>0</v>
      </c>
      <c r="BL905" s="651"/>
      <c r="BM905" s="652">
        <f t="shared" si="278"/>
        <v>1</v>
      </c>
      <c r="BN905" s="628"/>
      <c r="BO905" s="670"/>
      <c r="BP905" s="644"/>
      <c r="BQ905" s="644"/>
      <c r="BR905" s="644"/>
      <c r="BS905" s="644"/>
      <c r="BT905" s="644"/>
      <c r="BU905" s="644"/>
      <c r="BV905" s="644"/>
      <c r="BW905" s="644"/>
      <c r="BX905" s="644"/>
      <c r="BY905" s="644"/>
      <c r="BZ905" s="644"/>
      <c r="CA905" s="644"/>
      <c r="CB905" s="646">
        <f t="shared" si="279"/>
        <v>0</v>
      </c>
      <c r="CC905" s="646">
        <f t="shared" si="280"/>
        <v>0</v>
      </c>
      <c r="CD905" s="614"/>
    </row>
    <row r="906" spans="1:82" s="561" customFormat="1" ht="61.5" customHeight="1">
      <c r="A906" s="625" t="str">
        <f t="shared" si="262"/>
        <v>proyecto-Alerta: Seleccione la celda en la comumna B con el nombre del proyecto-Al-Al--</v>
      </c>
      <c r="B906" s="626" t="str">
        <f t="shared" si="263"/>
        <v>proyecto-Alerta: Seleccione la celda en la comumna B con el nombre del proyecto-Al-Al-</v>
      </c>
      <c r="C906" s="626" t="str">
        <f t="shared" si="264"/>
        <v>proyecto-Alerta: Seleccione la celda en la comumna B con el nombre del proyecto-</v>
      </c>
      <c r="D906" s="626" t="str">
        <f t="shared" si="265"/>
        <v>proyecto--Al-Al-</v>
      </c>
      <c r="E906" s="626" t="str">
        <f t="shared" si="266"/>
        <v>--</v>
      </c>
      <c r="F906" s="627"/>
      <c r="G906" s="628">
        <f t="shared" si="267"/>
        <v>0</v>
      </c>
      <c r="H906" s="629" t="b">
        <f t="shared" si="268"/>
        <v>1</v>
      </c>
      <c r="I906" s="630"/>
      <c r="J906" s="627"/>
      <c r="K906" s="631" t="str">
        <f>+IFERROR(VLOOKUP(J906,Listas!$A$108:$B$114,2,FALSE),"Alerta: Seleccione la celda en la comumna B con el nombre del proyecto")</f>
        <v>Alerta: Seleccione la celda en la comumna B con el nombre del proyecto</v>
      </c>
      <c r="L906" s="632"/>
      <c r="M906" s="633"/>
      <c r="N906" s="634" t="str">
        <f t="shared" si="269"/>
        <v xml:space="preserve">(Cód. ) </v>
      </c>
      <c r="O906" s="635"/>
      <c r="P906" s="636">
        <f>IFERROR(VLOOKUP(W906,'Estimación CRP'!$D$21:$E$30,2,FALSE),0)</f>
        <v>0</v>
      </c>
      <c r="Q906" s="637">
        <f>IF(O906="No aplica","No aplica",WORKDAY.INTL(O906,P906,1,'Estimación CRP'!A1092:A1108))</f>
        <v>0</v>
      </c>
      <c r="R906" s="636">
        <f t="shared" si="270"/>
        <v>1</v>
      </c>
      <c r="S906" s="636">
        <f t="shared" si="271"/>
        <v>1</v>
      </c>
      <c r="T906" s="636">
        <f t="shared" si="272"/>
        <v>1</v>
      </c>
      <c r="U906" s="638"/>
      <c r="V906" s="638"/>
      <c r="W906" s="639"/>
      <c r="X906" s="640" t="str">
        <f>IFERROR(VLOOKUP(W906,Listas!$A$60:$B$73,2,FALSE),"Alerta: Seleccione primero Modalidad de selección")</f>
        <v>Alerta: Seleccione primero Modalidad de selección</v>
      </c>
      <c r="Y906" s="641">
        <v>0</v>
      </c>
      <c r="Z906" s="641"/>
      <c r="AA906" s="641"/>
      <c r="AB906" s="642">
        <f t="shared" si="273"/>
        <v>0</v>
      </c>
      <c r="AC906" s="642">
        <f t="shared" si="274"/>
        <v>0</v>
      </c>
      <c r="AD906" s="641">
        <v>0</v>
      </c>
      <c r="AE906" s="643">
        <v>0</v>
      </c>
      <c r="AF906" s="639" t="s">
        <v>276</v>
      </c>
      <c r="AG906" s="639" t="s">
        <v>277</v>
      </c>
      <c r="AH906" s="639"/>
      <c r="AI906" s="626" t="str">
        <f>IFERROR(VLOOKUP(AH906,Listas!$A$77:$C$83,2,FALSE),"Alerta: Seleccione primero el responsable")</f>
        <v>Alerta: Seleccione primero el responsable</v>
      </c>
      <c r="AJ906" s="640" t="str">
        <f>IFERROR(VLOOKUP(AH906,Listas!$A$77:$C$83,3,FALSE),"Alerta: Seleccione primero el responsable")</f>
        <v>Alerta: Seleccione primero el responsable</v>
      </c>
      <c r="AK906" s="640" t="str">
        <f>IF(J906="Funcionamiento Gastos Generales","No aplica",IF(J906="Funcionamiento Servicios Personales indirectos","No aplica",IFERROR(VLOOKUP(J906,Listas!$A$127:$E$139,3,FALSE),"Alerta: Seleccione la celda en la comumna B con el nombre del proyecto")))</f>
        <v>Alerta: Seleccione la celda en la comumna B con el nombre del proyecto</v>
      </c>
      <c r="AL906" s="640" t="str">
        <f>IF(J906="Funcionamiento Gastos Generales","No aplica",IF(J906="Funcionamiento Servicios Personales","No aplica",IFERROR(VLOOKUP(J906,Listas!$A$220:$D$224,2,FALSE),"Alerta: Seleccione la celda en la comumna B con el nombre del proyecto")))</f>
        <v>Alerta: Seleccione la celda en la comumna B con el nombre del proyecto</v>
      </c>
      <c r="AM906" s="640" t="str">
        <f>IF(J906="Funcionamiento Gastos Generales","No aplica",IF(J906="Funcionamiento Servicios Personales","No aplica",IFERROR(VLOOKUP(J906,Listas!$A$220:$D$224,3,FALSE),"Alerta: Seleccione la celda en la comumna B con el nombre del proyecto")))</f>
        <v>Alerta: Seleccione la celda en la comumna B con el nombre del proyecto</v>
      </c>
      <c r="AN906" s="633"/>
      <c r="AO906" s="633"/>
      <c r="AP906" s="634" t="str">
        <f>IFERROR(VLOOKUP(J906,Listas!$A$182:$E$215,5,FALSE),"Alerta: Seleccione la celda en la comumna B con el nombre del proyecto")</f>
        <v>Alerta: Seleccione la celda en la comumna B con el nombre del proyecto</v>
      </c>
      <c r="AQ906" s="634" t="str">
        <f>IF(J906="Funcionamiento Gastos Generales","No aplica",IF(J906="Funcionamiento Servicios Personales","No aplica",IFERROR(VLOOKUP(J906,Listas!$A$220:$D$224,4,FALSE),"Alerta: Seleccione la celda en la comumna B con el nombre del proyecto")))</f>
        <v>Alerta: Seleccione la celda en la comumna B con el nombre del proyecto</v>
      </c>
      <c r="AR906" s="633"/>
      <c r="AS906" s="634" t="str">
        <f>IFERROR(VLOOKUP(AU906,Listas!$E$85:$L$105,7,FALSE),"Alerta: Seleccione la celda en la comumna AI con el concepto de gasto")</f>
        <v>Alerta: Seleccione la celda en la comumna AI con el concepto de gasto</v>
      </c>
      <c r="AT906" s="634" t="str">
        <f>IFERROR(VLOOKUP(AU906,Listas!$E$85:$L$105,8,FALSE),"Alerta: Seleccione la celda en la comumna AI con el concepto de gasto")</f>
        <v>Alerta: Seleccione la celda en la comumna AI con el concepto de gasto</v>
      </c>
      <c r="AU906" s="633"/>
      <c r="AV906" s="634" t="str">
        <f>IFERROR(VLOOKUP(AU906,Listas!$E$85:$F$105,2,FALSE),"Alerta: Seleccione el Concepto de Gasto primero")</f>
        <v>Alerta: Seleccione el Concepto de Gasto primero</v>
      </c>
      <c r="AW906" s="644"/>
      <c r="AX906" s="645"/>
      <c r="AY906" s="645"/>
      <c r="AZ906" s="645"/>
      <c r="BA906" s="646">
        <f t="shared" si="275"/>
        <v>0</v>
      </c>
      <c r="BB906" s="647"/>
      <c r="BC906" s="648"/>
      <c r="BD906" s="649"/>
      <c r="BE906" s="647"/>
      <c r="BF906" s="644"/>
      <c r="BG906" s="646">
        <f t="shared" si="276"/>
        <v>0</v>
      </c>
      <c r="BH906" s="650"/>
      <c r="BI906" s="647"/>
      <c r="BJ906" s="644"/>
      <c r="BK906" s="646">
        <f t="shared" si="277"/>
        <v>0</v>
      </c>
      <c r="BL906" s="651"/>
      <c r="BM906" s="652">
        <f t="shared" si="278"/>
        <v>1</v>
      </c>
      <c r="BN906" s="628"/>
      <c r="BO906" s="670"/>
      <c r="BP906" s="644"/>
      <c r="BQ906" s="644"/>
      <c r="BR906" s="644"/>
      <c r="BS906" s="644"/>
      <c r="BT906" s="644"/>
      <c r="BU906" s="644"/>
      <c r="BV906" s="644"/>
      <c r="BW906" s="644"/>
      <c r="BX906" s="644"/>
      <c r="BY906" s="644"/>
      <c r="BZ906" s="644"/>
      <c r="CA906" s="644"/>
      <c r="CB906" s="646">
        <f t="shared" si="279"/>
        <v>0</v>
      </c>
      <c r="CC906" s="646">
        <f t="shared" si="280"/>
        <v>0</v>
      </c>
      <c r="CD906" s="614"/>
    </row>
    <row r="907" spans="1:82" s="561" customFormat="1" ht="61.5" customHeight="1">
      <c r="A907" s="625" t="str">
        <f t="shared" si="262"/>
        <v>proyecto-Alerta: Seleccione la celda en la comumna B con el nombre del proyecto-Al-Al--</v>
      </c>
      <c r="B907" s="626" t="str">
        <f t="shared" si="263"/>
        <v>proyecto-Alerta: Seleccione la celda en la comumna B con el nombre del proyecto-Al-Al-</v>
      </c>
      <c r="C907" s="626" t="str">
        <f t="shared" si="264"/>
        <v>proyecto-Alerta: Seleccione la celda en la comumna B con el nombre del proyecto-</v>
      </c>
      <c r="D907" s="626" t="str">
        <f t="shared" si="265"/>
        <v>proyecto--Al-Al-</v>
      </c>
      <c r="E907" s="626" t="str">
        <f t="shared" si="266"/>
        <v>--</v>
      </c>
      <c r="F907" s="627"/>
      <c r="G907" s="628">
        <f t="shared" si="267"/>
        <v>0</v>
      </c>
      <c r="H907" s="629" t="b">
        <f t="shared" si="268"/>
        <v>1</v>
      </c>
      <c r="I907" s="630"/>
      <c r="J907" s="627"/>
      <c r="K907" s="631" t="str">
        <f>+IFERROR(VLOOKUP(J907,Listas!$A$108:$B$114,2,FALSE),"Alerta: Seleccione la celda en la comumna B con el nombre del proyecto")</f>
        <v>Alerta: Seleccione la celda en la comumna B con el nombre del proyecto</v>
      </c>
      <c r="L907" s="632"/>
      <c r="M907" s="633"/>
      <c r="N907" s="634" t="str">
        <f t="shared" si="269"/>
        <v xml:space="preserve">(Cód. ) </v>
      </c>
      <c r="O907" s="635"/>
      <c r="P907" s="636">
        <f>IFERROR(VLOOKUP(W907,'Estimación CRP'!$D$21:$E$30,2,FALSE),0)</f>
        <v>0</v>
      </c>
      <c r="Q907" s="637">
        <f>IF(O907="No aplica","No aplica",WORKDAY.INTL(O907,P907,1,'Estimación CRP'!A1093:A1109))</f>
        <v>0</v>
      </c>
      <c r="R907" s="636">
        <f t="shared" si="270"/>
        <v>1</v>
      </c>
      <c r="S907" s="636">
        <f t="shared" si="271"/>
        <v>1</v>
      </c>
      <c r="T907" s="636">
        <f t="shared" si="272"/>
        <v>1</v>
      </c>
      <c r="U907" s="638"/>
      <c r="V907" s="638"/>
      <c r="W907" s="639"/>
      <c r="X907" s="640" t="str">
        <f>IFERROR(VLOOKUP(W907,Listas!$A$60:$B$73,2,FALSE),"Alerta: Seleccione primero Modalidad de selección")</f>
        <v>Alerta: Seleccione primero Modalidad de selección</v>
      </c>
      <c r="Y907" s="641">
        <v>0</v>
      </c>
      <c r="Z907" s="641"/>
      <c r="AA907" s="641"/>
      <c r="AB907" s="642">
        <f t="shared" si="273"/>
        <v>0</v>
      </c>
      <c r="AC907" s="642">
        <f t="shared" si="274"/>
        <v>0</v>
      </c>
      <c r="AD907" s="641">
        <v>0</v>
      </c>
      <c r="AE907" s="643">
        <v>0</v>
      </c>
      <c r="AF907" s="639" t="s">
        <v>276</v>
      </c>
      <c r="AG907" s="639" t="s">
        <v>277</v>
      </c>
      <c r="AH907" s="639"/>
      <c r="AI907" s="626" t="str">
        <f>IFERROR(VLOOKUP(AH907,Listas!$A$77:$C$83,2,FALSE),"Alerta: Seleccione primero el responsable")</f>
        <v>Alerta: Seleccione primero el responsable</v>
      </c>
      <c r="AJ907" s="640" t="str">
        <f>IFERROR(VLOOKUP(AH907,Listas!$A$77:$C$83,3,FALSE),"Alerta: Seleccione primero el responsable")</f>
        <v>Alerta: Seleccione primero el responsable</v>
      </c>
      <c r="AK907" s="640" t="str">
        <f>IF(J907="Funcionamiento Gastos Generales","No aplica",IF(J907="Funcionamiento Servicios Personales indirectos","No aplica",IFERROR(VLOOKUP(J907,Listas!$A$127:$E$139,3,FALSE),"Alerta: Seleccione la celda en la comumna B con el nombre del proyecto")))</f>
        <v>Alerta: Seleccione la celda en la comumna B con el nombre del proyecto</v>
      </c>
      <c r="AL907" s="640" t="str">
        <f>IF(J907="Funcionamiento Gastos Generales","No aplica",IF(J907="Funcionamiento Servicios Personales","No aplica",IFERROR(VLOOKUP(J907,Listas!$A$220:$D$224,2,FALSE),"Alerta: Seleccione la celda en la comumna B con el nombre del proyecto")))</f>
        <v>Alerta: Seleccione la celda en la comumna B con el nombre del proyecto</v>
      </c>
      <c r="AM907" s="640" t="str">
        <f>IF(J907="Funcionamiento Gastos Generales","No aplica",IF(J907="Funcionamiento Servicios Personales","No aplica",IFERROR(VLOOKUP(J907,Listas!$A$220:$D$224,3,FALSE),"Alerta: Seleccione la celda en la comumna B con el nombre del proyecto")))</f>
        <v>Alerta: Seleccione la celda en la comumna B con el nombre del proyecto</v>
      </c>
      <c r="AN907" s="633"/>
      <c r="AO907" s="633"/>
      <c r="AP907" s="634" t="str">
        <f>IFERROR(VLOOKUP(J907,Listas!$A$182:$E$215,5,FALSE),"Alerta: Seleccione la celda en la comumna B con el nombre del proyecto")</f>
        <v>Alerta: Seleccione la celda en la comumna B con el nombre del proyecto</v>
      </c>
      <c r="AQ907" s="634" t="str">
        <f>IF(J907="Funcionamiento Gastos Generales","No aplica",IF(J907="Funcionamiento Servicios Personales","No aplica",IFERROR(VLOOKUP(J907,Listas!$A$220:$D$224,4,FALSE),"Alerta: Seleccione la celda en la comumna B con el nombre del proyecto")))</f>
        <v>Alerta: Seleccione la celda en la comumna B con el nombre del proyecto</v>
      </c>
      <c r="AR907" s="633"/>
      <c r="AS907" s="634" t="str">
        <f>IFERROR(VLOOKUP(AU907,Listas!$E$85:$L$105,7,FALSE),"Alerta: Seleccione la celda en la comumna AI con el concepto de gasto")</f>
        <v>Alerta: Seleccione la celda en la comumna AI con el concepto de gasto</v>
      </c>
      <c r="AT907" s="634" t="str">
        <f>IFERROR(VLOOKUP(AU907,Listas!$E$85:$L$105,8,FALSE),"Alerta: Seleccione la celda en la comumna AI con el concepto de gasto")</f>
        <v>Alerta: Seleccione la celda en la comumna AI con el concepto de gasto</v>
      </c>
      <c r="AU907" s="633"/>
      <c r="AV907" s="634" t="str">
        <f>IFERROR(VLOOKUP(AU907,Listas!$E$85:$F$105,2,FALSE),"Alerta: Seleccione el Concepto de Gasto primero")</f>
        <v>Alerta: Seleccione el Concepto de Gasto primero</v>
      </c>
      <c r="AW907" s="644"/>
      <c r="AX907" s="645"/>
      <c r="AY907" s="645"/>
      <c r="AZ907" s="645"/>
      <c r="BA907" s="646">
        <f t="shared" si="275"/>
        <v>0</v>
      </c>
      <c r="BB907" s="647"/>
      <c r="BC907" s="648"/>
      <c r="BD907" s="649"/>
      <c r="BE907" s="647"/>
      <c r="BF907" s="644"/>
      <c r="BG907" s="646">
        <f t="shared" si="276"/>
        <v>0</v>
      </c>
      <c r="BH907" s="650"/>
      <c r="BI907" s="647"/>
      <c r="BJ907" s="644"/>
      <c r="BK907" s="646">
        <f t="shared" si="277"/>
        <v>0</v>
      </c>
      <c r="BL907" s="651"/>
      <c r="BM907" s="652">
        <f t="shared" si="278"/>
        <v>1</v>
      </c>
      <c r="BN907" s="628"/>
      <c r="BO907" s="670"/>
      <c r="BP907" s="644"/>
      <c r="BQ907" s="644"/>
      <c r="BR907" s="644"/>
      <c r="BS907" s="644"/>
      <c r="BT907" s="644"/>
      <c r="BU907" s="644"/>
      <c r="BV907" s="644"/>
      <c r="BW907" s="644"/>
      <c r="BX907" s="644"/>
      <c r="BY907" s="644"/>
      <c r="BZ907" s="644"/>
      <c r="CA907" s="644"/>
      <c r="CB907" s="646">
        <f t="shared" si="279"/>
        <v>0</v>
      </c>
      <c r="CC907" s="646">
        <f t="shared" si="280"/>
        <v>0</v>
      </c>
      <c r="CD907" s="614"/>
    </row>
    <row r="908" spans="1:82" s="561" customFormat="1" ht="61.5" customHeight="1">
      <c r="A908" s="625" t="str">
        <f t="shared" si="262"/>
        <v>proyecto-Alerta: Seleccione la celda en la comumna B con el nombre del proyecto-Al-Al--</v>
      </c>
      <c r="B908" s="626" t="str">
        <f t="shared" si="263"/>
        <v>proyecto-Alerta: Seleccione la celda en la comumna B con el nombre del proyecto-Al-Al-</v>
      </c>
      <c r="C908" s="626" t="str">
        <f t="shared" si="264"/>
        <v>proyecto-Alerta: Seleccione la celda en la comumna B con el nombre del proyecto-</v>
      </c>
      <c r="D908" s="626" t="str">
        <f t="shared" si="265"/>
        <v>proyecto--Al-Al-</v>
      </c>
      <c r="E908" s="626" t="str">
        <f t="shared" si="266"/>
        <v>--</v>
      </c>
      <c r="F908" s="627"/>
      <c r="G908" s="628">
        <f t="shared" si="267"/>
        <v>0</v>
      </c>
      <c r="H908" s="629" t="b">
        <f t="shared" si="268"/>
        <v>1</v>
      </c>
      <c r="I908" s="630"/>
      <c r="J908" s="627"/>
      <c r="K908" s="631" t="str">
        <f>+IFERROR(VLOOKUP(J908,Listas!$A$108:$B$114,2,FALSE),"Alerta: Seleccione la celda en la comumna B con el nombre del proyecto")</f>
        <v>Alerta: Seleccione la celda en la comumna B con el nombre del proyecto</v>
      </c>
      <c r="L908" s="632"/>
      <c r="M908" s="633"/>
      <c r="N908" s="634" t="str">
        <f t="shared" si="269"/>
        <v xml:space="preserve">(Cód. ) </v>
      </c>
      <c r="O908" s="635"/>
      <c r="P908" s="636">
        <f>IFERROR(VLOOKUP(W908,'Estimación CRP'!$D$21:$E$30,2,FALSE),0)</f>
        <v>0</v>
      </c>
      <c r="Q908" s="637">
        <f>IF(O908="No aplica","No aplica",WORKDAY.INTL(O908,P908,1,'Estimación CRP'!A1094:A1110))</f>
        <v>0</v>
      </c>
      <c r="R908" s="636">
        <f t="shared" si="270"/>
        <v>1</v>
      </c>
      <c r="S908" s="636">
        <f t="shared" si="271"/>
        <v>1</v>
      </c>
      <c r="T908" s="636">
        <f t="shared" si="272"/>
        <v>1</v>
      </c>
      <c r="U908" s="638"/>
      <c r="V908" s="638"/>
      <c r="W908" s="639"/>
      <c r="X908" s="640" t="str">
        <f>IFERROR(VLOOKUP(W908,Listas!$A$60:$B$73,2,FALSE),"Alerta: Seleccione primero Modalidad de selección")</f>
        <v>Alerta: Seleccione primero Modalidad de selección</v>
      </c>
      <c r="Y908" s="641">
        <v>0</v>
      </c>
      <c r="Z908" s="641"/>
      <c r="AA908" s="641"/>
      <c r="AB908" s="642">
        <f t="shared" si="273"/>
        <v>0</v>
      </c>
      <c r="AC908" s="642">
        <f t="shared" si="274"/>
        <v>0</v>
      </c>
      <c r="AD908" s="641">
        <v>0</v>
      </c>
      <c r="AE908" s="643">
        <v>0</v>
      </c>
      <c r="AF908" s="639" t="s">
        <v>276</v>
      </c>
      <c r="AG908" s="639" t="s">
        <v>277</v>
      </c>
      <c r="AH908" s="639"/>
      <c r="AI908" s="626" t="str">
        <f>IFERROR(VLOOKUP(AH908,Listas!$A$77:$C$83,2,FALSE),"Alerta: Seleccione primero el responsable")</f>
        <v>Alerta: Seleccione primero el responsable</v>
      </c>
      <c r="AJ908" s="640" t="str">
        <f>IFERROR(VLOOKUP(AH908,Listas!$A$77:$C$83,3,FALSE),"Alerta: Seleccione primero el responsable")</f>
        <v>Alerta: Seleccione primero el responsable</v>
      </c>
      <c r="AK908" s="640" t="str">
        <f>IF(J908="Funcionamiento Gastos Generales","No aplica",IF(J908="Funcionamiento Servicios Personales indirectos","No aplica",IFERROR(VLOOKUP(J908,Listas!$A$127:$E$139,3,FALSE),"Alerta: Seleccione la celda en la comumna B con el nombre del proyecto")))</f>
        <v>Alerta: Seleccione la celda en la comumna B con el nombre del proyecto</v>
      </c>
      <c r="AL908" s="640" t="str">
        <f>IF(J908="Funcionamiento Gastos Generales","No aplica",IF(J908="Funcionamiento Servicios Personales","No aplica",IFERROR(VLOOKUP(J908,Listas!$A$220:$D$224,2,FALSE),"Alerta: Seleccione la celda en la comumna B con el nombre del proyecto")))</f>
        <v>Alerta: Seleccione la celda en la comumna B con el nombre del proyecto</v>
      </c>
      <c r="AM908" s="640" t="str">
        <f>IF(J908="Funcionamiento Gastos Generales","No aplica",IF(J908="Funcionamiento Servicios Personales","No aplica",IFERROR(VLOOKUP(J908,Listas!$A$220:$D$224,3,FALSE),"Alerta: Seleccione la celda en la comumna B con el nombre del proyecto")))</f>
        <v>Alerta: Seleccione la celda en la comumna B con el nombre del proyecto</v>
      </c>
      <c r="AN908" s="633"/>
      <c r="AO908" s="633"/>
      <c r="AP908" s="634" t="str">
        <f>IFERROR(VLOOKUP(J908,Listas!$A$182:$E$215,5,FALSE),"Alerta: Seleccione la celda en la comumna B con el nombre del proyecto")</f>
        <v>Alerta: Seleccione la celda en la comumna B con el nombre del proyecto</v>
      </c>
      <c r="AQ908" s="634" t="str">
        <f>IF(J908="Funcionamiento Gastos Generales","No aplica",IF(J908="Funcionamiento Servicios Personales","No aplica",IFERROR(VLOOKUP(J908,Listas!$A$220:$D$224,4,FALSE),"Alerta: Seleccione la celda en la comumna B con el nombre del proyecto")))</f>
        <v>Alerta: Seleccione la celda en la comumna B con el nombre del proyecto</v>
      </c>
      <c r="AR908" s="633"/>
      <c r="AS908" s="634" t="str">
        <f>IFERROR(VLOOKUP(AU908,Listas!$E$85:$L$105,7,FALSE),"Alerta: Seleccione la celda en la comumna AI con el concepto de gasto")</f>
        <v>Alerta: Seleccione la celda en la comumna AI con el concepto de gasto</v>
      </c>
      <c r="AT908" s="634" t="str">
        <f>IFERROR(VLOOKUP(AU908,Listas!$E$85:$L$105,8,FALSE),"Alerta: Seleccione la celda en la comumna AI con el concepto de gasto")</f>
        <v>Alerta: Seleccione la celda en la comumna AI con el concepto de gasto</v>
      </c>
      <c r="AU908" s="633"/>
      <c r="AV908" s="634" t="str">
        <f>IFERROR(VLOOKUP(AU908,Listas!$E$85:$F$105,2,FALSE),"Alerta: Seleccione el Concepto de Gasto primero")</f>
        <v>Alerta: Seleccione el Concepto de Gasto primero</v>
      </c>
      <c r="AW908" s="644"/>
      <c r="AX908" s="645"/>
      <c r="AY908" s="645"/>
      <c r="AZ908" s="645"/>
      <c r="BA908" s="646">
        <f t="shared" si="275"/>
        <v>0</v>
      </c>
      <c r="BB908" s="647"/>
      <c r="BC908" s="648"/>
      <c r="BD908" s="649"/>
      <c r="BE908" s="647"/>
      <c r="BF908" s="644"/>
      <c r="BG908" s="646">
        <f t="shared" si="276"/>
        <v>0</v>
      </c>
      <c r="BH908" s="650"/>
      <c r="BI908" s="647"/>
      <c r="BJ908" s="644"/>
      <c r="BK908" s="646">
        <f t="shared" si="277"/>
        <v>0</v>
      </c>
      <c r="BL908" s="651"/>
      <c r="BM908" s="652">
        <f t="shared" si="278"/>
        <v>1</v>
      </c>
      <c r="BN908" s="628"/>
      <c r="BO908" s="670"/>
      <c r="BP908" s="644"/>
      <c r="BQ908" s="644"/>
      <c r="BR908" s="644"/>
      <c r="BS908" s="644"/>
      <c r="BT908" s="644"/>
      <c r="BU908" s="644"/>
      <c r="BV908" s="644"/>
      <c r="BW908" s="644"/>
      <c r="BX908" s="644"/>
      <c r="BY908" s="644"/>
      <c r="BZ908" s="644"/>
      <c r="CA908" s="644"/>
      <c r="CB908" s="646">
        <f t="shared" si="279"/>
        <v>0</v>
      </c>
      <c r="CC908" s="646">
        <f t="shared" si="280"/>
        <v>0</v>
      </c>
      <c r="CD908" s="614"/>
    </row>
    <row r="909" spans="1:82" s="561" customFormat="1" ht="61.5" customHeight="1">
      <c r="A909" s="625" t="str">
        <f t="shared" si="262"/>
        <v>proyecto-Alerta: Seleccione la celda en la comumna B con el nombre del proyecto-Al-Al--</v>
      </c>
      <c r="B909" s="626" t="str">
        <f t="shared" si="263"/>
        <v>proyecto-Alerta: Seleccione la celda en la comumna B con el nombre del proyecto-Al-Al-</v>
      </c>
      <c r="C909" s="626" t="str">
        <f t="shared" si="264"/>
        <v>proyecto-Alerta: Seleccione la celda en la comumna B con el nombre del proyecto-</v>
      </c>
      <c r="D909" s="626" t="str">
        <f t="shared" si="265"/>
        <v>proyecto--Al-Al-</v>
      </c>
      <c r="E909" s="626" t="str">
        <f t="shared" si="266"/>
        <v>--</v>
      </c>
      <c r="F909" s="627"/>
      <c r="G909" s="628">
        <f t="shared" si="267"/>
        <v>0</v>
      </c>
      <c r="H909" s="629" t="b">
        <f t="shared" si="268"/>
        <v>1</v>
      </c>
      <c r="I909" s="630"/>
      <c r="J909" s="627"/>
      <c r="K909" s="631" t="str">
        <f>+IFERROR(VLOOKUP(J909,Listas!$A$108:$B$114,2,FALSE),"Alerta: Seleccione la celda en la comumna B con el nombre del proyecto")</f>
        <v>Alerta: Seleccione la celda en la comumna B con el nombre del proyecto</v>
      </c>
      <c r="L909" s="632"/>
      <c r="M909" s="633"/>
      <c r="N909" s="634" t="str">
        <f t="shared" si="269"/>
        <v xml:space="preserve">(Cód. ) </v>
      </c>
      <c r="O909" s="635"/>
      <c r="P909" s="636">
        <f>IFERROR(VLOOKUP(W909,'Estimación CRP'!$D$21:$E$30,2,FALSE),0)</f>
        <v>0</v>
      </c>
      <c r="Q909" s="637">
        <f>IF(O909="No aplica","No aplica",WORKDAY.INTL(O909,P909,1,'Estimación CRP'!A1095:A1111))</f>
        <v>0</v>
      </c>
      <c r="R909" s="636">
        <f t="shared" si="270"/>
        <v>1</v>
      </c>
      <c r="S909" s="636">
        <f t="shared" si="271"/>
        <v>1</v>
      </c>
      <c r="T909" s="636">
        <f t="shared" si="272"/>
        <v>1</v>
      </c>
      <c r="U909" s="638"/>
      <c r="V909" s="638"/>
      <c r="W909" s="639"/>
      <c r="X909" s="640" t="str">
        <f>IFERROR(VLOOKUP(W909,Listas!$A$60:$B$73,2,FALSE),"Alerta: Seleccione primero Modalidad de selección")</f>
        <v>Alerta: Seleccione primero Modalidad de selección</v>
      </c>
      <c r="Y909" s="641">
        <v>0</v>
      </c>
      <c r="Z909" s="641"/>
      <c r="AA909" s="641"/>
      <c r="AB909" s="642">
        <f t="shared" si="273"/>
        <v>0</v>
      </c>
      <c r="AC909" s="642">
        <f t="shared" si="274"/>
        <v>0</v>
      </c>
      <c r="AD909" s="641">
        <v>0</v>
      </c>
      <c r="AE909" s="643">
        <v>0</v>
      </c>
      <c r="AF909" s="639" t="s">
        <v>276</v>
      </c>
      <c r="AG909" s="639" t="s">
        <v>277</v>
      </c>
      <c r="AH909" s="639"/>
      <c r="AI909" s="626" t="str">
        <f>IFERROR(VLOOKUP(AH909,Listas!$A$77:$C$83,2,FALSE),"Alerta: Seleccione primero el responsable")</f>
        <v>Alerta: Seleccione primero el responsable</v>
      </c>
      <c r="AJ909" s="640" t="str">
        <f>IFERROR(VLOOKUP(AH909,Listas!$A$77:$C$83,3,FALSE),"Alerta: Seleccione primero el responsable")</f>
        <v>Alerta: Seleccione primero el responsable</v>
      </c>
      <c r="AK909" s="640" t="str">
        <f>IF(J909="Funcionamiento Gastos Generales","No aplica",IF(J909="Funcionamiento Servicios Personales indirectos","No aplica",IFERROR(VLOOKUP(J909,Listas!$A$127:$E$139,3,FALSE),"Alerta: Seleccione la celda en la comumna B con el nombre del proyecto")))</f>
        <v>Alerta: Seleccione la celda en la comumna B con el nombre del proyecto</v>
      </c>
      <c r="AL909" s="640" t="str">
        <f>IF(J909="Funcionamiento Gastos Generales","No aplica",IF(J909="Funcionamiento Servicios Personales","No aplica",IFERROR(VLOOKUP(J909,Listas!$A$220:$D$224,2,FALSE),"Alerta: Seleccione la celda en la comumna B con el nombre del proyecto")))</f>
        <v>Alerta: Seleccione la celda en la comumna B con el nombre del proyecto</v>
      </c>
      <c r="AM909" s="640" t="str">
        <f>IF(J909="Funcionamiento Gastos Generales","No aplica",IF(J909="Funcionamiento Servicios Personales","No aplica",IFERROR(VLOOKUP(J909,Listas!$A$220:$D$224,3,FALSE),"Alerta: Seleccione la celda en la comumna B con el nombre del proyecto")))</f>
        <v>Alerta: Seleccione la celda en la comumna B con el nombre del proyecto</v>
      </c>
      <c r="AN909" s="633"/>
      <c r="AO909" s="633"/>
      <c r="AP909" s="634" t="str">
        <f>IFERROR(VLOOKUP(J909,Listas!$A$182:$E$215,5,FALSE),"Alerta: Seleccione la celda en la comumna B con el nombre del proyecto")</f>
        <v>Alerta: Seleccione la celda en la comumna B con el nombre del proyecto</v>
      </c>
      <c r="AQ909" s="634" t="str">
        <f>IF(J909="Funcionamiento Gastos Generales","No aplica",IF(J909="Funcionamiento Servicios Personales","No aplica",IFERROR(VLOOKUP(J909,Listas!$A$220:$D$224,4,FALSE),"Alerta: Seleccione la celda en la comumna B con el nombre del proyecto")))</f>
        <v>Alerta: Seleccione la celda en la comumna B con el nombre del proyecto</v>
      </c>
      <c r="AR909" s="633"/>
      <c r="AS909" s="634" t="str">
        <f>IFERROR(VLOOKUP(AU909,Listas!$E$85:$L$105,7,FALSE),"Alerta: Seleccione la celda en la comumna AI con el concepto de gasto")</f>
        <v>Alerta: Seleccione la celda en la comumna AI con el concepto de gasto</v>
      </c>
      <c r="AT909" s="634" t="str">
        <f>IFERROR(VLOOKUP(AU909,Listas!$E$85:$L$105,8,FALSE),"Alerta: Seleccione la celda en la comumna AI con el concepto de gasto")</f>
        <v>Alerta: Seleccione la celda en la comumna AI con el concepto de gasto</v>
      </c>
      <c r="AU909" s="633"/>
      <c r="AV909" s="634" t="str">
        <f>IFERROR(VLOOKUP(AU909,Listas!$E$85:$F$105,2,FALSE),"Alerta: Seleccione el Concepto de Gasto primero")</f>
        <v>Alerta: Seleccione el Concepto de Gasto primero</v>
      </c>
      <c r="AW909" s="644"/>
      <c r="AX909" s="645"/>
      <c r="AY909" s="645"/>
      <c r="AZ909" s="645"/>
      <c r="BA909" s="646">
        <f t="shared" si="275"/>
        <v>0</v>
      </c>
      <c r="BB909" s="647"/>
      <c r="BC909" s="648"/>
      <c r="BD909" s="649"/>
      <c r="BE909" s="647"/>
      <c r="BF909" s="644"/>
      <c r="BG909" s="646">
        <f t="shared" si="276"/>
        <v>0</v>
      </c>
      <c r="BH909" s="650"/>
      <c r="BI909" s="647"/>
      <c r="BJ909" s="644"/>
      <c r="BK909" s="646">
        <f t="shared" si="277"/>
        <v>0</v>
      </c>
      <c r="BL909" s="651"/>
      <c r="BM909" s="652">
        <f t="shared" si="278"/>
        <v>1</v>
      </c>
      <c r="BN909" s="628"/>
      <c r="BO909" s="670"/>
      <c r="BP909" s="644"/>
      <c r="BQ909" s="644"/>
      <c r="BR909" s="644"/>
      <c r="BS909" s="644"/>
      <c r="BT909" s="644"/>
      <c r="BU909" s="644"/>
      <c r="BV909" s="644"/>
      <c r="BW909" s="644"/>
      <c r="BX909" s="644"/>
      <c r="BY909" s="644"/>
      <c r="BZ909" s="644"/>
      <c r="CA909" s="644"/>
      <c r="CB909" s="646">
        <f t="shared" si="279"/>
        <v>0</v>
      </c>
      <c r="CC909" s="646">
        <f t="shared" si="280"/>
        <v>0</v>
      </c>
      <c r="CD909" s="614"/>
    </row>
    <row r="910" spans="1:82" s="561" customFormat="1" ht="61.5" customHeight="1">
      <c r="A910" s="625" t="str">
        <f t="shared" si="262"/>
        <v>proyecto-Alerta: Seleccione la celda en la comumna B con el nombre del proyecto-Al-Al--</v>
      </c>
      <c r="B910" s="626" t="str">
        <f t="shared" si="263"/>
        <v>proyecto-Alerta: Seleccione la celda en la comumna B con el nombre del proyecto-Al-Al-</v>
      </c>
      <c r="C910" s="626" t="str">
        <f t="shared" si="264"/>
        <v>proyecto-Alerta: Seleccione la celda en la comumna B con el nombre del proyecto-</v>
      </c>
      <c r="D910" s="626" t="str">
        <f t="shared" si="265"/>
        <v>proyecto--Al-Al-</v>
      </c>
      <c r="E910" s="626" t="str">
        <f t="shared" si="266"/>
        <v>--</v>
      </c>
      <c r="F910" s="627"/>
      <c r="G910" s="628">
        <f t="shared" si="267"/>
        <v>0</v>
      </c>
      <c r="H910" s="629" t="b">
        <f t="shared" si="268"/>
        <v>1</v>
      </c>
      <c r="I910" s="630"/>
      <c r="J910" s="627"/>
      <c r="K910" s="631" t="str">
        <f>+IFERROR(VLOOKUP(J910,Listas!$A$108:$B$114,2,FALSE),"Alerta: Seleccione la celda en la comumna B con el nombre del proyecto")</f>
        <v>Alerta: Seleccione la celda en la comumna B con el nombre del proyecto</v>
      </c>
      <c r="L910" s="632"/>
      <c r="M910" s="633"/>
      <c r="N910" s="634" t="str">
        <f t="shared" si="269"/>
        <v xml:space="preserve">(Cód. ) </v>
      </c>
      <c r="O910" s="635"/>
      <c r="P910" s="636">
        <f>IFERROR(VLOOKUP(W910,'Estimación CRP'!$D$21:$E$30,2,FALSE),0)</f>
        <v>0</v>
      </c>
      <c r="Q910" s="637">
        <f>IF(O910="No aplica","No aplica",WORKDAY.INTL(O910,P910,1,'Estimación CRP'!A1096:A1112))</f>
        <v>0</v>
      </c>
      <c r="R910" s="636">
        <f t="shared" si="270"/>
        <v>1</v>
      </c>
      <c r="S910" s="636">
        <f t="shared" si="271"/>
        <v>1</v>
      </c>
      <c r="T910" s="636">
        <f t="shared" si="272"/>
        <v>1</v>
      </c>
      <c r="U910" s="638"/>
      <c r="V910" s="638"/>
      <c r="W910" s="639"/>
      <c r="X910" s="640" t="str">
        <f>IFERROR(VLOOKUP(W910,Listas!$A$60:$B$73,2,FALSE),"Alerta: Seleccione primero Modalidad de selección")</f>
        <v>Alerta: Seleccione primero Modalidad de selección</v>
      </c>
      <c r="Y910" s="641">
        <v>0</v>
      </c>
      <c r="Z910" s="641"/>
      <c r="AA910" s="641"/>
      <c r="AB910" s="642">
        <f t="shared" si="273"/>
        <v>0</v>
      </c>
      <c r="AC910" s="642">
        <f t="shared" si="274"/>
        <v>0</v>
      </c>
      <c r="AD910" s="641">
        <v>0</v>
      </c>
      <c r="AE910" s="643">
        <v>0</v>
      </c>
      <c r="AF910" s="639" t="s">
        <v>276</v>
      </c>
      <c r="AG910" s="639" t="s">
        <v>277</v>
      </c>
      <c r="AH910" s="639"/>
      <c r="AI910" s="626" t="str">
        <f>IFERROR(VLOOKUP(AH910,Listas!$A$77:$C$83,2,FALSE),"Alerta: Seleccione primero el responsable")</f>
        <v>Alerta: Seleccione primero el responsable</v>
      </c>
      <c r="AJ910" s="640" t="str">
        <f>IFERROR(VLOOKUP(AH910,Listas!$A$77:$C$83,3,FALSE),"Alerta: Seleccione primero el responsable")</f>
        <v>Alerta: Seleccione primero el responsable</v>
      </c>
      <c r="AK910" s="640" t="str">
        <f>IF(J910="Funcionamiento Gastos Generales","No aplica",IF(J910="Funcionamiento Servicios Personales indirectos","No aplica",IFERROR(VLOOKUP(J910,Listas!$A$127:$E$139,3,FALSE),"Alerta: Seleccione la celda en la comumna B con el nombre del proyecto")))</f>
        <v>Alerta: Seleccione la celda en la comumna B con el nombre del proyecto</v>
      </c>
      <c r="AL910" s="640" t="str">
        <f>IF(J910="Funcionamiento Gastos Generales","No aplica",IF(J910="Funcionamiento Servicios Personales","No aplica",IFERROR(VLOOKUP(J910,Listas!$A$220:$D$224,2,FALSE),"Alerta: Seleccione la celda en la comumna B con el nombre del proyecto")))</f>
        <v>Alerta: Seleccione la celda en la comumna B con el nombre del proyecto</v>
      </c>
      <c r="AM910" s="640" t="str">
        <f>IF(J910="Funcionamiento Gastos Generales","No aplica",IF(J910="Funcionamiento Servicios Personales","No aplica",IFERROR(VLOOKUP(J910,Listas!$A$220:$D$224,3,FALSE),"Alerta: Seleccione la celda en la comumna B con el nombre del proyecto")))</f>
        <v>Alerta: Seleccione la celda en la comumna B con el nombre del proyecto</v>
      </c>
      <c r="AN910" s="633"/>
      <c r="AO910" s="633"/>
      <c r="AP910" s="634" t="str">
        <f>IFERROR(VLOOKUP(J910,Listas!$A$182:$E$215,5,FALSE),"Alerta: Seleccione la celda en la comumna B con el nombre del proyecto")</f>
        <v>Alerta: Seleccione la celda en la comumna B con el nombre del proyecto</v>
      </c>
      <c r="AQ910" s="634" t="str">
        <f>IF(J910="Funcionamiento Gastos Generales","No aplica",IF(J910="Funcionamiento Servicios Personales","No aplica",IFERROR(VLOOKUP(J910,Listas!$A$220:$D$224,4,FALSE),"Alerta: Seleccione la celda en la comumna B con el nombre del proyecto")))</f>
        <v>Alerta: Seleccione la celda en la comumna B con el nombre del proyecto</v>
      </c>
      <c r="AR910" s="633"/>
      <c r="AS910" s="634" t="str">
        <f>IFERROR(VLOOKUP(AU910,Listas!$E$85:$L$105,7,FALSE),"Alerta: Seleccione la celda en la comumna AI con el concepto de gasto")</f>
        <v>Alerta: Seleccione la celda en la comumna AI con el concepto de gasto</v>
      </c>
      <c r="AT910" s="634" t="str">
        <f>IFERROR(VLOOKUP(AU910,Listas!$E$85:$L$105,8,FALSE),"Alerta: Seleccione la celda en la comumna AI con el concepto de gasto")</f>
        <v>Alerta: Seleccione la celda en la comumna AI con el concepto de gasto</v>
      </c>
      <c r="AU910" s="633"/>
      <c r="AV910" s="634" t="str">
        <f>IFERROR(VLOOKUP(AU910,Listas!$E$85:$F$105,2,FALSE),"Alerta: Seleccione el Concepto de Gasto primero")</f>
        <v>Alerta: Seleccione el Concepto de Gasto primero</v>
      </c>
      <c r="AW910" s="644"/>
      <c r="AX910" s="645"/>
      <c r="AY910" s="645"/>
      <c r="AZ910" s="645"/>
      <c r="BA910" s="646">
        <f t="shared" si="275"/>
        <v>0</v>
      </c>
      <c r="BB910" s="647"/>
      <c r="BC910" s="648"/>
      <c r="BD910" s="649"/>
      <c r="BE910" s="647"/>
      <c r="BF910" s="644"/>
      <c r="BG910" s="646">
        <f t="shared" si="276"/>
        <v>0</v>
      </c>
      <c r="BH910" s="650"/>
      <c r="BI910" s="647"/>
      <c r="BJ910" s="644"/>
      <c r="BK910" s="646">
        <f t="shared" si="277"/>
        <v>0</v>
      </c>
      <c r="BL910" s="651"/>
      <c r="BM910" s="652">
        <f t="shared" si="278"/>
        <v>1</v>
      </c>
      <c r="BN910" s="628"/>
      <c r="BO910" s="670"/>
      <c r="BP910" s="644"/>
      <c r="BQ910" s="644"/>
      <c r="BR910" s="644"/>
      <c r="BS910" s="644"/>
      <c r="BT910" s="644"/>
      <c r="BU910" s="644"/>
      <c r="BV910" s="644"/>
      <c r="BW910" s="644"/>
      <c r="BX910" s="644"/>
      <c r="BY910" s="644"/>
      <c r="BZ910" s="644"/>
      <c r="CA910" s="644"/>
      <c r="CB910" s="646">
        <f t="shared" si="279"/>
        <v>0</v>
      </c>
      <c r="CC910" s="646">
        <f t="shared" si="280"/>
        <v>0</v>
      </c>
      <c r="CD910" s="614"/>
    </row>
    <row r="911" spans="1:82" s="561" customFormat="1" ht="61.5" customHeight="1">
      <c r="A911" s="625" t="str">
        <f t="shared" si="262"/>
        <v>proyecto-Alerta: Seleccione la celda en la comumna B con el nombre del proyecto-Al-Al--</v>
      </c>
      <c r="B911" s="626" t="str">
        <f t="shared" si="263"/>
        <v>proyecto-Alerta: Seleccione la celda en la comumna B con el nombre del proyecto-Al-Al-</v>
      </c>
      <c r="C911" s="626" t="str">
        <f t="shared" si="264"/>
        <v>proyecto-Alerta: Seleccione la celda en la comumna B con el nombre del proyecto-</v>
      </c>
      <c r="D911" s="626" t="str">
        <f t="shared" si="265"/>
        <v>proyecto--Al-Al-</v>
      </c>
      <c r="E911" s="626" t="str">
        <f t="shared" si="266"/>
        <v>--</v>
      </c>
      <c r="F911" s="627"/>
      <c r="G911" s="628">
        <f t="shared" si="267"/>
        <v>0</v>
      </c>
      <c r="H911" s="629" t="b">
        <f t="shared" si="268"/>
        <v>1</v>
      </c>
      <c r="I911" s="630"/>
      <c r="J911" s="627"/>
      <c r="K911" s="631" t="str">
        <f>+IFERROR(VLOOKUP(J911,Listas!$A$108:$B$114,2,FALSE),"Alerta: Seleccione la celda en la comumna B con el nombre del proyecto")</f>
        <v>Alerta: Seleccione la celda en la comumna B con el nombre del proyecto</v>
      </c>
      <c r="L911" s="632"/>
      <c r="M911" s="633"/>
      <c r="N911" s="634" t="str">
        <f t="shared" si="269"/>
        <v xml:space="preserve">(Cód. ) </v>
      </c>
      <c r="O911" s="635"/>
      <c r="P911" s="636">
        <f>IFERROR(VLOOKUP(W911,'Estimación CRP'!$D$21:$E$30,2,FALSE),0)</f>
        <v>0</v>
      </c>
      <c r="Q911" s="637">
        <f>IF(O911="No aplica","No aplica",WORKDAY.INTL(O911,P911,1,'Estimación CRP'!A1097:A1113))</f>
        <v>0</v>
      </c>
      <c r="R911" s="636">
        <f t="shared" si="270"/>
        <v>1</v>
      </c>
      <c r="S911" s="636">
        <f t="shared" si="271"/>
        <v>1</v>
      </c>
      <c r="T911" s="636">
        <f t="shared" si="272"/>
        <v>1</v>
      </c>
      <c r="U911" s="638"/>
      <c r="V911" s="638"/>
      <c r="W911" s="639"/>
      <c r="X911" s="640" t="str">
        <f>IFERROR(VLOOKUP(W911,Listas!$A$60:$B$73,2,FALSE),"Alerta: Seleccione primero Modalidad de selección")</f>
        <v>Alerta: Seleccione primero Modalidad de selección</v>
      </c>
      <c r="Y911" s="641">
        <v>0</v>
      </c>
      <c r="Z911" s="641"/>
      <c r="AA911" s="641"/>
      <c r="AB911" s="642">
        <f t="shared" si="273"/>
        <v>0</v>
      </c>
      <c r="AC911" s="642">
        <f t="shared" si="274"/>
        <v>0</v>
      </c>
      <c r="AD911" s="641">
        <v>0</v>
      </c>
      <c r="AE911" s="643">
        <v>0</v>
      </c>
      <c r="AF911" s="639" t="s">
        <v>276</v>
      </c>
      <c r="AG911" s="639" t="s">
        <v>277</v>
      </c>
      <c r="AH911" s="639"/>
      <c r="AI911" s="626" t="str">
        <f>IFERROR(VLOOKUP(AH911,Listas!$A$77:$C$83,2,FALSE),"Alerta: Seleccione primero el responsable")</f>
        <v>Alerta: Seleccione primero el responsable</v>
      </c>
      <c r="AJ911" s="640" t="str">
        <f>IFERROR(VLOOKUP(AH911,Listas!$A$77:$C$83,3,FALSE),"Alerta: Seleccione primero el responsable")</f>
        <v>Alerta: Seleccione primero el responsable</v>
      </c>
      <c r="AK911" s="640" t="str">
        <f>IF(J911="Funcionamiento Gastos Generales","No aplica",IF(J911="Funcionamiento Servicios Personales indirectos","No aplica",IFERROR(VLOOKUP(J911,Listas!$A$127:$E$139,3,FALSE),"Alerta: Seleccione la celda en la comumna B con el nombre del proyecto")))</f>
        <v>Alerta: Seleccione la celda en la comumna B con el nombre del proyecto</v>
      </c>
      <c r="AL911" s="640" t="str">
        <f>IF(J911="Funcionamiento Gastos Generales","No aplica",IF(J911="Funcionamiento Servicios Personales","No aplica",IFERROR(VLOOKUP(J911,Listas!$A$220:$D$224,2,FALSE),"Alerta: Seleccione la celda en la comumna B con el nombre del proyecto")))</f>
        <v>Alerta: Seleccione la celda en la comumna B con el nombre del proyecto</v>
      </c>
      <c r="AM911" s="640" t="str">
        <f>IF(J911="Funcionamiento Gastos Generales","No aplica",IF(J911="Funcionamiento Servicios Personales","No aplica",IFERROR(VLOOKUP(J911,Listas!$A$220:$D$224,3,FALSE),"Alerta: Seleccione la celda en la comumna B con el nombre del proyecto")))</f>
        <v>Alerta: Seleccione la celda en la comumna B con el nombre del proyecto</v>
      </c>
      <c r="AN911" s="633"/>
      <c r="AO911" s="633"/>
      <c r="AP911" s="634" t="str">
        <f>IFERROR(VLOOKUP(J911,Listas!$A$182:$E$215,5,FALSE),"Alerta: Seleccione la celda en la comumna B con el nombre del proyecto")</f>
        <v>Alerta: Seleccione la celda en la comumna B con el nombre del proyecto</v>
      </c>
      <c r="AQ911" s="634" t="str">
        <f>IF(J911="Funcionamiento Gastos Generales","No aplica",IF(J911="Funcionamiento Servicios Personales","No aplica",IFERROR(VLOOKUP(J911,Listas!$A$220:$D$224,4,FALSE),"Alerta: Seleccione la celda en la comumna B con el nombre del proyecto")))</f>
        <v>Alerta: Seleccione la celda en la comumna B con el nombre del proyecto</v>
      </c>
      <c r="AR911" s="633"/>
      <c r="AS911" s="634" t="str">
        <f>IFERROR(VLOOKUP(AU911,Listas!$E$85:$L$105,7,FALSE),"Alerta: Seleccione la celda en la comumna AI con el concepto de gasto")</f>
        <v>Alerta: Seleccione la celda en la comumna AI con el concepto de gasto</v>
      </c>
      <c r="AT911" s="634" t="str">
        <f>IFERROR(VLOOKUP(AU911,Listas!$E$85:$L$105,8,FALSE),"Alerta: Seleccione la celda en la comumna AI con el concepto de gasto")</f>
        <v>Alerta: Seleccione la celda en la comumna AI con el concepto de gasto</v>
      </c>
      <c r="AU911" s="633"/>
      <c r="AV911" s="634" t="str">
        <f>IFERROR(VLOOKUP(AU911,Listas!$E$85:$F$105,2,FALSE),"Alerta: Seleccione el Concepto de Gasto primero")</f>
        <v>Alerta: Seleccione el Concepto de Gasto primero</v>
      </c>
      <c r="AW911" s="644"/>
      <c r="AX911" s="645"/>
      <c r="AY911" s="645"/>
      <c r="AZ911" s="645"/>
      <c r="BA911" s="646">
        <f t="shared" si="275"/>
        <v>0</v>
      </c>
      <c r="BB911" s="647"/>
      <c r="BC911" s="648"/>
      <c r="BD911" s="649"/>
      <c r="BE911" s="647"/>
      <c r="BF911" s="644"/>
      <c r="BG911" s="646">
        <f t="shared" si="276"/>
        <v>0</v>
      </c>
      <c r="BH911" s="650"/>
      <c r="BI911" s="647"/>
      <c r="BJ911" s="644"/>
      <c r="BK911" s="646">
        <f t="shared" si="277"/>
        <v>0</v>
      </c>
      <c r="BL911" s="651"/>
      <c r="BM911" s="652">
        <f t="shared" si="278"/>
        <v>1</v>
      </c>
      <c r="BN911" s="628"/>
      <c r="BO911" s="670"/>
      <c r="BP911" s="644"/>
      <c r="BQ911" s="644"/>
      <c r="BR911" s="644"/>
      <c r="BS911" s="644"/>
      <c r="BT911" s="644"/>
      <c r="BU911" s="644"/>
      <c r="BV911" s="644"/>
      <c r="BW911" s="644"/>
      <c r="BX911" s="644"/>
      <c r="BY911" s="644"/>
      <c r="BZ911" s="644"/>
      <c r="CA911" s="644"/>
      <c r="CB911" s="646">
        <f t="shared" si="279"/>
        <v>0</v>
      </c>
      <c r="CC911" s="646">
        <f t="shared" si="280"/>
        <v>0</v>
      </c>
      <c r="CD911" s="614"/>
    </row>
    <row r="912" spans="1:82" s="561" customFormat="1" ht="61.5" customHeight="1">
      <c r="A912" s="625" t="str">
        <f t="shared" si="262"/>
        <v>proyecto-Alerta: Seleccione la celda en la comumna B con el nombre del proyecto-Al-Al--</v>
      </c>
      <c r="B912" s="626" t="str">
        <f t="shared" si="263"/>
        <v>proyecto-Alerta: Seleccione la celda en la comumna B con el nombre del proyecto-Al-Al-</v>
      </c>
      <c r="C912" s="626" t="str">
        <f t="shared" si="264"/>
        <v>proyecto-Alerta: Seleccione la celda en la comumna B con el nombre del proyecto-</v>
      </c>
      <c r="D912" s="626" t="str">
        <f t="shared" si="265"/>
        <v>proyecto--Al-Al-</v>
      </c>
      <c r="E912" s="626" t="str">
        <f t="shared" si="266"/>
        <v>--</v>
      </c>
      <c r="F912" s="627"/>
      <c r="G912" s="628">
        <f t="shared" si="267"/>
        <v>0</v>
      </c>
      <c r="H912" s="629" t="b">
        <f t="shared" si="268"/>
        <v>1</v>
      </c>
      <c r="I912" s="630"/>
      <c r="J912" s="627"/>
      <c r="K912" s="631" t="str">
        <f>+IFERROR(VLOOKUP(J912,Listas!$A$108:$B$114,2,FALSE),"Alerta: Seleccione la celda en la comumna B con el nombre del proyecto")</f>
        <v>Alerta: Seleccione la celda en la comumna B con el nombre del proyecto</v>
      </c>
      <c r="L912" s="632"/>
      <c r="M912" s="633"/>
      <c r="N912" s="634" t="str">
        <f t="shared" si="269"/>
        <v xml:space="preserve">(Cód. ) </v>
      </c>
      <c r="O912" s="635"/>
      <c r="P912" s="636">
        <f>IFERROR(VLOOKUP(W912,'Estimación CRP'!$D$21:$E$30,2,FALSE),0)</f>
        <v>0</v>
      </c>
      <c r="Q912" s="637">
        <f>IF(O912="No aplica","No aplica",WORKDAY.INTL(O912,P912,1,'Estimación CRP'!A1098:A1114))</f>
        <v>0</v>
      </c>
      <c r="R912" s="636">
        <f t="shared" si="270"/>
        <v>1</v>
      </c>
      <c r="S912" s="636">
        <f t="shared" si="271"/>
        <v>1</v>
      </c>
      <c r="T912" s="636">
        <f t="shared" si="272"/>
        <v>1</v>
      </c>
      <c r="U912" s="638"/>
      <c r="V912" s="638"/>
      <c r="W912" s="639"/>
      <c r="X912" s="640" t="str">
        <f>IFERROR(VLOOKUP(W912,Listas!$A$60:$B$73,2,FALSE),"Alerta: Seleccione primero Modalidad de selección")</f>
        <v>Alerta: Seleccione primero Modalidad de selección</v>
      </c>
      <c r="Y912" s="641">
        <v>0</v>
      </c>
      <c r="Z912" s="641"/>
      <c r="AA912" s="641"/>
      <c r="AB912" s="642">
        <f t="shared" si="273"/>
        <v>0</v>
      </c>
      <c r="AC912" s="642">
        <f t="shared" si="274"/>
        <v>0</v>
      </c>
      <c r="AD912" s="641">
        <v>0</v>
      </c>
      <c r="AE912" s="643">
        <v>0</v>
      </c>
      <c r="AF912" s="639" t="s">
        <v>276</v>
      </c>
      <c r="AG912" s="639" t="s">
        <v>277</v>
      </c>
      <c r="AH912" s="639"/>
      <c r="AI912" s="626" t="str">
        <f>IFERROR(VLOOKUP(AH912,Listas!$A$77:$C$83,2,FALSE),"Alerta: Seleccione primero el responsable")</f>
        <v>Alerta: Seleccione primero el responsable</v>
      </c>
      <c r="AJ912" s="640" t="str">
        <f>IFERROR(VLOOKUP(AH912,Listas!$A$77:$C$83,3,FALSE),"Alerta: Seleccione primero el responsable")</f>
        <v>Alerta: Seleccione primero el responsable</v>
      </c>
      <c r="AK912" s="640" t="str">
        <f>IF(J912="Funcionamiento Gastos Generales","No aplica",IF(J912="Funcionamiento Servicios Personales indirectos","No aplica",IFERROR(VLOOKUP(J912,Listas!$A$127:$E$139,3,FALSE),"Alerta: Seleccione la celda en la comumna B con el nombre del proyecto")))</f>
        <v>Alerta: Seleccione la celda en la comumna B con el nombre del proyecto</v>
      </c>
      <c r="AL912" s="640" t="str">
        <f>IF(J912="Funcionamiento Gastos Generales","No aplica",IF(J912="Funcionamiento Servicios Personales","No aplica",IFERROR(VLOOKUP(J912,Listas!$A$220:$D$224,2,FALSE),"Alerta: Seleccione la celda en la comumna B con el nombre del proyecto")))</f>
        <v>Alerta: Seleccione la celda en la comumna B con el nombre del proyecto</v>
      </c>
      <c r="AM912" s="640" t="str">
        <f>IF(J912="Funcionamiento Gastos Generales","No aplica",IF(J912="Funcionamiento Servicios Personales","No aplica",IFERROR(VLOOKUP(J912,Listas!$A$220:$D$224,3,FALSE),"Alerta: Seleccione la celda en la comumna B con el nombre del proyecto")))</f>
        <v>Alerta: Seleccione la celda en la comumna B con el nombre del proyecto</v>
      </c>
      <c r="AN912" s="633"/>
      <c r="AO912" s="633"/>
      <c r="AP912" s="634" t="str">
        <f>IFERROR(VLOOKUP(J912,Listas!$A$182:$E$215,5,FALSE),"Alerta: Seleccione la celda en la comumna B con el nombre del proyecto")</f>
        <v>Alerta: Seleccione la celda en la comumna B con el nombre del proyecto</v>
      </c>
      <c r="AQ912" s="634" t="str">
        <f>IF(J912="Funcionamiento Gastos Generales","No aplica",IF(J912="Funcionamiento Servicios Personales","No aplica",IFERROR(VLOOKUP(J912,Listas!$A$220:$D$224,4,FALSE),"Alerta: Seleccione la celda en la comumna B con el nombre del proyecto")))</f>
        <v>Alerta: Seleccione la celda en la comumna B con el nombre del proyecto</v>
      </c>
      <c r="AR912" s="633"/>
      <c r="AS912" s="634" t="str">
        <f>IFERROR(VLOOKUP(AU912,Listas!$E$85:$L$105,7,FALSE),"Alerta: Seleccione la celda en la comumna AI con el concepto de gasto")</f>
        <v>Alerta: Seleccione la celda en la comumna AI con el concepto de gasto</v>
      </c>
      <c r="AT912" s="634" t="str">
        <f>IFERROR(VLOOKUP(AU912,Listas!$E$85:$L$105,8,FALSE),"Alerta: Seleccione la celda en la comumna AI con el concepto de gasto")</f>
        <v>Alerta: Seleccione la celda en la comumna AI con el concepto de gasto</v>
      </c>
      <c r="AU912" s="633"/>
      <c r="AV912" s="634" t="str">
        <f>IFERROR(VLOOKUP(AU912,Listas!$E$85:$F$105,2,FALSE),"Alerta: Seleccione el Concepto de Gasto primero")</f>
        <v>Alerta: Seleccione el Concepto de Gasto primero</v>
      </c>
      <c r="AW912" s="644"/>
      <c r="AX912" s="645"/>
      <c r="AY912" s="645"/>
      <c r="AZ912" s="645"/>
      <c r="BA912" s="646">
        <f t="shared" si="275"/>
        <v>0</v>
      </c>
      <c r="BB912" s="647"/>
      <c r="BC912" s="648"/>
      <c r="BD912" s="649"/>
      <c r="BE912" s="647"/>
      <c r="BF912" s="644"/>
      <c r="BG912" s="646">
        <f t="shared" si="276"/>
        <v>0</v>
      </c>
      <c r="BH912" s="650"/>
      <c r="BI912" s="647"/>
      <c r="BJ912" s="644"/>
      <c r="BK912" s="646">
        <f t="shared" si="277"/>
        <v>0</v>
      </c>
      <c r="BL912" s="651"/>
      <c r="BM912" s="652">
        <f t="shared" si="278"/>
        <v>1</v>
      </c>
      <c r="BN912" s="628"/>
      <c r="BO912" s="670"/>
      <c r="BP912" s="644"/>
      <c r="BQ912" s="644"/>
      <c r="BR912" s="644"/>
      <c r="BS912" s="644"/>
      <c r="BT912" s="644"/>
      <c r="BU912" s="644"/>
      <c r="BV912" s="644"/>
      <c r="BW912" s="644"/>
      <c r="BX912" s="644"/>
      <c r="BY912" s="644"/>
      <c r="BZ912" s="644"/>
      <c r="CA912" s="644"/>
      <c r="CB912" s="646">
        <f t="shared" si="279"/>
        <v>0</v>
      </c>
      <c r="CC912" s="646">
        <f t="shared" si="280"/>
        <v>0</v>
      </c>
      <c r="CD912" s="614"/>
    </row>
    <row r="913" spans="1:82" s="561" customFormat="1" ht="61.5" customHeight="1">
      <c r="A913" s="625" t="str">
        <f t="shared" si="262"/>
        <v>proyecto-Alerta: Seleccione la celda en la comumna B con el nombre del proyecto-Al-Al--</v>
      </c>
      <c r="B913" s="626" t="str">
        <f t="shared" si="263"/>
        <v>proyecto-Alerta: Seleccione la celda en la comumna B con el nombre del proyecto-Al-Al-</v>
      </c>
      <c r="C913" s="626" t="str">
        <f t="shared" si="264"/>
        <v>proyecto-Alerta: Seleccione la celda en la comumna B con el nombre del proyecto-</v>
      </c>
      <c r="D913" s="626" t="str">
        <f t="shared" si="265"/>
        <v>proyecto--Al-Al-</v>
      </c>
      <c r="E913" s="626" t="str">
        <f t="shared" si="266"/>
        <v>--</v>
      </c>
      <c r="F913" s="627"/>
      <c r="G913" s="628">
        <f t="shared" si="267"/>
        <v>0</v>
      </c>
      <c r="H913" s="629" t="b">
        <f t="shared" si="268"/>
        <v>1</v>
      </c>
      <c r="I913" s="630"/>
      <c r="J913" s="627"/>
      <c r="K913" s="631" t="str">
        <f>+IFERROR(VLOOKUP(J913,Listas!$A$108:$B$114,2,FALSE),"Alerta: Seleccione la celda en la comumna B con el nombre del proyecto")</f>
        <v>Alerta: Seleccione la celda en la comumna B con el nombre del proyecto</v>
      </c>
      <c r="L913" s="632"/>
      <c r="M913" s="633"/>
      <c r="N913" s="634" t="str">
        <f t="shared" si="269"/>
        <v xml:space="preserve">(Cód. ) </v>
      </c>
      <c r="O913" s="635"/>
      <c r="P913" s="636">
        <f>IFERROR(VLOOKUP(W913,'Estimación CRP'!$D$21:$E$30,2,FALSE),0)</f>
        <v>0</v>
      </c>
      <c r="Q913" s="637">
        <f>IF(O913="No aplica","No aplica",WORKDAY.INTL(O913,P913,1,'Estimación CRP'!A1099:A1115))</f>
        <v>0</v>
      </c>
      <c r="R913" s="636">
        <f t="shared" si="270"/>
        <v>1</v>
      </c>
      <c r="S913" s="636">
        <f t="shared" si="271"/>
        <v>1</v>
      </c>
      <c r="T913" s="636">
        <f t="shared" si="272"/>
        <v>1</v>
      </c>
      <c r="U913" s="638"/>
      <c r="V913" s="638"/>
      <c r="W913" s="639"/>
      <c r="X913" s="640" t="str">
        <f>IFERROR(VLOOKUP(W913,Listas!$A$60:$B$73,2,FALSE),"Alerta: Seleccione primero Modalidad de selección")</f>
        <v>Alerta: Seleccione primero Modalidad de selección</v>
      </c>
      <c r="Y913" s="641">
        <v>0</v>
      </c>
      <c r="Z913" s="641"/>
      <c r="AA913" s="641"/>
      <c r="AB913" s="642">
        <f t="shared" si="273"/>
        <v>0</v>
      </c>
      <c r="AC913" s="642">
        <f t="shared" si="274"/>
        <v>0</v>
      </c>
      <c r="AD913" s="641">
        <v>0</v>
      </c>
      <c r="AE913" s="643">
        <v>0</v>
      </c>
      <c r="AF913" s="639" t="s">
        <v>276</v>
      </c>
      <c r="AG913" s="639" t="s">
        <v>277</v>
      </c>
      <c r="AH913" s="639"/>
      <c r="AI913" s="626" t="str">
        <f>IFERROR(VLOOKUP(AH913,Listas!$A$77:$C$83,2,FALSE),"Alerta: Seleccione primero el responsable")</f>
        <v>Alerta: Seleccione primero el responsable</v>
      </c>
      <c r="AJ913" s="640" t="str">
        <f>IFERROR(VLOOKUP(AH913,Listas!$A$77:$C$83,3,FALSE),"Alerta: Seleccione primero el responsable")</f>
        <v>Alerta: Seleccione primero el responsable</v>
      </c>
      <c r="AK913" s="640" t="str">
        <f>IF(J913="Funcionamiento Gastos Generales","No aplica",IF(J913="Funcionamiento Servicios Personales indirectos","No aplica",IFERROR(VLOOKUP(J913,Listas!$A$127:$E$139,3,FALSE),"Alerta: Seleccione la celda en la comumna B con el nombre del proyecto")))</f>
        <v>Alerta: Seleccione la celda en la comumna B con el nombre del proyecto</v>
      </c>
      <c r="AL913" s="640" t="str">
        <f>IF(J913="Funcionamiento Gastos Generales","No aplica",IF(J913="Funcionamiento Servicios Personales","No aplica",IFERROR(VLOOKUP(J913,Listas!$A$220:$D$224,2,FALSE),"Alerta: Seleccione la celda en la comumna B con el nombre del proyecto")))</f>
        <v>Alerta: Seleccione la celda en la comumna B con el nombre del proyecto</v>
      </c>
      <c r="AM913" s="640" t="str">
        <f>IF(J913="Funcionamiento Gastos Generales","No aplica",IF(J913="Funcionamiento Servicios Personales","No aplica",IFERROR(VLOOKUP(J913,Listas!$A$220:$D$224,3,FALSE),"Alerta: Seleccione la celda en la comumna B con el nombre del proyecto")))</f>
        <v>Alerta: Seleccione la celda en la comumna B con el nombre del proyecto</v>
      </c>
      <c r="AN913" s="633"/>
      <c r="AO913" s="633"/>
      <c r="AP913" s="634" t="str">
        <f>IFERROR(VLOOKUP(J913,Listas!$A$182:$E$215,5,FALSE),"Alerta: Seleccione la celda en la comumna B con el nombre del proyecto")</f>
        <v>Alerta: Seleccione la celda en la comumna B con el nombre del proyecto</v>
      </c>
      <c r="AQ913" s="634" t="str">
        <f>IF(J913="Funcionamiento Gastos Generales","No aplica",IF(J913="Funcionamiento Servicios Personales","No aplica",IFERROR(VLOOKUP(J913,Listas!$A$220:$D$224,4,FALSE),"Alerta: Seleccione la celda en la comumna B con el nombre del proyecto")))</f>
        <v>Alerta: Seleccione la celda en la comumna B con el nombre del proyecto</v>
      </c>
      <c r="AR913" s="633"/>
      <c r="AS913" s="634" t="str">
        <f>IFERROR(VLOOKUP(AU913,Listas!$E$85:$L$105,7,FALSE),"Alerta: Seleccione la celda en la comumna AI con el concepto de gasto")</f>
        <v>Alerta: Seleccione la celda en la comumna AI con el concepto de gasto</v>
      </c>
      <c r="AT913" s="634" t="str">
        <f>IFERROR(VLOOKUP(AU913,Listas!$E$85:$L$105,8,FALSE),"Alerta: Seleccione la celda en la comumna AI con el concepto de gasto")</f>
        <v>Alerta: Seleccione la celda en la comumna AI con el concepto de gasto</v>
      </c>
      <c r="AU913" s="633"/>
      <c r="AV913" s="634" t="str">
        <f>IFERROR(VLOOKUP(AU913,Listas!$E$85:$F$105,2,FALSE),"Alerta: Seleccione el Concepto de Gasto primero")</f>
        <v>Alerta: Seleccione el Concepto de Gasto primero</v>
      </c>
      <c r="AW913" s="644"/>
      <c r="AX913" s="645"/>
      <c r="AY913" s="645"/>
      <c r="AZ913" s="645"/>
      <c r="BA913" s="646">
        <f t="shared" si="275"/>
        <v>0</v>
      </c>
      <c r="BB913" s="647"/>
      <c r="BC913" s="648"/>
      <c r="BD913" s="649"/>
      <c r="BE913" s="647"/>
      <c r="BF913" s="644"/>
      <c r="BG913" s="646">
        <f t="shared" si="276"/>
        <v>0</v>
      </c>
      <c r="BH913" s="650"/>
      <c r="BI913" s="647"/>
      <c r="BJ913" s="644"/>
      <c r="BK913" s="646">
        <f t="shared" si="277"/>
        <v>0</v>
      </c>
      <c r="BL913" s="651"/>
      <c r="BM913" s="652">
        <f t="shared" si="278"/>
        <v>1</v>
      </c>
      <c r="BN913" s="628"/>
      <c r="BO913" s="670"/>
      <c r="BP913" s="644"/>
      <c r="BQ913" s="644"/>
      <c r="BR913" s="644"/>
      <c r="BS913" s="644"/>
      <c r="BT913" s="644"/>
      <c r="BU913" s="644"/>
      <c r="BV913" s="644"/>
      <c r="BW913" s="644"/>
      <c r="BX913" s="644"/>
      <c r="BY913" s="644"/>
      <c r="BZ913" s="644"/>
      <c r="CA913" s="644"/>
      <c r="CB913" s="646">
        <f t="shared" si="279"/>
        <v>0</v>
      </c>
      <c r="CC913" s="646">
        <f t="shared" si="280"/>
        <v>0</v>
      </c>
      <c r="CD913" s="614"/>
    </row>
    <row r="914" spans="1:82" s="561" customFormat="1" ht="61.5" customHeight="1">
      <c r="A914" s="625" t="str">
        <f t="shared" si="262"/>
        <v>proyecto-Alerta: Seleccione la celda en la comumna B con el nombre del proyecto-Al-Al--</v>
      </c>
      <c r="B914" s="626" t="str">
        <f t="shared" si="263"/>
        <v>proyecto-Alerta: Seleccione la celda en la comumna B con el nombre del proyecto-Al-Al-</v>
      </c>
      <c r="C914" s="626" t="str">
        <f t="shared" si="264"/>
        <v>proyecto-Alerta: Seleccione la celda en la comumna B con el nombre del proyecto-</v>
      </c>
      <c r="D914" s="626" t="str">
        <f t="shared" si="265"/>
        <v>proyecto--Al-Al-</v>
      </c>
      <c r="E914" s="626" t="str">
        <f t="shared" si="266"/>
        <v>--</v>
      </c>
      <c r="F914" s="627"/>
      <c r="G914" s="628">
        <f t="shared" si="267"/>
        <v>0</v>
      </c>
      <c r="H914" s="629" t="b">
        <f t="shared" si="268"/>
        <v>1</v>
      </c>
      <c r="I914" s="630"/>
      <c r="J914" s="627"/>
      <c r="K914" s="631" t="str">
        <f>+IFERROR(VLOOKUP(J914,Listas!$A$108:$B$114,2,FALSE),"Alerta: Seleccione la celda en la comumna B con el nombre del proyecto")</f>
        <v>Alerta: Seleccione la celda en la comumna B con el nombre del proyecto</v>
      </c>
      <c r="L914" s="632"/>
      <c r="M914" s="633"/>
      <c r="N914" s="634" t="str">
        <f t="shared" si="269"/>
        <v xml:space="preserve">(Cód. ) </v>
      </c>
      <c r="O914" s="635"/>
      <c r="P914" s="636">
        <f>IFERROR(VLOOKUP(W914,'Estimación CRP'!$D$21:$E$30,2,FALSE),0)</f>
        <v>0</v>
      </c>
      <c r="Q914" s="637">
        <f>IF(O914="No aplica","No aplica",WORKDAY.INTL(O914,P914,1,'Estimación CRP'!A1100:A1116))</f>
        <v>0</v>
      </c>
      <c r="R914" s="636">
        <f t="shared" si="270"/>
        <v>1</v>
      </c>
      <c r="S914" s="636">
        <f t="shared" si="271"/>
        <v>1</v>
      </c>
      <c r="T914" s="636">
        <f t="shared" si="272"/>
        <v>1</v>
      </c>
      <c r="U914" s="638"/>
      <c r="V914" s="638"/>
      <c r="W914" s="639"/>
      <c r="X914" s="640" t="str">
        <f>IFERROR(VLOOKUP(W914,Listas!$A$60:$B$73,2,FALSE),"Alerta: Seleccione primero Modalidad de selección")</f>
        <v>Alerta: Seleccione primero Modalidad de selección</v>
      </c>
      <c r="Y914" s="641">
        <v>0</v>
      </c>
      <c r="Z914" s="641"/>
      <c r="AA914" s="641"/>
      <c r="AB914" s="642">
        <f t="shared" si="273"/>
        <v>0</v>
      </c>
      <c r="AC914" s="642">
        <f t="shared" si="274"/>
        <v>0</v>
      </c>
      <c r="AD914" s="641">
        <v>0</v>
      </c>
      <c r="AE914" s="643">
        <v>0</v>
      </c>
      <c r="AF914" s="639" t="s">
        <v>276</v>
      </c>
      <c r="AG914" s="639" t="s">
        <v>277</v>
      </c>
      <c r="AH914" s="639"/>
      <c r="AI914" s="626" t="str">
        <f>IFERROR(VLOOKUP(AH914,Listas!$A$77:$C$83,2,FALSE),"Alerta: Seleccione primero el responsable")</f>
        <v>Alerta: Seleccione primero el responsable</v>
      </c>
      <c r="AJ914" s="640" t="str">
        <f>IFERROR(VLOOKUP(AH914,Listas!$A$77:$C$83,3,FALSE),"Alerta: Seleccione primero el responsable")</f>
        <v>Alerta: Seleccione primero el responsable</v>
      </c>
      <c r="AK914" s="640" t="str">
        <f>IF(J914="Funcionamiento Gastos Generales","No aplica",IF(J914="Funcionamiento Servicios Personales indirectos","No aplica",IFERROR(VLOOKUP(J914,Listas!$A$127:$E$139,3,FALSE),"Alerta: Seleccione la celda en la comumna B con el nombre del proyecto")))</f>
        <v>Alerta: Seleccione la celda en la comumna B con el nombre del proyecto</v>
      </c>
      <c r="AL914" s="640" t="str">
        <f>IF(J914="Funcionamiento Gastos Generales","No aplica",IF(J914="Funcionamiento Servicios Personales","No aplica",IFERROR(VLOOKUP(J914,Listas!$A$220:$D$224,2,FALSE),"Alerta: Seleccione la celda en la comumna B con el nombre del proyecto")))</f>
        <v>Alerta: Seleccione la celda en la comumna B con el nombre del proyecto</v>
      </c>
      <c r="AM914" s="640" t="str">
        <f>IF(J914="Funcionamiento Gastos Generales","No aplica",IF(J914="Funcionamiento Servicios Personales","No aplica",IFERROR(VLOOKUP(J914,Listas!$A$220:$D$224,3,FALSE),"Alerta: Seleccione la celda en la comumna B con el nombre del proyecto")))</f>
        <v>Alerta: Seleccione la celda en la comumna B con el nombre del proyecto</v>
      </c>
      <c r="AN914" s="633"/>
      <c r="AO914" s="633"/>
      <c r="AP914" s="634" t="str">
        <f>IFERROR(VLOOKUP(J914,Listas!$A$182:$E$215,5,FALSE),"Alerta: Seleccione la celda en la comumna B con el nombre del proyecto")</f>
        <v>Alerta: Seleccione la celda en la comumna B con el nombre del proyecto</v>
      </c>
      <c r="AQ914" s="634" t="str">
        <f>IF(J914="Funcionamiento Gastos Generales","No aplica",IF(J914="Funcionamiento Servicios Personales","No aplica",IFERROR(VLOOKUP(J914,Listas!$A$220:$D$224,4,FALSE),"Alerta: Seleccione la celda en la comumna B con el nombre del proyecto")))</f>
        <v>Alerta: Seleccione la celda en la comumna B con el nombre del proyecto</v>
      </c>
      <c r="AR914" s="633"/>
      <c r="AS914" s="634" t="str">
        <f>IFERROR(VLOOKUP(AU914,Listas!$E$85:$L$105,7,FALSE),"Alerta: Seleccione la celda en la comumna AI con el concepto de gasto")</f>
        <v>Alerta: Seleccione la celda en la comumna AI con el concepto de gasto</v>
      </c>
      <c r="AT914" s="634" t="str">
        <f>IFERROR(VLOOKUP(AU914,Listas!$E$85:$L$105,8,FALSE),"Alerta: Seleccione la celda en la comumna AI con el concepto de gasto")</f>
        <v>Alerta: Seleccione la celda en la comumna AI con el concepto de gasto</v>
      </c>
      <c r="AU914" s="633"/>
      <c r="AV914" s="634" t="str">
        <f>IFERROR(VLOOKUP(AU914,Listas!$E$85:$F$105,2,FALSE),"Alerta: Seleccione el Concepto de Gasto primero")</f>
        <v>Alerta: Seleccione el Concepto de Gasto primero</v>
      </c>
      <c r="AW914" s="644"/>
      <c r="AX914" s="645"/>
      <c r="AY914" s="645"/>
      <c r="AZ914" s="645"/>
      <c r="BA914" s="646">
        <f t="shared" si="275"/>
        <v>0</v>
      </c>
      <c r="BB914" s="647"/>
      <c r="BC914" s="648"/>
      <c r="BD914" s="649"/>
      <c r="BE914" s="647"/>
      <c r="BF914" s="644"/>
      <c r="BG914" s="646">
        <f t="shared" si="276"/>
        <v>0</v>
      </c>
      <c r="BH914" s="650"/>
      <c r="BI914" s="647"/>
      <c r="BJ914" s="644"/>
      <c r="BK914" s="646">
        <f t="shared" si="277"/>
        <v>0</v>
      </c>
      <c r="BL914" s="651"/>
      <c r="BM914" s="652">
        <f t="shared" si="278"/>
        <v>1</v>
      </c>
      <c r="BN914" s="628"/>
      <c r="BO914" s="670"/>
      <c r="BP914" s="644"/>
      <c r="BQ914" s="644"/>
      <c r="BR914" s="644"/>
      <c r="BS914" s="644"/>
      <c r="BT914" s="644"/>
      <c r="BU914" s="644"/>
      <c r="BV914" s="644"/>
      <c r="BW914" s="644"/>
      <c r="BX914" s="644"/>
      <c r="BY914" s="644"/>
      <c r="BZ914" s="644"/>
      <c r="CA914" s="644"/>
      <c r="CB914" s="646">
        <f t="shared" si="279"/>
        <v>0</v>
      </c>
      <c r="CC914" s="646">
        <f t="shared" si="280"/>
        <v>0</v>
      </c>
      <c r="CD914" s="614"/>
    </row>
    <row r="915" spans="1:82" s="561" customFormat="1" ht="61.5" customHeight="1">
      <c r="A915" s="625" t="str">
        <f t="shared" si="262"/>
        <v>proyecto-Alerta: Seleccione la celda en la comumna B con el nombre del proyecto-Al-Al--</v>
      </c>
      <c r="B915" s="626" t="str">
        <f t="shared" si="263"/>
        <v>proyecto-Alerta: Seleccione la celda en la comumna B con el nombre del proyecto-Al-Al-</v>
      </c>
      <c r="C915" s="626" t="str">
        <f t="shared" si="264"/>
        <v>proyecto-Alerta: Seleccione la celda en la comumna B con el nombre del proyecto-</v>
      </c>
      <c r="D915" s="626" t="str">
        <f t="shared" si="265"/>
        <v>proyecto--Al-Al-</v>
      </c>
      <c r="E915" s="626" t="str">
        <f t="shared" si="266"/>
        <v>--</v>
      </c>
      <c r="F915" s="627"/>
      <c r="G915" s="628">
        <f t="shared" si="267"/>
        <v>0</v>
      </c>
      <c r="H915" s="629" t="b">
        <f t="shared" si="268"/>
        <v>1</v>
      </c>
      <c r="I915" s="630"/>
      <c r="J915" s="627"/>
      <c r="K915" s="631" t="str">
        <f>+IFERROR(VLOOKUP(J915,Listas!$A$108:$B$114,2,FALSE),"Alerta: Seleccione la celda en la comumna B con el nombre del proyecto")</f>
        <v>Alerta: Seleccione la celda en la comumna B con el nombre del proyecto</v>
      </c>
      <c r="L915" s="632"/>
      <c r="M915" s="633"/>
      <c r="N915" s="634" t="str">
        <f t="shared" si="269"/>
        <v xml:space="preserve">(Cód. ) </v>
      </c>
      <c r="O915" s="635"/>
      <c r="P915" s="636">
        <f>IFERROR(VLOOKUP(W915,'Estimación CRP'!$D$21:$E$30,2,FALSE),0)</f>
        <v>0</v>
      </c>
      <c r="Q915" s="637">
        <f>IF(O915="No aplica","No aplica",WORKDAY.INTL(O915,P915,1,'Estimación CRP'!A1101:A1117))</f>
        <v>0</v>
      </c>
      <c r="R915" s="636">
        <f t="shared" si="270"/>
        <v>1</v>
      </c>
      <c r="S915" s="636">
        <f t="shared" si="271"/>
        <v>1</v>
      </c>
      <c r="T915" s="636">
        <f t="shared" si="272"/>
        <v>1</v>
      </c>
      <c r="U915" s="638"/>
      <c r="V915" s="638"/>
      <c r="W915" s="639"/>
      <c r="X915" s="640" t="str">
        <f>IFERROR(VLOOKUP(W915,Listas!$A$60:$B$73,2,FALSE),"Alerta: Seleccione primero Modalidad de selección")</f>
        <v>Alerta: Seleccione primero Modalidad de selección</v>
      </c>
      <c r="Y915" s="641">
        <v>0</v>
      </c>
      <c r="Z915" s="641"/>
      <c r="AA915" s="641"/>
      <c r="AB915" s="642">
        <f t="shared" si="273"/>
        <v>0</v>
      </c>
      <c r="AC915" s="642">
        <f t="shared" si="274"/>
        <v>0</v>
      </c>
      <c r="AD915" s="641">
        <v>0</v>
      </c>
      <c r="AE915" s="643">
        <v>0</v>
      </c>
      <c r="AF915" s="639" t="s">
        <v>276</v>
      </c>
      <c r="AG915" s="639" t="s">
        <v>277</v>
      </c>
      <c r="AH915" s="639"/>
      <c r="AI915" s="626" t="str">
        <f>IFERROR(VLOOKUP(AH915,Listas!$A$77:$C$83,2,FALSE),"Alerta: Seleccione primero el responsable")</f>
        <v>Alerta: Seleccione primero el responsable</v>
      </c>
      <c r="AJ915" s="640" t="str">
        <f>IFERROR(VLOOKUP(AH915,Listas!$A$77:$C$83,3,FALSE),"Alerta: Seleccione primero el responsable")</f>
        <v>Alerta: Seleccione primero el responsable</v>
      </c>
      <c r="AK915" s="640" t="str">
        <f>IF(J915="Funcionamiento Gastos Generales","No aplica",IF(J915="Funcionamiento Servicios Personales indirectos","No aplica",IFERROR(VLOOKUP(J915,Listas!$A$127:$E$139,3,FALSE),"Alerta: Seleccione la celda en la comumna B con el nombre del proyecto")))</f>
        <v>Alerta: Seleccione la celda en la comumna B con el nombre del proyecto</v>
      </c>
      <c r="AL915" s="640" t="str">
        <f>IF(J915="Funcionamiento Gastos Generales","No aplica",IF(J915="Funcionamiento Servicios Personales","No aplica",IFERROR(VLOOKUP(J915,Listas!$A$220:$D$224,2,FALSE),"Alerta: Seleccione la celda en la comumna B con el nombre del proyecto")))</f>
        <v>Alerta: Seleccione la celda en la comumna B con el nombre del proyecto</v>
      </c>
      <c r="AM915" s="640" t="str">
        <f>IF(J915="Funcionamiento Gastos Generales","No aplica",IF(J915="Funcionamiento Servicios Personales","No aplica",IFERROR(VLOOKUP(J915,Listas!$A$220:$D$224,3,FALSE),"Alerta: Seleccione la celda en la comumna B con el nombre del proyecto")))</f>
        <v>Alerta: Seleccione la celda en la comumna B con el nombre del proyecto</v>
      </c>
      <c r="AN915" s="633"/>
      <c r="AO915" s="633"/>
      <c r="AP915" s="634" t="str">
        <f>IFERROR(VLOOKUP(J915,Listas!$A$182:$E$215,5,FALSE),"Alerta: Seleccione la celda en la comumna B con el nombre del proyecto")</f>
        <v>Alerta: Seleccione la celda en la comumna B con el nombre del proyecto</v>
      </c>
      <c r="AQ915" s="634" t="str">
        <f>IF(J915="Funcionamiento Gastos Generales","No aplica",IF(J915="Funcionamiento Servicios Personales","No aplica",IFERROR(VLOOKUP(J915,Listas!$A$220:$D$224,4,FALSE),"Alerta: Seleccione la celda en la comumna B con el nombre del proyecto")))</f>
        <v>Alerta: Seleccione la celda en la comumna B con el nombre del proyecto</v>
      </c>
      <c r="AR915" s="633"/>
      <c r="AS915" s="634" t="str">
        <f>IFERROR(VLOOKUP(AU915,Listas!$E$85:$L$105,7,FALSE),"Alerta: Seleccione la celda en la comumna AI con el concepto de gasto")</f>
        <v>Alerta: Seleccione la celda en la comumna AI con el concepto de gasto</v>
      </c>
      <c r="AT915" s="634" t="str">
        <f>IFERROR(VLOOKUP(AU915,Listas!$E$85:$L$105,8,FALSE),"Alerta: Seleccione la celda en la comumna AI con el concepto de gasto")</f>
        <v>Alerta: Seleccione la celda en la comumna AI con el concepto de gasto</v>
      </c>
      <c r="AU915" s="633"/>
      <c r="AV915" s="634" t="str">
        <f>IFERROR(VLOOKUP(AU915,Listas!$E$85:$F$105,2,FALSE),"Alerta: Seleccione el Concepto de Gasto primero")</f>
        <v>Alerta: Seleccione el Concepto de Gasto primero</v>
      </c>
      <c r="AW915" s="644"/>
      <c r="AX915" s="645"/>
      <c r="AY915" s="645"/>
      <c r="AZ915" s="645"/>
      <c r="BA915" s="646">
        <f t="shared" si="275"/>
        <v>0</v>
      </c>
      <c r="BB915" s="647"/>
      <c r="BC915" s="648"/>
      <c r="BD915" s="649"/>
      <c r="BE915" s="647"/>
      <c r="BF915" s="644"/>
      <c r="BG915" s="646">
        <f t="shared" si="276"/>
        <v>0</v>
      </c>
      <c r="BH915" s="650"/>
      <c r="BI915" s="647"/>
      <c r="BJ915" s="644"/>
      <c r="BK915" s="646">
        <f t="shared" si="277"/>
        <v>0</v>
      </c>
      <c r="BL915" s="651"/>
      <c r="BM915" s="652">
        <f t="shared" si="278"/>
        <v>1</v>
      </c>
      <c r="BN915" s="628"/>
      <c r="BO915" s="670"/>
      <c r="BP915" s="644"/>
      <c r="BQ915" s="644"/>
      <c r="BR915" s="644"/>
      <c r="BS915" s="644"/>
      <c r="BT915" s="644"/>
      <c r="BU915" s="644"/>
      <c r="BV915" s="644"/>
      <c r="BW915" s="644"/>
      <c r="BX915" s="644"/>
      <c r="BY915" s="644"/>
      <c r="BZ915" s="644"/>
      <c r="CA915" s="644"/>
      <c r="CB915" s="646">
        <f t="shared" si="279"/>
        <v>0</v>
      </c>
      <c r="CC915" s="646">
        <f t="shared" si="280"/>
        <v>0</v>
      </c>
      <c r="CD915" s="614"/>
    </row>
    <row r="916" spans="1:82" s="561" customFormat="1" ht="61.5" customHeight="1">
      <c r="A916" s="625" t="str">
        <f t="shared" si="262"/>
        <v>proyecto-Alerta: Seleccione la celda en la comumna B con el nombre del proyecto-Al-Al--</v>
      </c>
      <c r="B916" s="626" t="str">
        <f t="shared" si="263"/>
        <v>proyecto-Alerta: Seleccione la celda en la comumna B con el nombre del proyecto-Al-Al-</v>
      </c>
      <c r="C916" s="626" t="str">
        <f t="shared" si="264"/>
        <v>proyecto-Alerta: Seleccione la celda en la comumna B con el nombre del proyecto-</v>
      </c>
      <c r="D916" s="626" t="str">
        <f t="shared" si="265"/>
        <v>proyecto--Al-Al-</v>
      </c>
      <c r="E916" s="626" t="str">
        <f t="shared" si="266"/>
        <v>--</v>
      </c>
      <c r="F916" s="627"/>
      <c r="G916" s="628">
        <f t="shared" si="267"/>
        <v>0</v>
      </c>
      <c r="H916" s="629" t="b">
        <f t="shared" si="268"/>
        <v>1</v>
      </c>
      <c r="I916" s="630"/>
      <c r="J916" s="627"/>
      <c r="K916" s="631" t="str">
        <f>+IFERROR(VLOOKUP(J916,Listas!$A$108:$B$114,2,FALSE),"Alerta: Seleccione la celda en la comumna B con el nombre del proyecto")</f>
        <v>Alerta: Seleccione la celda en la comumna B con el nombre del proyecto</v>
      </c>
      <c r="L916" s="632"/>
      <c r="M916" s="633"/>
      <c r="N916" s="634" t="str">
        <f t="shared" si="269"/>
        <v xml:space="preserve">(Cód. ) </v>
      </c>
      <c r="O916" s="635"/>
      <c r="P916" s="636">
        <f>IFERROR(VLOOKUP(W916,'Estimación CRP'!$D$21:$E$30,2,FALSE),0)</f>
        <v>0</v>
      </c>
      <c r="Q916" s="637">
        <f>IF(O916="No aplica","No aplica",WORKDAY.INTL(O916,P916,1,'Estimación CRP'!A1102:A1118))</f>
        <v>0</v>
      </c>
      <c r="R916" s="636">
        <f t="shared" si="270"/>
        <v>1</v>
      </c>
      <c r="S916" s="636">
        <f t="shared" si="271"/>
        <v>1</v>
      </c>
      <c r="T916" s="636">
        <f t="shared" si="272"/>
        <v>1</v>
      </c>
      <c r="U916" s="638"/>
      <c r="V916" s="638"/>
      <c r="W916" s="639"/>
      <c r="X916" s="640" t="str">
        <f>IFERROR(VLOOKUP(W916,Listas!$A$60:$B$73,2,FALSE),"Alerta: Seleccione primero Modalidad de selección")</f>
        <v>Alerta: Seleccione primero Modalidad de selección</v>
      </c>
      <c r="Y916" s="641">
        <v>0</v>
      </c>
      <c r="Z916" s="641"/>
      <c r="AA916" s="641"/>
      <c r="AB916" s="642">
        <f t="shared" si="273"/>
        <v>0</v>
      </c>
      <c r="AC916" s="642">
        <f t="shared" si="274"/>
        <v>0</v>
      </c>
      <c r="AD916" s="641">
        <v>0</v>
      </c>
      <c r="AE916" s="643">
        <v>0</v>
      </c>
      <c r="AF916" s="639" t="s">
        <v>276</v>
      </c>
      <c r="AG916" s="639" t="s">
        <v>277</v>
      </c>
      <c r="AH916" s="639"/>
      <c r="AI916" s="626" t="str">
        <f>IFERROR(VLOOKUP(AH916,Listas!$A$77:$C$83,2,FALSE),"Alerta: Seleccione primero el responsable")</f>
        <v>Alerta: Seleccione primero el responsable</v>
      </c>
      <c r="AJ916" s="640" t="str">
        <f>IFERROR(VLOOKUP(AH916,Listas!$A$77:$C$83,3,FALSE),"Alerta: Seleccione primero el responsable")</f>
        <v>Alerta: Seleccione primero el responsable</v>
      </c>
      <c r="AK916" s="640" t="str">
        <f>IF(J916="Funcionamiento Gastos Generales","No aplica",IF(J916="Funcionamiento Servicios Personales indirectos","No aplica",IFERROR(VLOOKUP(J916,Listas!$A$127:$E$139,3,FALSE),"Alerta: Seleccione la celda en la comumna B con el nombre del proyecto")))</f>
        <v>Alerta: Seleccione la celda en la comumna B con el nombre del proyecto</v>
      </c>
      <c r="AL916" s="640" t="str">
        <f>IF(J916="Funcionamiento Gastos Generales","No aplica",IF(J916="Funcionamiento Servicios Personales","No aplica",IFERROR(VLOOKUP(J916,Listas!$A$220:$D$224,2,FALSE),"Alerta: Seleccione la celda en la comumna B con el nombre del proyecto")))</f>
        <v>Alerta: Seleccione la celda en la comumna B con el nombre del proyecto</v>
      </c>
      <c r="AM916" s="640" t="str">
        <f>IF(J916="Funcionamiento Gastos Generales","No aplica",IF(J916="Funcionamiento Servicios Personales","No aplica",IFERROR(VLOOKUP(J916,Listas!$A$220:$D$224,3,FALSE),"Alerta: Seleccione la celda en la comumna B con el nombre del proyecto")))</f>
        <v>Alerta: Seleccione la celda en la comumna B con el nombre del proyecto</v>
      </c>
      <c r="AN916" s="633"/>
      <c r="AO916" s="633"/>
      <c r="AP916" s="634" t="str">
        <f>IFERROR(VLOOKUP(J916,Listas!$A$182:$E$215,5,FALSE),"Alerta: Seleccione la celda en la comumna B con el nombre del proyecto")</f>
        <v>Alerta: Seleccione la celda en la comumna B con el nombre del proyecto</v>
      </c>
      <c r="AQ916" s="634" t="str">
        <f>IF(J916="Funcionamiento Gastos Generales","No aplica",IF(J916="Funcionamiento Servicios Personales","No aplica",IFERROR(VLOOKUP(J916,Listas!$A$220:$D$224,4,FALSE),"Alerta: Seleccione la celda en la comumna B con el nombre del proyecto")))</f>
        <v>Alerta: Seleccione la celda en la comumna B con el nombre del proyecto</v>
      </c>
      <c r="AR916" s="633"/>
      <c r="AS916" s="634" t="str">
        <f>IFERROR(VLOOKUP(AU916,Listas!$E$85:$L$105,7,FALSE),"Alerta: Seleccione la celda en la comumna AI con el concepto de gasto")</f>
        <v>Alerta: Seleccione la celda en la comumna AI con el concepto de gasto</v>
      </c>
      <c r="AT916" s="634" t="str">
        <f>IFERROR(VLOOKUP(AU916,Listas!$E$85:$L$105,8,FALSE),"Alerta: Seleccione la celda en la comumna AI con el concepto de gasto")</f>
        <v>Alerta: Seleccione la celda en la comumna AI con el concepto de gasto</v>
      </c>
      <c r="AU916" s="633"/>
      <c r="AV916" s="634" t="str">
        <f>IFERROR(VLOOKUP(AU916,Listas!$E$85:$F$105,2,FALSE),"Alerta: Seleccione el Concepto de Gasto primero")</f>
        <v>Alerta: Seleccione el Concepto de Gasto primero</v>
      </c>
      <c r="AW916" s="644"/>
      <c r="AX916" s="645"/>
      <c r="AY916" s="645"/>
      <c r="AZ916" s="645"/>
      <c r="BA916" s="646">
        <f t="shared" si="275"/>
        <v>0</v>
      </c>
      <c r="BB916" s="647"/>
      <c r="BC916" s="648"/>
      <c r="BD916" s="649"/>
      <c r="BE916" s="647"/>
      <c r="BF916" s="644"/>
      <c r="BG916" s="646">
        <f t="shared" si="276"/>
        <v>0</v>
      </c>
      <c r="BH916" s="650"/>
      <c r="BI916" s="647"/>
      <c r="BJ916" s="644"/>
      <c r="BK916" s="646">
        <f t="shared" si="277"/>
        <v>0</v>
      </c>
      <c r="BL916" s="651"/>
      <c r="BM916" s="652">
        <f t="shared" si="278"/>
        <v>1</v>
      </c>
      <c r="BN916" s="628"/>
      <c r="BO916" s="670"/>
      <c r="BP916" s="644"/>
      <c r="BQ916" s="644"/>
      <c r="BR916" s="644"/>
      <c r="BS916" s="644"/>
      <c r="BT916" s="644"/>
      <c r="BU916" s="644"/>
      <c r="BV916" s="644"/>
      <c r="BW916" s="644"/>
      <c r="BX916" s="644"/>
      <c r="BY916" s="644"/>
      <c r="BZ916" s="644"/>
      <c r="CA916" s="644"/>
      <c r="CB916" s="646">
        <f t="shared" si="279"/>
        <v>0</v>
      </c>
      <c r="CC916" s="646">
        <f t="shared" si="280"/>
        <v>0</v>
      </c>
      <c r="CD916" s="614"/>
    </row>
    <row r="917" spans="1:82" s="659" customFormat="1" ht="61.5" customHeight="1">
      <c r="A917" s="625" t="str">
        <f t="shared" si="262"/>
        <v>proyecto-Alerta: Seleccione la celda en la comumna B con el nombre del proyecto-Al-Al--</v>
      </c>
      <c r="B917" s="626" t="str">
        <f t="shared" si="263"/>
        <v>proyecto-Alerta: Seleccione la celda en la comumna B con el nombre del proyecto-Al-Al-</v>
      </c>
      <c r="C917" s="626" t="str">
        <f t="shared" si="264"/>
        <v>proyecto-Alerta: Seleccione la celda en la comumna B con el nombre del proyecto-</v>
      </c>
      <c r="D917" s="626" t="str">
        <f t="shared" si="265"/>
        <v>proyecto--Al-Al-</v>
      </c>
      <c r="E917" s="626" t="str">
        <f t="shared" si="266"/>
        <v>--</v>
      </c>
      <c r="F917" s="627"/>
      <c r="G917" s="628">
        <f t="shared" si="267"/>
        <v>0</v>
      </c>
      <c r="H917" s="629" t="b">
        <f t="shared" si="268"/>
        <v>1</v>
      </c>
      <c r="I917" s="630"/>
      <c r="J917" s="627"/>
      <c r="K917" s="631" t="str">
        <f>+IFERROR(VLOOKUP(J917,Listas!$A$108:$B$114,2,FALSE),"Alerta: Seleccione la celda en la comumna B con el nombre del proyecto")</f>
        <v>Alerta: Seleccione la celda en la comumna B con el nombre del proyecto</v>
      </c>
      <c r="L917" s="632"/>
      <c r="M917" s="633"/>
      <c r="N917" s="634" t="str">
        <f t="shared" si="269"/>
        <v xml:space="preserve">(Cód. ) </v>
      </c>
      <c r="O917" s="635"/>
      <c r="P917" s="636">
        <f>IFERROR(VLOOKUP(W917,'Estimación CRP'!$D$21:$E$30,2,FALSE),0)</f>
        <v>0</v>
      </c>
      <c r="Q917" s="637">
        <f>IF(O917="No aplica","No aplica",WORKDAY.INTL(O917,P917,1,'Estimación CRP'!A1103:A1119))</f>
        <v>0</v>
      </c>
      <c r="R917" s="636">
        <f t="shared" si="270"/>
        <v>1</v>
      </c>
      <c r="S917" s="636">
        <f t="shared" si="271"/>
        <v>1</v>
      </c>
      <c r="T917" s="636">
        <f t="shared" si="272"/>
        <v>1</v>
      </c>
      <c r="U917" s="638"/>
      <c r="V917" s="638"/>
      <c r="W917" s="639"/>
      <c r="X917" s="640" t="str">
        <f>IFERROR(VLOOKUP(W917,Listas!$A$60:$B$73,2,FALSE),"Alerta: Seleccione primero Modalidad de selección")</f>
        <v>Alerta: Seleccione primero Modalidad de selección</v>
      </c>
      <c r="Y917" s="641">
        <v>0</v>
      </c>
      <c r="Z917" s="641"/>
      <c r="AA917" s="641"/>
      <c r="AB917" s="642">
        <f t="shared" si="273"/>
        <v>0</v>
      </c>
      <c r="AC917" s="642">
        <f t="shared" si="274"/>
        <v>0</v>
      </c>
      <c r="AD917" s="641">
        <v>0</v>
      </c>
      <c r="AE917" s="643">
        <v>0</v>
      </c>
      <c r="AF917" s="639" t="s">
        <v>276</v>
      </c>
      <c r="AG917" s="639" t="s">
        <v>277</v>
      </c>
      <c r="AH917" s="639"/>
      <c r="AI917" s="626" t="str">
        <f>IFERROR(VLOOKUP(AH917,Listas!$A$77:$C$83,2,FALSE),"Alerta: Seleccione primero el responsable")</f>
        <v>Alerta: Seleccione primero el responsable</v>
      </c>
      <c r="AJ917" s="640" t="str">
        <f>IFERROR(VLOOKUP(AH917,Listas!$A$77:$C$83,3,FALSE),"Alerta: Seleccione primero el responsable")</f>
        <v>Alerta: Seleccione primero el responsable</v>
      </c>
      <c r="AK917" s="640" t="str">
        <f>IF(J917="Funcionamiento Gastos Generales","No aplica",IF(J917="Funcionamiento Servicios Personales indirectos","No aplica",IFERROR(VLOOKUP(J917,Listas!$A$127:$E$139,3,FALSE),"Alerta: Seleccione la celda en la comumna B con el nombre del proyecto")))</f>
        <v>Alerta: Seleccione la celda en la comumna B con el nombre del proyecto</v>
      </c>
      <c r="AL917" s="640" t="str">
        <f>IF(J917="Funcionamiento Gastos Generales","No aplica",IF(J917="Funcionamiento Servicios Personales","No aplica",IFERROR(VLOOKUP(J917,Listas!$A$220:$D$224,2,FALSE),"Alerta: Seleccione la celda en la comumna B con el nombre del proyecto")))</f>
        <v>Alerta: Seleccione la celda en la comumna B con el nombre del proyecto</v>
      </c>
      <c r="AM917" s="640" t="str">
        <f>IF(J917="Funcionamiento Gastos Generales","No aplica",IF(J917="Funcionamiento Servicios Personales","No aplica",IFERROR(VLOOKUP(J917,Listas!$A$220:$D$224,3,FALSE),"Alerta: Seleccione la celda en la comumna B con el nombre del proyecto")))</f>
        <v>Alerta: Seleccione la celda en la comumna B con el nombre del proyecto</v>
      </c>
      <c r="AN917" s="633"/>
      <c r="AO917" s="633"/>
      <c r="AP917" s="634" t="str">
        <f>IFERROR(VLOOKUP(J917,Listas!$A$182:$E$215,5,FALSE),"Alerta: Seleccione la celda en la comumna B con el nombre del proyecto")</f>
        <v>Alerta: Seleccione la celda en la comumna B con el nombre del proyecto</v>
      </c>
      <c r="AQ917" s="634" t="str">
        <f>IF(J917="Funcionamiento Gastos Generales","No aplica",IF(J917="Funcionamiento Servicios Personales","No aplica",IFERROR(VLOOKUP(J917,Listas!$A$220:$D$224,4,FALSE),"Alerta: Seleccione la celda en la comumna B con el nombre del proyecto")))</f>
        <v>Alerta: Seleccione la celda en la comumna B con el nombre del proyecto</v>
      </c>
      <c r="AR917" s="633"/>
      <c r="AS917" s="634" t="str">
        <f>IFERROR(VLOOKUP(AU917,Listas!$E$85:$L$105,7,FALSE),"Alerta: Seleccione la celda en la comumna AI con el concepto de gasto")</f>
        <v>Alerta: Seleccione la celda en la comumna AI con el concepto de gasto</v>
      </c>
      <c r="AT917" s="634" t="str">
        <f>IFERROR(VLOOKUP(AU917,Listas!$E$85:$L$105,8,FALSE),"Alerta: Seleccione la celda en la comumna AI con el concepto de gasto")</f>
        <v>Alerta: Seleccione la celda en la comumna AI con el concepto de gasto</v>
      </c>
      <c r="AU917" s="633"/>
      <c r="AV917" s="634" t="str">
        <f>IFERROR(VLOOKUP(AU917,Listas!$E$85:$F$105,2,FALSE),"Alerta: Seleccione el Concepto de Gasto primero")</f>
        <v>Alerta: Seleccione el Concepto de Gasto primero</v>
      </c>
      <c r="AW917" s="644"/>
      <c r="AX917" s="645"/>
      <c r="AY917" s="645"/>
      <c r="AZ917" s="645"/>
      <c r="BA917" s="646">
        <f t="shared" si="275"/>
        <v>0</v>
      </c>
      <c r="BB917" s="647"/>
      <c r="BC917" s="648"/>
      <c r="BD917" s="649"/>
      <c r="BE917" s="647"/>
      <c r="BF917" s="644"/>
      <c r="BG917" s="646">
        <f t="shared" si="276"/>
        <v>0</v>
      </c>
      <c r="BH917" s="650"/>
      <c r="BI917" s="647"/>
      <c r="BJ917" s="644"/>
      <c r="BK917" s="646">
        <f t="shared" si="277"/>
        <v>0</v>
      </c>
      <c r="BL917" s="651"/>
      <c r="BM917" s="652">
        <f t="shared" si="278"/>
        <v>1</v>
      </c>
      <c r="BN917" s="628"/>
      <c r="BO917" s="670"/>
      <c r="BP917" s="644"/>
      <c r="BQ917" s="644"/>
      <c r="BR917" s="644"/>
      <c r="BS917" s="644"/>
      <c r="BT917" s="644"/>
      <c r="BU917" s="644"/>
      <c r="BV917" s="644"/>
      <c r="BW917" s="644"/>
      <c r="BX917" s="644"/>
      <c r="BY917" s="644"/>
      <c r="BZ917" s="644"/>
      <c r="CA917" s="644"/>
      <c r="CB917" s="646">
        <f t="shared" si="279"/>
        <v>0</v>
      </c>
      <c r="CC917" s="646">
        <f t="shared" si="280"/>
        <v>0</v>
      </c>
      <c r="CD917" s="614"/>
    </row>
    <row r="918" spans="1:82" s="561" customFormat="1" ht="61.5" customHeight="1">
      <c r="A918" s="625" t="str">
        <f t="shared" si="262"/>
        <v>proyecto-Alerta: Seleccione la celda en la comumna B con el nombre del proyecto-Al-Al--</v>
      </c>
      <c r="B918" s="626" t="str">
        <f t="shared" si="263"/>
        <v>proyecto-Alerta: Seleccione la celda en la comumna B con el nombre del proyecto-Al-Al-</v>
      </c>
      <c r="C918" s="626" t="str">
        <f t="shared" si="264"/>
        <v>proyecto-Alerta: Seleccione la celda en la comumna B con el nombre del proyecto-</v>
      </c>
      <c r="D918" s="626" t="str">
        <f t="shared" si="265"/>
        <v>proyecto--Al-Al-</v>
      </c>
      <c r="E918" s="626" t="str">
        <f t="shared" si="266"/>
        <v>--</v>
      </c>
      <c r="F918" s="627"/>
      <c r="G918" s="628">
        <f t="shared" si="267"/>
        <v>0</v>
      </c>
      <c r="H918" s="629" t="b">
        <f t="shared" si="268"/>
        <v>1</v>
      </c>
      <c r="I918" s="630"/>
      <c r="J918" s="627"/>
      <c r="K918" s="631" t="str">
        <f>+IFERROR(VLOOKUP(J918,Listas!$A$108:$B$114,2,FALSE),"Alerta: Seleccione la celda en la comumna B con el nombre del proyecto")</f>
        <v>Alerta: Seleccione la celda en la comumna B con el nombre del proyecto</v>
      </c>
      <c r="L918" s="632"/>
      <c r="M918" s="633"/>
      <c r="N918" s="634" t="str">
        <f t="shared" si="269"/>
        <v xml:space="preserve">(Cód. ) </v>
      </c>
      <c r="O918" s="635"/>
      <c r="P918" s="636">
        <f>IFERROR(VLOOKUP(W918,'Estimación CRP'!$D$21:$E$30,2,FALSE),0)</f>
        <v>0</v>
      </c>
      <c r="Q918" s="637">
        <f>IF(O918="No aplica","No aplica",WORKDAY.INTL(O918,P918,1,'Estimación CRP'!A1104:A1120))</f>
        <v>0</v>
      </c>
      <c r="R918" s="636">
        <f t="shared" si="270"/>
        <v>1</v>
      </c>
      <c r="S918" s="636">
        <f t="shared" si="271"/>
        <v>1</v>
      </c>
      <c r="T918" s="636">
        <f t="shared" si="272"/>
        <v>1</v>
      </c>
      <c r="U918" s="638"/>
      <c r="V918" s="638"/>
      <c r="W918" s="639"/>
      <c r="X918" s="640" t="str">
        <f>IFERROR(VLOOKUP(W918,Listas!$A$60:$B$73,2,FALSE),"Alerta: Seleccione primero Modalidad de selección")</f>
        <v>Alerta: Seleccione primero Modalidad de selección</v>
      </c>
      <c r="Y918" s="641">
        <v>0</v>
      </c>
      <c r="Z918" s="641"/>
      <c r="AA918" s="641"/>
      <c r="AB918" s="642">
        <f t="shared" si="273"/>
        <v>0</v>
      </c>
      <c r="AC918" s="642">
        <f t="shared" si="274"/>
        <v>0</v>
      </c>
      <c r="AD918" s="641">
        <v>0</v>
      </c>
      <c r="AE918" s="643">
        <v>0</v>
      </c>
      <c r="AF918" s="639" t="s">
        <v>276</v>
      </c>
      <c r="AG918" s="639" t="s">
        <v>277</v>
      </c>
      <c r="AH918" s="639"/>
      <c r="AI918" s="626" t="str">
        <f>IFERROR(VLOOKUP(AH918,Listas!$A$77:$C$83,2,FALSE),"Alerta: Seleccione primero el responsable")</f>
        <v>Alerta: Seleccione primero el responsable</v>
      </c>
      <c r="AJ918" s="640" t="str">
        <f>IFERROR(VLOOKUP(AH918,Listas!$A$77:$C$83,3,FALSE),"Alerta: Seleccione primero el responsable")</f>
        <v>Alerta: Seleccione primero el responsable</v>
      </c>
      <c r="AK918" s="640" t="str">
        <f>IF(J918="Funcionamiento Gastos Generales","No aplica",IF(J918="Funcionamiento Servicios Personales indirectos","No aplica",IFERROR(VLOOKUP(J918,Listas!$A$127:$E$139,3,FALSE),"Alerta: Seleccione la celda en la comumna B con el nombre del proyecto")))</f>
        <v>Alerta: Seleccione la celda en la comumna B con el nombre del proyecto</v>
      </c>
      <c r="AL918" s="640" t="str">
        <f>IF(J918="Funcionamiento Gastos Generales","No aplica",IF(J918="Funcionamiento Servicios Personales","No aplica",IFERROR(VLOOKUP(J918,Listas!$A$220:$D$224,2,FALSE),"Alerta: Seleccione la celda en la comumna B con el nombre del proyecto")))</f>
        <v>Alerta: Seleccione la celda en la comumna B con el nombre del proyecto</v>
      </c>
      <c r="AM918" s="640" t="str">
        <f>IF(J918="Funcionamiento Gastos Generales","No aplica",IF(J918="Funcionamiento Servicios Personales","No aplica",IFERROR(VLOOKUP(J918,Listas!$A$220:$D$224,3,FALSE),"Alerta: Seleccione la celda en la comumna B con el nombre del proyecto")))</f>
        <v>Alerta: Seleccione la celda en la comumna B con el nombre del proyecto</v>
      </c>
      <c r="AN918" s="633"/>
      <c r="AO918" s="633"/>
      <c r="AP918" s="634" t="str">
        <f>IFERROR(VLOOKUP(J918,Listas!$A$182:$E$215,5,FALSE),"Alerta: Seleccione la celda en la comumna B con el nombre del proyecto")</f>
        <v>Alerta: Seleccione la celda en la comumna B con el nombre del proyecto</v>
      </c>
      <c r="AQ918" s="634" t="str">
        <f>IF(J918="Funcionamiento Gastos Generales","No aplica",IF(J918="Funcionamiento Servicios Personales","No aplica",IFERROR(VLOOKUP(J918,Listas!$A$220:$D$224,4,FALSE),"Alerta: Seleccione la celda en la comumna B con el nombre del proyecto")))</f>
        <v>Alerta: Seleccione la celda en la comumna B con el nombre del proyecto</v>
      </c>
      <c r="AR918" s="633"/>
      <c r="AS918" s="634" t="str">
        <f>IFERROR(VLOOKUP(AU918,Listas!$E$85:$L$105,7,FALSE),"Alerta: Seleccione la celda en la comumna AI con el concepto de gasto")</f>
        <v>Alerta: Seleccione la celda en la comumna AI con el concepto de gasto</v>
      </c>
      <c r="AT918" s="634" t="str">
        <f>IFERROR(VLOOKUP(AU918,Listas!$E$85:$L$105,8,FALSE),"Alerta: Seleccione la celda en la comumna AI con el concepto de gasto")</f>
        <v>Alerta: Seleccione la celda en la comumna AI con el concepto de gasto</v>
      </c>
      <c r="AU918" s="633"/>
      <c r="AV918" s="634" t="str">
        <f>IFERROR(VLOOKUP(AU918,Listas!$E$85:$F$105,2,FALSE),"Alerta: Seleccione el Concepto de Gasto primero")</f>
        <v>Alerta: Seleccione el Concepto de Gasto primero</v>
      </c>
      <c r="AW918" s="644"/>
      <c r="AX918" s="645"/>
      <c r="AY918" s="645"/>
      <c r="AZ918" s="645"/>
      <c r="BA918" s="646">
        <f t="shared" si="275"/>
        <v>0</v>
      </c>
      <c r="BB918" s="647"/>
      <c r="BC918" s="648"/>
      <c r="BD918" s="649"/>
      <c r="BE918" s="647"/>
      <c r="BF918" s="644"/>
      <c r="BG918" s="646">
        <f t="shared" si="276"/>
        <v>0</v>
      </c>
      <c r="BH918" s="650"/>
      <c r="BI918" s="647"/>
      <c r="BJ918" s="644"/>
      <c r="BK918" s="646">
        <f t="shared" si="277"/>
        <v>0</v>
      </c>
      <c r="BL918" s="651"/>
      <c r="BM918" s="652">
        <f t="shared" si="278"/>
        <v>1</v>
      </c>
      <c r="BN918" s="628"/>
      <c r="BO918" s="670"/>
      <c r="BP918" s="644"/>
      <c r="BQ918" s="644"/>
      <c r="BR918" s="644"/>
      <c r="BS918" s="644"/>
      <c r="BT918" s="644"/>
      <c r="BU918" s="644"/>
      <c r="BV918" s="644"/>
      <c r="BW918" s="644"/>
      <c r="BX918" s="644"/>
      <c r="BY918" s="644"/>
      <c r="BZ918" s="644"/>
      <c r="CA918" s="644"/>
      <c r="CB918" s="646">
        <f t="shared" si="279"/>
        <v>0</v>
      </c>
      <c r="CC918" s="646">
        <f t="shared" si="280"/>
        <v>0</v>
      </c>
      <c r="CD918" s="614"/>
    </row>
    <row r="919" spans="1:82" s="561" customFormat="1" ht="61.5" customHeight="1">
      <c r="A919" s="625" t="str">
        <f t="shared" si="262"/>
        <v>proyecto-Alerta: Seleccione la celda en la comumna B con el nombre del proyecto-Al-Al--</v>
      </c>
      <c r="B919" s="626" t="str">
        <f t="shared" si="263"/>
        <v>proyecto-Alerta: Seleccione la celda en la comumna B con el nombre del proyecto-Al-Al-</v>
      </c>
      <c r="C919" s="626" t="str">
        <f t="shared" si="264"/>
        <v>proyecto-Alerta: Seleccione la celda en la comumna B con el nombre del proyecto-</v>
      </c>
      <c r="D919" s="626" t="str">
        <f t="shared" si="265"/>
        <v>proyecto--Al-Al-</v>
      </c>
      <c r="E919" s="626" t="str">
        <f t="shared" si="266"/>
        <v>--</v>
      </c>
      <c r="F919" s="627"/>
      <c r="G919" s="628">
        <f t="shared" si="267"/>
        <v>0</v>
      </c>
      <c r="H919" s="629" t="b">
        <f t="shared" si="268"/>
        <v>1</v>
      </c>
      <c r="I919" s="630"/>
      <c r="J919" s="627"/>
      <c r="K919" s="631" t="str">
        <f>+IFERROR(VLOOKUP(J919,Listas!$A$108:$B$114,2,FALSE),"Alerta: Seleccione la celda en la comumna B con el nombre del proyecto")</f>
        <v>Alerta: Seleccione la celda en la comumna B con el nombre del proyecto</v>
      </c>
      <c r="L919" s="632"/>
      <c r="M919" s="633"/>
      <c r="N919" s="634" t="str">
        <f t="shared" si="269"/>
        <v xml:space="preserve">(Cód. ) </v>
      </c>
      <c r="O919" s="635"/>
      <c r="P919" s="636">
        <f>IFERROR(VLOOKUP(W919,'Estimación CRP'!$D$21:$E$30,2,FALSE),0)</f>
        <v>0</v>
      </c>
      <c r="Q919" s="637">
        <f>IF(O919="No aplica","No aplica",WORKDAY.INTL(O919,P919,1,'Estimación CRP'!A1105:A1121))</f>
        <v>0</v>
      </c>
      <c r="R919" s="636">
        <f t="shared" si="270"/>
        <v>1</v>
      </c>
      <c r="S919" s="636">
        <f t="shared" si="271"/>
        <v>1</v>
      </c>
      <c r="T919" s="636">
        <f t="shared" si="272"/>
        <v>1</v>
      </c>
      <c r="U919" s="638"/>
      <c r="V919" s="638"/>
      <c r="W919" s="639"/>
      <c r="X919" s="640" t="str">
        <f>IFERROR(VLOOKUP(W919,Listas!$A$60:$B$73,2,FALSE),"Alerta: Seleccione primero Modalidad de selección")</f>
        <v>Alerta: Seleccione primero Modalidad de selección</v>
      </c>
      <c r="Y919" s="641">
        <v>0</v>
      </c>
      <c r="Z919" s="641"/>
      <c r="AA919" s="641"/>
      <c r="AB919" s="642">
        <f t="shared" si="273"/>
        <v>0</v>
      </c>
      <c r="AC919" s="642">
        <f t="shared" si="274"/>
        <v>0</v>
      </c>
      <c r="AD919" s="641">
        <v>0</v>
      </c>
      <c r="AE919" s="643">
        <v>0</v>
      </c>
      <c r="AF919" s="639" t="s">
        <v>276</v>
      </c>
      <c r="AG919" s="639" t="s">
        <v>277</v>
      </c>
      <c r="AH919" s="639"/>
      <c r="AI919" s="626" t="str">
        <f>IFERROR(VLOOKUP(AH919,Listas!$A$77:$C$83,2,FALSE),"Alerta: Seleccione primero el responsable")</f>
        <v>Alerta: Seleccione primero el responsable</v>
      </c>
      <c r="AJ919" s="640" t="str">
        <f>IFERROR(VLOOKUP(AH919,Listas!$A$77:$C$83,3,FALSE),"Alerta: Seleccione primero el responsable")</f>
        <v>Alerta: Seleccione primero el responsable</v>
      </c>
      <c r="AK919" s="640" t="str">
        <f>IF(J919="Funcionamiento Gastos Generales","No aplica",IF(J919="Funcionamiento Servicios Personales indirectos","No aplica",IFERROR(VLOOKUP(J919,Listas!$A$127:$E$139,3,FALSE),"Alerta: Seleccione la celda en la comumna B con el nombre del proyecto")))</f>
        <v>Alerta: Seleccione la celda en la comumna B con el nombre del proyecto</v>
      </c>
      <c r="AL919" s="640" t="str">
        <f>IF(J919="Funcionamiento Gastos Generales","No aplica",IF(J919="Funcionamiento Servicios Personales","No aplica",IFERROR(VLOOKUP(J919,Listas!$A$220:$D$224,2,FALSE),"Alerta: Seleccione la celda en la comumna B con el nombre del proyecto")))</f>
        <v>Alerta: Seleccione la celda en la comumna B con el nombre del proyecto</v>
      </c>
      <c r="AM919" s="640" t="str">
        <f>IF(J919="Funcionamiento Gastos Generales","No aplica",IF(J919="Funcionamiento Servicios Personales","No aplica",IFERROR(VLOOKUP(J919,Listas!$A$220:$D$224,3,FALSE),"Alerta: Seleccione la celda en la comumna B con el nombre del proyecto")))</f>
        <v>Alerta: Seleccione la celda en la comumna B con el nombre del proyecto</v>
      </c>
      <c r="AN919" s="633"/>
      <c r="AO919" s="633"/>
      <c r="AP919" s="634" t="str">
        <f>IFERROR(VLOOKUP(J919,Listas!$A$182:$E$215,5,FALSE),"Alerta: Seleccione la celda en la comumna B con el nombre del proyecto")</f>
        <v>Alerta: Seleccione la celda en la comumna B con el nombre del proyecto</v>
      </c>
      <c r="AQ919" s="634" t="str">
        <f>IF(J919="Funcionamiento Gastos Generales","No aplica",IF(J919="Funcionamiento Servicios Personales","No aplica",IFERROR(VLOOKUP(J919,Listas!$A$220:$D$224,4,FALSE),"Alerta: Seleccione la celda en la comumna B con el nombre del proyecto")))</f>
        <v>Alerta: Seleccione la celda en la comumna B con el nombre del proyecto</v>
      </c>
      <c r="AR919" s="633"/>
      <c r="AS919" s="634" t="str">
        <f>IFERROR(VLOOKUP(AU919,Listas!$E$85:$L$105,7,FALSE),"Alerta: Seleccione la celda en la comumna AI con el concepto de gasto")</f>
        <v>Alerta: Seleccione la celda en la comumna AI con el concepto de gasto</v>
      </c>
      <c r="AT919" s="634" t="str">
        <f>IFERROR(VLOOKUP(AU919,Listas!$E$85:$L$105,8,FALSE),"Alerta: Seleccione la celda en la comumna AI con el concepto de gasto")</f>
        <v>Alerta: Seleccione la celda en la comumna AI con el concepto de gasto</v>
      </c>
      <c r="AU919" s="633"/>
      <c r="AV919" s="634" t="str">
        <f>IFERROR(VLOOKUP(AU919,Listas!$E$85:$F$105,2,FALSE),"Alerta: Seleccione el Concepto de Gasto primero")</f>
        <v>Alerta: Seleccione el Concepto de Gasto primero</v>
      </c>
      <c r="AW919" s="644"/>
      <c r="AX919" s="645"/>
      <c r="AY919" s="645"/>
      <c r="AZ919" s="645"/>
      <c r="BA919" s="646">
        <f t="shared" si="275"/>
        <v>0</v>
      </c>
      <c r="BB919" s="647"/>
      <c r="BC919" s="648"/>
      <c r="BD919" s="649"/>
      <c r="BE919" s="647"/>
      <c r="BF919" s="644"/>
      <c r="BG919" s="646">
        <f t="shared" si="276"/>
        <v>0</v>
      </c>
      <c r="BH919" s="650"/>
      <c r="BI919" s="647"/>
      <c r="BJ919" s="644"/>
      <c r="BK919" s="646">
        <f t="shared" si="277"/>
        <v>0</v>
      </c>
      <c r="BL919" s="651"/>
      <c r="BM919" s="652">
        <f t="shared" si="278"/>
        <v>1</v>
      </c>
      <c r="BN919" s="628"/>
      <c r="BO919" s="670"/>
      <c r="BP919" s="644"/>
      <c r="BQ919" s="644"/>
      <c r="BR919" s="644"/>
      <c r="BS919" s="644"/>
      <c r="BT919" s="644"/>
      <c r="BU919" s="644"/>
      <c r="BV919" s="644"/>
      <c r="BW919" s="644"/>
      <c r="BX919" s="644"/>
      <c r="BY919" s="644"/>
      <c r="BZ919" s="644"/>
      <c r="CA919" s="644"/>
      <c r="CB919" s="646">
        <f t="shared" si="279"/>
        <v>0</v>
      </c>
      <c r="CC919" s="646">
        <f t="shared" si="280"/>
        <v>0</v>
      </c>
      <c r="CD919" s="614"/>
    </row>
    <row r="920" spans="1:82" s="561" customFormat="1" ht="61.5" customHeight="1">
      <c r="A920" s="625" t="str">
        <f t="shared" si="262"/>
        <v>proyecto-Alerta: Seleccione la celda en la comumna B con el nombre del proyecto-Al-Al--</v>
      </c>
      <c r="B920" s="626" t="str">
        <f t="shared" si="263"/>
        <v>proyecto-Alerta: Seleccione la celda en la comumna B con el nombre del proyecto-Al-Al-</v>
      </c>
      <c r="C920" s="626" t="str">
        <f t="shared" si="264"/>
        <v>proyecto-Alerta: Seleccione la celda en la comumna B con el nombre del proyecto-</v>
      </c>
      <c r="D920" s="626" t="str">
        <f t="shared" si="265"/>
        <v>proyecto--Al-Al-</v>
      </c>
      <c r="E920" s="626" t="str">
        <f t="shared" si="266"/>
        <v>--</v>
      </c>
      <c r="F920" s="627"/>
      <c r="G920" s="628">
        <f t="shared" si="267"/>
        <v>0</v>
      </c>
      <c r="H920" s="629" t="b">
        <f t="shared" si="268"/>
        <v>1</v>
      </c>
      <c r="I920" s="630"/>
      <c r="J920" s="627"/>
      <c r="K920" s="631" t="str">
        <f>+IFERROR(VLOOKUP(J920,Listas!$A$108:$B$114,2,FALSE),"Alerta: Seleccione la celda en la comumna B con el nombre del proyecto")</f>
        <v>Alerta: Seleccione la celda en la comumna B con el nombre del proyecto</v>
      </c>
      <c r="L920" s="632"/>
      <c r="M920" s="633"/>
      <c r="N920" s="634" t="str">
        <f t="shared" si="269"/>
        <v xml:space="preserve">(Cód. ) </v>
      </c>
      <c r="O920" s="635"/>
      <c r="P920" s="636">
        <f>IFERROR(VLOOKUP(W920,'Estimación CRP'!$D$21:$E$30,2,FALSE),0)</f>
        <v>0</v>
      </c>
      <c r="Q920" s="637">
        <f>IF(O920="No aplica","No aplica",WORKDAY.INTL(O920,P920,1,'Estimación CRP'!A1106:A1122))</f>
        <v>0</v>
      </c>
      <c r="R920" s="636">
        <f t="shared" si="270"/>
        <v>1</v>
      </c>
      <c r="S920" s="636">
        <f t="shared" si="271"/>
        <v>1</v>
      </c>
      <c r="T920" s="636">
        <f t="shared" si="272"/>
        <v>1</v>
      </c>
      <c r="U920" s="638"/>
      <c r="V920" s="638"/>
      <c r="W920" s="639"/>
      <c r="X920" s="640" t="str">
        <f>IFERROR(VLOOKUP(W920,Listas!$A$60:$B$73,2,FALSE),"Alerta: Seleccione primero Modalidad de selección")</f>
        <v>Alerta: Seleccione primero Modalidad de selección</v>
      </c>
      <c r="Y920" s="641">
        <v>0</v>
      </c>
      <c r="Z920" s="641"/>
      <c r="AA920" s="641"/>
      <c r="AB920" s="642">
        <f t="shared" si="273"/>
        <v>0</v>
      </c>
      <c r="AC920" s="642">
        <f t="shared" si="274"/>
        <v>0</v>
      </c>
      <c r="AD920" s="641">
        <v>0</v>
      </c>
      <c r="AE920" s="643">
        <v>0</v>
      </c>
      <c r="AF920" s="639" t="s">
        <v>276</v>
      </c>
      <c r="AG920" s="639" t="s">
        <v>277</v>
      </c>
      <c r="AH920" s="639"/>
      <c r="AI920" s="626" t="str">
        <f>IFERROR(VLOOKUP(AH920,Listas!$A$77:$C$83,2,FALSE),"Alerta: Seleccione primero el responsable")</f>
        <v>Alerta: Seleccione primero el responsable</v>
      </c>
      <c r="AJ920" s="640" t="str">
        <f>IFERROR(VLOOKUP(AH920,Listas!$A$77:$C$83,3,FALSE),"Alerta: Seleccione primero el responsable")</f>
        <v>Alerta: Seleccione primero el responsable</v>
      </c>
      <c r="AK920" s="640" t="str">
        <f>IF(J920="Funcionamiento Gastos Generales","No aplica",IF(J920="Funcionamiento Servicios Personales indirectos","No aplica",IFERROR(VLOOKUP(J920,Listas!$A$127:$E$139,3,FALSE),"Alerta: Seleccione la celda en la comumna B con el nombre del proyecto")))</f>
        <v>Alerta: Seleccione la celda en la comumna B con el nombre del proyecto</v>
      </c>
      <c r="AL920" s="640" t="str">
        <f>IF(J920="Funcionamiento Gastos Generales","No aplica",IF(J920="Funcionamiento Servicios Personales","No aplica",IFERROR(VLOOKUP(J920,Listas!$A$220:$D$224,2,FALSE),"Alerta: Seleccione la celda en la comumna B con el nombre del proyecto")))</f>
        <v>Alerta: Seleccione la celda en la comumna B con el nombre del proyecto</v>
      </c>
      <c r="AM920" s="640" t="str">
        <f>IF(J920="Funcionamiento Gastos Generales","No aplica",IF(J920="Funcionamiento Servicios Personales","No aplica",IFERROR(VLOOKUP(J920,Listas!$A$220:$D$224,3,FALSE),"Alerta: Seleccione la celda en la comumna B con el nombre del proyecto")))</f>
        <v>Alerta: Seleccione la celda en la comumna B con el nombre del proyecto</v>
      </c>
      <c r="AN920" s="633"/>
      <c r="AO920" s="633"/>
      <c r="AP920" s="634" t="str">
        <f>IFERROR(VLOOKUP(J920,Listas!$A$182:$E$215,5,FALSE),"Alerta: Seleccione la celda en la comumna B con el nombre del proyecto")</f>
        <v>Alerta: Seleccione la celda en la comumna B con el nombre del proyecto</v>
      </c>
      <c r="AQ920" s="634" t="str">
        <f>IF(J920="Funcionamiento Gastos Generales","No aplica",IF(J920="Funcionamiento Servicios Personales","No aplica",IFERROR(VLOOKUP(J920,Listas!$A$220:$D$224,4,FALSE),"Alerta: Seleccione la celda en la comumna B con el nombre del proyecto")))</f>
        <v>Alerta: Seleccione la celda en la comumna B con el nombre del proyecto</v>
      </c>
      <c r="AR920" s="633"/>
      <c r="AS920" s="634" t="str">
        <f>IFERROR(VLOOKUP(AU920,Listas!$E$85:$L$105,7,FALSE),"Alerta: Seleccione la celda en la comumna AI con el concepto de gasto")</f>
        <v>Alerta: Seleccione la celda en la comumna AI con el concepto de gasto</v>
      </c>
      <c r="AT920" s="634" t="str">
        <f>IFERROR(VLOOKUP(AU920,Listas!$E$85:$L$105,8,FALSE),"Alerta: Seleccione la celda en la comumna AI con el concepto de gasto")</f>
        <v>Alerta: Seleccione la celda en la comumna AI con el concepto de gasto</v>
      </c>
      <c r="AU920" s="633"/>
      <c r="AV920" s="634" t="str">
        <f>IFERROR(VLOOKUP(AU920,Listas!$E$85:$F$105,2,FALSE),"Alerta: Seleccione el Concepto de Gasto primero")</f>
        <v>Alerta: Seleccione el Concepto de Gasto primero</v>
      </c>
      <c r="AW920" s="644"/>
      <c r="AX920" s="645"/>
      <c r="AY920" s="645"/>
      <c r="AZ920" s="645"/>
      <c r="BA920" s="646">
        <f t="shared" si="275"/>
        <v>0</v>
      </c>
      <c r="BB920" s="647"/>
      <c r="BC920" s="648"/>
      <c r="BD920" s="649"/>
      <c r="BE920" s="647"/>
      <c r="BF920" s="644"/>
      <c r="BG920" s="646">
        <f t="shared" si="276"/>
        <v>0</v>
      </c>
      <c r="BH920" s="650"/>
      <c r="BI920" s="647"/>
      <c r="BJ920" s="644"/>
      <c r="BK920" s="646">
        <f t="shared" si="277"/>
        <v>0</v>
      </c>
      <c r="BL920" s="651"/>
      <c r="BM920" s="652">
        <f t="shared" si="278"/>
        <v>1</v>
      </c>
      <c r="BN920" s="628"/>
      <c r="BO920" s="670"/>
      <c r="BP920" s="644"/>
      <c r="BQ920" s="644"/>
      <c r="BR920" s="644"/>
      <c r="BS920" s="644"/>
      <c r="BT920" s="644"/>
      <c r="BU920" s="644"/>
      <c r="BV920" s="644"/>
      <c r="BW920" s="644"/>
      <c r="BX920" s="644"/>
      <c r="BY920" s="644"/>
      <c r="BZ920" s="644"/>
      <c r="CA920" s="644"/>
      <c r="CB920" s="646">
        <f t="shared" si="279"/>
        <v>0</v>
      </c>
      <c r="CC920" s="646">
        <f t="shared" si="280"/>
        <v>0</v>
      </c>
      <c r="CD920" s="614"/>
    </row>
    <row r="921" spans="1:82" s="561" customFormat="1" ht="61.5" customHeight="1">
      <c r="A921" s="625" t="str">
        <f t="shared" si="262"/>
        <v>proyecto-Alerta: Seleccione la celda en la comumna B con el nombre del proyecto-Al-Al--</v>
      </c>
      <c r="B921" s="626" t="str">
        <f t="shared" si="263"/>
        <v>proyecto-Alerta: Seleccione la celda en la comumna B con el nombre del proyecto-Al-Al-</v>
      </c>
      <c r="C921" s="626" t="str">
        <f t="shared" si="264"/>
        <v>proyecto-Alerta: Seleccione la celda en la comumna B con el nombre del proyecto-</v>
      </c>
      <c r="D921" s="626" t="str">
        <f t="shared" si="265"/>
        <v>proyecto--Al-Al-</v>
      </c>
      <c r="E921" s="626" t="str">
        <f t="shared" si="266"/>
        <v>--</v>
      </c>
      <c r="F921" s="627"/>
      <c r="G921" s="628">
        <f t="shared" si="267"/>
        <v>0</v>
      </c>
      <c r="H921" s="629" t="b">
        <f t="shared" si="268"/>
        <v>1</v>
      </c>
      <c r="I921" s="630"/>
      <c r="J921" s="627"/>
      <c r="K921" s="631" t="str">
        <f>+IFERROR(VLOOKUP(J921,Listas!$A$108:$B$114,2,FALSE),"Alerta: Seleccione la celda en la comumna B con el nombre del proyecto")</f>
        <v>Alerta: Seleccione la celda en la comumna B con el nombre del proyecto</v>
      </c>
      <c r="L921" s="632"/>
      <c r="M921" s="633"/>
      <c r="N921" s="634" t="str">
        <f t="shared" si="269"/>
        <v xml:space="preserve">(Cód. ) </v>
      </c>
      <c r="O921" s="635"/>
      <c r="P921" s="636">
        <f>IFERROR(VLOOKUP(W921,'Estimación CRP'!$D$21:$E$30,2,FALSE),0)</f>
        <v>0</v>
      </c>
      <c r="Q921" s="637">
        <f>IF(O921="No aplica","No aplica",WORKDAY.INTL(O921,P921,1,'Estimación CRP'!A1107:A1123))</f>
        <v>0</v>
      </c>
      <c r="R921" s="636">
        <f t="shared" si="270"/>
        <v>1</v>
      </c>
      <c r="S921" s="636">
        <f t="shared" si="271"/>
        <v>1</v>
      </c>
      <c r="T921" s="636">
        <f t="shared" si="272"/>
        <v>1</v>
      </c>
      <c r="U921" s="638"/>
      <c r="V921" s="638"/>
      <c r="W921" s="639"/>
      <c r="X921" s="640" t="str">
        <f>IFERROR(VLOOKUP(W921,Listas!$A$60:$B$73,2,FALSE),"Alerta: Seleccione primero Modalidad de selección")</f>
        <v>Alerta: Seleccione primero Modalidad de selección</v>
      </c>
      <c r="Y921" s="641">
        <v>0</v>
      </c>
      <c r="Z921" s="641"/>
      <c r="AA921" s="641"/>
      <c r="AB921" s="642">
        <f t="shared" si="273"/>
        <v>0</v>
      </c>
      <c r="AC921" s="642">
        <f t="shared" si="274"/>
        <v>0</v>
      </c>
      <c r="AD921" s="641">
        <v>0</v>
      </c>
      <c r="AE921" s="643">
        <v>0</v>
      </c>
      <c r="AF921" s="639" t="s">
        <v>276</v>
      </c>
      <c r="AG921" s="639" t="s">
        <v>277</v>
      </c>
      <c r="AH921" s="639"/>
      <c r="AI921" s="626" t="str">
        <f>IFERROR(VLOOKUP(AH921,Listas!$A$77:$C$83,2,FALSE),"Alerta: Seleccione primero el responsable")</f>
        <v>Alerta: Seleccione primero el responsable</v>
      </c>
      <c r="AJ921" s="640" t="str">
        <f>IFERROR(VLOOKUP(AH921,Listas!$A$77:$C$83,3,FALSE),"Alerta: Seleccione primero el responsable")</f>
        <v>Alerta: Seleccione primero el responsable</v>
      </c>
      <c r="AK921" s="640" t="str">
        <f>IF(J921="Funcionamiento Gastos Generales","No aplica",IF(J921="Funcionamiento Servicios Personales indirectos","No aplica",IFERROR(VLOOKUP(J921,Listas!$A$127:$E$139,3,FALSE),"Alerta: Seleccione la celda en la comumna B con el nombre del proyecto")))</f>
        <v>Alerta: Seleccione la celda en la comumna B con el nombre del proyecto</v>
      </c>
      <c r="AL921" s="640" t="str">
        <f>IF(J921="Funcionamiento Gastos Generales","No aplica",IF(J921="Funcionamiento Servicios Personales","No aplica",IFERROR(VLOOKUP(J921,Listas!$A$220:$D$224,2,FALSE),"Alerta: Seleccione la celda en la comumna B con el nombre del proyecto")))</f>
        <v>Alerta: Seleccione la celda en la comumna B con el nombre del proyecto</v>
      </c>
      <c r="AM921" s="640" t="str">
        <f>IF(J921="Funcionamiento Gastos Generales","No aplica",IF(J921="Funcionamiento Servicios Personales","No aplica",IFERROR(VLOOKUP(J921,Listas!$A$220:$D$224,3,FALSE),"Alerta: Seleccione la celda en la comumna B con el nombre del proyecto")))</f>
        <v>Alerta: Seleccione la celda en la comumna B con el nombre del proyecto</v>
      </c>
      <c r="AN921" s="633"/>
      <c r="AO921" s="633"/>
      <c r="AP921" s="634" t="str">
        <f>IFERROR(VLOOKUP(J921,Listas!$A$182:$E$215,5,FALSE),"Alerta: Seleccione la celda en la comumna B con el nombre del proyecto")</f>
        <v>Alerta: Seleccione la celda en la comumna B con el nombre del proyecto</v>
      </c>
      <c r="AQ921" s="634" t="str">
        <f>IF(J921="Funcionamiento Gastos Generales","No aplica",IF(J921="Funcionamiento Servicios Personales","No aplica",IFERROR(VLOOKUP(J921,Listas!$A$220:$D$224,4,FALSE),"Alerta: Seleccione la celda en la comumna B con el nombre del proyecto")))</f>
        <v>Alerta: Seleccione la celda en la comumna B con el nombre del proyecto</v>
      </c>
      <c r="AR921" s="633"/>
      <c r="AS921" s="634" t="str">
        <f>IFERROR(VLOOKUP(AU921,Listas!$E$85:$L$105,7,FALSE),"Alerta: Seleccione la celda en la comumna AI con el concepto de gasto")</f>
        <v>Alerta: Seleccione la celda en la comumna AI con el concepto de gasto</v>
      </c>
      <c r="AT921" s="634" t="str">
        <f>IFERROR(VLOOKUP(AU921,Listas!$E$85:$L$105,8,FALSE),"Alerta: Seleccione la celda en la comumna AI con el concepto de gasto")</f>
        <v>Alerta: Seleccione la celda en la comumna AI con el concepto de gasto</v>
      </c>
      <c r="AU921" s="633"/>
      <c r="AV921" s="634" t="str">
        <f>IFERROR(VLOOKUP(AU921,Listas!$E$85:$F$105,2,FALSE),"Alerta: Seleccione el Concepto de Gasto primero")</f>
        <v>Alerta: Seleccione el Concepto de Gasto primero</v>
      </c>
      <c r="AW921" s="644"/>
      <c r="AX921" s="645"/>
      <c r="AY921" s="645"/>
      <c r="AZ921" s="645"/>
      <c r="BA921" s="646">
        <f t="shared" si="275"/>
        <v>0</v>
      </c>
      <c r="BB921" s="647"/>
      <c r="BC921" s="648"/>
      <c r="BD921" s="649"/>
      <c r="BE921" s="647"/>
      <c r="BF921" s="644"/>
      <c r="BG921" s="646">
        <f t="shared" si="276"/>
        <v>0</v>
      </c>
      <c r="BH921" s="650"/>
      <c r="BI921" s="647"/>
      <c r="BJ921" s="644"/>
      <c r="BK921" s="646">
        <f t="shared" si="277"/>
        <v>0</v>
      </c>
      <c r="BL921" s="651"/>
      <c r="BM921" s="652">
        <f t="shared" si="278"/>
        <v>1</v>
      </c>
      <c r="BN921" s="628"/>
      <c r="BO921" s="670"/>
      <c r="BP921" s="644"/>
      <c r="BQ921" s="644"/>
      <c r="BR921" s="644"/>
      <c r="BS921" s="644"/>
      <c r="BT921" s="644"/>
      <c r="BU921" s="644"/>
      <c r="BV921" s="644"/>
      <c r="BW921" s="644"/>
      <c r="BX921" s="644"/>
      <c r="BY921" s="644"/>
      <c r="BZ921" s="644"/>
      <c r="CA921" s="644"/>
      <c r="CB921" s="646">
        <f t="shared" si="279"/>
        <v>0</v>
      </c>
      <c r="CC921" s="646">
        <f t="shared" si="280"/>
        <v>0</v>
      </c>
      <c r="CD921" s="614"/>
    </row>
    <row r="922" spans="1:82" s="561" customFormat="1" ht="61.5" customHeight="1">
      <c r="A922" s="625" t="str">
        <f t="shared" si="262"/>
        <v>proyecto-Alerta: Seleccione la celda en la comumna B con el nombre del proyecto-Al-Al--</v>
      </c>
      <c r="B922" s="626" t="str">
        <f t="shared" si="263"/>
        <v>proyecto-Alerta: Seleccione la celda en la comumna B con el nombre del proyecto-Al-Al-</v>
      </c>
      <c r="C922" s="626" t="str">
        <f t="shared" si="264"/>
        <v>proyecto-Alerta: Seleccione la celda en la comumna B con el nombre del proyecto-</v>
      </c>
      <c r="D922" s="626" t="str">
        <f t="shared" si="265"/>
        <v>proyecto--Al-Al-</v>
      </c>
      <c r="E922" s="626" t="str">
        <f t="shared" si="266"/>
        <v>--</v>
      </c>
      <c r="F922" s="627"/>
      <c r="G922" s="628">
        <f t="shared" si="267"/>
        <v>0</v>
      </c>
      <c r="H922" s="629" t="b">
        <f t="shared" si="268"/>
        <v>1</v>
      </c>
      <c r="I922" s="630"/>
      <c r="J922" s="627"/>
      <c r="K922" s="631" t="str">
        <f>+IFERROR(VLOOKUP(J922,Listas!$A$108:$B$114,2,FALSE),"Alerta: Seleccione la celda en la comumna B con el nombre del proyecto")</f>
        <v>Alerta: Seleccione la celda en la comumna B con el nombre del proyecto</v>
      </c>
      <c r="L922" s="632"/>
      <c r="M922" s="633"/>
      <c r="N922" s="634" t="str">
        <f t="shared" si="269"/>
        <v xml:space="preserve">(Cód. ) </v>
      </c>
      <c r="O922" s="635"/>
      <c r="P922" s="636">
        <f>IFERROR(VLOOKUP(W922,'Estimación CRP'!$D$21:$E$30,2,FALSE),0)</f>
        <v>0</v>
      </c>
      <c r="Q922" s="637">
        <f>IF(O922="No aplica","No aplica",WORKDAY.INTL(O922,P922,1,'Estimación CRP'!A1108:A1124))</f>
        <v>0</v>
      </c>
      <c r="R922" s="636">
        <f t="shared" si="270"/>
        <v>1</v>
      </c>
      <c r="S922" s="636">
        <f t="shared" si="271"/>
        <v>1</v>
      </c>
      <c r="T922" s="636">
        <f t="shared" si="272"/>
        <v>1</v>
      </c>
      <c r="U922" s="638"/>
      <c r="V922" s="638"/>
      <c r="W922" s="639"/>
      <c r="X922" s="640" t="str">
        <f>IFERROR(VLOOKUP(W922,Listas!$A$60:$B$73,2,FALSE),"Alerta: Seleccione primero Modalidad de selección")</f>
        <v>Alerta: Seleccione primero Modalidad de selección</v>
      </c>
      <c r="Y922" s="641">
        <v>0</v>
      </c>
      <c r="Z922" s="641"/>
      <c r="AA922" s="641"/>
      <c r="AB922" s="642">
        <f t="shared" si="273"/>
        <v>0</v>
      </c>
      <c r="AC922" s="642">
        <f t="shared" si="274"/>
        <v>0</v>
      </c>
      <c r="AD922" s="641">
        <v>0</v>
      </c>
      <c r="AE922" s="643">
        <v>0</v>
      </c>
      <c r="AF922" s="639" t="s">
        <v>276</v>
      </c>
      <c r="AG922" s="639" t="s">
        <v>277</v>
      </c>
      <c r="AH922" s="639"/>
      <c r="AI922" s="626" t="str">
        <f>IFERROR(VLOOKUP(AH922,Listas!$A$77:$C$83,2,FALSE),"Alerta: Seleccione primero el responsable")</f>
        <v>Alerta: Seleccione primero el responsable</v>
      </c>
      <c r="AJ922" s="640" t="str">
        <f>IFERROR(VLOOKUP(AH922,Listas!$A$77:$C$83,3,FALSE),"Alerta: Seleccione primero el responsable")</f>
        <v>Alerta: Seleccione primero el responsable</v>
      </c>
      <c r="AK922" s="640" t="str">
        <f>IF(J922="Funcionamiento Gastos Generales","No aplica",IF(J922="Funcionamiento Servicios Personales indirectos","No aplica",IFERROR(VLOOKUP(J922,Listas!$A$127:$E$139,3,FALSE),"Alerta: Seleccione la celda en la comumna B con el nombre del proyecto")))</f>
        <v>Alerta: Seleccione la celda en la comumna B con el nombre del proyecto</v>
      </c>
      <c r="AL922" s="640" t="str">
        <f>IF(J922="Funcionamiento Gastos Generales","No aplica",IF(J922="Funcionamiento Servicios Personales","No aplica",IFERROR(VLOOKUP(J922,Listas!$A$220:$D$224,2,FALSE),"Alerta: Seleccione la celda en la comumna B con el nombre del proyecto")))</f>
        <v>Alerta: Seleccione la celda en la comumna B con el nombre del proyecto</v>
      </c>
      <c r="AM922" s="640" t="str">
        <f>IF(J922="Funcionamiento Gastos Generales","No aplica",IF(J922="Funcionamiento Servicios Personales","No aplica",IFERROR(VLOOKUP(J922,Listas!$A$220:$D$224,3,FALSE),"Alerta: Seleccione la celda en la comumna B con el nombre del proyecto")))</f>
        <v>Alerta: Seleccione la celda en la comumna B con el nombre del proyecto</v>
      </c>
      <c r="AN922" s="633"/>
      <c r="AO922" s="633"/>
      <c r="AP922" s="634" t="str">
        <f>IFERROR(VLOOKUP(J922,Listas!$A$182:$E$215,5,FALSE),"Alerta: Seleccione la celda en la comumna B con el nombre del proyecto")</f>
        <v>Alerta: Seleccione la celda en la comumna B con el nombre del proyecto</v>
      </c>
      <c r="AQ922" s="634" t="str">
        <f>IF(J922="Funcionamiento Gastos Generales","No aplica",IF(J922="Funcionamiento Servicios Personales","No aplica",IFERROR(VLOOKUP(J922,Listas!$A$220:$D$224,4,FALSE),"Alerta: Seleccione la celda en la comumna B con el nombre del proyecto")))</f>
        <v>Alerta: Seleccione la celda en la comumna B con el nombre del proyecto</v>
      </c>
      <c r="AR922" s="633"/>
      <c r="AS922" s="634" t="str">
        <f>IFERROR(VLOOKUP(AU922,Listas!$E$85:$L$105,7,FALSE),"Alerta: Seleccione la celda en la comumna AI con el concepto de gasto")</f>
        <v>Alerta: Seleccione la celda en la comumna AI con el concepto de gasto</v>
      </c>
      <c r="AT922" s="634" t="str">
        <f>IFERROR(VLOOKUP(AU922,Listas!$E$85:$L$105,8,FALSE),"Alerta: Seleccione la celda en la comumna AI con el concepto de gasto")</f>
        <v>Alerta: Seleccione la celda en la comumna AI con el concepto de gasto</v>
      </c>
      <c r="AU922" s="633"/>
      <c r="AV922" s="634" t="str">
        <f>IFERROR(VLOOKUP(AU922,Listas!$E$85:$F$105,2,FALSE),"Alerta: Seleccione el Concepto de Gasto primero")</f>
        <v>Alerta: Seleccione el Concepto de Gasto primero</v>
      </c>
      <c r="AW922" s="644"/>
      <c r="AX922" s="645"/>
      <c r="AY922" s="645"/>
      <c r="AZ922" s="645"/>
      <c r="BA922" s="646">
        <f t="shared" si="275"/>
        <v>0</v>
      </c>
      <c r="BB922" s="647"/>
      <c r="BC922" s="648"/>
      <c r="BD922" s="649"/>
      <c r="BE922" s="647"/>
      <c r="BF922" s="644"/>
      <c r="BG922" s="646">
        <f t="shared" si="276"/>
        <v>0</v>
      </c>
      <c r="BH922" s="650"/>
      <c r="BI922" s="647"/>
      <c r="BJ922" s="644"/>
      <c r="BK922" s="646">
        <f t="shared" si="277"/>
        <v>0</v>
      </c>
      <c r="BL922" s="651"/>
      <c r="BM922" s="652">
        <f t="shared" si="278"/>
        <v>1</v>
      </c>
      <c r="BN922" s="628"/>
      <c r="BO922" s="670"/>
      <c r="BP922" s="644"/>
      <c r="BQ922" s="644"/>
      <c r="BR922" s="644"/>
      <c r="BS922" s="644"/>
      <c r="BT922" s="644"/>
      <c r="BU922" s="644"/>
      <c r="BV922" s="644"/>
      <c r="BW922" s="644"/>
      <c r="BX922" s="644"/>
      <c r="BY922" s="644"/>
      <c r="BZ922" s="644"/>
      <c r="CA922" s="644"/>
      <c r="CB922" s="646">
        <f t="shared" si="279"/>
        <v>0</v>
      </c>
      <c r="CC922" s="646">
        <f t="shared" si="280"/>
        <v>0</v>
      </c>
      <c r="CD922" s="614"/>
    </row>
    <row r="923" spans="1:82" s="561" customFormat="1" ht="61.5" customHeight="1">
      <c r="A923" s="625" t="str">
        <f t="shared" si="262"/>
        <v>proyecto-Alerta: Seleccione la celda en la comumna B con el nombre del proyecto-Al-Al--</v>
      </c>
      <c r="B923" s="626" t="str">
        <f t="shared" si="263"/>
        <v>proyecto-Alerta: Seleccione la celda en la comumna B con el nombre del proyecto-Al-Al-</v>
      </c>
      <c r="C923" s="626" t="str">
        <f t="shared" si="264"/>
        <v>proyecto-Alerta: Seleccione la celda en la comumna B con el nombre del proyecto-</v>
      </c>
      <c r="D923" s="626" t="str">
        <f t="shared" si="265"/>
        <v>proyecto--Al-Al-</v>
      </c>
      <c r="E923" s="626" t="str">
        <f t="shared" si="266"/>
        <v>--</v>
      </c>
      <c r="F923" s="627"/>
      <c r="G923" s="628">
        <f t="shared" si="267"/>
        <v>0</v>
      </c>
      <c r="H923" s="629" t="b">
        <f t="shared" si="268"/>
        <v>1</v>
      </c>
      <c r="I923" s="630"/>
      <c r="J923" s="627"/>
      <c r="K923" s="631" t="str">
        <f>+IFERROR(VLOOKUP(J923,Listas!$A$108:$B$114,2,FALSE),"Alerta: Seleccione la celda en la comumna B con el nombre del proyecto")</f>
        <v>Alerta: Seleccione la celda en la comumna B con el nombre del proyecto</v>
      </c>
      <c r="L923" s="632"/>
      <c r="M923" s="633"/>
      <c r="N923" s="634" t="str">
        <f t="shared" si="269"/>
        <v xml:space="preserve">(Cód. ) </v>
      </c>
      <c r="O923" s="635"/>
      <c r="P923" s="636">
        <f>IFERROR(VLOOKUP(W923,'Estimación CRP'!$D$21:$E$30,2,FALSE),0)</f>
        <v>0</v>
      </c>
      <c r="Q923" s="637">
        <f>IF(O923="No aplica","No aplica",WORKDAY.INTL(O923,P923,1,'Estimación CRP'!A1109:A1125))</f>
        <v>0</v>
      </c>
      <c r="R923" s="636">
        <f t="shared" si="270"/>
        <v>1</v>
      </c>
      <c r="S923" s="636">
        <f t="shared" si="271"/>
        <v>1</v>
      </c>
      <c r="T923" s="636">
        <f t="shared" si="272"/>
        <v>1</v>
      </c>
      <c r="U923" s="638"/>
      <c r="V923" s="638"/>
      <c r="W923" s="639"/>
      <c r="X923" s="640" t="str">
        <f>IFERROR(VLOOKUP(W923,Listas!$A$60:$B$73,2,FALSE),"Alerta: Seleccione primero Modalidad de selección")</f>
        <v>Alerta: Seleccione primero Modalidad de selección</v>
      </c>
      <c r="Y923" s="641">
        <v>0</v>
      </c>
      <c r="Z923" s="641"/>
      <c r="AA923" s="641"/>
      <c r="AB923" s="642">
        <f t="shared" si="273"/>
        <v>0</v>
      </c>
      <c r="AC923" s="642">
        <f t="shared" si="274"/>
        <v>0</v>
      </c>
      <c r="AD923" s="641">
        <v>0</v>
      </c>
      <c r="AE923" s="643">
        <v>0</v>
      </c>
      <c r="AF923" s="639" t="s">
        <v>276</v>
      </c>
      <c r="AG923" s="639" t="s">
        <v>277</v>
      </c>
      <c r="AH923" s="639"/>
      <c r="AI923" s="626" t="str">
        <f>IFERROR(VLOOKUP(AH923,Listas!$A$77:$C$83,2,FALSE),"Alerta: Seleccione primero el responsable")</f>
        <v>Alerta: Seleccione primero el responsable</v>
      </c>
      <c r="AJ923" s="640" t="str">
        <f>IFERROR(VLOOKUP(AH923,Listas!$A$77:$C$83,3,FALSE),"Alerta: Seleccione primero el responsable")</f>
        <v>Alerta: Seleccione primero el responsable</v>
      </c>
      <c r="AK923" s="640" t="str">
        <f>IF(J923="Funcionamiento Gastos Generales","No aplica",IF(J923="Funcionamiento Servicios Personales indirectos","No aplica",IFERROR(VLOOKUP(J923,Listas!$A$127:$E$139,3,FALSE),"Alerta: Seleccione la celda en la comumna B con el nombre del proyecto")))</f>
        <v>Alerta: Seleccione la celda en la comumna B con el nombre del proyecto</v>
      </c>
      <c r="AL923" s="640" t="str">
        <f>IF(J923="Funcionamiento Gastos Generales","No aplica",IF(J923="Funcionamiento Servicios Personales","No aplica",IFERROR(VLOOKUP(J923,Listas!$A$220:$D$224,2,FALSE),"Alerta: Seleccione la celda en la comumna B con el nombre del proyecto")))</f>
        <v>Alerta: Seleccione la celda en la comumna B con el nombre del proyecto</v>
      </c>
      <c r="AM923" s="640" t="str">
        <f>IF(J923="Funcionamiento Gastos Generales","No aplica",IF(J923="Funcionamiento Servicios Personales","No aplica",IFERROR(VLOOKUP(J923,Listas!$A$220:$D$224,3,FALSE),"Alerta: Seleccione la celda en la comumna B con el nombre del proyecto")))</f>
        <v>Alerta: Seleccione la celda en la comumna B con el nombre del proyecto</v>
      </c>
      <c r="AN923" s="633"/>
      <c r="AO923" s="633"/>
      <c r="AP923" s="634" t="str">
        <f>IFERROR(VLOOKUP(J923,Listas!$A$182:$E$215,5,FALSE),"Alerta: Seleccione la celda en la comumna B con el nombre del proyecto")</f>
        <v>Alerta: Seleccione la celda en la comumna B con el nombre del proyecto</v>
      </c>
      <c r="AQ923" s="634" t="str">
        <f>IF(J923="Funcionamiento Gastos Generales","No aplica",IF(J923="Funcionamiento Servicios Personales","No aplica",IFERROR(VLOOKUP(J923,Listas!$A$220:$D$224,4,FALSE),"Alerta: Seleccione la celda en la comumna B con el nombre del proyecto")))</f>
        <v>Alerta: Seleccione la celda en la comumna B con el nombre del proyecto</v>
      </c>
      <c r="AR923" s="633"/>
      <c r="AS923" s="634" t="str">
        <f>IFERROR(VLOOKUP(AU923,Listas!$E$85:$L$105,7,FALSE),"Alerta: Seleccione la celda en la comumna AI con el concepto de gasto")</f>
        <v>Alerta: Seleccione la celda en la comumna AI con el concepto de gasto</v>
      </c>
      <c r="AT923" s="634" t="str">
        <f>IFERROR(VLOOKUP(AU923,Listas!$E$85:$L$105,8,FALSE),"Alerta: Seleccione la celda en la comumna AI con el concepto de gasto")</f>
        <v>Alerta: Seleccione la celda en la comumna AI con el concepto de gasto</v>
      </c>
      <c r="AU923" s="633"/>
      <c r="AV923" s="634" t="str">
        <f>IFERROR(VLOOKUP(AU923,Listas!$E$85:$F$105,2,FALSE),"Alerta: Seleccione el Concepto de Gasto primero")</f>
        <v>Alerta: Seleccione el Concepto de Gasto primero</v>
      </c>
      <c r="AW923" s="644"/>
      <c r="AX923" s="645"/>
      <c r="AY923" s="645"/>
      <c r="AZ923" s="645"/>
      <c r="BA923" s="646">
        <f t="shared" si="275"/>
        <v>0</v>
      </c>
      <c r="BB923" s="647"/>
      <c r="BC923" s="648"/>
      <c r="BD923" s="649"/>
      <c r="BE923" s="647"/>
      <c r="BF923" s="644"/>
      <c r="BG923" s="646">
        <f t="shared" si="276"/>
        <v>0</v>
      </c>
      <c r="BH923" s="650"/>
      <c r="BI923" s="647"/>
      <c r="BJ923" s="644"/>
      <c r="BK923" s="646">
        <f t="shared" si="277"/>
        <v>0</v>
      </c>
      <c r="BL923" s="651"/>
      <c r="BM923" s="652">
        <f t="shared" si="278"/>
        <v>1</v>
      </c>
      <c r="BN923" s="628"/>
      <c r="BO923" s="670"/>
      <c r="BP923" s="644"/>
      <c r="BQ923" s="644"/>
      <c r="BR923" s="644"/>
      <c r="BS923" s="644"/>
      <c r="BT923" s="644"/>
      <c r="BU923" s="644"/>
      <c r="BV923" s="644"/>
      <c r="BW923" s="644"/>
      <c r="BX923" s="644"/>
      <c r="BY923" s="644"/>
      <c r="BZ923" s="644"/>
      <c r="CA923" s="644"/>
      <c r="CB923" s="646">
        <f t="shared" si="279"/>
        <v>0</v>
      </c>
      <c r="CC923" s="646">
        <f t="shared" si="280"/>
        <v>0</v>
      </c>
      <c r="CD923" s="614"/>
    </row>
    <row r="924" spans="1:82" s="561" customFormat="1" ht="61.5" customHeight="1">
      <c r="A924" s="625" t="str">
        <f t="shared" si="262"/>
        <v>proyecto-Alerta: Seleccione la celda en la comumna B con el nombre del proyecto-Al-Al--</v>
      </c>
      <c r="B924" s="626" t="str">
        <f t="shared" si="263"/>
        <v>proyecto-Alerta: Seleccione la celda en la comumna B con el nombre del proyecto-Al-Al-</v>
      </c>
      <c r="C924" s="626" t="str">
        <f t="shared" si="264"/>
        <v>proyecto-Alerta: Seleccione la celda en la comumna B con el nombre del proyecto-</v>
      </c>
      <c r="D924" s="626" t="str">
        <f t="shared" si="265"/>
        <v>proyecto--Al-Al-</v>
      </c>
      <c r="E924" s="626" t="str">
        <f t="shared" si="266"/>
        <v>--</v>
      </c>
      <c r="F924" s="627"/>
      <c r="G924" s="628">
        <f t="shared" si="267"/>
        <v>0</v>
      </c>
      <c r="H924" s="629" t="b">
        <f t="shared" si="268"/>
        <v>1</v>
      </c>
      <c r="I924" s="630"/>
      <c r="J924" s="627"/>
      <c r="K924" s="631" t="str">
        <f>+IFERROR(VLOOKUP(J924,Listas!$A$108:$B$114,2,FALSE),"Alerta: Seleccione la celda en la comumna B con el nombre del proyecto")</f>
        <v>Alerta: Seleccione la celda en la comumna B con el nombre del proyecto</v>
      </c>
      <c r="L924" s="632"/>
      <c r="M924" s="633"/>
      <c r="N924" s="634" t="str">
        <f t="shared" si="269"/>
        <v xml:space="preserve">(Cód. ) </v>
      </c>
      <c r="O924" s="635"/>
      <c r="P924" s="636">
        <f>IFERROR(VLOOKUP(W924,'Estimación CRP'!$D$21:$E$30,2,FALSE),0)</f>
        <v>0</v>
      </c>
      <c r="Q924" s="637">
        <f>IF(O924="No aplica","No aplica",WORKDAY.INTL(O924,P924,1,'Estimación CRP'!A1110:A1126))</f>
        <v>0</v>
      </c>
      <c r="R924" s="636">
        <f t="shared" si="270"/>
        <v>1</v>
      </c>
      <c r="S924" s="636">
        <f t="shared" si="271"/>
        <v>1</v>
      </c>
      <c r="T924" s="636">
        <f t="shared" si="272"/>
        <v>1</v>
      </c>
      <c r="U924" s="638"/>
      <c r="V924" s="638"/>
      <c r="W924" s="639"/>
      <c r="X924" s="640" t="str">
        <f>IFERROR(VLOOKUP(W924,Listas!$A$60:$B$73,2,FALSE),"Alerta: Seleccione primero Modalidad de selección")</f>
        <v>Alerta: Seleccione primero Modalidad de selección</v>
      </c>
      <c r="Y924" s="641">
        <v>0</v>
      </c>
      <c r="Z924" s="641"/>
      <c r="AA924" s="641"/>
      <c r="AB924" s="642">
        <f t="shared" si="273"/>
        <v>0</v>
      </c>
      <c r="AC924" s="642">
        <f t="shared" si="274"/>
        <v>0</v>
      </c>
      <c r="AD924" s="641">
        <v>0</v>
      </c>
      <c r="AE924" s="643">
        <v>0</v>
      </c>
      <c r="AF924" s="639" t="s">
        <v>276</v>
      </c>
      <c r="AG924" s="639" t="s">
        <v>277</v>
      </c>
      <c r="AH924" s="639"/>
      <c r="AI924" s="626" t="str">
        <f>IFERROR(VLOOKUP(AH924,Listas!$A$77:$C$83,2,FALSE),"Alerta: Seleccione primero el responsable")</f>
        <v>Alerta: Seleccione primero el responsable</v>
      </c>
      <c r="AJ924" s="640" t="str">
        <f>IFERROR(VLOOKUP(AH924,Listas!$A$77:$C$83,3,FALSE),"Alerta: Seleccione primero el responsable")</f>
        <v>Alerta: Seleccione primero el responsable</v>
      </c>
      <c r="AK924" s="640" t="str">
        <f>IF(J924="Funcionamiento Gastos Generales","No aplica",IF(J924="Funcionamiento Servicios Personales indirectos","No aplica",IFERROR(VLOOKUP(J924,Listas!$A$127:$E$139,3,FALSE),"Alerta: Seleccione la celda en la comumna B con el nombre del proyecto")))</f>
        <v>Alerta: Seleccione la celda en la comumna B con el nombre del proyecto</v>
      </c>
      <c r="AL924" s="640" t="str">
        <f>IF(J924="Funcionamiento Gastos Generales","No aplica",IF(J924="Funcionamiento Servicios Personales","No aplica",IFERROR(VLOOKUP(J924,Listas!$A$220:$D$224,2,FALSE),"Alerta: Seleccione la celda en la comumna B con el nombre del proyecto")))</f>
        <v>Alerta: Seleccione la celda en la comumna B con el nombre del proyecto</v>
      </c>
      <c r="AM924" s="640" t="str">
        <f>IF(J924="Funcionamiento Gastos Generales","No aplica",IF(J924="Funcionamiento Servicios Personales","No aplica",IFERROR(VLOOKUP(J924,Listas!$A$220:$D$224,3,FALSE),"Alerta: Seleccione la celda en la comumna B con el nombre del proyecto")))</f>
        <v>Alerta: Seleccione la celda en la comumna B con el nombre del proyecto</v>
      </c>
      <c r="AN924" s="633"/>
      <c r="AO924" s="633"/>
      <c r="AP924" s="634" t="str">
        <f>IFERROR(VLOOKUP(J924,Listas!$A$182:$E$215,5,FALSE),"Alerta: Seleccione la celda en la comumna B con el nombre del proyecto")</f>
        <v>Alerta: Seleccione la celda en la comumna B con el nombre del proyecto</v>
      </c>
      <c r="AQ924" s="634" t="str">
        <f>IF(J924="Funcionamiento Gastos Generales","No aplica",IF(J924="Funcionamiento Servicios Personales","No aplica",IFERROR(VLOOKUP(J924,Listas!$A$220:$D$224,4,FALSE),"Alerta: Seleccione la celda en la comumna B con el nombre del proyecto")))</f>
        <v>Alerta: Seleccione la celda en la comumna B con el nombre del proyecto</v>
      </c>
      <c r="AR924" s="633"/>
      <c r="AS924" s="634" t="str">
        <f>IFERROR(VLOOKUP(AU924,Listas!$E$85:$L$105,7,FALSE),"Alerta: Seleccione la celda en la comumna AI con el concepto de gasto")</f>
        <v>Alerta: Seleccione la celda en la comumna AI con el concepto de gasto</v>
      </c>
      <c r="AT924" s="634" t="str">
        <f>IFERROR(VLOOKUP(AU924,Listas!$E$85:$L$105,8,FALSE),"Alerta: Seleccione la celda en la comumna AI con el concepto de gasto")</f>
        <v>Alerta: Seleccione la celda en la comumna AI con el concepto de gasto</v>
      </c>
      <c r="AU924" s="633"/>
      <c r="AV924" s="634" t="str">
        <f>IFERROR(VLOOKUP(AU924,Listas!$E$85:$F$105,2,FALSE),"Alerta: Seleccione el Concepto de Gasto primero")</f>
        <v>Alerta: Seleccione el Concepto de Gasto primero</v>
      </c>
      <c r="AW924" s="644"/>
      <c r="AX924" s="645"/>
      <c r="AY924" s="645"/>
      <c r="AZ924" s="645"/>
      <c r="BA924" s="646">
        <f t="shared" si="275"/>
        <v>0</v>
      </c>
      <c r="BB924" s="647"/>
      <c r="BC924" s="648"/>
      <c r="BD924" s="649"/>
      <c r="BE924" s="647"/>
      <c r="BF924" s="644"/>
      <c r="BG924" s="646">
        <f t="shared" si="276"/>
        <v>0</v>
      </c>
      <c r="BH924" s="650"/>
      <c r="BI924" s="647"/>
      <c r="BJ924" s="644"/>
      <c r="BK924" s="646">
        <f t="shared" si="277"/>
        <v>0</v>
      </c>
      <c r="BL924" s="651"/>
      <c r="BM924" s="652">
        <f t="shared" si="278"/>
        <v>1</v>
      </c>
      <c r="BN924" s="628"/>
      <c r="BO924" s="670"/>
      <c r="BP924" s="644"/>
      <c r="BQ924" s="644"/>
      <c r="BR924" s="644"/>
      <c r="BS924" s="644"/>
      <c r="BT924" s="644"/>
      <c r="BU924" s="644"/>
      <c r="BV924" s="644"/>
      <c r="BW924" s="644"/>
      <c r="BX924" s="644"/>
      <c r="BY924" s="644"/>
      <c r="BZ924" s="644"/>
      <c r="CA924" s="644"/>
      <c r="CB924" s="646">
        <f t="shared" si="279"/>
        <v>0</v>
      </c>
      <c r="CC924" s="646">
        <f t="shared" si="280"/>
        <v>0</v>
      </c>
      <c r="CD924" s="614"/>
    </row>
    <row r="925" spans="1:82" s="561" customFormat="1" ht="61.5" customHeight="1">
      <c r="A925" s="625" t="str">
        <f t="shared" si="262"/>
        <v>proyecto-Alerta: Seleccione la celda en la comumna B con el nombre del proyecto-Al-Al--</v>
      </c>
      <c r="B925" s="626" t="str">
        <f t="shared" si="263"/>
        <v>proyecto-Alerta: Seleccione la celda en la comumna B con el nombre del proyecto-Al-Al-</v>
      </c>
      <c r="C925" s="626" t="str">
        <f t="shared" si="264"/>
        <v>proyecto-Alerta: Seleccione la celda en la comumna B con el nombre del proyecto-</v>
      </c>
      <c r="D925" s="626" t="str">
        <f t="shared" si="265"/>
        <v>proyecto--Al-Al-</v>
      </c>
      <c r="E925" s="626" t="str">
        <f t="shared" si="266"/>
        <v>--</v>
      </c>
      <c r="F925" s="627"/>
      <c r="G925" s="628">
        <f t="shared" si="267"/>
        <v>0</v>
      </c>
      <c r="H925" s="629" t="b">
        <f t="shared" si="268"/>
        <v>1</v>
      </c>
      <c r="I925" s="630"/>
      <c r="J925" s="627"/>
      <c r="K925" s="631" t="str">
        <f>+IFERROR(VLOOKUP(J925,Listas!$A$108:$B$114,2,FALSE),"Alerta: Seleccione la celda en la comumna B con el nombre del proyecto")</f>
        <v>Alerta: Seleccione la celda en la comumna B con el nombre del proyecto</v>
      </c>
      <c r="L925" s="632"/>
      <c r="M925" s="633"/>
      <c r="N925" s="634" t="str">
        <f t="shared" si="269"/>
        <v xml:space="preserve">(Cód. ) </v>
      </c>
      <c r="O925" s="635"/>
      <c r="P925" s="636">
        <f>IFERROR(VLOOKUP(W925,'Estimación CRP'!$D$21:$E$30,2,FALSE),0)</f>
        <v>0</v>
      </c>
      <c r="Q925" s="637">
        <f>IF(O925="No aplica","No aplica",WORKDAY.INTL(O925,P925,1,'Estimación CRP'!A1111:A1127))</f>
        <v>0</v>
      </c>
      <c r="R925" s="636">
        <f t="shared" si="270"/>
        <v>1</v>
      </c>
      <c r="S925" s="636">
        <f t="shared" si="271"/>
        <v>1</v>
      </c>
      <c r="T925" s="636">
        <f t="shared" si="272"/>
        <v>1</v>
      </c>
      <c r="U925" s="638"/>
      <c r="V925" s="638"/>
      <c r="W925" s="639"/>
      <c r="X925" s="640" t="str">
        <f>IFERROR(VLOOKUP(W925,Listas!$A$60:$B$73,2,FALSE),"Alerta: Seleccione primero Modalidad de selección")</f>
        <v>Alerta: Seleccione primero Modalidad de selección</v>
      </c>
      <c r="Y925" s="641">
        <v>0</v>
      </c>
      <c r="Z925" s="641"/>
      <c r="AA925" s="641"/>
      <c r="AB925" s="642">
        <f t="shared" si="273"/>
        <v>0</v>
      </c>
      <c r="AC925" s="642">
        <f t="shared" si="274"/>
        <v>0</v>
      </c>
      <c r="AD925" s="641">
        <v>0</v>
      </c>
      <c r="AE925" s="643">
        <v>0</v>
      </c>
      <c r="AF925" s="639" t="s">
        <v>276</v>
      </c>
      <c r="AG925" s="639" t="s">
        <v>277</v>
      </c>
      <c r="AH925" s="639"/>
      <c r="AI925" s="626" t="str">
        <f>IFERROR(VLOOKUP(AH925,Listas!$A$77:$C$83,2,FALSE),"Alerta: Seleccione primero el responsable")</f>
        <v>Alerta: Seleccione primero el responsable</v>
      </c>
      <c r="AJ925" s="640" t="str">
        <f>IFERROR(VLOOKUP(AH925,Listas!$A$77:$C$83,3,FALSE),"Alerta: Seleccione primero el responsable")</f>
        <v>Alerta: Seleccione primero el responsable</v>
      </c>
      <c r="AK925" s="640" t="str">
        <f>IF(J925="Funcionamiento Gastos Generales","No aplica",IF(J925="Funcionamiento Servicios Personales indirectos","No aplica",IFERROR(VLOOKUP(J925,Listas!$A$127:$E$139,3,FALSE),"Alerta: Seleccione la celda en la comumna B con el nombre del proyecto")))</f>
        <v>Alerta: Seleccione la celda en la comumna B con el nombre del proyecto</v>
      </c>
      <c r="AL925" s="640" t="str">
        <f>IF(J925="Funcionamiento Gastos Generales","No aplica",IF(J925="Funcionamiento Servicios Personales","No aplica",IFERROR(VLOOKUP(J925,Listas!$A$220:$D$224,2,FALSE),"Alerta: Seleccione la celda en la comumna B con el nombre del proyecto")))</f>
        <v>Alerta: Seleccione la celda en la comumna B con el nombre del proyecto</v>
      </c>
      <c r="AM925" s="640" t="str">
        <f>IF(J925="Funcionamiento Gastos Generales","No aplica",IF(J925="Funcionamiento Servicios Personales","No aplica",IFERROR(VLOOKUP(J925,Listas!$A$220:$D$224,3,FALSE),"Alerta: Seleccione la celda en la comumna B con el nombre del proyecto")))</f>
        <v>Alerta: Seleccione la celda en la comumna B con el nombre del proyecto</v>
      </c>
      <c r="AN925" s="633"/>
      <c r="AO925" s="633"/>
      <c r="AP925" s="634" t="str">
        <f>IFERROR(VLOOKUP(J925,Listas!$A$182:$E$215,5,FALSE),"Alerta: Seleccione la celda en la comumna B con el nombre del proyecto")</f>
        <v>Alerta: Seleccione la celda en la comumna B con el nombre del proyecto</v>
      </c>
      <c r="AQ925" s="634" t="str">
        <f>IF(J925="Funcionamiento Gastos Generales","No aplica",IF(J925="Funcionamiento Servicios Personales","No aplica",IFERROR(VLOOKUP(J925,Listas!$A$220:$D$224,4,FALSE),"Alerta: Seleccione la celda en la comumna B con el nombre del proyecto")))</f>
        <v>Alerta: Seleccione la celda en la comumna B con el nombre del proyecto</v>
      </c>
      <c r="AR925" s="633"/>
      <c r="AS925" s="634" t="str">
        <f>IFERROR(VLOOKUP(AU925,Listas!$E$85:$L$105,7,FALSE),"Alerta: Seleccione la celda en la comumna AI con el concepto de gasto")</f>
        <v>Alerta: Seleccione la celda en la comumna AI con el concepto de gasto</v>
      </c>
      <c r="AT925" s="634" t="str">
        <f>IFERROR(VLOOKUP(AU925,Listas!$E$85:$L$105,8,FALSE),"Alerta: Seleccione la celda en la comumna AI con el concepto de gasto")</f>
        <v>Alerta: Seleccione la celda en la comumna AI con el concepto de gasto</v>
      </c>
      <c r="AU925" s="633"/>
      <c r="AV925" s="634" t="str">
        <f>IFERROR(VLOOKUP(AU925,Listas!$E$85:$F$105,2,FALSE),"Alerta: Seleccione el Concepto de Gasto primero")</f>
        <v>Alerta: Seleccione el Concepto de Gasto primero</v>
      </c>
      <c r="AW925" s="644"/>
      <c r="AX925" s="645"/>
      <c r="AY925" s="645"/>
      <c r="AZ925" s="645"/>
      <c r="BA925" s="646">
        <f t="shared" si="275"/>
        <v>0</v>
      </c>
      <c r="BB925" s="647"/>
      <c r="BC925" s="648"/>
      <c r="BD925" s="649"/>
      <c r="BE925" s="647"/>
      <c r="BF925" s="644"/>
      <c r="BG925" s="646">
        <f t="shared" si="276"/>
        <v>0</v>
      </c>
      <c r="BH925" s="650"/>
      <c r="BI925" s="647"/>
      <c r="BJ925" s="644"/>
      <c r="BK925" s="646">
        <f t="shared" si="277"/>
        <v>0</v>
      </c>
      <c r="BL925" s="651"/>
      <c r="BM925" s="652">
        <f t="shared" si="278"/>
        <v>1</v>
      </c>
      <c r="BN925" s="628"/>
      <c r="BO925" s="670"/>
      <c r="BP925" s="644"/>
      <c r="BQ925" s="644"/>
      <c r="BR925" s="644"/>
      <c r="BS925" s="644"/>
      <c r="BT925" s="644"/>
      <c r="BU925" s="644"/>
      <c r="BV925" s="644"/>
      <c r="BW925" s="644"/>
      <c r="BX925" s="644"/>
      <c r="BY925" s="644"/>
      <c r="BZ925" s="644"/>
      <c r="CA925" s="644"/>
      <c r="CB925" s="646">
        <f t="shared" si="279"/>
        <v>0</v>
      </c>
      <c r="CC925" s="646">
        <f t="shared" si="280"/>
        <v>0</v>
      </c>
      <c r="CD925" s="614"/>
    </row>
    <row r="926" spans="1:82" s="561" customFormat="1" ht="61.5" customHeight="1">
      <c r="A926" s="625" t="str">
        <f t="shared" si="262"/>
        <v>proyecto-Alerta: Seleccione la celda en la comumna B con el nombre del proyecto-Al-Al--</v>
      </c>
      <c r="B926" s="626" t="str">
        <f t="shared" si="263"/>
        <v>proyecto-Alerta: Seleccione la celda en la comumna B con el nombre del proyecto-Al-Al-</v>
      </c>
      <c r="C926" s="626" t="str">
        <f t="shared" si="264"/>
        <v>proyecto-Alerta: Seleccione la celda en la comumna B con el nombre del proyecto-</v>
      </c>
      <c r="D926" s="626" t="str">
        <f t="shared" si="265"/>
        <v>proyecto--Al-Al-</v>
      </c>
      <c r="E926" s="626" t="str">
        <f t="shared" si="266"/>
        <v>--</v>
      </c>
      <c r="F926" s="627"/>
      <c r="G926" s="628">
        <f t="shared" si="267"/>
        <v>0</v>
      </c>
      <c r="H926" s="629" t="b">
        <f t="shared" si="268"/>
        <v>1</v>
      </c>
      <c r="I926" s="630"/>
      <c r="J926" s="627"/>
      <c r="K926" s="631" t="str">
        <f>+IFERROR(VLOOKUP(J926,Listas!$A$108:$B$114,2,FALSE),"Alerta: Seleccione la celda en la comumna B con el nombre del proyecto")</f>
        <v>Alerta: Seleccione la celda en la comumna B con el nombre del proyecto</v>
      </c>
      <c r="L926" s="632"/>
      <c r="M926" s="633"/>
      <c r="N926" s="634" t="str">
        <f t="shared" si="269"/>
        <v xml:space="preserve">(Cód. ) </v>
      </c>
      <c r="O926" s="635"/>
      <c r="P926" s="636">
        <f>IFERROR(VLOOKUP(W926,'Estimación CRP'!$D$21:$E$30,2,FALSE),0)</f>
        <v>0</v>
      </c>
      <c r="Q926" s="637">
        <f>IF(O926="No aplica","No aplica",WORKDAY.INTL(O926,P926,1,'Estimación CRP'!A1112:A1128))</f>
        <v>0</v>
      </c>
      <c r="R926" s="636">
        <f t="shared" si="270"/>
        <v>1</v>
      </c>
      <c r="S926" s="636">
        <f t="shared" si="271"/>
        <v>1</v>
      </c>
      <c r="T926" s="636">
        <f t="shared" si="272"/>
        <v>1</v>
      </c>
      <c r="U926" s="638"/>
      <c r="V926" s="638"/>
      <c r="W926" s="639"/>
      <c r="X926" s="640" t="str">
        <f>IFERROR(VLOOKUP(W926,Listas!$A$60:$B$73,2,FALSE),"Alerta: Seleccione primero Modalidad de selección")</f>
        <v>Alerta: Seleccione primero Modalidad de selección</v>
      </c>
      <c r="Y926" s="641">
        <v>0</v>
      </c>
      <c r="Z926" s="641"/>
      <c r="AA926" s="641"/>
      <c r="AB926" s="642">
        <f t="shared" si="273"/>
        <v>0</v>
      </c>
      <c r="AC926" s="642">
        <f t="shared" si="274"/>
        <v>0</v>
      </c>
      <c r="AD926" s="641">
        <v>0</v>
      </c>
      <c r="AE926" s="643">
        <v>0</v>
      </c>
      <c r="AF926" s="639" t="s">
        <v>276</v>
      </c>
      <c r="AG926" s="639" t="s">
        <v>277</v>
      </c>
      <c r="AH926" s="639"/>
      <c r="AI926" s="626" t="str">
        <f>IFERROR(VLOOKUP(AH926,Listas!$A$77:$C$83,2,FALSE),"Alerta: Seleccione primero el responsable")</f>
        <v>Alerta: Seleccione primero el responsable</v>
      </c>
      <c r="AJ926" s="640" t="str">
        <f>IFERROR(VLOOKUP(AH926,Listas!$A$77:$C$83,3,FALSE),"Alerta: Seleccione primero el responsable")</f>
        <v>Alerta: Seleccione primero el responsable</v>
      </c>
      <c r="AK926" s="640" t="str">
        <f>IF(J926="Funcionamiento Gastos Generales","No aplica",IF(J926="Funcionamiento Servicios Personales indirectos","No aplica",IFERROR(VLOOKUP(J926,Listas!$A$127:$E$139,3,FALSE),"Alerta: Seleccione la celda en la comumna B con el nombre del proyecto")))</f>
        <v>Alerta: Seleccione la celda en la comumna B con el nombre del proyecto</v>
      </c>
      <c r="AL926" s="640" t="str">
        <f>IF(J926="Funcionamiento Gastos Generales","No aplica",IF(J926="Funcionamiento Servicios Personales","No aplica",IFERROR(VLOOKUP(J926,Listas!$A$220:$D$224,2,FALSE),"Alerta: Seleccione la celda en la comumna B con el nombre del proyecto")))</f>
        <v>Alerta: Seleccione la celda en la comumna B con el nombre del proyecto</v>
      </c>
      <c r="AM926" s="640" t="str">
        <f>IF(J926="Funcionamiento Gastos Generales","No aplica",IF(J926="Funcionamiento Servicios Personales","No aplica",IFERROR(VLOOKUP(J926,Listas!$A$220:$D$224,3,FALSE),"Alerta: Seleccione la celda en la comumna B con el nombre del proyecto")))</f>
        <v>Alerta: Seleccione la celda en la comumna B con el nombre del proyecto</v>
      </c>
      <c r="AN926" s="633"/>
      <c r="AO926" s="633"/>
      <c r="AP926" s="634" t="str">
        <f>IFERROR(VLOOKUP(J926,Listas!$A$182:$E$215,5,FALSE),"Alerta: Seleccione la celda en la comumna B con el nombre del proyecto")</f>
        <v>Alerta: Seleccione la celda en la comumna B con el nombre del proyecto</v>
      </c>
      <c r="AQ926" s="634" t="str">
        <f>IF(J926="Funcionamiento Gastos Generales","No aplica",IF(J926="Funcionamiento Servicios Personales","No aplica",IFERROR(VLOOKUP(J926,Listas!$A$220:$D$224,4,FALSE),"Alerta: Seleccione la celda en la comumna B con el nombre del proyecto")))</f>
        <v>Alerta: Seleccione la celda en la comumna B con el nombre del proyecto</v>
      </c>
      <c r="AR926" s="633"/>
      <c r="AS926" s="634" t="str">
        <f>IFERROR(VLOOKUP(AU926,Listas!$E$85:$L$105,7,FALSE),"Alerta: Seleccione la celda en la comumna AI con el concepto de gasto")</f>
        <v>Alerta: Seleccione la celda en la comumna AI con el concepto de gasto</v>
      </c>
      <c r="AT926" s="634" t="str">
        <f>IFERROR(VLOOKUP(AU926,Listas!$E$85:$L$105,8,FALSE),"Alerta: Seleccione la celda en la comumna AI con el concepto de gasto")</f>
        <v>Alerta: Seleccione la celda en la comumna AI con el concepto de gasto</v>
      </c>
      <c r="AU926" s="633"/>
      <c r="AV926" s="634" t="str">
        <f>IFERROR(VLOOKUP(AU926,Listas!$E$85:$F$105,2,FALSE),"Alerta: Seleccione el Concepto de Gasto primero")</f>
        <v>Alerta: Seleccione el Concepto de Gasto primero</v>
      </c>
      <c r="AW926" s="644"/>
      <c r="AX926" s="645"/>
      <c r="AY926" s="645"/>
      <c r="AZ926" s="645"/>
      <c r="BA926" s="646">
        <f t="shared" si="275"/>
        <v>0</v>
      </c>
      <c r="BB926" s="647"/>
      <c r="BC926" s="648"/>
      <c r="BD926" s="649"/>
      <c r="BE926" s="647"/>
      <c r="BF926" s="644"/>
      <c r="BG926" s="646">
        <f t="shared" si="276"/>
        <v>0</v>
      </c>
      <c r="BH926" s="650"/>
      <c r="BI926" s="647"/>
      <c r="BJ926" s="644"/>
      <c r="BK926" s="646">
        <f t="shared" si="277"/>
        <v>0</v>
      </c>
      <c r="BL926" s="651"/>
      <c r="BM926" s="652">
        <f t="shared" si="278"/>
        <v>1</v>
      </c>
      <c r="BN926" s="628"/>
      <c r="BO926" s="670"/>
      <c r="BP926" s="644"/>
      <c r="BQ926" s="644"/>
      <c r="BR926" s="644"/>
      <c r="BS926" s="644"/>
      <c r="BT926" s="644"/>
      <c r="BU926" s="644"/>
      <c r="BV926" s="644"/>
      <c r="BW926" s="644"/>
      <c r="BX926" s="644"/>
      <c r="BY926" s="644"/>
      <c r="BZ926" s="644"/>
      <c r="CA926" s="644"/>
      <c r="CB926" s="646">
        <f t="shared" si="279"/>
        <v>0</v>
      </c>
      <c r="CC926" s="646">
        <f t="shared" si="280"/>
        <v>0</v>
      </c>
      <c r="CD926" s="614"/>
    </row>
    <row r="927" spans="1:82" s="561" customFormat="1" ht="61.5" customHeight="1">
      <c r="A927" s="625" t="str">
        <f t="shared" si="262"/>
        <v>proyecto-Alerta: Seleccione la celda en la comumna B con el nombre del proyecto-Al-Al--</v>
      </c>
      <c r="B927" s="626" t="str">
        <f t="shared" si="263"/>
        <v>proyecto-Alerta: Seleccione la celda en la comumna B con el nombre del proyecto-Al-Al-</v>
      </c>
      <c r="C927" s="626" t="str">
        <f t="shared" si="264"/>
        <v>proyecto-Alerta: Seleccione la celda en la comumna B con el nombre del proyecto-</v>
      </c>
      <c r="D927" s="626" t="str">
        <f t="shared" si="265"/>
        <v>proyecto--Al-Al-</v>
      </c>
      <c r="E927" s="626" t="str">
        <f t="shared" si="266"/>
        <v>--</v>
      </c>
      <c r="F927" s="627"/>
      <c r="G927" s="628">
        <f t="shared" si="267"/>
        <v>0</v>
      </c>
      <c r="H927" s="629" t="b">
        <f t="shared" si="268"/>
        <v>1</v>
      </c>
      <c r="I927" s="630"/>
      <c r="J927" s="627"/>
      <c r="K927" s="631" t="str">
        <f>+IFERROR(VLOOKUP(J927,Listas!$A$108:$B$114,2,FALSE),"Alerta: Seleccione la celda en la comumna B con el nombre del proyecto")</f>
        <v>Alerta: Seleccione la celda en la comumna B con el nombre del proyecto</v>
      </c>
      <c r="L927" s="632"/>
      <c r="M927" s="633"/>
      <c r="N927" s="634" t="str">
        <f t="shared" si="269"/>
        <v xml:space="preserve">(Cód. ) </v>
      </c>
      <c r="O927" s="635"/>
      <c r="P927" s="636">
        <f>IFERROR(VLOOKUP(W927,'Estimación CRP'!$D$21:$E$30,2,FALSE),0)</f>
        <v>0</v>
      </c>
      <c r="Q927" s="637">
        <f>IF(O927="No aplica","No aplica",WORKDAY.INTL(O927,P927,1,'Estimación CRP'!A1113:A1129))</f>
        <v>0</v>
      </c>
      <c r="R927" s="636">
        <f t="shared" si="270"/>
        <v>1</v>
      </c>
      <c r="S927" s="636">
        <f t="shared" si="271"/>
        <v>1</v>
      </c>
      <c r="T927" s="636">
        <f t="shared" si="272"/>
        <v>1</v>
      </c>
      <c r="U927" s="638"/>
      <c r="V927" s="638"/>
      <c r="W927" s="639"/>
      <c r="X927" s="640" t="str">
        <f>IFERROR(VLOOKUP(W927,Listas!$A$60:$B$73,2,FALSE),"Alerta: Seleccione primero Modalidad de selección")</f>
        <v>Alerta: Seleccione primero Modalidad de selección</v>
      </c>
      <c r="Y927" s="641">
        <v>0</v>
      </c>
      <c r="Z927" s="641"/>
      <c r="AA927" s="641"/>
      <c r="AB927" s="642">
        <f t="shared" si="273"/>
        <v>0</v>
      </c>
      <c r="AC927" s="642">
        <f t="shared" si="274"/>
        <v>0</v>
      </c>
      <c r="AD927" s="641">
        <v>0</v>
      </c>
      <c r="AE927" s="643">
        <v>0</v>
      </c>
      <c r="AF927" s="639" t="s">
        <v>276</v>
      </c>
      <c r="AG927" s="639" t="s">
        <v>277</v>
      </c>
      <c r="AH927" s="639"/>
      <c r="AI927" s="626" t="str">
        <f>IFERROR(VLOOKUP(AH927,Listas!$A$77:$C$83,2,FALSE),"Alerta: Seleccione primero el responsable")</f>
        <v>Alerta: Seleccione primero el responsable</v>
      </c>
      <c r="AJ927" s="640" t="str">
        <f>IFERROR(VLOOKUP(AH927,Listas!$A$77:$C$83,3,FALSE),"Alerta: Seleccione primero el responsable")</f>
        <v>Alerta: Seleccione primero el responsable</v>
      </c>
      <c r="AK927" s="640" t="str">
        <f>IF(J927="Funcionamiento Gastos Generales","No aplica",IF(J927="Funcionamiento Servicios Personales indirectos","No aplica",IFERROR(VLOOKUP(J927,Listas!$A$127:$E$139,3,FALSE),"Alerta: Seleccione la celda en la comumna B con el nombre del proyecto")))</f>
        <v>Alerta: Seleccione la celda en la comumna B con el nombre del proyecto</v>
      </c>
      <c r="AL927" s="640" t="str">
        <f>IF(J927="Funcionamiento Gastos Generales","No aplica",IF(J927="Funcionamiento Servicios Personales","No aplica",IFERROR(VLOOKUP(J927,Listas!$A$220:$D$224,2,FALSE),"Alerta: Seleccione la celda en la comumna B con el nombre del proyecto")))</f>
        <v>Alerta: Seleccione la celda en la comumna B con el nombre del proyecto</v>
      </c>
      <c r="AM927" s="640" t="str">
        <f>IF(J927="Funcionamiento Gastos Generales","No aplica",IF(J927="Funcionamiento Servicios Personales","No aplica",IFERROR(VLOOKUP(J927,Listas!$A$220:$D$224,3,FALSE),"Alerta: Seleccione la celda en la comumna B con el nombre del proyecto")))</f>
        <v>Alerta: Seleccione la celda en la comumna B con el nombre del proyecto</v>
      </c>
      <c r="AN927" s="633"/>
      <c r="AO927" s="633"/>
      <c r="AP927" s="634" t="str">
        <f>IFERROR(VLOOKUP(J927,Listas!$A$182:$E$215,5,FALSE),"Alerta: Seleccione la celda en la comumna B con el nombre del proyecto")</f>
        <v>Alerta: Seleccione la celda en la comumna B con el nombre del proyecto</v>
      </c>
      <c r="AQ927" s="634" t="str">
        <f>IF(J927="Funcionamiento Gastos Generales","No aplica",IF(J927="Funcionamiento Servicios Personales","No aplica",IFERROR(VLOOKUP(J927,Listas!$A$220:$D$224,4,FALSE),"Alerta: Seleccione la celda en la comumna B con el nombre del proyecto")))</f>
        <v>Alerta: Seleccione la celda en la comumna B con el nombre del proyecto</v>
      </c>
      <c r="AR927" s="633"/>
      <c r="AS927" s="634" t="str">
        <f>IFERROR(VLOOKUP(AU927,Listas!$E$85:$L$105,7,FALSE),"Alerta: Seleccione la celda en la comumna AI con el concepto de gasto")</f>
        <v>Alerta: Seleccione la celda en la comumna AI con el concepto de gasto</v>
      </c>
      <c r="AT927" s="634" t="str">
        <f>IFERROR(VLOOKUP(AU927,Listas!$E$85:$L$105,8,FALSE),"Alerta: Seleccione la celda en la comumna AI con el concepto de gasto")</f>
        <v>Alerta: Seleccione la celda en la comumna AI con el concepto de gasto</v>
      </c>
      <c r="AU927" s="633"/>
      <c r="AV927" s="634" t="str">
        <f>IFERROR(VLOOKUP(AU927,Listas!$E$85:$F$105,2,FALSE),"Alerta: Seleccione el Concepto de Gasto primero")</f>
        <v>Alerta: Seleccione el Concepto de Gasto primero</v>
      </c>
      <c r="AW927" s="644"/>
      <c r="AX927" s="645"/>
      <c r="AY927" s="645"/>
      <c r="AZ927" s="645"/>
      <c r="BA927" s="646">
        <f t="shared" si="275"/>
        <v>0</v>
      </c>
      <c r="BB927" s="647"/>
      <c r="BC927" s="648"/>
      <c r="BD927" s="649"/>
      <c r="BE927" s="647"/>
      <c r="BF927" s="644"/>
      <c r="BG927" s="646">
        <f t="shared" si="276"/>
        <v>0</v>
      </c>
      <c r="BH927" s="650"/>
      <c r="BI927" s="647"/>
      <c r="BJ927" s="644"/>
      <c r="BK927" s="646">
        <f t="shared" si="277"/>
        <v>0</v>
      </c>
      <c r="BL927" s="651"/>
      <c r="BM927" s="652">
        <f t="shared" si="278"/>
        <v>1</v>
      </c>
      <c r="BN927" s="628"/>
      <c r="BO927" s="670"/>
      <c r="BP927" s="644"/>
      <c r="BQ927" s="644"/>
      <c r="BR927" s="644"/>
      <c r="BS927" s="644"/>
      <c r="BT927" s="644"/>
      <c r="BU927" s="644"/>
      <c r="BV927" s="644"/>
      <c r="BW927" s="644"/>
      <c r="BX927" s="644"/>
      <c r="BY927" s="644"/>
      <c r="BZ927" s="644"/>
      <c r="CA927" s="644"/>
      <c r="CB927" s="646">
        <f t="shared" si="279"/>
        <v>0</v>
      </c>
      <c r="CC927" s="646">
        <f t="shared" si="280"/>
        <v>0</v>
      </c>
      <c r="CD927" s="614"/>
    </row>
    <row r="928" spans="1:82" s="561" customFormat="1" ht="61.5" customHeight="1">
      <c r="A928" s="625" t="str">
        <f t="shared" ref="A928:A967" si="281">+CONCATENATE(B928,"-",AO928)</f>
        <v>proyecto-Alerta: Seleccione la celda en la comumna B con el nombre del proyecto-Al-Al--</v>
      </c>
      <c r="B928" s="626" t="str">
        <f t="shared" ref="B928:B967" si="282">CONCATENATE(RIGHT(K928,8),"-",AQ928,"-",LEFT(AS928,2),"-",LEFT(AT928,2),"-",LEFT(AU928,4))</f>
        <v>proyecto-Alerta: Seleccione la celda en la comumna B con el nombre del proyecto-Al-Al-</v>
      </c>
      <c r="C928" s="626" t="str">
        <f t="shared" ref="C928:C967" si="283">+CONCATENATE(RIGHT(K928,8),"-",AQ928,"-",AO928)</f>
        <v>proyecto-Alerta: Seleccione la celda en la comumna B con el nombre del proyecto-</v>
      </c>
      <c r="D928" s="626" t="str">
        <f t="shared" ref="D928:D967" si="284">+CONCATENATE(RIGHT(K928,8),"-",AR928,"-",LEFT(AS928,2),"-",LEFT(AT928,2),"-",LEFT(AU928,4))</f>
        <v>proyecto--Al-Al-</v>
      </c>
      <c r="E928" s="626" t="str">
        <f t="shared" si="266"/>
        <v>--</v>
      </c>
      <c r="F928" s="627"/>
      <c r="G928" s="628">
        <f t="shared" si="267"/>
        <v>0</v>
      </c>
      <c r="H928" s="629" t="b">
        <f t="shared" si="268"/>
        <v>1</v>
      </c>
      <c r="I928" s="630"/>
      <c r="J928" s="627"/>
      <c r="K928" s="631" t="str">
        <f>+IFERROR(VLOOKUP(J928,Listas!$A$108:$B$114,2,FALSE),"Alerta: Seleccione la celda en la comumna B con el nombre del proyecto")</f>
        <v>Alerta: Seleccione la celda en la comumna B con el nombre del proyecto</v>
      </c>
      <c r="L928" s="632"/>
      <c r="M928" s="633"/>
      <c r="N928" s="634" t="str">
        <f t="shared" si="269"/>
        <v xml:space="preserve">(Cód. ) </v>
      </c>
      <c r="O928" s="635"/>
      <c r="P928" s="636">
        <f>IFERROR(VLOOKUP(W928,'Estimación CRP'!$D$21:$E$30,2,FALSE),0)</f>
        <v>0</v>
      </c>
      <c r="Q928" s="637">
        <f>IF(O928="No aplica","No aplica",WORKDAY.INTL(O928,P928,1,'Estimación CRP'!A1114:A1130))</f>
        <v>0</v>
      </c>
      <c r="R928" s="636">
        <f t="shared" si="270"/>
        <v>1</v>
      </c>
      <c r="S928" s="636">
        <f t="shared" si="271"/>
        <v>1</v>
      </c>
      <c r="T928" s="636">
        <f t="shared" si="272"/>
        <v>1</v>
      </c>
      <c r="U928" s="638"/>
      <c r="V928" s="638"/>
      <c r="W928" s="639"/>
      <c r="X928" s="640" t="str">
        <f>IFERROR(VLOOKUP(W928,Listas!$A$60:$B$73,2,FALSE),"Alerta: Seleccione primero Modalidad de selección")</f>
        <v>Alerta: Seleccione primero Modalidad de selección</v>
      </c>
      <c r="Y928" s="641">
        <v>0</v>
      </c>
      <c r="Z928" s="641"/>
      <c r="AA928" s="641"/>
      <c r="AB928" s="642">
        <f t="shared" si="273"/>
        <v>0</v>
      </c>
      <c r="AC928" s="642">
        <f t="shared" si="274"/>
        <v>0</v>
      </c>
      <c r="AD928" s="641">
        <v>0</v>
      </c>
      <c r="AE928" s="643">
        <v>0</v>
      </c>
      <c r="AF928" s="639" t="s">
        <v>276</v>
      </c>
      <c r="AG928" s="639" t="s">
        <v>277</v>
      </c>
      <c r="AH928" s="639"/>
      <c r="AI928" s="626" t="str">
        <f>IFERROR(VLOOKUP(AH928,Listas!$A$77:$C$83,2,FALSE),"Alerta: Seleccione primero el responsable")</f>
        <v>Alerta: Seleccione primero el responsable</v>
      </c>
      <c r="AJ928" s="640" t="str">
        <f>IFERROR(VLOOKUP(AH928,Listas!$A$77:$C$83,3,FALSE),"Alerta: Seleccione primero el responsable")</f>
        <v>Alerta: Seleccione primero el responsable</v>
      </c>
      <c r="AK928" s="640" t="str">
        <f>IF(J928="Funcionamiento Gastos Generales","No aplica",IF(J928="Funcionamiento Servicios Personales indirectos","No aplica",IFERROR(VLOOKUP(J928,Listas!$A$127:$E$139,3,FALSE),"Alerta: Seleccione la celda en la comumna B con el nombre del proyecto")))</f>
        <v>Alerta: Seleccione la celda en la comumna B con el nombre del proyecto</v>
      </c>
      <c r="AL928" s="640" t="str">
        <f>IF(J928="Funcionamiento Gastos Generales","No aplica",IF(J928="Funcionamiento Servicios Personales","No aplica",IFERROR(VLOOKUP(J928,Listas!$A$220:$D$224,2,FALSE),"Alerta: Seleccione la celda en la comumna B con el nombre del proyecto")))</f>
        <v>Alerta: Seleccione la celda en la comumna B con el nombre del proyecto</v>
      </c>
      <c r="AM928" s="640" t="str">
        <f>IF(J928="Funcionamiento Gastos Generales","No aplica",IF(J928="Funcionamiento Servicios Personales","No aplica",IFERROR(VLOOKUP(J928,Listas!$A$220:$D$224,3,FALSE),"Alerta: Seleccione la celda en la comumna B con el nombre del proyecto")))</f>
        <v>Alerta: Seleccione la celda en la comumna B con el nombre del proyecto</v>
      </c>
      <c r="AN928" s="633"/>
      <c r="AO928" s="633"/>
      <c r="AP928" s="634" t="str">
        <f>IFERROR(VLOOKUP(J928,Listas!$A$182:$E$215,5,FALSE),"Alerta: Seleccione la celda en la comumna B con el nombre del proyecto")</f>
        <v>Alerta: Seleccione la celda en la comumna B con el nombre del proyecto</v>
      </c>
      <c r="AQ928" s="634" t="str">
        <f>IF(J928="Funcionamiento Gastos Generales","No aplica",IF(J928="Funcionamiento Servicios Personales","No aplica",IFERROR(VLOOKUP(J928,Listas!$A$220:$D$224,4,FALSE),"Alerta: Seleccione la celda en la comumna B con el nombre del proyecto")))</f>
        <v>Alerta: Seleccione la celda en la comumna B con el nombre del proyecto</v>
      </c>
      <c r="AR928" s="633"/>
      <c r="AS928" s="634" t="str">
        <f>IFERROR(VLOOKUP(AU928,Listas!$E$85:$L$105,7,FALSE),"Alerta: Seleccione la celda en la comumna AI con el concepto de gasto")</f>
        <v>Alerta: Seleccione la celda en la comumna AI con el concepto de gasto</v>
      </c>
      <c r="AT928" s="634" t="str">
        <f>IFERROR(VLOOKUP(AU928,Listas!$E$85:$L$105,8,FALSE),"Alerta: Seleccione la celda en la comumna AI con el concepto de gasto")</f>
        <v>Alerta: Seleccione la celda en la comumna AI con el concepto de gasto</v>
      </c>
      <c r="AU928" s="633"/>
      <c r="AV928" s="634" t="str">
        <f>IFERROR(VLOOKUP(AU928,Listas!$E$85:$F$105,2,FALSE),"Alerta: Seleccione el Concepto de Gasto primero")</f>
        <v>Alerta: Seleccione el Concepto de Gasto primero</v>
      </c>
      <c r="AW928" s="644"/>
      <c r="AX928" s="645"/>
      <c r="AY928" s="645"/>
      <c r="AZ928" s="645"/>
      <c r="BA928" s="646">
        <f t="shared" si="275"/>
        <v>0</v>
      </c>
      <c r="BB928" s="647"/>
      <c r="BC928" s="648"/>
      <c r="BD928" s="649"/>
      <c r="BE928" s="647"/>
      <c r="BF928" s="644"/>
      <c r="BG928" s="646">
        <f t="shared" si="276"/>
        <v>0</v>
      </c>
      <c r="BH928" s="650"/>
      <c r="BI928" s="647"/>
      <c r="BJ928" s="644"/>
      <c r="BK928" s="646">
        <f t="shared" si="277"/>
        <v>0</v>
      </c>
      <c r="BL928" s="651"/>
      <c r="BM928" s="652">
        <f t="shared" si="278"/>
        <v>1</v>
      </c>
      <c r="BN928" s="628"/>
      <c r="BO928" s="670"/>
      <c r="BP928" s="644"/>
      <c r="BQ928" s="644"/>
      <c r="BR928" s="644"/>
      <c r="BS928" s="644"/>
      <c r="BT928" s="644"/>
      <c r="BU928" s="644"/>
      <c r="BV928" s="644"/>
      <c r="BW928" s="644"/>
      <c r="BX928" s="644"/>
      <c r="BY928" s="644"/>
      <c r="BZ928" s="644"/>
      <c r="CA928" s="644"/>
      <c r="CB928" s="646">
        <f t="shared" si="279"/>
        <v>0</v>
      </c>
      <c r="CC928" s="646">
        <f t="shared" si="280"/>
        <v>0</v>
      </c>
      <c r="CD928" s="614"/>
    </row>
    <row r="929" spans="1:82" s="561" customFormat="1" ht="61.5" customHeight="1">
      <c r="A929" s="625" t="str">
        <f t="shared" si="281"/>
        <v>proyecto-Alerta: Seleccione la celda en la comumna B con el nombre del proyecto-Al-Al--</v>
      </c>
      <c r="B929" s="626" t="str">
        <f t="shared" si="282"/>
        <v>proyecto-Alerta: Seleccione la celda en la comumna B con el nombre del proyecto-Al-Al-</v>
      </c>
      <c r="C929" s="626" t="str">
        <f t="shared" si="283"/>
        <v>proyecto-Alerta: Seleccione la celda en la comumna B con el nombre del proyecto-</v>
      </c>
      <c r="D929" s="626" t="str">
        <f t="shared" si="284"/>
        <v>proyecto--Al-Al-</v>
      </c>
      <c r="E929" s="626" t="str">
        <f t="shared" ref="E929:E967" si="285">+CONCATENATE(AO929,"-",AR929,"-",AU929)</f>
        <v>--</v>
      </c>
      <c r="F929" s="627"/>
      <c r="G929" s="628">
        <f t="shared" ref="G929:G967" si="286">+F929</f>
        <v>0</v>
      </c>
      <c r="H929" s="629" t="b">
        <f t="shared" ref="H929:H967" si="287">+G929=G928</f>
        <v>1</v>
      </c>
      <c r="I929" s="630"/>
      <c r="J929" s="627"/>
      <c r="K929" s="631" t="str">
        <f>+IFERROR(VLOOKUP(J929,Listas!$A$108:$B$114,2,FALSE),"Alerta: Seleccione la celda en la comumna B con el nombre del proyecto")</f>
        <v>Alerta: Seleccione la celda en la comumna B con el nombre del proyecto</v>
      </c>
      <c r="L929" s="632"/>
      <c r="M929" s="633"/>
      <c r="N929" s="634" t="str">
        <f t="shared" ref="N929:N967" si="288">+CONCATENATE("(Cód. ",F929,") ",M929)</f>
        <v xml:space="preserve">(Cód. ) </v>
      </c>
      <c r="O929" s="635"/>
      <c r="P929" s="636">
        <f>IFERROR(VLOOKUP(W929,'Estimación CRP'!$D$21:$E$30,2,FALSE),0)</f>
        <v>0</v>
      </c>
      <c r="Q929" s="637">
        <f>IF(O929="No aplica","No aplica",WORKDAY.INTL(O929,P929,1,'Estimación CRP'!A1115:A1131))</f>
        <v>0</v>
      </c>
      <c r="R929" s="636">
        <f t="shared" ref="R929:R967" si="289">IF(O929="No aplica","No aplica",MONTH(Q929))</f>
        <v>1</v>
      </c>
      <c r="S929" s="636">
        <f t="shared" ref="S929:S967" si="290">IF(O929="No aplica","No aplica",MONTH(O929))</f>
        <v>1</v>
      </c>
      <c r="T929" s="636">
        <f t="shared" ref="T929:T967" si="291">IF(O929="No aplica","No aplica",S929)</f>
        <v>1</v>
      </c>
      <c r="U929" s="638"/>
      <c r="V929" s="638"/>
      <c r="W929" s="639"/>
      <c r="X929" s="640" t="str">
        <f>IFERROR(VLOOKUP(W929,Listas!$A$60:$B$73,2,FALSE),"Alerta: Seleccione primero Modalidad de selección")</f>
        <v>Alerta: Seleccione primero Modalidad de selección</v>
      </c>
      <c r="Y929" s="641">
        <v>0</v>
      </c>
      <c r="Z929" s="641"/>
      <c r="AA929" s="641"/>
      <c r="AB929" s="642">
        <f t="shared" ref="AB929:AB967" si="292">+BA929</f>
        <v>0</v>
      </c>
      <c r="AC929" s="642">
        <f t="shared" ref="AC929:AC967" si="293">+AB929</f>
        <v>0</v>
      </c>
      <c r="AD929" s="641">
        <v>0</v>
      </c>
      <c r="AE929" s="643">
        <v>0</v>
      </c>
      <c r="AF929" s="639" t="s">
        <v>276</v>
      </c>
      <c r="AG929" s="639" t="s">
        <v>277</v>
      </c>
      <c r="AH929" s="639"/>
      <c r="AI929" s="626" t="str">
        <f>IFERROR(VLOOKUP(AH929,Listas!$A$77:$C$83,2,FALSE),"Alerta: Seleccione primero el responsable")</f>
        <v>Alerta: Seleccione primero el responsable</v>
      </c>
      <c r="AJ929" s="640" t="str">
        <f>IFERROR(VLOOKUP(AH929,Listas!$A$77:$C$83,3,FALSE),"Alerta: Seleccione primero el responsable")</f>
        <v>Alerta: Seleccione primero el responsable</v>
      </c>
      <c r="AK929" s="640" t="str">
        <f>IF(J929="Funcionamiento Gastos Generales","No aplica",IF(J929="Funcionamiento Servicios Personales indirectos","No aplica",IFERROR(VLOOKUP(J929,Listas!$A$127:$E$139,3,FALSE),"Alerta: Seleccione la celda en la comumna B con el nombre del proyecto")))</f>
        <v>Alerta: Seleccione la celda en la comumna B con el nombre del proyecto</v>
      </c>
      <c r="AL929" s="640" t="str">
        <f>IF(J929="Funcionamiento Gastos Generales","No aplica",IF(J929="Funcionamiento Servicios Personales","No aplica",IFERROR(VLOOKUP(J929,Listas!$A$220:$D$224,2,FALSE),"Alerta: Seleccione la celda en la comumna B con el nombre del proyecto")))</f>
        <v>Alerta: Seleccione la celda en la comumna B con el nombre del proyecto</v>
      </c>
      <c r="AM929" s="640" t="str">
        <f>IF(J929="Funcionamiento Gastos Generales","No aplica",IF(J929="Funcionamiento Servicios Personales","No aplica",IFERROR(VLOOKUP(J929,Listas!$A$220:$D$224,3,FALSE),"Alerta: Seleccione la celda en la comumna B con el nombre del proyecto")))</f>
        <v>Alerta: Seleccione la celda en la comumna B con el nombre del proyecto</v>
      </c>
      <c r="AN929" s="633"/>
      <c r="AO929" s="633"/>
      <c r="AP929" s="634" t="str">
        <f>IFERROR(VLOOKUP(J929,Listas!$A$182:$E$215,5,FALSE),"Alerta: Seleccione la celda en la comumna B con el nombre del proyecto")</f>
        <v>Alerta: Seleccione la celda en la comumna B con el nombre del proyecto</v>
      </c>
      <c r="AQ929" s="634" t="str">
        <f>IF(J929="Funcionamiento Gastos Generales","No aplica",IF(J929="Funcionamiento Servicios Personales","No aplica",IFERROR(VLOOKUP(J929,Listas!$A$220:$D$224,4,FALSE),"Alerta: Seleccione la celda en la comumna B con el nombre del proyecto")))</f>
        <v>Alerta: Seleccione la celda en la comumna B con el nombre del proyecto</v>
      </c>
      <c r="AR929" s="633"/>
      <c r="AS929" s="634" t="str">
        <f>IFERROR(VLOOKUP(AU929,Listas!$E$85:$L$105,7,FALSE),"Alerta: Seleccione la celda en la comumna AI con el concepto de gasto")</f>
        <v>Alerta: Seleccione la celda en la comumna AI con el concepto de gasto</v>
      </c>
      <c r="AT929" s="634" t="str">
        <f>IFERROR(VLOOKUP(AU929,Listas!$E$85:$L$105,8,FALSE),"Alerta: Seleccione la celda en la comumna AI con el concepto de gasto")</f>
        <v>Alerta: Seleccione la celda en la comumna AI con el concepto de gasto</v>
      </c>
      <c r="AU929" s="633"/>
      <c r="AV929" s="634" t="str">
        <f>IFERROR(VLOOKUP(AU929,Listas!$E$85:$F$105,2,FALSE),"Alerta: Seleccione el Concepto de Gasto primero")</f>
        <v>Alerta: Seleccione el Concepto de Gasto primero</v>
      </c>
      <c r="AW929" s="644"/>
      <c r="AX929" s="645"/>
      <c r="AY929" s="645"/>
      <c r="AZ929" s="645"/>
      <c r="BA929" s="646">
        <f t="shared" ref="BA929:BA967" si="294">+AW929+AX929+AY929-AZ929</f>
        <v>0</v>
      </c>
      <c r="BB929" s="647"/>
      <c r="BC929" s="648"/>
      <c r="BD929" s="649"/>
      <c r="BE929" s="647"/>
      <c r="BF929" s="644"/>
      <c r="BG929" s="646">
        <f t="shared" ref="BG929:BG967" si="295">+BA929-BF929</f>
        <v>0</v>
      </c>
      <c r="BH929" s="650"/>
      <c r="BI929" s="647"/>
      <c r="BJ929" s="644"/>
      <c r="BK929" s="646">
        <f t="shared" ref="BK929:BK967" si="296">BF929-BJ929</f>
        <v>0</v>
      </c>
      <c r="BL929" s="651"/>
      <c r="BM929" s="652">
        <f t="shared" ref="BM929:BM967" si="297">MONTH(BL929)</f>
        <v>1</v>
      </c>
      <c r="BN929" s="628"/>
      <c r="BO929" s="670"/>
      <c r="BP929" s="644"/>
      <c r="BQ929" s="644"/>
      <c r="BR929" s="644"/>
      <c r="BS929" s="644"/>
      <c r="BT929" s="644"/>
      <c r="BU929" s="644"/>
      <c r="BV929" s="644"/>
      <c r="BW929" s="644"/>
      <c r="BX929" s="644"/>
      <c r="BY929" s="644"/>
      <c r="BZ929" s="644"/>
      <c r="CA929" s="644"/>
      <c r="CB929" s="646">
        <f t="shared" ref="CB929:CB967" si="298">+SUM(BP929:CA929)</f>
        <v>0</v>
      </c>
      <c r="CC929" s="646">
        <f t="shared" ref="CC929:CC967" si="299">BJ929-CB929</f>
        <v>0</v>
      </c>
      <c r="CD929" s="614"/>
    </row>
    <row r="930" spans="1:82" s="561" customFormat="1" ht="61.5" customHeight="1">
      <c r="A930" s="625" t="str">
        <f t="shared" si="281"/>
        <v>proyecto-Alerta: Seleccione la celda en la comumna B con el nombre del proyecto-Al-Al--</v>
      </c>
      <c r="B930" s="626" t="str">
        <f t="shared" si="282"/>
        <v>proyecto-Alerta: Seleccione la celda en la comumna B con el nombre del proyecto-Al-Al-</v>
      </c>
      <c r="C930" s="626" t="str">
        <f t="shared" si="283"/>
        <v>proyecto-Alerta: Seleccione la celda en la comumna B con el nombre del proyecto-</v>
      </c>
      <c r="D930" s="626" t="str">
        <f t="shared" si="284"/>
        <v>proyecto--Al-Al-</v>
      </c>
      <c r="E930" s="626" t="str">
        <f t="shared" si="285"/>
        <v>--</v>
      </c>
      <c r="F930" s="627"/>
      <c r="G930" s="628">
        <f t="shared" si="286"/>
        <v>0</v>
      </c>
      <c r="H930" s="629" t="b">
        <f t="shared" si="287"/>
        <v>1</v>
      </c>
      <c r="I930" s="630"/>
      <c r="J930" s="627"/>
      <c r="K930" s="631" t="str">
        <f>+IFERROR(VLOOKUP(J930,Listas!$A$108:$B$114,2,FALSE),"Alerta: Seleccione la celda en la comumna B con el nombre del proyecto")</f>
        <v>Alerta: Seleccione la celda en la comumna B con el nombre del proyecto</v>
      </c>
      <c r="L930" s="632"/>
      <c r="M930" s="633"/>
      <c r="N930" s="634" t="str">
        <f t="shared" si="288"/>
        <v xml:space="preserve">(Cód. ) </v>
      </c>
      <c r="O930" s="635"/>
      <c r="P930" s="636">
        <f>IFERROR(VLOOKUP(W930,'Estimación CRP'!$D$21:$E$30,2,FALSE),0)</f>
        <v>0</v>
      </c>
      <c r="Q930" s="637">
        <f>IF(O930="No aplica","No aplica",WORKDAY.INTL(O930,P930,1,'Estimación CRP'!A1116:A1132))</f>
        <v>0</v>
      </c>
      <c r="R930" s="636">
        <f t="shared" si="289"/>
        <v>1</v>
      </c>
      <c r="S930" s="636">
        <f t="shared" si="290"/>
        <v>1</v>
      </c>
      <c r="T930" s="636">
        <f t="shared" si="291"/>
        <v>1</v>
      </c>
      <c r="U930" s="638"/>
      <c r="V930" s="638"/>
      <c r="W930" s="639"/>
      <c r="X930" s="640" t="str">
        <f>IFERROR(VLOOKUP(W930,Listas!$A$60:$B$73,2,FALSE),"Alerta: Seleccione primero Modalidad de selección")</f>
        <v>Alerta: Seleccione primero Modalidad de selección</v>
      </c>
      <c r="Y930" s="641">
        <v>0</v>
      </c>
      <c r="Z930" s="641"/>
      <c r="AA930" s="641"/>
      <c r="AB930" s="642">
        <f t="shared" si="292"/>
        <v>0</v>
      </c>
      <c r="AC930" s="642">
        <f t="shared" si="293"/>
        <v>0</v>
      </c>
      <c r="AD930" s="641">
        <v>0</v>
      </c>
      <c r="AE930" s="643">
        <v>0</v>
      </c>
      <c r="AF930" s="639" t="s">
        <v>276</v>
      </c>
      <c r="AG930" s="639" t="s">
        <v>277</v>
      </c>
      <c r="AH930" s="639"/>
      <c r="AI930" s="626" t="str">
        <f>IFERROR(VLOOKUP(AH930,Listas!$A$77:$C$83,2,FALSE),"Alerta: Seleccione primero el responsable")</f>
        <v>Alerta: Seleccione primero el responsable</v>
      </c>
      <c r="AJ930" s="640" t="str">
        <f>IFERROR(VLOOKUP(AH930,Listas!$A$77:$C$83,3,FALSE),"Alerta: Seleccione primero el responsable")</f>
        <v>Alerta: Seleccione primero el responsable</v>
      </c>
      <c r="AK930" s="640" t="str">
        <f>IF(J930="Funcionamiento Gastos Generales","No aplica",IF(J930="Funcionamiento Servicios Personales indirectos","No aplica",IFERROR(VLOOKUP(J930,Listas!$A$127:$E$139,3,FALSE),"Alerta: Seleccione la celda en la comumna B con el nombre del proyecto")))</f>
        <v>Alerta: Seleccione la celda en la comumna B con el nombre del proyecto</v>
      </c>
      <c r="AL930" s="640" t="str">
        <f>IF(J930="Funcionamiento Gastos Generales","No aplica",IF(J930="Funcionamiento Servicios Personales","No aplica",IFERROR(VLOOKUP(J930,Listas!$A$220:$D$224,2,FALSE),"Alerta: Seleccione la celda en la comumna B con el nombre del proyecto")))</f>
        <v>Alerta: Seleccione la celda en la comumna B con el nombre del proyecto</v>
      </c>
      <c r="AM930" s="640" t="str">
        <f>IF(J930="Funcionamiento Gastos Generales","No aplica",IF(J930="Funcionamiento Servicios Personales","No aplica",IFERROR(VLOOKUP(J930,Listas!$A$220:$D$224,3,FALSE),"Alerta: Seleccione la celda en la comumna B con el nombre del proyecto")))</f>
        <v>Alerta: Seleccione la celda en la comumna B con el nombre del proyecto</v>
      </c>
      <c r="AN930" s="633"/>
      <c r="AO930" s="633"/>
      <c r="AP930" s="634" t="str">
        <f>IFERROR(VLOOKUP(J930,Listas!$A$182:$E$215,5,FALSE),"Alerta: Seleccione la celda en la comumna B con el nombre del proyecto")</f>
        <v>Alerta: Seleccione la celda en la comumna B con el nombre del proyecto</v>
      </c>
      <c r="AQ930" s="634" t="str">
        <f>IF(J930="Funcionamiento Gastos Generales","No aplica",IF(J930="Funcionamiento Servicios Personales","No aplica",IFERROR(VLOOKUP(J930,Listas!$A$220:$D$224,4,FALSE),"Alerta: Seleccione la celda en la comumna B con el nombre del proyecto")))</f>
        <v>Alerta: Seleccione la celda en la comumna B con el nombre del proyecto</v>
      </c>
      <c r="AR930" s="633"/>
      <c r="AS930" s="634" t="str">
        <f>IFERROR(VLOOKUP(AU930,Listas!$E$85:$L$105,7,FALSE),"Alerta: Seleccione la celda en la comumna AI con el concepto de gasto")</f>
        <v>Alerta: Seleccione la celda en la comumna AI con el concepto de gasto</v>
      </c>
      <c r="AT930" s="634" t="str">
        <f>IFERROR(VLOOKUP(AU930,Listas!$E$85:$L$105,8,FALSE),"Alerta: Seleccione la celda en la comumna AI con el concepto de gasto")</f>
        <v>Alerta: Seleccione la celda en la comumna AI con el concepto de gasto</v>
      </c>
      <c r="AU930" s="633"/>
      <c r="AV930" s="634" t="str">
        <f>IFERROR(VLOOKUP(AU930,Listas!$E$85:$F$105,2,FALSE),"Alerta: Seleccione el Concepto de Gasto primero")</f>
        <v>Alerta: Seleccione el Concepto de Gasto primero</v>
      </c>
      <c r="AW930" s="644"/>
      <c r="AX930" s="645"/>
      <c r="AY930" s="645"/>
      <c r="AZ930" s="645"/>
      <c r="BA930" s="646">
        <f t="shared" si="294"/>
        <v>0</v>
      </c>
      <c r="BB930" s="647"/>
      <c r="BC930" s="648"/>
      <c r="BD930" s="649"/>
      <c r="BE930" s="647"/>
      <c r="BF930" s="644"/>
      <c r="BG930" s="646">
        <f t="shared" si="295"/>
        <v>0</v>
      </c>
      <c r="BH930" s="650"/>
      <c r="BI930" s="647"/>
      <c r="BJ930" s="644"/>
      <c r="BK930" s="646">
        <f t="shared" si="296"/>
        <v>0</v>
      </c>
      <c r="BL930" s="651"/>
      <c r="BM930" s="652">
        <f t="shared" si="297"/>
        <v>1</v>
      </c>
      <c r="BN930" s="628"/>
      <c r="BO930" s="670"/>
      <c r="BP930" s="644"/>
      <c r="BQ930" s="644"/>
      <c r="BR930" s="644"/>
      <c r="BS930" s="644"/>
      <c r="BT930" s="644"/>
      <c r="BU930" s="644"/>
      <c r="BV930" s="644"/>
      <c r="BW930" s="644"/>
      <c r="BX930" s="644"/>
      <c r="BY930" s="644"/>
      <c r="BZ930" s="644"/>
      <c r="CA930" s="644"/>
      <c r="CB930" s="646">
        <f t="shared" si="298"/>
        <v>0</v>
      </c>
      <c r="CC930" s="646">
        <f t="shared" si="299"/>
        <v>0</v>
      </c>
      <c r="CD930" s="614"/>
    </row>
    <row r="931" spans="1:82" s="561" customFormat="1" ht="61.5" customHeight="1">
      <c r="A931" s="625" t="str">
        <f t="shared" si="281"/>
        <v>proyecto-Alerta: Seleccione la celda en la comumna B con el nombre del proyecto-Al-Al--</v>
      </c>
      <c r="B931" s="626" t="str">
        <f t="shared" si="282"/>
        <v>proyecto-Alerta: Seleccione la celda en la comumna B con el nombre del proyecto-Al-Al-</v>
      </c>
      <c r="C931" s="626" t="str">
        <f t="shared" si="283"/>
        <v>proyecto-Alerta: Seleccione la celda en la comumna B con el nombre del proyecto-</v>
      </c>
      <c r="D931" s="626" t="str">
        <f t="shared" si="284"/>
        <v>proyecto--Al-Al-</v>
      </c>
      <c r="E931" s="626" t="str">
        <f t="shared" si="285"/>
        <v>--</v>
      </c>
      <c r="F931" s="627"/>
      <c r="G931" s="628">
        <f t="shared" si="286"/>
        <v>0</v>
      </c>
      <c r="H931" s="629" t="b">
        <f t="shared" si="287"/>
        <v>1</v>
      </c>
      <c r="I931" s="630"/>
      <c r="J931" s="627"/>
      <c r="K931" s="631" t="str">
        <f>+IFERROR(VLOOKUP(J931,Listas!$A$108:$B$114,2,FALSE),"Alerta: Seleccione la celda en la comumna B con el nombre del proyecto")</f>
        <v>Alerta: Seleccione la celda en la comumna B con el nombre del proyecto</v>
      </c>
      <c r="L931" s="632"/>
      <c r="M931" s="633"/>
      <c r="N931" s="634" t="str">
        <f t="shared" si="288"/>
        <v xml:space="preserve">(Cód. ) </v>
      </c>
      <c r="O931" s="635"/>
      <c r="P931" s="636">
        <f>IFERROR(VLOOKUP(W931,'Estimación CRP'!$D$21:$E$30,2,FALSE),0)</f>
        <v>0</v>
      </c>
      <c r="Q931" s="637">
        <f>IF(O931="No aplica","No aplica",WORKDAY.INTL(O931,P931,1,'Estimación CRP'!A1117:A1133))</f>
        <v>0</v>
      </c>
      <c r="R931" s="636">
        <f t="shared" si="289"/>
        <v>1</v>
      </c>
      <c r="S931" s="636">
        <f t="shared" si="290"/>
        <v>1</v>
      </c>
      <c r="T931" s="636">
        <f t="shared" si="291"/>
        <v>1</v>
      </c>
      <c r="U931" s="638"/>
      <c r="V931" s="638"/>
      <c r="W931" s="639"/>
      <c r="X931" s="640" t="str">
        <f>IFERROR(VLOOKUP(W931,Listas!$A$60:$B$73,2,FALSE),"Alerta: Seleccione primero Modalidad de selección")</f>
        <v>Alerta: Seleccione primero Modalidad de selección</v>
      </c>
      <c r="Y931" s="641">
        <v>0</v>
      </c>
      <c r="Z931" s="641"/>
      <c r="AA931" s="641"/>
      <c r="AB931" s="642">
        <f t="shared" si="292"/>
        <v>0</v>
      </c>
      <c r="AC931" s="642">
        <f t="shared" si="293"/>
        <v>0</v>
      </c>
      <c r="AD931" s="641">
        <v>0</v>
      </c>
      <c r="AE931" s="643">
        <v>0</v>
      </c>
      <c r="AF931" s="639" t="s">
        <v>276</v>
      </c>
      <c r="AG931" s="639" t="s">
        <v>277</v>
      </c>
      <c r="AH931" s="639"/>
      <c r="AI931" s="626" t="str">
        <f>IFERROR(VLOOKUP(AH931,Listas!$A$77:$C$83,2,FALSE),"Alerta: Seleccione primero el responsable")</f>
        <v>Alerta: Seleccione primero el responsable</v>
      </c>
      <c r="AJ931" s="640" t="str">
        <f>IFERROR(VLOOKUP(AH931,Listas!$A$77:$C$83,3,FALSE),"Alerta: Seleccione primero el responsable")</f>
        <v>Alerta: Seleccione primero el responsable</v>
      </c>
      <c r="AK931" s="640" t="str">
        <f>IF(J931="Funcionamiento Gastos Generales","No aplica",IF(J931="Funcionamiento Servicios Personales indirectos","No aplica",IFERROR(VLOOKUP(J931,Listas!$A$127:$E$139,3,FALSE),"Alerta: Seleccione la celda en la comumna B con el nombre del proyecto")))</f>
        <v>Alerta: Seleccione la celda en la comumna B con el nombre del proyecto</v>
      </c>
      <c r="AL931" s="640" t="str">
        <f>IF(J931="Funcionamiento Gastos Generales","No aplica",IF(J931="Funcionamiento Servicios Personales","No aplica",IFERROR(VLOOKUP(J931,Listas!$A$220:$D$224,2,FALSE),"Alerta: Seleccione la celda en la comumna B con el nombre del proyecto")))</f>
        <v>Alerta: Seleccione la celda en la comumna B con el nombre del proyecto</v>
      </c>
      <c r="AM931" s="640" t="str">
        <f>IF(J931="Funcionamiento Gastos Generales","No aplica",IF(J931="Funcionamiento Servicios Personales","No aplica",IFERROR(VLOOKUP(J931,Listas!$A$220:$D$224,3,FALSE),"Alerta: Seleccione la celda en la comumna B con el nombre del proyecto")))</f>
        <v>Alerta: Seleccione la celda en la comumna B con el nombre del proyecto</v>
      </c>
      <c r="AN931" s="633"/>
      <c r="AO931" s="633"/>
      <c r="AP931" s="634" t="str">
        <f>IFERROR(VLOOKUP(J931,Listas!$A$182:$E$215,5,FALSE),"Alerta: Seleccione la celda en la comumna B con el nombre del proyecto")</f>
        <v>Alerta: Seleccione la celda en la comumna B con el nombre del proyecto</v>
      </c>
      <c r="AQ931" s="634" t="str">
        <f>IF(J931="Funcionamiento Gastos Generales","No aplica",IF(J931="Funcionamiento Servicios Personales","No aplica",IFERROR(VLOOKUP(J931,Listas!$A$220:$D$224,4,FALSE),"Alerta: Seleccione la celda en la comumna B con el nombre del proyecto")))</f>
        <v>Alerta: Seleccione la celda en la comumna B con el nombre del proyecto</v>
      </c>
      <c r="AR931" s="633"/>
      <c r="AS931" s="634" t="str">
        <f>IFERROR(VLOOKUP(AU931,Listas!$E$85:$L$105,7,FALSE),"Alerta: Seleccione la celda en la comumna AI con el concepto de gasto")</f>
        <v>Alerta: Seleccione la celda en la comumna AI con el concepto de gasto</v>
      </c>
      <c r="AT931" s="634" t="str">
        <f>IFERROR(VLOOKUP(AU931,Listas!$E$85:$L$105,8,FALSE),"Alerta: Seleccione la celda en la comumna AI con el concepto de gasto")</f>
        <v>Alerta: Seleccione la celda en la comumna AI con el concepto de gasto</v>
      </c>
      <c r="AU931" s="633"/>
      <c r="AV931" s="634" t="str">
        <f>IFERROR(VLOOKUP(AU931,Listas!$E$85:$F$105,2,FALSE),"Alerta: Seleccione el Concepto de Gasto primero")</f>
        <v>Alerta: Seleccione el Concepto de Gasto primero</v>
      </c>
      <c r="AW931" s="644"/>
      <c r="AX931" s="645"/>
      <c r="AY931" s="645"/>
      <c r="AZ931" s="645"/>
      <c r="BA931" s="646">
        <f t="shared" si="294"/>
        <v>0</v>
      </c>
      <c r="BB931" s="647"/>
      <c r="BC931" s="648"/>
      <c r="BD931" s="649"/>
      <c r="BE931" s="647"/>
      <c r="BF931" s="644"/>
      <c r="BG931" s="646">
        <f t="shared" si="295"/>
        <v>0</v>
      </c>
      <c r="BH931" s="650"/>
      <c r="BI931" s="647"/>
      <c r="BJ931" s="644"/>
      <c r="BK931" s="646">
        <f t="shared" si="296"/>
        <v>0</v>
      </c>
      <c r="BL931" s="651"/>
      <c r="BM931" s="652">
        <f t="shared" si="297"/>
        <v>1</v>
      </c>
      <c r="BN931" s="628"/>
      <c r="BO931" s="670"/>
      <c r="BP931" s="644"/>
      <c r="BQ931" s="644"/>
      <c r="BR931" s="644"/>
      <c r="BS931" s="644"/>
      <c r="BT931" s="644"/>
      <c r="BU931" s="644"/>
      <c r="BV931" s="644"/>
      <c r="BW931" s="644"/>
      <c r="BX931" s="644"/>
      <c r="BY931" s="644"/>
      <c r="BZ931" s="644"/>
      <c r="CA931" s="644"/>
      <c r="CB931" s="646">
        <f t="shared" si="298"/>
        <v>0</v>
      </c>
      <c r="CC931" s="646">
        <f t="shared" si="299"/>
        <v>0</v>
      </c>
      <c r="CD931" s="614"/>
    </row>
    <row r="932" spans="1:82" s="561" customFormat="1" ht="61.5" customHeight="1">
      <c r="A932" s="625" t="str">
        <f t="shared" si="281"/>
        <v>proyecto-Alerta: Seleccione la celda en la comumna B con el nombre del proyecto-Al-Al--</v>
      </c>
      <c r="B932" s="626" t="str">
        <f t="shared" si="282"/>
        <v>proyecto-Alerta: Seleccione la celda en la comumna B con el nombre del proyecto-Al-Al-</v>
      </c>
      <c r="C932" s="626" t="str">
        <f t="shared" si="283"/>
        <v>proyecto-Alerta: Seleccione la celda en la comumna B con el nombre del proyecto-</v>
      </c>
      <c r="D932" s="626" t="str">
        <f t="shared" si="284"/>
        <v>proyecto--Al-Al-</v>
      </c>
      <c r="E932" s="626" t="str">
        <f t="shared" si="285"/>
        <v>--</v>
      </c>
      <c r="F932" s="627"/>
      <c r="G932" s="628">
        <f t="shared" si="286"/>
        <v>0</v>
      </c>
      <c r="H932" s="629" t="b">
        <f t="shared" si="287"/>
        <v>1</v>
      </c>
      <c r="I932" s="630"/>
      <c r="J932" s="627"/>
      <c r="K932" s="631" t="str">
        <f>+IFERROR(VLOOKUP(J932,Listas!$A$108:$B$114,2,FALSE),"Alerta: Seleccione la celda en la comumna B con el nombre del proyecto")</f>
        <v>Alerta: Seleccione la celda en la comumna B con el nombre del proyecto</v>
      </c>
      <c r="L932" s="632"/>
      <c r="M932" s="633"/>
      <c r="N932" s="634" t="str">
        <f t="shared" si="288"/>
        <v xml:space="preserve">(Cód. ) </v>
      </c>
      <c r="O932" s="635"/>
      <c r="P932" s="636">
        <f>IFERROR(VLOOKUP(W932,'Estimación CRP'!$D$21:$E$30,2,FALSE),0)</f>
        <v>0</v>
      </c>
      <c r="Q932" s="637">
        <f>IF(O932="No aplica","No aplica",WORKDAY.INTL(O932,P932,1,'Estimación CRP'!A1118:A1134))</f>
        <v>0</v>
      </c>
      <c r="R932" s="636">
        <f t="shared" si="289"/>
        <v>1</v>
      </c>
      <c r="S932" s="636">
        <f t="shared" si="290"/>
        <v>1</v>
      </c>
      <c r="T932" s="636">
        <f t="shared" si="291"/>
        <v>1</v>
      </c>
      <c r="U932" s="638"/>
      <c r="V932" s="638"/>
      <c r="W932" s="639"/>
      <c r="X932" s="640" t="str">
        <f>IFERROR(VLOOKUP(W932,Listas!$A$60:$B$73,2,FALSE),"Alerta: Seleccione primero Modalidad de selección")</f>
        <v>Alerta: Seleccione primero Modalidad de selección</v>
      </c>
      <c r="Y932" s="641">
        <v>0</v>
      </c>
      <c r="Z932" s="641"/>
      <c r="AA932" s="641"/>
      <c r="AB932" s="642">
        <f t="shared" si="292"/>
        <v>0</v>
      </c>
      <c r="AC932" s="642">
        <f t="shared" si="293"/>
        <v>0</v>
      </c>
      <c r="AD932" s="641">
        <v>0</v>
      </c>
      <c r="AE932" s="643">
        <v>0</v>
      </c>
      <c r="AF932" s="639" t="s">
        <v>276</v>
      </c>
      <c r="AG932" s="639" t="s">
        <v>277</v>
      </c>
      <c r="AH932" s="639"/>
      <c r="AI932" s="626" t="str">
        <f>IFERROR(VLOOKUP(AH932,Listas!$A$77:$C$83,2,FALSE),"Alerta: Seleccione primero el responsable")</f>
        <v>Alerta: Seleccione primero el responsable</v>
      </c>
      <c r="AJ932" s="640" t="str">
        <f>IFERROR(VLOOKUP(AH932,Listas!$A$77:$C$83,3,FALSE),"Alerta: Seleccione primero el responsable")</f>
        <v>Alerta: Seleccione primero el responsable</v>
      </c>
      <c r="AK932" s="640" t="str">
        <f>IF(J932="Funcionamiento Gastos Generales","No aplica",IF(J932="Funcionamiento Servicios Personales indirectos","No aplica",IFERROR(VLOOKUP(J932,Listas!$A$127:$E$139,3,FALSE),"Alerta: Seleccione la celda en la comumna B con el nombre del proyecto")))</f>
        <v>Alerta: Seleccione la celda en la comumna B con el nombre del proyecto</v>
      </c>
      <c r="AL932" s="640" t="str">
        <f>IF(J932="Funcionamiento Gastos Generales","No aplica",IF(J932="Funcionamiento Servicios Personales","No aplica",IFERROR(VLOOKUP(J932,Listas!$A$220:$D$224,2,FALSE),"Alerta: Seleccione la celda en la comumna B con el nombre del proyecto")))</f>
        <v>Alerta: Seleccione la celda en la comumna B con el nombre del proyecto</v>
      </c>
      <c r="AM932" s="640" t="str">
        <f>IF(J932="Funcionamiento Gastos Generales","No aplica",IF(J932="Funcionamiento Servicios Personales","No aplica",IFERROR(VLOOKUP(J932,Listas!$A$220:$D$224,3,FALSE),"Alerta: Seleccione la celda en la comumna B con el nombre del proyecto")))</f>
        <v>Alerta: Seleccione la celda en la comumna B con el nombre del proyecto</v>
      </c>
      <c r="AN932" s="633"/>
      <c r="AO932" s="633"/>
      <c r="AP932" s="634" t="str">
        <f>IFERROR(VLOOKUP(J932,Listas!$A$182:$E$215,5,FALSE),"Alerta: Seleccione la celda en la comumna B con el nombre del proyecto")</f>
        <v>Alerta: Seleccione la celda en la comumna B con el nombre del proyecto</v>
      </c>
      <c r="AQ932" s="634" t="str">
        <f>IF(J932="Funcionamiento Gastos Generales","No aplica",IF(J932="Funcionamiento Servicios Personales","No aplica",IFERROR(VLOOKUP(J932,Listas!$A$220:$D$224,4,FALSE),"Alerta: Seleccione la celda en la comumna B con el nombre del proyecto")))</f>
        <v>Alerta: Seleccione la celda en la comumna B con el nombre del proyecto</v>
      </c>
      <c r="AR932" s="633"/>
      <c r="AS932" s="634" t="str">
        <f>IFERROR(VLOOKUP(AU932,Listas!$E$85:$L$105,7,FALSE),"Alerta: Seleccione la celda en la comumna AI con el concepto de gasto")</f>
        <v>Alerta: Seleccione la celda en la comumna AI con el concepto de gasto</v>
      </c>
      <c r="AT932" s="634" t="str">
        <f>IFERROR(VLOOKUP(AU932,Listas!$E$85:$L$105,8,FALSE),"Alerta: Seleccione la celda en la comumna AI con el concepto de gasto")</f>
        <v>Alerta: Seleccione la celda en la comumna AI con el concepto de gasto</v>
      </c>
      <c r="AU932" s="633"/>
      <c r="AV932" s="634" t="str">
        <f>IFERROR(VLOOKUP(AU932,Listas!$E$85:$F$105,2,FALSE),"Alerta: Seleccione el Concepto de Gasto primero")</f>
        <v>Alerta: Seleccione el Concepto de Gasto primero</v>
      </c>
      <c r="AW932" s="644"/>
      <c r="AX932" s="645"/>
      <c r="AY932" s="645"/>
      <c r="AZ932" s="645"/>
      <c r="BA932" s="646">
        <f t="shared" si="294"/>
        <v>0</v>
      </c>
      <c r="BB932" s="647"/>
      <c r="BC932" s="648"/>
      <c r="BD932" s="649"/>
      <c r="BE932" s="647"/>
      <c r="BF932" s="644"/>
      <c r="BG932" s="646">
        <f t="shared" si="295"/>
        <v>0</v>
      </c>
      <c r="BH932" s="650"/>
      <c r="BI932" s="647"/>
      <c r="BJ932" s="644"/>
      <c r="BK932" s="646">
        <f t="shared" si="296"/>
        <v>0</v>
      </c>
      <c r="BL932" s="651"/>
      <c r="BM932" s="652">
        <f t="shared" si="297"/>
        <v>1</v>
      </c>
      <c r="BN932" s="628"/>
      <c r="BO932" s="670"/>
      <c r="BP932" s="644"/>
      <c r="BQ932" s="644"/>
      <c r="BR932" s="644"/>
      <c r="BS932" s="644"/>
      <c r="BT932" s="644"/>
      <c r="BU932" s="644"/>
      <c r="BV932" s="644"/>
      <c r="BW932" s="644"/>
      <c r="BX932" s="644"/>
      <c r="BY932" s="644"/>
      <c r="BZ932" s="644"/>
      <c r="CA932" s="644"/>
      <c r="CB932" s="646">
        <f t="shared" si="298"/>
        <v>0</v>
      </c>
      <c r="CC932" s="646">
        <f t="shared" si="299"/>
        <v>0</v>
      </c>
      <c r="CD932" s="614"/>
    </row>
    <row r="933" spans="1:82" s="561" customFormat="1" ht="61.5" customHeight="1">
      <c r="A933" s="625" t="str">
        <f t="shared" si="281"/>
        <v>proyecto-Alerta: Seleccione la celda en la comumna B con el nombre del proyecto-Al-Al--</v>
      </c>
      <c r="B933" s="626" t="str">
        <f t="shared" si="282"/>
        <v>proyecto-Alerta: Seleccione la celda en la comumna B con el nombre del proyecto-Al-Al-</v>
      </c>
      <c r="C933" s="626" t="str">
        <f t="shared" si="283"/>
        <v>proyecto-Alerta: Seleccione la celda en la comumna B con el nombre del proyecto-</v>
      </c>
      <c r="D933" s="626" t="str">
        <f t="shared" si="284"/>
        <v>proyecto--Al-Al-</v>
      </c>
      <c r="E933" s="626" t="str">
        <f t="shared" si="285"/>
        <v>--</v>
      </c>
      <c r="F933" s="627"/>
      <c r="G933" s="628">
        <f t="shared" si="286"/>
        <v>0</v>
      </c>
      <c r="H933" s="629" t="b">
        <f t="shared" si="287"/>
        <v>1</v>
      </c>
      <c r="I933" s="630"/>
      <c r="J933" s="627"/>
      <c r="K933" s="631" t="str">
        <f>+IFERROR(VLOOKUP(J933,Listas!$A$108:$B$114,2,FALSE),"Alerta: Seleccione la celda en la comumna B con el nombre del proyecto")</f>
        <v>Alerta: Seleccione la celda en la comumna B con el nombre del proyecto</v>
      </c>
      <c r="L933" s="632"/>
      <c r="M933" s="633"/>
      <c r="N933" s="634" t="str">
        <f t="shared" si="288"/>
        <v xml:space="preserve">(Cód. ) </v>
      </c>
      <c r="O933" s="635"/>
      <c r="P933" s="636">
        <f>IFERROR(VLOOKUP(W933,'Estimación CRP'!$D$21:$E$30,2,FALSE),0)</f>
        <v>0</v>
      </c>
      <c r="Q933" s="637">
        <f>IF(O933="No aplica","No aplica",WORKDAY.INTL(O933,P933,1,'Estimación CRP'!A1119:A1135))</f>
        <v>0</v>
      </c>
      <c r="R933" s="636">
        <f t="shared" si="289"/>
        <v>1</v>
      </c>
      <c r="S933" s="636">
        <f t="shared" si="290"/>
        <v>1</v>
      </c>
      <c r="T933" s="636">
        <f t="shared" si="291"/>
        <v>1</v>
      </c>
      <c r="U933" s="638"/>
      <c r="V933" s="638"/>
      <c r="W933" s="639"/>
      <c r="X933" s="640" t="str">
        <f>IFERROR(VLOOKUP(W933,Listas!$A$60:$B$73,2,FALSE),"Alerta: Seleccione primero Modalidad de selección")</f>
        <v>Alerta: Seleccione primero Modalidad de selección</v>
      </c>
      <c r="Y933" s="641">
        <v>0</v>
      </c>
      <c r="Z933" s="641"/>
      <c r="AA933" s="641"/>
      <c r="AB933" s="642">
        <f t="shared" si="292"/>
        <v>0</v>
      </c>
      <c r="AC933" s="642">
        <f t="shared" si="293"/>
        <v>0</v>
      </c>
      <c r="AD933" s="641">
        <v>0</v>
      </c>
      <c r="AE933" s="643">
        <v>0</v>
      </c>
      <c r="AF933" s="639" t="s">
        <v>276</v>
      </c>
      <c r="AG933" s="639" t="s">
        <v>277</v>
      </c>
      <c r="AH933" s="639"/>
      <c r="AI933" s="626" t="str">
        <f>IFERROR(VLOOKUP(AH933,Listas!$A$77:$C$83,2,FALSE),"Alerta: Seleccione primero el responsable")</f>
        <v>Alerta: Seleccione primero el responsable</v>
      </c>
      <c r="AJ933" s="640" t="str">
        <f>IFERROR(VLOOKUP(AH933,Listas!$A$77:$C$83,3,FALSE),"Alerta: Seleccione primero el responsable")</f>
        <v>Alerta: Seleccione primero el responsable</v>
      </c>
      <c r="AK933" s="640" t="str">
        <f>IF(J933="Funcionamiento Gastos Generales","No aplica",IF(J933="Funcionamiento Servicios Personales indirectos","No aplica",IFERROR(VLOOKUP(J933,Listas!$A$127:$E$139,3,FALSE),"Alerta: Seleccione la celda en la comumna B con el nombre del proyecto")))</f>
        <v>Alerta: Seleccione la celda en la comumna B con el nombre del proyecto</v>
      </c>
      <c r="AL933" s="640" t="str">
        <f>IF(J933="Funcionamiento Gastos Generales","No aplica",IF(J933="Funcionamiento Servicios Personales","No aplica",IFERROR(VLOOKUP(J933,Listas!$A$220:$D$224,2,FALSE),"Alerta: Seleccione la celda en la comumna B con el nombre del proyecto")))</f>
        <v>Alerta: Seleccione la celda en la comumna B con el nombre del proyecto</v>
      </c>
      <c r="AM933" s="640" t="str">
        <f>IF(J933="Funcionamiento Gastos Generales","No aplica",IF(J933="Funcionamiento Servicios Personales","No aplica",IFERROR(VLOOKUP(J933,Listas!$A$220:$D$224,3,FALSE),"Alerta: Seleccione la celda en la comumna B con el nombre del proyecto")))</f>
        <v>Alerta: Seleccione la celda en la comumna B con el nombre del proyecto</v>
      </c>
      <c r="AN933" s="633"/>
      <c r="AO933" s="633"/>
      <c r="AP933" s="634" t="str">
        <f>IFERROR(VLOOKUP(J933,Listas!$A$182:$E$215,5,FALSE),"Alerta: Seleccione la celda en la comumna B con el nombre del proyecto")</f>
        <v>Alerta: Seleccione la celda en la comumna B con el nombre del proyecto</v>
      </c>
      <c r="AQ933" s="634" t="str">
        <f>IF(J933="Funcionamiento Gastos Generales","No aplica",IF(J933="Funcionamiento Servicios Personales","No aplica",IFERROR(VLOOKUP(J933,Listas!$A$220:$D$224,4,FALSE),"Alerta: Seleccione la celda en la comumna B con el nombre del proyecto")))</f>
        <v>Alerta: Seleccione la celda en la comumna B con el nombre del proyecto</v>
      </c>
      <c r="AR933" s="633"/>
      <c r="AS933" s="634" t="str">
        <f>IFERROR(VLOOKUP(AU933,Listas!$E$85:$L$105,7,FALSE),"Alerta: Seleccione la celda en la comumna AI con el concepto de gasto")</f>
        <v>Alerta: Seleccione la celda en la comumna AI con el concepto de gasto</v>
      </c>
      <c r="AT933" s="634" t="str">
        <f>IFERROR(VLOOKUP(AU933,Listas!$E$85:$L$105,8,FALSE),"Alerta: Seleccione la celda en la comumna AI con el concepto de gasto")</f>
        <v>Alerta: Seleccione la celda en la comumna AI con el concepto de gasto</v>
      </c>
      <c r="AU933" s="633"/>
      <c r="AV933" s="634" t="str">
        <f>IFERROR(VLOOKUP(AU933,Listas!$E$85:$F$105,2,FALSE),"Alerta: Seleccione el Concepto de Gasto primero")</f>
        <v>Alerta: Seleccione el Concepto de Gasto primero</v>
      </c>
      <c r="AW933" s="644"/>
      <c r="AX933" s="645"/>
      <c r="AY933" s="645"/>
      <c r="AZ933" s="645"/>
      <c r="BA933" s="646">
        <f t="shared" si="294"/>
        <v>0</v>
      </c>
      <c r="BB933" s="647"/>
      <c r="BC933" s="648"/>
      <c r="BD933" s="649"/>
      <c r="BE933" s="647"/>
      <c r="BF933" s="644"/>
      <c r="BG933" s="646">
        <f t="shared" si="295"/>
        <v>0</v>
      </c>
      <c r="BH933" s="650"/>
      <c r="BI933" s="647"/>
      <c r="BJ933" s="644"/>
      <c r="BK933" s="646">
        <f t="shared" si="296"/>
        <v>0</v>
      </c>
      <c r="BL933" s="651"/>
      <c r="BM933" s="652">
        <f t="shared" si="297"/>
        <v>1</v>
      </c>
      <c r="BN933" s="628"/>
      <c r="BO933" s="670"/>
      <c r="BP933" s="644"/>
      <c r="BQ933" s="644"/>
      <c r="BR933" s="644"/>
      <c r="BS933" s="644"/>
      <c r="BT933" s="644"/>
      <c r="BU933" s="644"/>
      <c r="BV933" s="644"/>
      <c r="BW933" s="644"/>
      <c r="BX933" s="644"/>
      <c r="BY933" s="644"/>
      <c r="BZ933" s="644"/>
      <c r="CA933" s="644"/>
      <c r="CB933" s="646">
        <f t="shared" si="298"/>
        <v>0</v>
      </c>
      <c r="CC933" s="646">
        <f t="shared" si="299"/>
        <v>0</v>
      </c>
      <c r="CD933" s="614"/>
    </row>
    <row r="934" spans="1:82" s="659" customFormat="1" ht="61.5" customHeight="1">
      <c r="A934" s="625" t="str">
        <f t="shared" si="281"/>
        <v>proyecto-Alerta: Seleccione la celda en la comumna B con el nombre del proyecto-Al-Al--</v>
      </c>
      <c r="B934" s="626" t="str">
        <f t="shared" si="282"/>
        <v>proyecto-Alerta: Seleccione la celda en la comumna B con el nombre del proyecto-Al-Al-</v>
      </c>
      <c r="C934" s="626" t="str">
        <f t="shared" si="283"/>
        <v>proyecto-Alerta: Seleccione la celda en la comumna B con el nombre del proyecto-</v>
      </c>
      <c r="D934" s="626" t="str">
        <f t="shared" si="284"/>
        <v>proyecto--Al-Al-</v>
      </c>
      <c r="E934" s="626" t="str">
        <f t="shared" si="285"/>
        <v>--</v>
      </c>
      <c r="F934" s="627"/>
      <c r="G934" s="628">
        <f t="shared" si="286"/>
        <v>0</v>
      </c>
      <c r="H934" s="629" t="b">
        <f t="shared" si="287"/>
        <v>1</v>
      </c>
      <c r="I934" s="630"/>
      <c r="J934" s="627"/>
      <c r="K934" s="631" t="str">
        <f>+IFERROR(VLOOKUP(J934,Listas!$A$108:$B$114,2,FALSE),"Alerta: Seleccione la celda en la comumna B con el nombre del proyecto")</f>
        <v>Alerta: Seleccione la celda en la comumna B con el nombre del proyecto</v>
      </c>
      <c r="L934" s="632"/>
      <c r="M934" s="633"/>
      <c r="N934" s="634" t="str">
        <f t="shared" si="288"/>
        <v xml:space="preserve">(Cód. ) </v>
      </c>
      <c r="O934" s="635"/>
      <c r="P934" s="636">
        <f>IFERROR(VLOOKUP(W934,'Estimación CRP'!$D$21:$E$30,2,FALSE),0)</f>
        <v>0</v>
      </c>
      <c r="Q934" s="637">
        <f>IF(O934="No aplica","No aplica",WORKDAY.INTL(O934,P934,1,'Estimación CRP'!A1120:A1136))</f>
        <v>0</v>
      </c>
      <c r="R934" s="636">
        <f t="shared" si="289"/>
        <v>1</v>
      </c>
      <c r="S934" s="636">
        <f t="shared" si="290"/>
        <v>1</v>
      </c>
      <c r="T934" s="636">
        <f t="shared" si="291"/>
        <v>1</v>
      </c>
      <c r="U934" s="638"/>
      <c r="V934" s="638"/>
      <c r="W934" s="639"/>
      <c r="X934" s="640" t="str">
        <f>IFERROR(VLOOKUP(W934,Listas!$A$60:$B$73,2,FALSE),"Alerta: Seleccione primero Modalidad de selección")</f>
        <v>Alerta: Seleccione primero Modalidad de selección</v>
      </c>
      <c r="Y934" s="641">
        <v>0</v>
      </c>
      <c r="Z934" s="641"/>
      <c r="AA934" s="641"/>
      <c r="AB934" s="642">
        <f t="shared" si="292"/>
        <v>0</v>
      </c>
      <c r="AC934" s="642">
        <f t="shared" si="293"/>
        <v>0</v>
      </c>
      <c r="AD934" s="641">
        <v>0</v>
      </c>
      <c r="AE934" s="643">
        <v>0</v>
      </c>
      <c r="AF934" s="639" t="s">
        <v>276</v>
      </c>
      <c r="AG934" s="639" t="s">
        <v>277</v>
      </c>
      <c r="AH934" s="639"/>
      <c r="AI934" s="626" t="str">
        <f>IFERROR(VLOOKUP(AH934,Listas!$A$77:$C$83,2,FALSE),"Alerta: Seleccione primero el responsable")</f>
        <v>Alerta: Seleccione primero el responsable</v>
      </c>
      <c r="AJ934" s="640" t="str">
        <f>IFERROR(VLOOKUP(AH934,Listas!$A$77:$C$83,3,FALSE),"Alerta: Seleccione primero el responsable")</f>
        <v>Alerta: Seleccione primero el responsable</v>
      </c>
      <c r="AK934" s="640" t="str">
        <f>IF(J934="Funcionamiento Gastos Generales","No aplica",IF(J934="Funcionamiento Servicios Personales indirectos","No aplica",IFERROR(VLOOKUP(J934,Listas!$A$127:$E$139,3,FALSE),"Alerta: Seleccione la celda en la comumna B con el nombre del proyecto")))</f>
        <v>Alerta: Seleccione la celda en la comumna B con el nombre del proyecto</v>
      </c>
      <c r="AL934" s="640" t="str">
        <f>IF(J934="Funcionamiento Gastos Generales","No aplica",IF(J934="Funcionamiento Servicios Personales","No aplica",IFERROR(VLOOKUP(J934,Listas!$A$220:$D$224,2,FALSE),"Alerta: Seleccione la celda en la comumna B con el nombre del proyecto")))</f>
        <v>Alerta: Seleccione la celda en la comumna B con el nombre del proyecto</v>
      </c>
      <c r="AM934" s="640" t="str">
        <f>IF(J934="Funcionamiento Gastos Generales","No aplica",IF(J934="Funcionamiento Servicios Personales","No aplica",IFERROR(VLOOKUP(J934,Listas!$A$220:$D$224,3,FALSE),"Alerta: Seleccione la celda en la comumna B con el nombre del proyecto")))</f>
        <v>Alerta: Seleccione la celda en la comumna B con el nombre del proyecto</v>
      </c>
      <c r="AN934" s="633"/>
      <c r="AO934" s="633"/>
      <c r="AP934" s="634" t="str">
        <f>IFERROR(VLOOKUP(J934,Listas!$A$182:$E$215,5,FALSE),"Alerta: Seleccione la celda en la comumna B con el nombre del proyecto")</f>
        <v>Alerta: Seleccione la celda en la comumna B con el nombre del proyecto</v>
      </c>
      <c r="AQ934" s="634" t="str">
        <f>IF(J934="Funcionamiento Gastos Generales","No aplica",IF(J934="Funcionamiento Servicios Personales","No aplica",IFERROR(VLOOKUP(J934,Listas!$A$220:$D$224,4,FALSE),"Alerta: Seleccione la celda en la comumna B con el nombre del proyecto")))</f>
        <v>Alerta: Seleccione la celda en la comumna B con el nombre del proyecto</v>
      </c>
      <c r="AR934" s="633"/>
      <c r="AS934" s="634" t="str">
        <f>IFERROR(VLOOKUP(AU934,Listas!$E$85:$L$105,7,FALSE),"Alerta: Seleccione la celda en la comumna AI con el concepto de gasto")</f>
        <v>Alerta: Seleccione la celda en la comumna AI con el concepto de gasto</v>
      </c>
      <c r="AT934" s="634" t="str">
        <f>IFERROR(VLOOKUP(AU934,Listas!$E$85:$L$105,8,FALSE),"Alerta: Seleccione la celda en la comumna AI con el concepto de gasto")</f>
        <v>Alerta: Seleccione la celda en la comumna AI con el concepto de gasto</v>
      </c>
      <c r="AU934" s="633"/>
      <c r="AV934" s="634" t="str">
        <f>IFERROR(VLOOKUP(AU934,Listas!$E$85:$F$105,2,FALSE),"Alerta: Seleccione el Concepto de Gasto primero")</f>
        <v>Alerta: Seleccione el Concepto de Gasto primero</v>
      </c>
      <c r="AW934" s="644"/>
      <c r="AX934" s="645"/>
      <c r="AY934" s="645"/>
      <c r="AZ934" s="645"/>
      <c r="BA934" s="646">
        <f t="shared" si="294"/>
        <v>0</v>
      </c>
      <c r="BB934" s="647"/>
      <c r="BC934" s="648"/>
      <c r="BD934" s="649"/>
      <c r="BE934" s="647"/>
      <c r="BF934" s="644"/>
      <c r="BG934" s="646">
        <f t="shared" si="295"/>
        <v>0</v>
      </c>
      <c r="BH934" s="650"/>
      <c r="BI934" s="647"/>
      <c r="BJ934" s="644"/>
      <c r="BK934" s="646">
        <f t="shared" si="296"/>
        <v>0</v>
      </c>
      <c r="BL934" s="651"/>
      <c r="BM934" s="652">
        <f t="shared" si="297"/>
        <v>1</v>
      </c>
      <c r="BN934" s="628"/>
      <c r="BO934" s="670"/>
      <c r="BP934" s="644"/>
      <c r="BQ934" s="644"/>
      <c r="BR934" s="644"/>
      <c r="BS934" s="644"/>
      <c r="BT934" s="644"/>
      <c r="BU934" s="644"/>
      <c r="BV934" s="644"/>
      <c r="BW934" s="644"/>
      <c r="BX934" s="644"/>
      <c r="BY934" s="644"/>
      <c r="BZ934" s="644"/>
      <c r="CA934" s="644"/>
      <c r="CB934" s="646">
        <f t="shared" si="298"/>
        <v>0</v>
      </c>
      <c r="CC934" s="646">
        <f t="shared" si="299"/>
        <v>0</v>
      </c>
      <c r="CD934" s="614"/>
    </row>
    <row r="935" spans="1:82" s="561" customFormat="1" ht="61.5" customHeight="1">
      <c r="A935" s="625" t="str">
        <f t="shared" si="281"/>
        <v>proyecto-Alerta: Seleccione la celda en la comumna B con el nombre del proyecto-Al-Al--</v>
      </c>
      <c r="B935" s="626" t="str">
        <f t="shared" si="282"/>
        <v>proyecto-Alerta: Seleccione la celda en la comumna B con el nombre del proyecto-Al-Al-</v>
      </c>
      <c r="C935" s="626" t="str">
        <f t="shared" si="283"/>
        <v>proyecto-Alerta: Seleccione la celda en la comumna B con el nombre del proyecto-</v>
      </c>
      <c r="D935" s="626" t="str">
        <f t="shared" si="284"/>
        <v>proyecto--Al-Al-</v>
      </c>
      <c r="E935" s="626" t="str">
        <f t="shared" si="285"/>
        <v>--</v>
      </c>
      <c r="F935" s="627"/>
      <c r="G935" s="628">
        <f t="shared" si="286"/>
        <v>0</v>
      </c>
      <c r="H935" s="629" t="b">
        <f t="shared" si="287"/>
        <v>1</v>
      </c>
      <c r="I935" s="630"/>
      <c r="J935" s="627"/>
      <c r="K935" s="631" t="str">
        <f>+IFERROR(VLOOKUP(J935,Listas!$A$108:$B$114,2,FALSE),"Alerta: Seleccione la celda en la comumna B con el nombre del proyecto")</f>
        <v>Alerta: Seleccione la celda en la comumna B con el nombre del proyecto</v>
      </c>
      <c r="L935" s="632"/>
      <c r="M935" s="633"/>
      <c r="N935" s="634" t="str">
        <f t="shared" si="288"/>
        <v xml:space="preserve">(Cód. ) </v>
      </c>
      <c r="O935" s="635"/>
      <c r="P935" s="636">
        <f>IFERROR(VLOOKUP(W935,'Estimación CRP'!$D$21:$E$30,2,FALSE),0)</f>
        <v>0</v>
      </c>
      <c r="Q935" s="637">
        <f>IF(O935="No aplica","No aplica",WORKDAY.INTL(O935,P935,1,'Estimación CRP'!A1121:A1137))</f>
        <v>0</v>
      </c>
      <c r="R935" s="636">
        <f t="shared" si="289"/>
        <v>1</v>
      </c>
      <c r="S935" s="636">
        <f t="shared" si="290"/>
        <v>1</v>
      </c>
      <c r="T935" s="636">
        <f t="shared" si="291"/>
        <v>1</v>
      </c>
      <c r="U935" s="638"/>
      <c r="V935" s="638"/>
      <c r="W935" s="639"/>
      <c r="X935" s="640" t="str">
        <f>IFERROR(VLOOKUP(W935,Listas!$A$60:$B$73,2,FALSE),"Alerta: Seleccione primero Modalidad de selección")</f>
        <v>Alerta: Seleccione primero Modalidad de selección</v>
      </c>
      <c r="Y935" s="641">
        <v>0</v>
      </c>
      <c r="Z935" s="641"/>
      <c r="AA935" s="641"/>
      <c r="AB935" s="642">
        <f t="shared" si="292"/>
        <v>0</v>
      </c>
      <c r="AC935" s="642">
        <f t="shared" si="293"/>
        <v>0</v>
      </c>
      <c r="AD935" s="641">
        <v>0</v>
      </c>
      <c r="AE935" s="643">
        <v>0</v>
      </c>
      <c r="AF935" s="639" t="s">
        <v>276</v>
      </c>
      <c r="AG935" s="639" t="s">
        <v>277</v>
      </c>
      <c r="AH935" s="639"/>
      <c r="AI935" s="626" t="str">
        <f>IFERROR(VLOOKUP(AH935,Listas!$A$77:$C$83,2,FALSE),"Alerta: Seleccione primero el responsable")</f>
        <v>Alerta: Seleccione primero el responsable</v>
      </c>
      <c r="AJ935" s="640" t="str">
        <f>IFERROR(VLOOKUP(AH935,Listas!$A$77:$C$83,3,FALSE),"Alerta: Seleccione primero el responsable")</f>
        <v>Alerta: Seleccione primero el responsable</v>
      </c>
      <c r="AK935" s="640" t="str">
        <f>IF(J935="Funcionamiento Gastos Generales","No aplica",IF(J935="Funcionamiento Servicios Personales indirectos","No aplica",IFERROR(VLOOKUP(J935,Listas!$A$127:$E$139,3,FALSE),"Alerta: Seleccione la celda en la comumna B con el nombre del proyecto")))</f>
        <v>Alerta: Seleccione la celda en la comumna B con el nombre del proyecto</v>
      </c>
      <c r="AL935" s="640" t="str">
        <f>IF(J935="Funcionamiento Gastos Generales","No aplica",IF(J935="Funcionamiento Servicios Personales","No aplica",IFERROR(VLOOKUP(J935,Listas!$A$220:$D$224,2,FALSE),"Alerta: Seleccione la celda en la comumna B con el nombre del proyecto")))</f>
        <v>Alerta: Seleccione la celda en la comumna B con el nombre del proyecto</v>
      </c>
      <c r="AM935" s="640" t="str">
        <f>IF(J935="Funcionamiento Gastos Generales","No aplica",IF(J935="Funcionamiento Servicios Personales","No aplica",IFERROR(VLOOKUP(J935,Listas!$A$220:$D$224,3,FALSE),"Alerta: Seleccione la celda en la comumna B con el nombre del proyecto")))</f>
        <v>Alerta: Seleccione la celda en la comumna B con el nombre del proyecto</v>
      </c>
      <c r="AN935" s="633"/>
      <c r="AO935" s="633"/>
      <c r="AP935" s="634" t="str">
        <f>IFERROR(VLOOKUP(J935,Listas!$A$182:$E$215,5,FALSE),"Alerta: Seleccione la celda en la comumna B con el nombre del proyecto")</f>
        <v>Alerta: Seleccione la celda en la comumna B con el nombre del proyecto</v>
      </c>
      <c r="AQ935" s="634" t="str">
        <f>IF(J935="Funcionamiento Gastos Generales","No aplica",IF(J935="Funcionamiento Servicios Personales","No aplica",IFERROR(VLOOKUP(J935,Listas!$A$220:$D$224,4,FALSE),"Alerta: Seleccione la celda en la comumna B con el nombre del proyecto")))</f>
        <v>Alerta: Seleccione la celda en la comumna B con el nombre del proyecto</v>
      </c>
      <c r="AR935" s="633"/>
      <c r="AS935" s="634" t="str">
        <f>IFERROR(VLOOKUP(AU935,Listas!$E$85:$L$105,7,FALSE),"Alerta: Seleccione la celda en la comumna AI con el concepto de gasto")</f>
        <v>Alerta: Seleccione la celda en la comumna AI con el concepto de gasto</v>
      </c>
      <c r="AT935" s="634" t="str">
        <f>IFERROR(VLOOKUP(AU935,Listas!$E$85:$L$105,8,FALSE),"Alerta: Seleccione la celda en la comumna AI con el concepto de gasto")</f>
        <v>Alerta: Seleccione la celda en la comumna AI con el concepto de gasto</v>
      </c>
      <c r="AU935" s="633"/>
      <c r="AV935" s="634" t="str">
        <f>IFERROR(VLOOKUP(AU935,Listas!$E$85:$F$105,2,FALSE),"Alerta: Seleccione el Concepto de Gasto primero")</f>
        <v>Alerta: Seleccione el Concepto de Gasto primero</v>
      </c>
      <c r="AW935" s="644"/>
      <c r="AX935" s="645"/>
      <c r="AY935" s="645"/>
      <c r="AZ935" s="645"/>
      <c r="BA935" s="646">
        <f t="shared" si="294"/>
        <v>0</v>
      </c>
      <c r="BB935" s="647"/>
      <c r="BC935" s="648"/>
      <c r="BD935" s="649"/>
      <c r="BE935" s="647"/>
      <c r="BF935" s="644"/>
      <c r="BG935" s="646">
        <f t="shared" si="295"/>
        <v>0</v>
      </c>
      <c r="BH935" s="650"/>
      <c r="BI935" s="647"/>
      <c r="BJ935" s="644"/>
      <c r="BK935" s="646">
        <f t="shared" si="296"/>
        <v>0</v>
      </c>
      <c r="BL935" s="651"/>
      <c r="BM935" s="652">
        <f t="shared" si="297"/>
        <v>1</v>
      </c>
      <c r="BN935" s="628"/>
      <c r="BO935" s="670"/>
      <c r="BP935" s="644"/>
      <c r="BQ935" s="644"/>
      <c r="BR935" s="644"/>
      <c r="BS935" s="644"/>
      <c r="BT935" s="644"/>
      <c r="BU935" s="644"/>
      <c r="BV935" s="644"/>
      <c r="BW935" s="644"/>
      <c r="BX935" s="644"/>
      <c r="BY935" s="644"/>
      <c r="BZ935" s="644"/>
      <c r="CA935" s="644"/>
      <c r="CB935" s="646">
        <f t="shared" si="298"/>
        <v>0</v>
      </c>
      <c r="CC935" s="646">
        <f t="shared" si="299"/>
        <v>0</v>
      </c>
      <c r="CD935" s="614"/>
    </row>
    <row r="936" spans="1:82" s="561" customFormat="1" ht="61.5" customHeight="1">
      <c r="A936" s="625" t="str">
        <f t="shared" si="281"/>
        <v>proyecto-Alerta: Seleccione la celda en la comumna B con el nombre del proyecto-Al-Al--</v>
      </c>
      <c r="B936" s="626" t="str">
        <f t="shared" si="282"/>
        <v>proyecto-Alerta: Seleccione la celda en la comumna B con el nombre del proyecto-Al-Al-</v>
      </c>
      <c r="C936" s="626" t="str">
        <f t="shared" si="283"/>
        <v>proyecto-Alerta: Seleccione la celda en la comumna B con el nombre del proyecto-</v>
      </c>
      <c r="D936" s="626" t="str">
        <f t="shared" si="284"/>
        <v>proyecto--Al-Al-</v>
      </c>
      <c r="E936" s="626" t="str">
        <f t="shared" si="285"/>
        <v>--</v>
      </c>
      <c r="F936" s="627"/>
      <c r="G936" s="628">
        <f t="shared" si="286"/>
        <v>0</v>
      </c>
      <c r="H936" s="629" t="b">
        <f t="shared" si="287"/>
        <v>1</v>
      </c>
      <c r="I936" s="630"/>
      <c r="J936" s="627"/>
      <c r="K936" s="631" t="str">
        <f>+IFERROR(VLOOKUP(J936,Listas!$A$108:$B$114,2,FALSE),"Alerta: Seleccione la celda en la comumna B con el nombre del proyecto")</f>
        <v>Alerta: Seleccione la celda en la comumna B con el nombre del proyecto</v>
      </c>
      <c r="L936" s="632"/>
      <c r="M936" s="633"/>
      <c r="N936" s="634" t="str">
        <f t="shared" si="288"/>
        <v xml:space="preserve">(Cód. ) </v>
      </c>
      <c r="O936" s="635"/>
      <c r="P936" s="636">
        <f>IFERROR(VLOOKUP(W936,'Estimación CRP'!$D$21:$E$30,2,FALSE),0)</f>
        <v>0</v>
      </c>
      <c r="Q936" s="637">
        <f>IF(O936="No aplica","No aplica",WORKDAY.INTL(O936,P936,1,'Estimación CRP'!A1122:A1138))</f>
        <v>0</v>
      </c>
      <c r="R936" s="636">
        <f t="shared" si="289"/>
        <v>1</v>
      </c>
      <c r="S936" s="636">
        <f t="shared" si="290"/>
        <v>1</v>
      </c>
      <c r="T936" s="636">
        <f t="shared" si="291"/>
        <v>1</v>
      </c>
      <c r="U936" s="638"/>
      <c r="V936" s="638"/>
      <c r="W936" s="639"/>
      <c r="X936" s="640" t="str">
        <f>IFERROR(VLOOKUP(W936,Listas!$A$60:$B$73,2,FALSE),"Alerta: Seleccione primero Modalidad de selección")</f>
        <v>Alerta: Seleccione primero Modalidad de selección</v>
      </c>
      <c r="Y936" s="641">
        <v>0</v>
      </c>
      <c r="Z936" s="641"/>
      <c r="AA936" s="641"/>
      <c r="AB936" s="642">
        <f t="shared" si="292"/>
        <v>0</v>
      </c>
      <c r="AC936" s="642">
        <f t="shared" si="293"/>
        <v>0</v>
      </c>
      <c r="AD936" s="641">
        <v>0</v>
      </c>
      <c r="AE936" s="643">
        <v>0</v>
      </c>
      <c r="AF936" s="639" t="s">
        <v>276</v>
      </c>
      <c r="AG936" s="639" t="s">
        <v>277</v>
      </c>
      <c r="AH936" s="639"/>
      <c r="AI936" s="626" t="str">
        <f>IFERROR(VLOOKUP(AH936,Listas!$A$77:$C$83,2,FALSE),"Alerta: Seleccione primero el responsable")</f>
        <v>Alerta: Seleccione primero el responsable</v>
      </c>
      <c r="AJ936" s="640" t="str">
        <f>IFERROR(VLOOKUP(AH936,Listas!$A$77:$C$83,3,FALSE),"Alerta: Seleccione primero el responsable")</f>
        <v>Alerta: Seleccione primero el responsable</v>
      </c>
      <c r="AK936" s="640" t="str">
        <f>IF(J936="Funcionamiento Gastos Generales","No aplica",IF(J936="Funcionamiento Servicios Personales indirectos","No aplica",IFERROR(VLOOKUP(J936,Listas!$A$127:$E$139,3,FALSE),"Alerta: Seleccione la celda en la comumna B con el nombre del proyecto")))</f>
        <v>Alerta: Seleccione la celda en la comumna B con el nombre del proyecto</v>
      </c>
      <c r="AL936" s="640" t="str">
        <f>IF(J936="Funcionamiento Gastos Generales","No aplica",IF(J936="Funcionamiento Servicios Personales","No aplica",IFERROR(VLOOKUP(J936,Listas!$A$220:$D$224,2,FALSE),"Alerta: Seleccione la celda en la comumna B con el nombre del proyecto")))</f>
        <v>Alerta: Seleccione la celda en la comumna B con el nombre del proyecto</v>
      </c>
      <c r="AM936" s="640" t="str">
        <f>IF(J936="Funcionamiento Gastos Generales","No aplica",IF(J936="Funcionamiento Servicios Personales","No aplica",IFERROR(VLOOKUP(J936,Listas!$A$220:$D$224,3,FALSE),"Alerta: Seleccione la celda en la comumna B con el nombre del proyecto")))</f>
        <v>Alerta: Seleccione la celda en la comumna B con el nombre del proyecto</v>
      </c>
      <c r="AN936" s="633"/>
      <c r="AO936" s="633"/>
      <c r="AP936" s="634" t="str">
        <f>IFERROR(VLOOKUP(J936,Listas!$A$182:$E$215,5,FALSE),"Alerta: Seleccione la celda en la comumna B con el nombre del proyecto")</f>
        <v>Alerta: Seleccione la celda en la comumna B con el nombre del proyecto</v>
      </c>
      <c r="AQ936" s="634" t="str">
        <f>IF(J936="Funcionamiento Gastos Generales","No aplica",IF(J936="Funcionamiento Servicios Personales","No aplica",IFERROR(VLOOKUP(J936,Listas!$A$220:$D$224,4,FALSE),"Alerta: Seleccione la celda en la comumna B con el nombre del proyecto")))</f>
        <v>Alerta: Seleccione la celda en la comumna B con el nombre del proyecto</v>
      </c>
      <c r="AR936" s="633"/>
      <c r="AS936" s="634" t="str">
        <f>IFERROR(VLOOKUP(AU936,Listas!$E$85:$L$105,7,FALSE),"Alerta: Seleccione la celda en la comumna AI con el concepto de gasto")</f>
        <v>Alerta: Seleccione la celda en la comumna AI con el concepto de gasto</v>
      </c>
      <c r="AT936" s="634" t="str">
        <f>IFERROR(VLOOKUP(AU936,Listas!$E$85:$L$105,8,FALSE),"Alerta: Seleccione la celda en la comumna AI con el concepto de gasto")</f>
        <v>Alerta: Seleccione la celda en la comumna AI con el concepto de gasto</v>
      </c>
      <c r="AU936" s="633"/>
      <c r="AV936" s="634" t="str">
        <f>IFERROR(VLOOKUP(AU936,Listas!$E$85:$F$105,2,FALSE),"Alerta: Seleccione el Concepto de Gasto primero")</f>
        <v>Alerta: Seleccione el Concepto de Gasto primero</v>
      </c>
      <c r="AW936" s="644"/>
      <c r="AX936" s="645"/>
      <c r="AY936" s="645"/>
      <c r="AZ936" s="645"/>
      <c r="BA936" s="646">
        <f t="shared" si="294"/>
        <v>0</v>
      </c>
      <c r="BB936" s="647"/>
      <c r="BC936" s="648"/>
      <c r="BD936" s="649"/>
      <c r="BE936" s="647"/>
      <c r="BF936" s="644"/>
      <c r="BG936" s="646">
        <f t="shared" si="295"/>
        <v>0</v>
      </c>
      <c r="BH936" s="650"/>
      <c r="BI936" s="647"/>
      <c r="BJ936" s="644"/>
      <c r="BK936" s="646">
        <f t="shared" si="296"/>
        <v>0</v>
      </c>
      <c r="BL936" s="651"/>
      <c r="BM936" s="652">
        <f t="shared" si="297"/>
        <v>1</v>
      </c>
      <c r="BN936" s="628"/>
      <c r="BO936" s="670"/>
      <c r="BP936" s="644"/>
      <c r="BQ936" s="644"/>
      <c r="BR936" s="644"/>
      <c r="BS936" s="644"/>
      <c r="BT936" s="644"/>
      <c r="BU936" s="644"/>
      <c r="BV936" s="644"/>
      <c r="BW936" s="644"/>
      <c r="BX936" s="644"/>
      <c r="BY936" s="644"/>
      <c r="BZ936" s="644"/>
      <c r="CA936" s="644"/>
      <c r="CB936" s="646">
        <f t="shared" si="298"/>
        <v>0</v>
      </c>
      <c r="CC936" s="646">
        <f t="shared" si="299"/>
        <v>0</v>
      </c>
      <c r="CD936" s="614"/>
    </row>
    <row r="937" spans="1:82" s="561" customFormat="1" ht="61.5" customHeight="1">
      <c r="A937" s="625" t="str">
        <f t="shared" si="281"/>
        <v>proyecto-Alerta: Seleccione la celda en la comumna B con el nombre del proyecto-Al-Al--</v>
      </c>
      <c r="B937" s="626" t="str">
        <f t="shared" si="282"/>
        <v>proyecto-Alerta: Seleccione la celda en la comumna B con el nombre del proyecto-Al-Al-</v>
      </c>
      <c r="C937" s="626" t="str">
        <f t="shared" si="283"/>
        <v>proyecto-Alerta: Seleccione la celda en la comumna B con el nombre del proyecto-</v>
      </c>
      <c r="D937" s="626" t="str">
        <f t="shared" si="284"/>
        <v>proyecto--Al-Al-</v>
      </c>
      <c r="E937" s="626" t="str">
        <f t="shared" si="285"/>
        <v>--</v>
      </c>
      <c r="F937" s="627"/>
      <c r="G937" s="628">
        <f t="shared" si="286"/>
        <v>0</v>
      </c>
      <c r="H937" s="629" t="b">
        <f t="shared" si="287"/>
        <v>1</v>
      </c>
      <c r="I937" s="630"/>
      <c r="J937" s="627"/>
      <c r="K937" s="631" t="str">
        <f>+IFERROR(VLOOKUP(J937,Listas!$A$108:$B$114,2,FALSE),"Alerta: Seleccione la celda en la comumna B con el nombre del proyecto")</f>
        <v>Alerta: Seleccione la celda en la comumna B con el nombre del proyecto</v>
      </c>
      <c r="L937" s="632"/>
      <c r="M937" s="633"/>
      <c r="N937" s="634" t="str">
        <f t="shared" si="288"/>
        <v xml:space="preserve">(Cód. ) </v>
      </c>
      <c r="O937" s="635"/>
      <c r="P937" s="636">
        <f>IFERROR(VLOOKUP(W937,'Estimación CRP'!$D$21:$E$30,2,FALSE),0)</f>
        <v>0</v>
      </c>
      <c r="Q937" s="637">
        <f>IF(O937="No aplica","No aplica",WORKDAY.INTL(O937,P937,1,'Estimación CRP'!A1123:A1139))</f>
        <v>0</v>
      </c>
      <c r="R937" s="636">
        <f t="shared" si="289"/>
        <v>1</v>
      </c>
      <c r="S937" s="636">
        <f t="shared" si="290"/>
        <v>1</v>
      </c>
      <c r="T937" s="636">
        <f t="shared" si="291"/>
        <v>1</v>
      </c>
      <c r="U937" s="638"/>
      <c r="V937" s="638"/>
      <c r="W937" s="639"/>
      <c r="X937" s="640" t="str">
        <f>IFERROR(VLOOKUP(W937,Listas!$A$60:$B$73,2,FALSE),"Alerta: Seleccione primero Modalidad de selección")</f>
        <v>Alerta: Seleccione primero Modalidad de selección</v>
      </c>
      <c r="Y937" s="641">
        <v>0</v>
      </c>
      <c r="Z937" s="641"/>
      <c r="AA937" s="641"/>
      <c r="AB937" s="642">
        <f t="shared" si="292"/>
        <v>0</v>
      </c>
      <c r="AC937" s="642">
        <f t="shared" si="293"/>
        <v>0</v>
      </c>
      <c r="AD937" s="641">
        <v>0</v>
      </c>
      <c r="AE937" s="643">
        <v>0</v>
      </c>
      <c r="AF937" s="639" t="s">
        <v>276</v>
      </c>
      <c r="AG937" s="639" t="s">
        <v>277</v>
      </c>
      <c r="AH937" s="639"/>
      <c r="AI937" s="626" t="str">
        <f>IFERROR(VLOOKUP(AH937,Listas!$A$77:$C$83,2,FALSE),"Alerta: Seleccione primero el responsable")</f>
        <v>Alerta: Seleccione primero el responsable</v>
      </c>
      <c r="AJ937" s="640" t="str">
        <f>IFERROR(VLOOKUP(AH937,Listas!$A$77:$C$83,3,FALSE),"Alerta: Seleccione primero el responsable")</f>
        <v>Alerta: Seleccione primero el responsable</v>
      </c>
      <c r="AK937" s="640" t="str">
        <f>IF(J937="Funcionamiento Gastos Generales","No aplica",IF(J937="Funcionamiento Servicios Personales indirectos","No aplica",IFERROR(VLOOKUP(J937,Listas!$A$127:$E$139,3,FALSE),"Alerta: Seleccione la celda en la comumna B con el nombre del proyecto")))</f>
        <v>Alerta: Seleccione la celda en la comumna B con el nombre del proyecto</v>
      </c>
      <c r="AL937" s="640" t="str">
        <f>IF(J937="Funcionamiento Gastos Generales","No aplica",IF(J937="Funcionamiento Servicios Personales","No aplica",IFERROR(VLOOKUP(J937,Listas!$A$220:$D$224,2,FALSE),"Alerta: Seleccione la celda en la comumna B con el nombre del proyecto")))</f>
        <v>Alerta: Seleccione la celda en la comumna B con el nombre del proyecto</v>
      </c>
      <c r="AM937" s="640" t="str">
        <f>IF(J937="Funcionamiento Gastos Generales","No aplica",IF(J937="Funcionamiento Servicios Personales","No aplica",IFERROR(VLOOKUP(J937,Listas!$A$220:$D$224,3,FALSE),"Alerta: Seleccione la celda en la comumna B con el nombre del proyecto")))</f>
        <v>Alerta: Seleccione la celda en la comumna B con el nombre del proyecto</v>
      </c>
      <c r="AN937" s="633"/>
      <c r="AO937" s="633"/>
      <c r="AP937" s="634" t="str">
        <f>IFERROR(VLOOKUP(J937,Listas!$A$182:$E$215,5,FALSE),"Alerta: Seleccione la celda en la comumna B con el nombre del proyecto")</f>
        <v>Alerta: Seleccione la celda en la comumna B con el nombre del proyecto</v>
      </c>
      <c r="AQ937" s="634" t="str">
        <f>IF(J937="Funcionamiento Gastos Generales","No aplica",IF(J937="Funcionamiento Servicios Personales","No aplica",IFERROR(VLOOKUP(J937,Listas!$A$220:$D$224,4,FALSE),"Alerta: Seleccione la celda en la comumna B con el nombre del proyecto")))</f>
        <v>Alerta: Seleccione la celda en la comumna B con el nombre del proyecto</v>
      </c>
      <c r="AR937" s="633"/>
      <c r="AS937" s="634" t="str">
        <f>IFERROR(VLOOKUP(AU937,Listas!$E$85:$L$105,7,FALSE),"Alerta: Seleccione la celda en la comumna AI con el concepto de gasto")</f>
        <v>Alerta: Seleccione la celda en la comumna AI con el concepto de gasto</v>
      </c>
      <c r="AT937" s="634" t="str">
        <f>IFERROR(VLOOKUP(AU937,Listas!$E$85:$L$105,8,FALSE),"Alerta: Seleccione la celda en la comumna AI con el concepto de gasto")</f>
        <v>Alerta: Seleccione la celda en la comumna AI con el concepto de gasto</v>
      </c>
      <c r="AU937" s="633"/>
      <c r="AV937" s="634" t="str">
        <f>IFERROR(VLOOKUP(AU937,Listas!$E$85:$F$105,2,FALSE),"Alerta: Seleccione el Concepto de Gasto primero")</f>
        <v>Alerta: Seleccione el Concepto de Gasto primero</v>
      </c>
      <c r="AW937" s="644"/>
      <c r="AX937" s="645"/>
      <c r="AY937" s="645"/>
      <c r="AZ937" s="645"/>
      <c r="BA937" s="646">
        <f t="shared" si="294"/>
        <v>0</v>
      </c>
      <c r="BB937" s="647"/>
      <c r="BC937" s="648"/>
      <c r="BD937" s="649"/>
      <c r="BE937" s="647"/>
      <c r="BF937" s="644"/>
      <c r="BG937" s="646">
        <f t="shared" si="295"/>
        <v>0</v>
      </c>
      <c r="BH937" s="650"/>
      <c r="BI937" s="647"/>
      <c r="BJ937" s="644"/>
      <c r="BK937" s="646">
        <f t="shared" si="296"/>
        <v>0</v>
      </c>
      <c r="BL937" s="651"/>
      <c r="BM937" s="652">
        <f t="shared" si="297"/>
        <v>1</v>
      </c>
      <c r="BN937" s="628"/>
      <c r="BO937" s="670"/>
      <c r="BP937" s="644"/>
      <c r="BQ937" s="644"/>
      <c r="BR937" s="644"/>
      <c r="BS937" s="644"/>
      <c r="BT937" s="644"/>
      <c r="BU937" s="644"/>
      <c r="BV937" s="644"/>
      <c r="BW937" s="644"/>
      <c r="BX937" s="644"/>
      <c r="BY937" s="644"/>
      <c r="BZ937" s="644"/>
      <c r="CA937" s="644"/>
      <c r="CB937" s="646">
        <f t="shared" si="298"/>
        <v>0</v>
      </c>
      <c r="CC937" s="646">
        <f t="shared" si="299"/>
        <v>0</v>
      </c>
      <c r="CD937" s="614"/>
    </row>
    <row r="938" spans="1:82" s="561" customFormat="1" ht="61.5" customHeight="1">
      <c r="A938" s="625" t="str">
        <f t="shared" si="281"/>
        <v>proyecto-Alerta: Seleccione la celda en la comumna B con el nombre del proyecto-Al-Al--</v>
      </c>
      <c r="B938" s="626" t="str">
        <f t="shared" si="282"/>
        <v>proyecto-Alerta: Seleccione la celda en la comumna B con el nombre del proyecto-Al-Al-</v>
      </c>
      <c r="C938" s="626" t="str">
        <f t="shared" si="283"/>
        <v>proyecto-Alerta: Seleccione la celda en la comumna B con el nombre del proyecto-</v>
      </c>
      <c r="D938" s="626" t="str">
        <f t="shared" si="284"/>
        <v>proyecto--Al-Al-</v>
      </c>
      <c r="E938" s="626" t="str">
        <f t="shared" si="285"/>
        <v>--</v>
      </c>
      <c r="F938" s="627"/>
      <c r="G938" s="628">
        <f t="shared" si="286"/>
        <v>0</v>
      </c>
      <c r="H938" s="629" t="b">
        <f t="shared" si="287"/>
        <v>1</v>
      </c>
      <c r="I938" s="630"/>
      <c r="J938" s="627"/>
      <c r="K938" s="631" t="str">
        <f>+IFERROR(VLOOKUP(J938,Listas!$A$108:$B$114,2,FALSE),"Alerta: Seleccione la celda en la comumna B con el nombre del proyecto")</f>
        <v>Alerta: Seleccione la celda en la comumna B con el nombre del proyecto</v>
      </c>
      <c r="L938" s="632"/>
      <c r="M938" s="633"/>
      <c r="N938" s="634" t="str">
        <f t="shared" si="288"/>
        <v xml:space="preserve">(Cód. ) </v>
      </c>
      <c r="O938" s="635"/>
      <c r="P938" s="636">
        <f>IFERROR(VLOOKUP(W938,'Estimación CRP'!$D$21:$E$30,2,FALSE),0)</f>
        <v>0</v>
      </c>
      <c r="Q938" s="637">
        <f>IF(O938="No aplica","No aplica",WORKDAY.INTL(O938,P938,1,'Estimación CRP'!A1124:A1140))</f>
        <v>0</v>
      </c>
      <c r="R938" s="636">
        <f t="shared" si="289"/>
        <v>1</v>
      </c>
      <c r="S938" s="636">
        <f t="shared" si="290"/>
        <v>1</v>
      </c>
      <c r="T938" s="636">
        <f t="shared" si="291"/>
        <v>1</v>
      </c>
      <c r="U938" s="638"/>
      <c r="V938" s="638"/>
      <c r="W938" s="639"/>
      <c r="X938" s="640" t="str">
        <f>IFERROR(VLOOKUP(W938,Listas!$A$60:$B$73,2,FALSE),"Alerta: Seleccione primero Modalidad de selección")</f>
        <v>Alerta: Seleccione primero Modalidad de selección</v>
      </c>
      <c r="Y938" s="641">
        <v>0</v>
      </c>
      <c r="Z938" s="641"/>
      <c r="AA938" s="641"/>
      <c r="AB938" s="642">
        <f t="shared" si="292"/>
        <v>0</v>
      </c>
      <c r="AC938" s="642">
        <f t="shared" si="293"/>
        <v>0</v>
      </c>
      <c r="AD938" s="641">
        <v>0</v>
      </c>
      <c r="AE938" s="643">
        <v>0</v>
      </c>
      <c r="AF938" s="639" t="s">
        <v>276</v>
      </c>
      <c r="AG938" s="639" t="s">
        <v>277</v>
      </c>
      <c r="AH938" s="639"/>
      <c r="AI938" s="626" t="str">
        <f>IFERROR(VLOOKUP(AH938,Listas!$A$77:$C$83,2,FALSE),"Alerta: Seleccione primero el responsable")</f>
        <v>Alerta: Seleccione primero el responsable</v>
      </c>
      <c r="AJ938" s="640" t="str">
        <f>IFERROR(VLOOKUP(AH938,Listas!$A$77:$C$83,3,FALSE),"Alerta: Seleccione primero el responsable")</f>
        <v>Alerta: Seleccione primero el responsable</v>
      </c>
      <c r="AK938" s="640" t="str">
        <f>IF(J938="Funcionamiento Gastos Generales","No aplica",IF(J938="Funcionamiento Servicios Personales indirectos","No aplica",IFERROR(VLOOKUP(J938,Listas!$A$127:$E$139,3,FALSE),"Alerta: Seleccione la celda en la comumna B con el nombre del proyecto")))</f>
        <v>Alerta: Seleccione la celda en la comumna B con el nombre del proyecto</v>
      </c>
      <c r="AL938" s="640" t="str">
        <f>IF(J938="Funcionamiento Gastos Generales","No aplica",IF(J938="Funcionamiento Servicios Personales","No aplica",IFERROR(VLOOKUP(J938,Listas!$A$220:$D$224,2,FALSE),"Alerta: Seleccione la celda en la comumna B con el nombre del proyecto")))</f>
        <v>Alerta: Seleccione la celda en la comumna B con el nombre del proyecto</v>
      </c>
      <c r="AM938" s="640" t="str">
        <f>IF(J938="Funcionamiento Gastos Generales","No aplica",IF(J938="Funcionamiento Servicios Personales","No aplica",IFERROR(VLOOKUP(J938,Listas!$A$220:$D$224,3,FALSE),"Alerta: Seleccione la celda en la comumna B con el nombre del proyecto")))</f>
        <v>Alerta: Seleccione la celda en la comumna B con el nombre del proyecto</v>
      </c>
      <c r="AN938" s="633"/>
      <c r="AO938" s="633"/>
      <c r="AP938" s="634" t="str">
        <f>IFERROR(VLOOKUP(J938,Listas!$A$182:$E$215,5,FALSE),"Alerta: Seleccione la celda en la comumna B con el nombre del proyecto")</f>
        <v>Alerta: Seleccione la celda en la comumna B con el nombre del proyecto</v>
      </c>
      <c r="AQ938" s="634" t="str">
        <f>IF(J938="Funcionamiento Gastos Generales","No aplica",IF(J938="Funcionamiento Servicios Personales","No aplica",IFERROR(VLOOKUP(J938,Listas!$A$220:$D$224,4,FALSE),"Alerta: Seleccione la celda en la comumna B con el nombre del proyecto")))</f>
        <v>Alerta: Seleccione la celda en la comumna B con el nombre del proyecto</v>
      </c>
      <c r="AR938" s="633"/>
      <c r="AS938" s="634" t="str">
        <f>IFERROR(VLOOKUP(AU938,Listas!$E$85:$L$105,7,FALSE),"Alerta: Seleccione la celda en la comumna AI con el concepto de gasto")</f>
        <v>Alerta: Seleccione la celda en la comumna AI con el concepto de gasto</v>
      </c>
      <c r="AT938" s="634" t="str">
        <f>IFERROR(VLOOKUP(AU938,Listas!$E$85:$L$105,8,FALSE),"Alerta: Seleccione la celda en la comumna AI con el concepto de gasto")</f>
        <v>Alerta: Seleccione la celda en la comumna AI con el concepto de gasto</v>
      </c>
      <c r="AU938" s="633"/>
      <c r="AV938" s="634" t="str">
        <f>IFERROR(VLOOKUP(AU938,Listas!$E$85:$F$105,2,FALSE),"Alerta: Seleccione el Concepto de Gasto primero")</f>
        <v>Alerta: Seleccione el Concepto de Gasto primero</v>
      </c>
      <c r="AW938" s="644"/>
      <c r="AX938" s="645"/>
      <c r="AY938" s="645"/>
      <c r="AZ938" s="645"/>
      <c r="BA938" s="646">
        <f t="shared" si="294"/>
        <v>0</v>
      </c>
      <c r="BB938" s="647"/>
      <c r="BC938" s="648"/>
      <c r="BD938" s="649"/>
      <c r="BE938" s="647"/>
      <c r="BF938" s="644"/>
      <c r="BG938" s="646">
        <f t="shared" si="295"/>
        <v>0</v>
      </c>
      <c r="BH938" s="650"/>
      <c r="BI938" s="647"/>
      <c r="BJ938" s="644"/>
      <c r="BK938" s="646">
        <f t="shared" si="296"/>
        <v>0</v>
      </c>
      <c r="BL938" s="651"/>
      <c r="BM938" s="652">
        <f t="shared" si="297"/>
        <v>1</v>
      </c>
      <c r="BN938" s="628"/>
      <c r="BO938" s="670"/>
      <c r="BP938" s="644"/>
      <c r="BQ938" s="644"/>
      <c r="BR938" s="644"/>
      <c r="BS938" s="644"/>
      <c r="BT938" s="644"/>
      <c r="BU938" s="644"/>
      <c r="BV938" s="644"/>
      <c r="BW938" s="644"/>
      <c r="BX938" s="644"/>
      <c r="BY938" s="644"/>
      <c r="BZ938" s="644"/>
      <c r="CA938" s="644"/>
      <c r="CB938" s="646">
        <f t="shared" si="298"/>
        <v>0</v>
      </c>
      <c r="CC938" s="646">
        <f t="shared" si="299"/>
        <v>0</v>
      </c>
      <c r="CD938" s="614"/>
    </row>
    <row r="939" spans="1:82" s="561" customFormat="1" ht="61.5" customHeight="1">
      <c r="A939" s="625" t="str">
        <f t="shared" si="281"/>
        <v>proyecto-Alerta: Seleccione la celda en la comumna B con el nombre del proyecto-Al-Al--</v>
      </c>
      <c r="B939" s="626" t="str">
        <f t="shared" si="282"/>
        <v>proyecto-Alerta: Seleccione la celda en la comumna B con el nombre del proyecto-Al-Al-</v>
      </c>
      <c r="C939" s="626" t="str">
        <f t="shared" si="283"/>
        <v>proyecto-Alerta: Seleccione la celda en la comumna B con el nombre del proyecto-</v>
      </c>
      <c r="D939" s="626" t="str">
        <f t="shared" si="284"/>
        <v>proyecto--Al-Al-</v>
      </c>
      <c r="E939" s="626" t="str">
        <f t="shared" si="285"/>
        <v>--</v>
      </c>
      <c r="F939" s="627"/>
      <c r="G939" s="628">
        <f t="shared" si="286"/>
        <v>0</v>
      </c>
      <c r="H939" s="629" t="b">
        <f t="shared" si="287"/>
        <v>1</v>
      </c>
      <c r="I939" s="630"/>
      <c r="J939" s="627"/>
      <c r="K939" s="631" t="str">
        <f>+IFERROR(VLOOKUP(J939,Listas!$A$108:$B$114,2,FALSE),"Alerta: Seleccione la celda en la comumna B con el nombre del proyecto")</f>
        <v>Alerta: Seleccione la celda en la comumna B con el nombre del proyecto</v>
      </c>
      <c r="L939" s="632"/>
      <c r="M939" s="633"/>
      <c r="N939" s="634" t="str">
        <f t="shared" si="288"/>
        <v xml:space="preserve">(Cód. ) </v>
      </c>
      <c r="O939" s="635"/>
      <c r="P939" s="636">
        <f>IFERROR(VLOOKUP(W939,'Estimación CRP'!$D$21:$E$30,2,FALSE),0)</f>
        <v>0</v>
      </c>
      <c r="Q939" s="637">
        <f>IF(O939="No aplica","No aplica",WORKDAY.INTL(O939,P939,1,'Estimación CRP'!A1125:A1141))</f>
        <v>0</v>
      </c>
      <c r="R939" s="636">
        <f t="shared" si="289"/>
        <v>1</v>
      </c>
      <c r="S939" s="636">
        <f t="shared" si="290"/>
        <v>1</v>
      </c>
      <c r="T939" s="636">
        <f t="shared" si="291"/>
        <v>1</v>
      </c>
      <c r="U939" s="638"/>
      <c r="V939" s="638"/>
      <c r="W939" s="639"/>
      <c r="X939" s="640" t="str">
        <f>IFERROR(VLOOKUP(W939,Listas!$A$60:$B$73,2,FALSE),"Alerta: Seleccione primero Modalidad de selección")</f>
        <v>Alerta: Seleccione primero Modalidad de selección</v>
      </c>
      <c r="Y939" s="641">
        <v>0</v>
      </c>
      <c r="Z939" s="641"/>
      <c r="AA939" s="641"/>
      <c r="AB939" s="642">
        <f t="shared" si="292"/>
        <v>0</v>
      </c>
      <c r="AC939" s="642">
        <f t="shared" si="293"/>
        <v>0</v>
      </c>
      <c r="AD939" s="641">
        <v>0</v>
      </c>
      <c r="AE939" s="643">
        <v>0</v>
      </c>
      <c r="AF939" s="639" t="s">
        <v>276</v>
      </c>
      <c r="AG939" s="639" t="s">
        <v>277</v>
      </c>
      <c r="AH939" s="639"/>
      <c r="AI939" s="626" t="str">
        <f>IFERROR(VLOOKUP(AH939,Listas!$A$77:$C$83,2,FALSE),"Alerta: Seleccione primero el responsable")</f>
        <v>Alerta: Seleccione primero el responsable</v>
      </c>
      <c r="AJ939" s="640" t="str">
        <f>IFERROR(VLOOKUP(AH939,Listas!$A$77:$C$83,3,FALSE),"Alerta: Seleccione primero el responsable")</f>
        <v>Alerta: Seleccione primero el responsable</v>
      </c>
      <c r="AK939" s="640" t="str">
        <f>IF(J939="Funcionamiento Gastos Generales","No aplica",IF(J939="Funcionamiento Servicios Personales indirectos","No aplica",IFERROR(VLOOKUP(J939,Listas!$A$127:$E$139,3,FALSE),"Alerta: Seleccione la celda en la comumna B con el nombre del proyecto")))</f>
        <v>Alerta: Seleccione la celda en la comumna B con el nombre del proyecto</v>
      </c>
      <c r="AL939" s="640" t="str">
        <f>IF(J939="Funcionamiento Gastos Generales","No aplica",IF(J939="Funcionamiento Servicios Personales","No aplica",IFERROR(VLOOKUP(J939,Listas!$A$220:$D$224,2,FALSE),"Alerta: Seleccione la celda en la comumna B con el nombre del proyecto")))</f>
        <v>Alerta: Seleccione la celda en la comumna B con el nombre del proyecto</v>
      </c>
      <c r="AM939" s="640" t="str">
        <f>IF(J939="Funcionamiento Gastos Generales","No aplica",IF(J939="Funcionamiento Servicios Personales","No aplica",IFERROR(VLOOKUP(J939,Listas!$A$220:$D$224,3,FALSE),"Alerta: Seleccione la celda en la comumna B con el nombre del proyecto")))</f>
        <v>Alerta: Seleccione la celda en la comumna B con el nombre del proyecto</v>
      </c>
      <c r="AN939" s="633"/>
      <c r="AO939" s="633"/>
      <c r="AP939" s="634" t="str">
        <f>IFERROR(VLOOKUP(J939,Listas!$A$182:$E$215,5,FALSE),"Alerta: Seleccione la celda en la comumna B con el nombre del proyecto")</f>
        <v>Alerta: Seleccione la celda en la comumna B con el nombre del proyecto</v>
      </c>
      <c r="AQ939" s="634" t="str">
        <f>IF(J939="Funcionamiento Gastos Generales","No aplica",IF(J939="Funcionamiento Servicios Personales","No aplica",IFERROR(VLOOKUP(J939,Listas!$A$220:$D$224,4,FALSE),"Alerta: Seleccione la celda en la comumna B con el nombre del proyecto")))</f>
        <v>Alerta: Seleccione la celda en la comumna B con el nombre del proyecto</v>
      </c>
      <c r="AR939" s="633"/>
      <c r="AS939" s="634" t="str">
        <f>IFERROR(VLOOKUP(AU939,Listas!$E$85:$L$105,7,FALSE),"Alerta: Seleccione la celda en la comumna AI con el concepto de gasto")</f>
        <v>Alerta: Seleccione la celda en la comumna AI con el concepto de gasto</v>
      </c>
      <c r="AT939" s="634" t="str">
        <f>IFERROR(VLOOKUP(AU939,Listas!$E$85:$L$105,8,FALSE),"Alerta: Seleccione la celda en la comumna AI con el concepto de gasto")</f>
        <v>Alerta: Seleccione la celda en la comumna AI con el concepto de gasto</v>
      </c>
      <c r="AU939" s="633"/>
      <c r="AV939" s="634" t="str">
        <f>IFERROR(VLOOKUP(AU939,Listas!$E$85:$F$105,2,FALSE),"Alerta: Seleccione el Concepto de Gasto primero")</f>
        <v>Alerta: Seleccione el Concepto de Gasto primero</v>
      </c>
      <c r="AW939" s="644"/>
      <c r="AX939" s="645"/>
      <c r="AY939" s="645"/>
      <c r="AZ939" s="645"/>
      <c r="BA939" s="646">
        <f t="shared" si="294"/>
        <v>0</v>
      </c>
      <c r="BB939" s="647"/>
      <c r="BC939" s="648"/>
      <c r="BD939" s="649"/>
      <c r="BE939" s="647"/>
      <c r="BF939" s="644"/>
      <c r="BG939" s="646">
        <f t="shared" si="295"/>
        <v>0</v>
      </c>
      <c r="BH939" s="650"/>
      <c r="BI939" s="647"/>
      <c r="BJ939" s="644"/>
      <c r="BK939" s="646">
        <f t="shared" si="296"/>
        <v>0</v>
      </c>
      <c r="BL939" s="651"/>
      <c r="BM939" s="652">
        <f t="shared" si="297"/>
        <v>1</v>
      </c>
      <c r="BN939" s="628"/>
      <c r="BO939" s="670"/>
      <c r="BP939" s="644"/>
      <c r="BQ939" s="644"/>
      <c r="BR939" s="644"/>
      <c r="BS939" s="644"/>
      <c r="BT939" s="644"/>
      <c r="BU939" s="644"/>
      <c r="BV939" s="644"/>
      <c r="BW939" s="644"/>
      <c r="BX939" s="644"/>
      <c r="BY939" s="644"/>
      <c r="BZ939" s="644"/>
      <c r="CA939" s="644"/>
      <c r="CB939" s="646">
        <f t="shared" si="298"/>
        <v>0</v>
      </c>
      <c r="CC939" s="646">
        <f t="shared" si="299"/>
        <v>0</v>
      </c>
      <c r="CD939" s="614"/>
    </row>
    <row r="940" spans="1:82" s="561" customFormat="1" ht="61.5" customHeight="1">
      <c r="A940" s="625" t="str">
        <f t="shared" si="281"/>
        <v>proyecto-Alerta: Seleccione la celda en la comumna B con el nombre del proyecto-Al-Al--</v>
      </c>
      <c r="B940" s="626" t="str">
        <f t="shared" si="282"/>
        <v>proyecto-Alerta: Seleccione la celda en la comumna B con el nombre del proyecto-Al-Al-</v>
      </c>
      <c r="C940" s="626" t="str">
        <f t="shared" si="283"/>
        <v>proyecto-Alerta: Seleccione la celda en la comumna B con el nombre del proyecto-</v>
      </c>
      <c r="D940" s="626" t="str">
        <f t="shared" si="284"/>
        <v>proyecto--Al-Al-</v>
      </c>
      <c r="E940" s="626" t="str">
        <f t="shared" si="285"/>
        <v>--</v>
      </c>
      <c r="F940" s="627"/>
      <c r="G940" s="628">
        <f t="shared" si="286"/>
        <v>0</v>
      </c>
      <c r="H940" s="629" t="b">
        <f t="shared" si="287"/>
        <v>1</v>
      </c>
      <c r="I940" s="630"/>
      <c r="J940" s="627"/>
      <c r="K940" s="631" t="str">
        <f>+IFERROR(VLOOKUP(J940,Listas!$A$108:$B$114,2,FALSE),"Alerta: Seleccione la celda en la comumna B con el nombre del proyecto")</f>
        <v>Alerta: Seleccione la celda en la comumna B con el nombre del proyecto</v>
      </c>
      <c r="L940" s="632"/>
      <c r="M940" s="633"/>
      <c r="N940" s="634" t="str">
        <f t="shared" si="288"/>
        <v xml:space="preserve">(Cód. ) </v>
      </c>
      <c r="O940" s="635"/>
      <c r="P940" s="636">
        <f>IFERROR(VLOOKUP(W940,'Estimación CRP'!$D$21:$E$30,2,FALSE),0)</f>
        <v>0</v>
      </c>
      <c r="Q940" s="637">
        <f>IF(O940="No aplica","No aplica",WORKDAY.INTL(O940,P940,1,'Estimación CRP'!A1126:A1142))</f>
        <v>0</v>
      </c>
      <c r="R940" s="636">
        <f t="shared" si="289"/>
        <v>1</v>
      </c>
      <c r="S940" s="636">
        <f t="shared" si="290"/>
        <v>1</v>
      </c>
      <c r="T940" s="636">
        <f t="shared" si="291"/>
        <v>1</v>
      </c>
      <c r="U940" s="638"/>
      <c r="V940" s="638"/>
      <c r="W940" s="639"/>
      <c r="X940" s="640" t="str">
        <f>IFERROR(VLOOKUP(W940,Listas!$A$60:$B$73,2,FALSE),"Alerta: Seleccione primero Modalidad de selección")</f>
        <v>Alerta: Seleccione primero Modalidad de selección</v>
      </c>
      <c r="Y940" s="641">
        <v>0</v>
      </c>
      <c r="Z940" s="641"/>
      <c r="AA940" s="641"/>
      <c r="AB940" s="642">
        <f t="shared" si="292"/>
        <v>0</v>
      </c>
      <c r="AC940" s="642">
        <f t="shared" si="293"/>
        <v>0</v>
      </c>
      <c r="AD940" s="641">
        <v>0</v>
      </c>
      <c r="AE940" s="643">
        <v>0</v>
      </c>
      <c r="AF940" s="639" t="s">
        <v>276</v>
      </c>
      <c r="AG940" s="639" t="s">
        <v>277</v>
      </c>
      <c r="AH940" s="639"/>
      <c r="AI940" s="626" t="str">
        <f>IFERROR(VLOOKUP(AH940,Listas!$A$77:$C$83,2,FALSE),"Alerta: Seleccione primero el responsable")</f>
        <v>Alerta: Seleccione primero el responsable</v>
      </c>
      <c r="AJ940" s="640" t="str">
        <f>IFERROR(VLOOKUP(AH940,Listas!$A$77:$C$83,3,FALSE),"Alerta: Seleccione primero el responsable")</f>
        <v>Alerta: Seleccione primero el responsable</v>
      </c>
      <c r="AK940" s="640" t="str">
        <f>IF(J940="Funcionamiento Gastos Generales","No aplica",IF(J940="Funcionamiento Servicios Personales indirectos","No aplica",IFERROR(VLOOKUP(J940,Listas!$A$127:$E$139,3,FALSE),"Alerta: Seleccione la celda en la comumna B con el nombre del proyecto")))</f>
        <v>Alerta: Seleccione la celda en la comumna B con el nombre del proyecto</v>
      </c>
      <c r="AL940" s="640" t="str">
        <f>IF(J940="Funcionamiento Gastos Generales","No aplica",IF(J940="Funcionamiento Servicios Personales","No aplica",IFERROR(VLOOKUP(J940,Listas!$A$220:$D$224,2,FALSE),"Alerta: Seleccione la celda en la comumna B con el nombre del proyecto")))</f>
        <v>Alerta: Seleccione la celda en la comumna B con el nombre del proyecto</v>
      </c>
      <c r="AM940" s="640" t="str">
        <f>IF(J940="Funcionamiento Gastos Generales","No aplica",IF(J940="Funcionamiento Servicios Personales","No aplica",IFERROR(VLOOKUP(J940,Listas!$A$220:$D$224,3,FALSE),"Alerta: Seleccione la celda en la comumna B con el nombre del proyecto")))</f>
        <v>Alerta: Seleccione la celda en la comumna B con el nombre del proyecto</v>
      </c>
      <c r="AN940" s="633"/>
      <c r="AO940" s="633"/>
      <c r="AP940" s="634" t="str">
        <f>IFERROR(VLOOKUP(J940,Listas!$A$182:$E$215,5,FALSE),"Alerta: Seleccione la celda en la comumna B con el nombre del proyecto")</f>
        <v>Alerta: Seleccione la celda en la comumna B con el nombre del proyecto</v>
      </c>
      <c r="AQ940" s="634" t="str">
        <f>IF(J940="Funcionamiento Gastos Generales","No aplica",IF(J940="Funcionamiento Servicios Personales","No aplica",IFERROR(VLOOKUP(J940,Listas!$A$220:$D$224,4,FALSE),"Alerta: Seleccione la celda en la comumna B con el nombre del proyecto")))</f>
        <v>Alerta: Seleccione la celda en la comumna B con el nombre del proyecto</v>
      </c>
      <c r="AR940" s="633"/>
      <c r="AS940" s="634" t="str">
        <f>IFERROR(VLOOKUP(AU940,Listas!$E$85:$L$105,7,FALSE),"Alerta: Seleccione la celda en la comumna AI con el concepto de gasto")</f>
        <v>Alerta: Seleccione la celda en la comumna AI con el concepto de gasto</v>
      </c>
      <c r="AT940" s="634" t="str">
        <f>IFERROR(VLOOKUP(AU940,Listas!$E$85:$L$105,8,FALSE),"Alerta: Seleccione la celda en la comumna AI con el concepto de gasto")</f>
        <v>Alerta: Seleccione la celda en la comumna AI con el concepto de gasto</v>
      </c>
      <c r="AU940" s="633"/>
      <c r="AV940" s="634" t="str">
        <f>IFERROR(VLOOKUP(AU940,Listas!$E$85:$F$105,2,FALSE),"Alerta: Seleccione el Concepto de Gasto primero")</f>
        <v>Alerta: Seleccione el Concepto de Gasto primero</v>
      </c>
      <c r="AW940" s="644"/>
      <c r="AX940" s="645"/>
      <c r="AY940" s="645"/>
      <c r="AZ940" s="645"/>
      <c r="BA940" s="646">
        <f t="shared" si="294"/>
        <v>0</v>
      </c>
      <c r="BB940" s="647"/>
      <c r="BC940" s="648"/>
      <c r="BD940" s="649"/>
      <c r="BE940" s="647"/>
      <c r="BF940" s="644"/>
      <c r="BG940" s="646">
        <f t="shared" si="295"/>
        <v>0</v>
      </c>
      <c r="BH940" s="650"/>
      <c r="BI940" s="647"/>
      <c r="BJ940" s="644"/>
      <c r="BK940" s="646">
        <f t="shared" si="296"/>
        <v>0</v>
      </c>
      <c r="BL940" s="651"/>
      <c r="BM940" s="652">
        <f t="shared" si="297"/>
        <v>1</v>
      </c>
      <c r="BN940" s="628"/>
      <c r="BO940" s="670"/>
      <c r="BP940" s="644"/>
      <c r="BQ940" s="644"/>
      <c r="BR940" s="644"/>
      <c r="BS940" s="644"/>
      <c r="BT940" s="644"/>
      <c r="BU940" s="644"/>
      <c r="BV940" s="644"/>
      <c r="BW940" s="644"/>
      <c r="BX940" s="644"/>
      <c r="BY940" s="644"/>
      <c r="BZ940" s="644"/>
      <c r="CA940" s="644"/>
      <c r="CB940" s="646">
        <f t="shared" si="298"/>
        <v>0</v>
      </c>
      <c r="CC940" s="646">
        <f t="shared" si="299"/>
        <v>0</v>
      </c>
      <c r="CD940" s="614"/>
    </row>
    <row r="941" spans="1:82" s="561" customFormat="1" ht="61.5" customHeight="1">
      <c r="A941" s="625" t="str">
        <f t="shared" si="281"/>
        <v>proyecto-Alerta: Seleccione la celda en la comumna B con el nombre del proyecto-Al-Al--</v>
      </c>
      <c r="B941" s="626" t="str">
        <f t="shared" si="282"/>
        <v>proyecto-Alerta: Seleccione la celda en la comumna B con el nombre del proyecto-Al-Al-</v>
      </c>
      <c r="C941" s="626" t="str">
        <f t="shared" si="283"/>
        <v>proyecto-Alerta: Seleccione la celda en la comumna B con el nombre del proyecto-</v>
      </c>
      <c r="D941" s="626" t="str">
        <f t="shared" si="284"/>
        <v>proyecto--Al-Al-</v>
      </c>
      <c r="E941" s="626" t="str">
        <f t="shared" si="285"/>
        <v>--</v>
      </c>
      <c r="F941" s="627"/>
      <c r="G941" s="628">
        <f t="shared" si="286"/>
        <v>0</v>
      </c>
      <c r="H941" s="629" t="b">
        <f t="shared" si="287"/>
        <v>1</v>
      </c>
      <c r="I941" s="630"/>
      <c r="J941" s="627"/>
      <c r="K941" s="631" t="str">
        <f>+IFERROR(VLOOKUP(J941,Listas!$A$108:$B$114,2,FALSE),"Alerta: Seleccione la celda en la comumna B con el nombre del proyecto")</f>
        <v>Alerta: Seleccione la celda en la comumna B con el nombre del proyecto</v>
      </c>
      <c r="L941" s="632"/>
      <c r="M941" s="633"/>
      <c r="N941" s="634" t="str">
        <f t="shared" si="288"/>
        <v xml:space="preserve">(Cód. ) </v>
      </c>
      <c r="O941" s="635"/>
      <c r="P941" s="636">
        <f>IFERROR(VLOOKUP(W941,'Estimación CRP'!$D$21:$E$30,2,FALSE),0)</f>
        <v>0</v>
      </c>
      <c r="Q941" s="637">
        <f>IF(O941="No aplica","No aplica",WORKDAY.INTL(O941,P941,1,'Estimación CRP'!A1127:A1143))</f>
        <v>0</v>
      </c>
      <c r="R941" s="636">
        <f t="shared" si="289"/>
        <v>1</v>
      </c>
      <c r="S941" s="636">
        <f t="shared" si="290"/>
        <v>1</v>
      </c>
      <c r="T941" s="636">
        <f t="shared" si="291"/>
        <v>1</v>
      </c>
      <c r="U941" s="638"/>
      <c r="V941" s="638"/>
      <c r="W941" s="639"/>
      <c r="X941" s="640" t="str">
        <f>IFERROR(VLOOKUP(W941,Listas!$A$60:$B$73,2,FALSE),"Alerta: Seleccione primero Modalidad de selección")</f>
        <v>Alerta: Seleccione primero Modalidad de selección</v>
      </c>
      <c r="Y941" s="641">
        <v>0</v>
      </c>
      <c r="Z941" s="641"/>
      <c r="AA941" s="641"/>
      <c r="AB941" s="642">
        <f t="shared" si="292"/>
        <v>0</v>
      </c>
      <c r="AC941" s="642">
        <f t="shared" si="293"/>
        <v>0</v>
      </c>
      <c r="AD941" s="641">
        <v>0</v>
      </c>
      <c r="AE941" s="643">
        <v>0</v>
      </c>
      <c r="AF941" s="639" t="s">
        <v>276</v>
      </c>
      <c r="AG941" s="639" t="s">
        <v>277</v>
      </c>
      <c r="AH941" s="639"/>
      <c r="AI941" s="626" t="str">
        <f>IFERROR(VLOOKUP(AH941,Listas!$A$77:$C$83,2,FALSE),"Alerta: Seleccione primero el responsable")</f>
        <v>Alerta: Seleccione primero el responsable</v>
      </c>
      <c r="AJ941" s="640" t="str">
        <f>IFERROR(VLOOKUP(AH941,Listas!$A$77:$C$83,3,FALSE),"Alerta: Seleccione primero el responsable")</f>
        <v>Alerta: Seleccione primero el responsable</v>
      </c>
      <c r="AK941" s="640" t="str">
        <f>IF(J941="Funcionamiento Gastos Generales","No aplica",IF(J941="Funcionamiento Servicios Personales indirectos","No aplica",IFERROR(VLOOKUP(J941,Listas!$A$127:$E$139,3,FALSE),"Alerta: Seleccione la celda en la comumna B con el nombre del proyecto")))</f>
        <v>Alerta: Seleccione la celda en la comumna B con el nombre del proyecto</v>
      </c>
      <c r="AL941" s="640" t="str">
        <f>IF(J941="Funcionamiento Gastos Generales","No aplica",IF(J941="Funcionamiento Servicios Personales","No aplica",IFERROR(VLOOKUP(J941,Listas!$A$220:$D$224,2,FALSE),"Alerta: Seleccione la celda en la comumna B con el nombre del proyecto")))</f>
        <v>Alerta: Seleccione la celda en la comumna B con el nombre del proyecto</v>
      </c>
      <c r="AM941" s="640" t="str">
        <f>IF(J941="Funcionamiento Gastos Generales","No aplica",IF(J941="Funcionamiento Servicios Personales","No aplica",IFERROR(VLOOKUP(J941,Listas!$A$220:$D$224,3,FALSE),"Alerta: Seleccione la celda en la comumna B con el nombre del proyecto")))</f>
        <v>Alerta: Seleccione la celda en la comumna B con el nombre del proyecto</v>
      </c>
      <c r="AN941" s="633"/>
      <c r="AO941" s="633"/>
      <c r="AP941" s="634" t="str">
        <f>IFERROR(VLOOKUP(J941,Listas!$A$182:$E$215,5,FALSE),"Alerta: Seleccione la celda en la comumna B con el nombre del proyecto")</f>
        <v>Alerta: Seleccione la celda en la comumna B con el nombre del proyecto</v>
      </c>
      <c r="AQ941" s="634" t="str">
        <f>IF(J941="Funcionamiento Gastos Generales","No aplica",IF(J941="Funcionamiento Servicios Personales","No aplica",IFERROR(VLOOKUP(J941,Listas!$A$220:$D$224,4,FALSE),"Alerta: Seleccione la celda en la comumna B con el nombre del proyecto")))</f>
        <v>Alerta: Seleccione la celda en la comumna B con el nombre del proyecto</v>
      </c>
      <c r="AR941" s="633"/>
      <c r="AS941" s="634" t="str">
        <f>IFERROR(VLOOKUP(AU941,Listas!$E$85:$L$105,7,FALSE),"Alerta: Seleccione la celda en la comumna AI con el concepto de gasto")</f>
        <v>Alerta: Seleccione la celda en la comumna AI con el concepto de gasto</v>
      </c>
      <c r="AT941" s="634" t="str">
        <f>IFERROR(VLOOKUP(AU941,Listas!$E$85:$L$105,8,FALSE),"Alerta: Seleccione la celda en la comumna AI con el concepto de gasto")</f>
        <v>Alerta: Seleccione la celda en la comumna AI con el concepto de gasto</v>
      </c>
      <c r="AU941" s="633"/>
      <c r="AV941" s="634" t="str">
        <f>IFERROR(VLOOKUP(AU941,Listas!$E$85:$F$105,2,FALSE),"Alerta: Seleccione el Concepto de Gasto primero")</f>
        <v>Alerta: Seleccione el Concepto de Gasto primero</v>
      </c>
      <c r="AW941" s="644"/>
      <c r="AX941" s="645"/>
      <c r="AY941" s="645"/>
      <c r="AZ941" s="645"/>
      <c r="BA941" s="646">
        <f t="shared" si="294"/>
        <v>0</v>
      </c>
      <c r="BB941" s="647"/>
      <c r="BC941" s="648"/>
      <c r="BD941" s="649"/>
      <c r="BE941" s="647"/>
      <c r="BF941" s="644"/>
      <c r="BG941" s="646">
        <f t="shared" si="295"/>
        <v>0</v>
      </c>
      <c r="BH941" s="650"/>
      <c r="BI941" s="647"/>
      <c r="BJ941" s="644"/>
      <c r="BK941" s="646">
        <f t="shared" si="296"/>
        <v>0</v>
      </c>
      <c r="BL941" s="651"/>
      <c r="BM941" s="652">
        <f t="shared" si="297"/>
        <v>1</v>
      </c>
      <c r="BN941" s="628"/>
      <c r="BO941" s="670"/>
      <c r="BP941" s="644"/>
      <c r="BQ941" s="644"/>
      <c r="BR941" s="644"/>
      <c r="BS941" s="644"/>
      <c r="BT941" s="644"/>
      <c r="BU941" s="644"/>
      <c r="BV941" s="644"/>
      <c r="BW941" s="644"/>
      <c r="BX941" s="644"/>
      <c r="BY941" s="644"/>
      <c r="BZ941" s="644"/>
      <c r="CA941" s="644"/>
      <c r="CB941" s="646">
        <f t="shared" si="298"/>
        <v>0</v>
      </c>
      <c r="CC941" s="646">
        <f t="shared" si="299"/>
        <v>0</v>
      </c>
      <c r="CD941" s="614"/>
    </row>
    <row r="942" spans="1:82" s="561" customFormat="1" ht="61.5" customHeight="1">
      <c r="A942" s="625" t="str">
        <f t="shared" si="281"/>
        <v>proyecto-Alerta: Seleccione la celda en la comumna B con el nombre del proyecto-Al-Al--</v>
      </c>
      <c r="B942" s="626" t="str">
        <f t="shared" si="282"/>
        <v>proyecto-Alerta: Seleccione la celda en la comumna B con el nombre del proyecto-Al-Al-</v>
      </c>
      <c r="C942" s="626" t="str">
        <f t="shared" si="283"/>
        <v>proyecto-Alerta: Seleccione la celda en la comumna B con el nombre del proyecto-</v>
      </c>
      <c r="D942" s="626" t="str">
        <f t="shared" si="284"/>
        <v>proyecto--Al-Al-</v>
      </c>
      <c r="E942" s="626" t="str">
        <f t="shared" si="285"/>
        <v>--</v>
      </c>
      <c r="F942" s="627"/>
      <c r="G942" s="628">
        <f t="shared" si="286"/>
        <v>0</v>
      </c>
      <c r="H942" s="629" t="b">
        <f t="shared" si="287"/>
        <v>1</v>
      </c>
      <c r="I942" s="630"/>
      <c r="J942" s="627"/>
      <c r="K942" s="631" t="str">
        <f>+IFERROR(VLOOKUP(J942,Listas!$A$108:$B$114,2,FALSE),"Alerta: Seleccione la celda en la comumna B con el nombre del proyecto")</f>
        <v>Alerta: Seleccione la celda en la comumna B con el nombre del proyecto</v>
      </c>
      <c r="L942" s="632"/>
      <c r="M942" s="633"/>
      <c r="N942" s="634" t="str">
        <f t="shared" si="288"/>
        <v xml:space="preserve">(Cód. ) </v>
      </c>
      <c r="O942" s="635"/>
      <c r="P942" s="636">
        <f>IFERROR(VLOOKUP(W942,'Estimación CRP'!$D$21:$E$30,2,FALSE),0)</f>
        <v>0</v>
      </c>
      <c r="Q942" s="637">
        <f>IF(O942="No aplica","No aplica",WORKDAY.INTL(O942,P942,1,'Estimación CRP'!A1128:A1144))</f>
        <v>0</v>
      </c>
      <c r="R942" s="636">
        <f t="shared" si="289"/>
        <v>1</v>
      </c>
      <c r="S942" s="636">
        <f t="shared" si="290"/>
        <v>1</v>
      </c>
      <c r="T942" s="636">
        <f t="shared" si="291"/>
        <v>1</v>
      </c>
      <c r="U942" s="638"/>
      <c r="V942" s="638"/>
      <c r="W942" s="639"/>
      <c r="X942" s="640" t="str">
        <f>IFERROR(VLOOKUP(W942,Listas!$A$60:$B$73,2,FALSE),"Alerta: Seleccione primero Modalidad de selección")</f>
        <v>Alerta: Seleccione primero Modalidad de selección</v>
      </c>
      <c r="Y942" s="641">
        <v>0</v>
      </c>
      <c r="Z942" s="641"/>
      <c r="AA942" s="641"/>
      <c r="AB942" s="642">
        <f t="shared" si="292"/>
        <v>0</v>
      </c>
      <c r="AC942" s="642">
        <f t="shared" si="293"/>
        <v>0</v>
      </c>
      <c r="AD942" s="641">
        <v>0</v>
      </c>
      <c r="AE942" s="643">
        <v>0</v>
      </c>
      <c r="AF942" s="639" t="s">
        <v>276</v>
      </c>
      <c r="AG942" s="639" t="s">
        <v>277</v>
      </c>
      <c r="AH942" s="639"/>
      <c r="AI942" s="626" t="str">
        <f>IFERROR(VLOOKUP(AH942,Listas!$A$77:$C$83,2,FALSE),"Alerta: Seleccione primero el responsable")</f>
        <v>Alerta: Seleccione primero el responsable</v>
      </c>
      <c r="AJ942" s="640" t="str">
        <f>IFERROR(VLOOKUP(AH942,Listas!$A$77:$C$83,3,FALSE),"Alerta: Seleccione primero el responsable")</f>
        <v>Alerta: Seleccione primero el responsable</v>
      </c>
      <c r="AK942" s="640" t="str">
        <f>IF(J942="Funcionamiento Gastos Generales","No aplica",IF(J942="Funcionamiento Servicios Personales indirectos","No aplica",IFERROR(VLOOKUP(J942,Listas!$A$127:$E$139,3,FALSE),"Alerta: Seleccione la celda en la comumna B con el nombre del proyecto")))</f>
        <v>Alerta: Seleccione la celda en la comumna B con el nombre del proyecto</v>
      </c>
      <c r="AL942" s="640" t="str">
        <f>IF(J942="Funcionamiento Gastos Generales","No aplica",IF(J942="Funcionamiento Servicios Personales","No aplica",IFERROR(VLOOKUP(J942,Listas!$A$220:$D$224,2,FALSE),"Alerta: Seleccione la celda en la comumna B con el nombre del proyecto")))</f>
        <v>Alerta: Seleccione la celda en la comumna B con el nombre del proyecto</v>
      </c>
      <c r="AM942" s="640" t="str">
        <f>IF(J942="Funcionamiento Gastos Generales","No aplica",IF(J942="Funcionamiento Servicios Personales","No aplica",IFERROR(VLOOKUP(J942,Listas!$A$220:$D$224,3,FALSE),"Alerta: Seleccione la celda en la comumna B con el nombre del proyecto")))</f>
        <v>Alerta: Seleccione la celda en la comumna B con el nombre del proyecto</v>
      </c>
      <c r="AN942" s="633"/>
      <c r="AO942" s="633"/>
      <c r="AP942" s="634" t="str">
        <f>IFERROR(VLOOKUP(J942,Listas!$A$182:$E$215,5,FALSE),"Alerta: Seleccione la celda en la comumna B con el nombre del proyecto")</f>
        <v>Alerta: Seleccione la celda en la comumna B con el nombre del proyecto</v>
      </c>
      <c r="AQ942" s="634" t="str">
        <f>IF(J942="Funcionamiento Gastos Generales","No aplica",IF(J942="Funcionamiento Servicios Personales","No aplica",IFERROR(VLOOKUP(J942,Listas!$A$220:$D$224,4,FALSE),"Alerta: Seleccione la celda en la comumna B con el nombre del proyecto")))</f>
        <v>Alerta: Seleccione la celda en la comumna B con el nombre del proyecto</v>
      </c>
      <c r="AR942" s="633"/>
      <c r="AS942" s="634" t="str">
        <f>IFERROR(VLOOKUP(AU942,Listas!$E$85:$L$105,7,FALSE),"Alerta: Seleccione la celda en la comumna AI con el concepto de gasto")</f>
        <v>Alerta: Seleccione la celda en la comumna AI con el concepto de gasto</v>
      </c>
      <c r="AT942" s="634" t="str">
        <f>IFERROR(VLOOKUP(AU942,Listas!$E$85:$L$105,8,FALSE),"Alerta: Seleccione la celda en la comumna AI con el concepto de gasto")</f>
        <v>Alerta: Seleccione la celda en la comumna AI con el concepto de gasto</v>
      </c>
      <c r="AU942" s="633"/>
      <c r="AV942" s="634" t="str">
        <f>IFERROR(VLOOKUP(AU942,Listas!$E$85:$F$105,2,FALSE),"Alerta: Seleccione el Concepto de Gasto primero")</f>
        <v>Alerta: Seleccione el Concepto de Gasto primero</v>
      </c>
      <c r="AW942" s="644"/>
      <c r="AX942" s="645"/>
      <c r="AY942" s="645"/>
      <c r="AZ942" s="645"/>
      <c r="BA942" s="646">
        <f t="shared" si="294"/>
        <v>0</v>
      </c>
      <c r="BB942" s="647"/>
      <c r="BC942" s="648"/>
      <c r="BD942" s="649"/>
      <c r="BE942" s="647"/>
      <c r="BF942" s="644"/>
      <c r="BG942" s="646">
        <f t="shared" si="295"/>
        <v>0</v>
      </c>
      <c r="BH942" s="650"/>
      <c r="BI942" s="647"/>
      <c r="BJ942" s="644"/>
      <c r="BK942" s="646">
        <f t="shared" si="296"/>
        <v>0</v>
      </c>
      <c r="BL942" s="651"/>
      <c r="BM942" s="652">
        <f t="shared" si="297"/>
        <v>1</v>
      </c>
      <c r="BN942" s="628"/>
      <c r="BO942" s="670"/>
      <c r="BP942" s="644"/>
      <c r="BQ942" s="644"/>
      <c r="BR942" s="644"/>
      <c r="BS942" s="644"/>
      <c r="BT942" s="644"/>
      <c r="BU942" s="644"/>
      <c r="BV942" s="644"/>
      <c r="BW942" s="644"/>
      <c r="BX942" s="644"/>
      <c r="BY942" s="644"/>
      <c r="BZ942" s="644"/>
      <c r="CA942" s="644"/>
      <c r="CB942" s="646">
        <f t="shared" si="298"/>
        <v>0</v>
      </c>
      <c r="CC942" s="646">
        <f t="shared" si="299"/>
        <v>0</v>
      </c>
      <c r="CD942" s="614"/>
    </row>
    <row r="943" spans="1:82" s="561" customFormat="1" ht="61.5" customHeight="1">
      <c r="A943" s="625" t="str">
        <f t="shared" si="281"/>
        <v>proyecto-Alerta: Seleccione la celda en la comumna B con el nombre del proyecto-Al-Al--</v>
      </c>
      <c r="B943" s="626" t="str">
        <f t="shared" si="282"/>
        <v>proyecto-Alerta: Seleccione la celda en la comumna B con el nombre del proyecto-Al-Al-</v>
      </c>
      <c r="C943" s="626" t="str">
        <f t="shared" si="283"/>
        <v>proyecto-Alerta: Seleccione la celda en la comumna B con el nombre del proyecto-</v>
      </c>
      <c r="D943" s="626" t="str">
        <f t="shared" si="284"/>
        <v>proyecto--Al-Al-</v>
      </c>
      <c r="E943" s="626" t="str">
        <f t="shared" si="285"/>
        <v>--</v>
      </c>
      <c r="F943" s="627"/>
      <c r="G943" s="628">
        <f t="shared" si="286"/>
        <v>0</v>
      </c>
      <c r="H943" s="629" t="b">
        <f t="shared" si="287"/>
        <v>1</v>
      </c>
      <c r="I943" s="630"/>
      <c r="J943" s="627"/>
      <c r="K943" s="631" t="str">
        <f>+IFERROR(VLOOKUP(J943,Listas!$A$108:$B$114,2,FALSE),"Alerta: Seleccione la celda en la comumna B con el nombre del proyecto")</f>
        <v>Alerta: Seleccione la celda en la comumna B con el nombre del proyecto</v>
      </c>
      <c r="L943" s="632"/>
      <c r="M943" s="633"/>
      <c r="N943" s="634" t="str">
        <f t="shared" si="288"/>
        <v xml:space="preserve">(Cód. ) </v>
      </c>
      <c r="O943" s="635"/>
      <c r="P943" s="636">
        <f>IFERROR(VLOOKUP(W943,'Estimación CRP'!$D$21:$E$30,2,FALSE),0)</f>
        <v>0</v>
      </c>
      <c r="Q943" s="637">
        <f>IF(O943="No aplica","No aplica",WORKDAY.INTL(O943,P943,1,'Estimación CRP'!A1129:A1145))</f>
        <v>0</v>
      </c>
      <c r="R943" s="636">
        <f t="shared" si="289"/>
        <v>1</v>
      </c>
      <c r="S943" s="636">
        <f t="shared" si="290"/>
        <v>1</v>
      </c>
      <c r="T943" s="636">
        <f t="shared" si="291"/>
        <v>1</v>
      </c>
      <c r="U943" s="638"/>
      <c r="V943" s="638"/>
      <c r="W943" s="639"/>
      <c r="X943" s="640" t="str">
        <f>IFERROR(VLOOKUP(W943,Listas!$A$60:$B$73,2,FALSE),"Alerta: Seleccione primero Modalidad de selección")</f>
        <v>Alerta: Seleccione primero Modalidad de selección</v>
      </c>
      <c r="Y943" s="641">
        <v>0</v>
      </c>
      <c r="Z943" s="641"/>
      <c r="AA943" s="641"/>
      <c r="AB943" s="642">
        <f t="shared" si="292"/>
        <v>0</v>
      </c>
      <c r="AC943" s="642">
        <f t="shared" si="293"/>
        <v>0</v>
      </c>
      <c r="AD943" s="641">
        <v>0</v>
      </c>
      <c r="AE943" s="643">
        <v>0</v>
      </c>
      <c r="AF943" s="639" t="s">
        <v>276</v>
      </c>
      <c r="AG943" s="639" t="s">
        <v>277</v>
      </c>
      <c r="AH943" s="639"/>
      <c r="AI943" s="626" t="str">
        <f>IFERROR(VLOOKUP(AH943,Listas!$A$77:$C$83,2,FALSE),"Alerta: Seleccione primero el responsable")</f>
        <v>Alerta: Seleccione primero el responsable</v>
      </c>
      <c r="AJ943" s="640" t="str">
        <f>IFERROR(VLOOKUP(AH943,Listas!$A$77:$C$83,3,FALSE),"Alerta: Seleccione primero el responsable")</f>
        <v>Alerta: Seleccione primero el responsable</v>
      </c>
      <c r="AK943" s="640" t="str">
        <f>IF(J943="Funcionamiento Gastos Generales","No aplica",IF(J943="Funcionamiento Servicios Personales indirectos","No aplica",IFERROR(VLOOKUP(J943,Listas!$A$127:$E$139,3,FALSE),"Alerta: Seleccione la celda en la comumna B con el nombre del proyecto")))</f>
        <v>Alerta: Seleccione la celda en la comumna B con el nombre del proyecto</v>
      </c>
      <c r="AL943" s="640" t="str">
        <f>IF(J943="Funcionamiento Gastos Generales","No aplica",IF(J943="Funcionamiento Servicios Personales","No aplica",IFERROR(VLOOKUP(J943,Listas!$A$220:$D$224,2,FALSE),"Alerta: Seleccione la celda en la comumna B con el nombre del proyecto")))</f>
        <v>Alerta: Seleccione la celda en la comumna B con el nombre del proyecto</v>
      </c>
      <c r="AM943" s="640" t="str">
        <f>IF(J943="Funcionamiento Gastos Generales","No aplica",IF(J943="Funcionamiento Servicios Personales","No aplica",IFERROR(VLOOKUP(J943,Listas!$A$220:$D$224,3,FALSE),"Alerta: Seleccione la celda en la comumna B con el nombre del proyecto")))</f>
        <v>Alerta: Seleccione la celda en la comumna B con el nombre del proyecto</v>
      </c>
      <c r="AN943" s="633"/>
      <c r="AO943" s="633"/>
      <c r="AP943" s="634" t="str">
        <f>IFERROR(VLOOKUP(J943,Listas!$A$182:$E$215,5,FALSE),"Alerta: Seleccione la celda en la comumna B con el nombre del proyecto")</f>
        <v>Alerta: Seleccione la celda en la comumna B con el nombre del proyecto</v>
      </c>
      <c r="AQ943" s="634" t="str">
        <f>IF(J943="Funcionamiento Gastos Generales","No aplica",IF(J943="Funcionamiento Servicios Personales","No aplica",IFERROR(VLOOKUP(J943,Listas!$A$220:$D$224,4,FALSE),"Alerta: Seleccione la celda en la comumna B con el nombre del proyecto")))</f>
        <v>Alerta: Seleccione la celda en la comumna B con el nombre del proyecto</v>
      </c>
      <c r="AR943" s="633"/>
      <c r="AS943" s="634" t="str">
        <f>IFERROR(VLOOKUP(AU943,Listas!$E$85:$L$105,7,FALSE),"Alerta: Seleccione la celda en la comumna AI con el concepto de gasto")</f>
        <v>Alerta: Seleccione la celda en la comumna AI con el concepto de gasto</v>
      </c>
      <c r="AT943" s="634" t="str">
        <f>IFERROR(VLOOKUP(AU943,Listas!$E$85:$L$105,8,FALSE),"Alerta: Seleccione la celda en la comumna AI con el concepto de gasto")</f>
        <v>Alerta: Seleccione la celda en la comumna AI con el concepto de gasto</v>
      </c>
      <c r="AU943" s="633"/>
      <c r="AV943" s="634" t="str">
        <f>IFERROR(VLOOKUP(AU943,Listas!$E$85:$F$105,2,FALSE),"Alerta: Seleccione el Concepto de Gasto primero")</f>
        <v>Alerta: Seleccione el Concepto de Gasto primero</v>
      </c>
      <c r="AW943" s="644"/>
      <c r="AX943" s="645"/>
      <c r="AY943" s="645"/>
      <c r="AZ943" s="645"/>
      <c r="BA943" s="646">
        <f t="shared" si="294"/>
        <v>0</v>
      </c>
      <c r="BB943" s="647"/>
      <c r="BC943" s="648"/>
      <c r="BD943" s="649"/>
      <c r="BE943" s="647"/>
      <c r="BF943" s="644"/>
      <c r="BG943" s="646">
        <f t="shared" si="295"/>
        <v>0</v>
      </c>
      <c r="BH943" s="650"/>
      <c r="BI943" s="647"/>
      <c r="BJ943" s="644"/>
      <c r="BK943" s="646">
        <f t="shared" si="296"/>
        <v>0</v>
      </c>
      <c r="BL943" s="651"/>
      <c r="BM943" s="652">
        <f t="shared" si="297"/>
        <v>1</v>
      </c>
      <c r="BN943" s="628"/>
      <c r="BO943" s="670"/>
      <c r="BP943" s="644"/>
      <c r="BQ943" s="644"/>
      <c r="BR943" s="644"/>
      <c r="BS943" s="644"/>
      <c r="BT943" s="644"/>
      <c r="BU943" s="644"/>
      <c r="BV943" s="644"/>
      <c r="BW943" s="644"/>
      <c r="BX943" s="644"/>
      <c r="BY943" s="644"/>
      <c r="BZ943" s="644"/>
      <c r="CA943" s="644"/>
      <c r="CB943" s="646">
        <f t="shared" si="298"/>
        <v>0</v>
      </c>
      <c r="CC943" s="646">
        <f t="shared" si="299"/>
        <v>0</v>
      </c>
      <c r="CD943" s="614"/>
    </row>
    <row r="944" spans="1:82" s="561" customFormat="1" ht="61.5" customHeight="1">
      <c r="A944" s="625" t="str">
        <f t="shared" si="281"/>
        <v>proyecto-Alerta: Seleccione la celda en la comumna B con el nombre del proyecto-Al-Al--</v>
      </c>
      <c r="B944" s="626" t="str">
        <f t="shared" si="282"/>
        <v>proyecto-Alerta: Seleccione la celda en la comumna B con el nombre del proyecto-Al-Al-</v>
      </c>
      <c r="C944" s="626" t="str">
        <f t="shared" si="283"/>
        <v>proyecto-Alerta: Seleccione la celda en la comumna B con el nombre del proyecto-</v>
      </c>
      <c r="D944" s="626" t="str">
        <f t="shared" si="284"/>
        <v>proyecto--Al-Al-</v>
      </c>
      <c r="E944" s="626" t="str">
        <f t="shared" si="285"/>
        <v>--</v>
      </c>
      <c r="F944" s="627"/>
      <c r="G944" s="628">
        <f t="shared" si="286"/>
        <v>0</v>
      </c>
      <c r="H944" s="629" t="b">
        <f t="shared" si="287"/>
        <v>1</v>
      </c>
      <c r="I944" s="630"/>
      <c r="J944" s="627"/>
      <c r="K944" s="631" t="str">
        <f>+IFERROR(VLOOKUP(J944,Listas!$A$108:$B$114,2,FALSE),"Alerta: Seleccione la celda en la comumna B con el nombre del proyecto")</f>
        <v>Alerta: Seleccione la celda en la comumna B con el nombre del proyecto</v>
      </c>
      <c r="L944" s="632"/>
      <c r="M944" s="633"/>
      <c r="N944" s="634" t="str">
        <f t="shared" si="288"/>
        <v xml:space="preserve">(Cód. ) </v>
      </c>
      <c r="O944" s="635"/>
      <c r="P944" s="636">
        <f>IFERROR(VLOOKUP(W944,'Estimación CRP'!$D$21:$E$30,2,FALSE),0)</f>
        <v>0</v>
      </c>
      <c r="Q944" s="637">
        <f>IF(O944="No aplica","No aplica",WORKDAY.INTL(O944,P944,1,'Estimación CRP'!A1130:A1146))</f>
        <v>0</v>
      </c>
      <c r="R944" s="636">
        <f t="shared" si="289"/>
        <v>1</v>
      </c>
      <c r="S944" s="636">
        <f t="shared" si="290"/>
        <v>1</v>
      </c>
      <c r="T944" s="636">
        <f t="shared" si="291"/>
        <v>1</v>
      </c>
      <c r="U944" s="638"/>
      <c r="V944" s="638"/>
      <c r="W944" s="639"/>
      <c r="X944" s="640" t="str">
        <f>IFERROR(VLOOKUP(W944,Listas!$A$60:$B$73,2,FALSE),"Alerta: Seleccione primero Modalidad de selección")</f>
        <v>Alerta: Seleccione primero Modalidad de selección</v>
      </c>
      <c r="Y944" s="641">
        <v>0</v>
      </c>
      <c r="Z944" s="641"/>
      <c r="AA944" s="641"/>
      <c r="AB944" s="642">
        <f t="shared" si="292"/>
        <v>0</v>
      </c>
      <c r="AC944" s="642">
        <f t="shared" si="293"/>
        <v>0</v>
      </c>
      <c r="AD944" s="641">
        <v>0</v>
      </c>
      <c r="AE944" s="643">
        <v>0</v>
      </c>
      <c r="AF944" s="639" t="s">
        <v>276</v>
      </c>
      <c r="AG944" s="639" t="s">
        <v>277</v>
      </c>
      <c r="AH944" s="639"/>
      <c r="AI944" s="626" t="str">
        <f>IFERROR(VLOOKUP(AH944,Listas!$A$77:$C$83,2,FALSE),"Alerta: Seleccione primero el responsable")</f>
        <v>Alerta: Seleccione primero el responsable</v>
      </c>
      <c r="AJ944" s="640" t="str">
        <f>IFERROR(VLOOKUP(AH944,Listas!$A$77:$C$83,3,FALSE),"Alerta: Seleccione primero el responsable")</f>
        <v>Alerta: Seleccione primero el responsable</v>
      </c>
      <c r="AK944" s="640" t="str">
        <f>IF(J944="Funcionamiento Gastos Generales","No aplica",IF(J944="Funcionamiento Servicios Personales indirectos","No aplica",IFERROR(VLOOKUP(J944,Listas!$A$127:$E$139,3,FALSE),"Alerta: Seleccione la celda en la comumna B con el nombre del proyecto")))</f>
        <v>Alerta: Seleccione la celda en la comumna B con el nombre del proyecto</v>
      </c>
      <c r="AL944" s="640" t="str">
        <f>IF(J944="Funcionamiento Gastos Generales","No aplica",IF(J944="Funcionamiento Servicios Personales","No aplica",IFERROR(VLOOKUP(J944,Listas!$A$220:$D$224,2,FALSE),"Alerta: Seleccione la celda en la comumna B con el nombre del proyecto")))</f>
        <v>Alerta: Seleccione la celda en la comumna B con el nombre del proyecto</v>
      </c>
      <c r="AM944" s="640" t="str">
        <f>IF(J944="Funcionamiento Gastos Generales","No aplica",IF(J944="Funcionamiento Servicios Personales","No aplica",IFERROR(VLOOKUP(J944,Listas!$A$220:$D$224,3,FALSE),"Alerta: Seleccione la celda en la comumna B con el nombre del proyecto")))</f>
        <v>Alerta: Seleccione la celda en la comumna B con el nombre del proyecto</v>
      </c>
      <c r="AN944" s="633"/>
      <c r="AO944" s="633"/>
      <c r="AP944" s="634" t="str">
        <f>IFERROR(VLOOKUP(J944,Listas!$A$182:$E$215,5,FALSE),"Alerta: Seleccione la celda en la comumna B con el nombre del proyecto")</f>
        <v>Alerta: Seleccione la celda en la comumna B con el nombre del proyecto</v>
      </c>
      <c r="AQ944" s="634" t="str">
        <f>IF(J944="Funcionamiento Gastos Generales","No aplica",IF(J944="Funcionamiento Servicios Personales","No aplica",IFERROR(VLOOKUP(J944,Listas!$A$220:$D$224,4,FALSE),"Alerta: Seleccione la celda en la comumna B con el nombre del proyecto")))</f>
        <v>Alerta: Seleccione la celda en la comumna B con el nombre del proyecto</v>
      </c>
      <c r="AR944" s="633"/>
      <c r="AS944" s="634" t="str">
        <f>IFERROR(VLOOKUP(AU944,Listas!$E$85:$L$105,7,FALSE),"Alerta: Seleccione la celda en la comumna AI con el concepto de gasto")</f>
        <v>Alerta: Seleccione la celda en la comumna AI con el concepto de gasto</v>
      </c>
      <c r="AT944" s="634" t="str">
        <f>IFERROR(VLOOKUP(AU944,Listas!$E$85:$L$105,8,FALSE),"Alerta: Seleccione la celda en la comumna AI con el concepto de gasto")</f>
        <v>Alerta: Seleccione la celda en la comumna AI con el concepto de gasto</v>
      </c>
      <c r="AU944" s="633"/>
      <c r="AV944" s="634" t="str">
        <f>IFERROR(VLOOKUP(AU944,Listas!$E$85:$F$105,2,FALSE),"Alerta: Seleccione el Concepto de Gasto primero")</f>
        <v>Alerta: Seleccione el Concepto de Gasto primero</v>
      </c>
      <c r="AW944" s="644"/>
      <c r="AX944" s="645"/>
      <c r="AY944" s="645"/>
      <c r="AZ944" s="645"/>
      <c r="BA944" s="646">
        <f t="shared" si="294"/>
        <v>0</v>
      </c>
      <c r="BB944" s="647"/>
      <c r="BC944" s="648"/>
      <c r="BD944" s="649"/>
      <c r="BE944" s="647"/>
      <c r="BF944" s="644"/>
      <c r="BG944" s="646">
        <f t="shared" si="295"/>
        <v>0</v>
      </c>
      <c r="BH944" s="650"/>
      <c r="BI944" s="647"/>
      <c r="BJ944" s="644"/>
      <c r="BK944" s="646">
        <f t="shared" si="296"/>
        <v>0</v>
      </c>
      <c r="BL944" s="651"/>
      <c r="BM944" s="652">
        <f t="shared" si="297"/>
        <v>1</v>
      </c>
      <c r="BN944" s="628"/>
      <c r="BO944" s="670"/>
      <c r="BP944" s="644"/>
      <c r="BQ944" s="644"/>
      <c r="BR944" s="644"/>
      <c r="BS944" s="644"/>
      <c r="BT944" s="644"/>
      <c r="BU944" s="644"/>
      <c r="BV944" s="644"/>
      <c r="BW944" s="644"/>
      <c r="BX944" s="644"/>
      <c r="BY944" s="644"/>
      <c r="BZ944" s="644"/>
      <c r="CA944" s="644"/>
      <c r="CB944" s="646">
        <f t="shared" si="298"/>
        <v>0</v>
      </c>
      <c r="CC944" s="646">
        <f t="shared" si="299"/>
        <v>0</v>
      </c>
      <c r="CD944" s="614"/>
    </row>
    <row r="945" spans="1:82" s="561" customFormat="1" ht="61.5" customHeight="1">
      <c r="A945" s="625" t="str">
        <f t="shared" si="281"/>
        <v>proyecto-Alerta: Seleccione la celda en la comumna B con el nombre del proyecto-Al-Al--</v>
      </c>
      <c r="B945" s="626" t="str">
        <f t="shared" si="282"/>
        <v>proyecto-Alerta: Seleccione la celda en la comumna B con el nombre del proyecto-Al-Al-</v>
      </c>
      <c r="C945" s="626" t="str">
        <f t="shared" si="283"/>
        <v>proyecto-Alerta: Seleccione la celda en la comumna B con el nombre del proyecto-</v>
      </c>
      <c r="D945" s="626" t="str">
        <f t="shared" si="284"/>
        <v>proyecto--Al-Al-</v>
      </c>
      <c r="E945" s="626" t="str">
        <f t="shared" si="285"/>
        <v>--</v>
      </c>
      <c r="F945" s="627"/>
      <c r="G945" s="628">
        <f t="shared" si="286"/>
        <v>0</v>
      </c>
      <c r="H945" s="629" t="b">
        <f t="shared" si="287"/>
        <v>1</v>
      </c>
      <c r="I945" s="630"/>
      <c r="J945" s="627"/>
      <c r="K945" s="631" t="str">
        <f>+IFERROR(VLOOKUP(J945,Listas!$A$108:$B$114,2,FALSE),"Alerta: Seleccione la celda en la comumna B con el nombre del proyecto")</f>
        <v>Alerta: Seleccione la celda en la comumna B con el nombre del proyecto</v>
      </c>
      <c r="L945" s="632"/>
      <c r="M945" s="633"/>
      <c r="N945" s="634" t="str">
        <f t="shared" si="288"/>
        <v xml:space="preserve">(Cód. ) </v>
      </c>
      <c r="O945" s="635"/>
      <c r="P945" s="636">
        <f>IFERROR(VLOOKUP(W945,'Estimación CRP'!$D$21:$E$30,2,FALSE),0)</f>
        <v>0</v>
      </c>
      <c r="Q945" s="637">
        <f>IF(O945="No aplica","No aplica",WORKDAY.INTL(O945,P945,1,'Estimación CRP'!A1131:A1147))</f>
        <v>0</v>
      </c>
      <c r="R945" s="636">
        <f t="shared" si="289"/>
        <v>1</v>
      </c>
      <c r="S945" s="636">
        <f t="shared" si="290"/>
        <v>1</v>
      </c>
      <c r="T945" s="636">
        <f t="shared" si="291"/>
        <v>1</v>
      </c>
      <c r="U945" s="638"/>
      <c r="V945" s="638"/>
      <c r="W945" s="639"/>
      <c r="X945" s="640" t="str">
        <f>IFERROR(VLOOKUP(W945,Listas!$A$60:$B$73,2,FALSE),"Alerta: Seleccione primero Modalidad de selección")</f>
        <v>Alerta: Seleccione primero Modalidad de selección</v>
      </c>
      <c r="Y945" s="641">
        <v>0</v>
      </c>
      <c r="Z945" s="641"/>
      <c r="AA945" s="641"/>
      <c r="AB945" s="642">
        <f t="shared" si="292"/>
        <v>0</v>
      </c>
      <c r="AC945" s="642">
        <f t="shared" si="293"/>
        <v>0</v>
      </c>
      <c r="AD945" s="641">
        <v>0</v>
      </c>
      <c r="AE945" s="643">
        <v>0</v>
      </c>
      <c r="AF945" s="639" t="s">
        <v>276</v>
      </c>
      <c r="AG945" s="639" t="s">
        <v>277</v>
      </c>
      <c r="AH945" s="639"/>
      <c r="AI945" s="626" t="str">
        <f>IFERROR(VLOOKUP(AH945,Listas!$A$77:$C$83,2,FALSE),"Alerta: Seleccione primero el responsable")</f>
        <v>Alerta: Seleccione primero el responsable</v>
      </c>
      <c r="AJ945" s="640" t="str">
        <f>IFERROR(VLOOKUP(AH945,Listas!$A$77:$C$83,3,FALSE),"Alerta: Seleccione primero el responsable")</f>
        <v>Alerta: Seleccione primero el responsable</v>
      </c>
      <c r="AK945" s="640" t="str">
        <f>IF(J945="Funcionamiento Gastos Generales","No aplica",IF(J945="Funcionamiento Servicios Personales indirectos","No aplica",IFERROR(VLOOKUP(J945,Listas!$A$127:$E$139,3,FALSE),"Alerta: Seleccione la celda en la comumna B con el nombre del proyecto")))</f>
        <v>Alerta: Seleccione la celda en la comumna B con el nombre del proyecto</v>
      </c>
      <c r="AL945" s="640" t="str">
        <f>IF(J945="Funcionamiento Gastos Generales","No aplica",IF(J945="Funcionamiento Servicios Personales","No aplica",IFERROR(VLOOKUP(J945,Listas!$A$220:$D$224,2,FALSE),"Alerta: Seleccione la celda en la comumna B con el nombre del proyecto")))</f>
        <v>Alerta: Seleccione la celda en la comumna B con el nombre del proyecto</v>
      </c>
      <c r="AM945" s="640" t="str">
        <f>IF(J945="Funcionamiento Gastos Generales","No aplica",IF(J945="Funcionamiento Servicios Personales","No aplica",IFERROR(VLOOKUP(J945,Listas!$A$220:$D$224,3,FALSE),"Alerta: Seleccione la celda en la comumna B con el nombre del proyecto")))</f>
        <v>Alerta: Seleccione la celda en la comumna B con el nombre del proyecto</v>
      </c>
      <c r="AN945" s="633"/>
      <c r="AO945" s="633"/>
      <c r="AP945" s="634" t="str">
        <f>IFERROR(VLOOKUP(J945,Listas!$A$182:$E$215,5,FALSE),"Alerta: Seleccione la celda en la comumna B con el nombre del proyecto")</f>
        <v>Alerta: Seleccione la celda en la comumna B con el nombre del proyecto</v>
      </c>
      <c r="AQ945" s="634" t="str">
        <f>IF(J945="Funcionamiento Gastos Generales","No aplica",IF(J945="Funcionamiento Servicios Personales","No aplica",IFERROR(VLOOKUP(J945,Listas!$A$220:$D$224,4,FALSE),"Alerta: Seleccione la celda en la comumna B con el nombre del proyecto")))</f>
        <v>Alerta: Seleccione la celda en la comumna B con el nombre del proyecto</v>
      </c>
      <c r="AR945" s="633"/>
      <c r="AS945" s="634" t="str">
        <f>IFERROR(VLOOKUP(AU945,Listas!$E$85:$L$105,7,FALSE),"Alerta: Seleccione la celda en la comumna AI con el concepto de gasto")</f>
        <v>Alerta: Seleccione la celda en la comumna AI con el concepto de gasto</v>
      </c>
      <c r="AT945" s="634" t="str">
        <f>IFERROR(VLOOKUP(AU945,Listas!$E$85:$L$105,8,FALSE),"Alerta: Seleccione la celda en la comumna AI con el concepto de gasto")</f>
        <v>Alerta: Seleccione la celda en la comumna AI con el concepto de gasto</v>
      </c>
      <c r="AU945" s="633"/>
      <c r="AV945" s="634" t="str">
        <f>IFERROR(VLOOKUP(AU945,Listas!$E$85:$F$105,2,FALSE),"Alerta: Seleccione el Concepto de Gasto primero")</f>
        <v>Alerta: Seleccione el Concepto de Gasto primero</v>
      </c>
      <c r="AW945" s="644"/>
      <c r="AX945" s="645"/>
      <c r="AY945" s="645"/>
      <c r="AZ945" s="645"/>
      <c r="BA945" s="646">
        <f t="shared" si="294"/>
        <v>0</v>
      </c>
      <c r="BB945" s="647"/>
      <c r="BC945" s="648"/>
      <c r="BD945" s="649"/>
      <c r="BE945" s="647"/>
      <c r="BF945" s="644"/>
      <c r="BG945" s="646">
        <f t="shared" si="295"/>
        <v>0</v>
      </c>
      <c r="BH945" s="650"/>
      <c r="BI945" s="647"/>
      <c r="BJ945" s="644"/>
      <c r="BK945" s="646">
        <f t="shared" si="296"/>
        <v>0</v>
      </c>
      <c r="BL945" s="651"/>
      <c r="BM945" s="652">
        <f t="shared" si="297"/>
        <v>1</v>
      </c>
      <c r="BN945" s="628"/>
      <c r="BO945" s="670"/>
      <c r="BP945" s="644"/>
      <c r="BQ945" s="644"/>
      <c r="BR945" s="644"/>
      <c r="BS945" s="644"/>
      <c r="BT945" s="644"/>
      <c r="BU945" s="644"/>
      <c r="BV945" s="644"/>
      <c r="BW945" s="644"/>
      <c r="BX945" s="644"/>
      <c r="BY945" s="644"/>
      <c r="BZ945" s="644"/>
      <c r="CA945" s="644"/>
      <c r="CB945" s="646">
        <f t="shared" si="298"/>
        <v>0</v>
      </c>
      <c r="CC945" s="646">
        <f t="shared" si="299"/>
        <v>0</v>
      </c>
      <c r="CD945" s="614"/>
    </row>
    <row r="946" spans="1:82" s="561" customFormat="1" ht="61.5" customHeight="1">
      <c r="A946" s="625" t="str">
        <f t="shared" si="281"/>
        <v>proyecto-Alerta: Seleccione la celda en la comumna B con el nombre del proyecto-Al-Al--</v>
      </c>
      <c r="B946" s="626" t="str">
        <f t="shared" si="282"/>
        <v>proyecto-Alerta: Seleccione la celda en la comumna B con el nombre del proyecto-Al-Al-</v>
      </c>
      <c r="C946" s="626" t="str">
        <f t="shared" si="283"/>
        <v>proyecto-Alerta: Seleccione la celda en la comumna B con el nombre del proyecto-</v>
      </c>
      <c r="D946" s="626" t="str">
        <f t="shared" si="284"/>
        <v>proyecto--Al-Al-</v>
      </c>
      <c r="E946" s="626" t="str">
        <f t="shared" si="285"/>
        <v>--</v>
      </c>
      <c r="F946" s="627"/>
      <c r="G946" s="628">
        <f t="shared" si="286"/>
        <v>0</v>
      </c>
      <c r="H946" s="629" t="b">
        <f t="shared" si="287"/>
        <v>1</v>
      </c>
      <c r="I946" s="630"/>
      <c r="J946" s="627"/>
      <c r="K946" s="631" t="str">
        <f>+IFERROR(VLOOKUP(J946,Listas!$A$108:$B$114,2,FALSE),"Alerta: Seleccione la celda en la comumna B con el nombre del proyecto")</f>
        <v>Alerta: Seleccione la celda en la comumna B con el nombre del proyecto</v>
      </c>
      <c r="L946" s="632"/>
      <c r="M946" s="633"/>
      <c r="N946" s="634" t="str">
        <f t="shared" si="288"/>
        <v xml:space="preserve">(Cód. ) </v>
      </c>
      <c r="O946" s="635"/>
      <c r="P946" s="636">
        <f>IFERROR(VLOOKUP(W946,'Estimación CRP'!$D$21:$E$30,2,FALSE),0)</f>
        <v>0</v>
      </c>
      <c r="Q946" s="637">
        <f>IF(O946="No aplica","No aplica",WORKDAY.INTL(O946,P946,1,'Estimación CRP'!A1132:A1148))</f>
        <v>0</v>
      </c>
      <c r="R946" s="636">
        <f t="shared" si="289"/>
        <v>1</v>
      </c>
      <c r="S946" s="636">
        <f t="shared" si="290"/>
        <v>1</v>
      </c>
      <c r="T946" s="636">
        <f t="shared" si="291"/>
        <v>1</v>
      </c>
      <c r="U946" s="638"/>
      <c r="V946" s="638"/>
      <c r="W946" s="639"/>
      <c r="X946" s="640" t="str">
        <f>IFERROR(VLOOKUP(W946,Listas!$A$60:$B$73,2,FALSE),"Alerta: Seleccione primero Modalidad de selección")</f>
        <v>Alerta: Seleccione primero Modalidad de selección</v>
      </c>
      <c r="Y946" s="641">
        <v>0</v>
      </c>
      <c r="Z946" s="641"/>
      <c r="AA946" s="641"/>
      <c r="AB946" s="642">
        <f t="shared" si="292"/>
        <v>0</v>
      </c>
      <c r="AC946" s="642">
        <f t="shared" si="293"/>
        <v>0</v>
      </c>
      <c r="AD946" s="641">
        <v>0</v>
      </c>
      <c r="AE946" s="643">
        <v>0</v>
      </c>
      <c r="AF946" s="639" t="s">
        <v>276</v>
      </c>
      <c r="AG946" s="639" t="s">
        <v>277</v>
      </c>
      <c r="AH946" s="639"/>
      <c r="AI946" s="626" t="str">
        <f>IFERROR(VLOOKUP(AH946,Listas!$A$77:$C$83,2,FALSE),"Alerta: Seleccione primero el responsable")</f>
        <v>Alerta: Seleccione primero el responsable</v>
      </c>
      <c r="AJ946" s="640" t="str">
        <f>IFERROR(VLOOKUP(AH946,Listas!$A$77:$C$83,3,FALSE),"Alerta: Seleccione primero el responsable")</f>
        <v>Alerta: Seleccione primero el responsable</v>
      </c>
      <c r="AK946" s="640" t="str">
        <f>IF(J946="Funcionamiento Gastos Generales","No aplica",IF(J946="Funcionamiento Servicios Personales indirectos","No aplica",IFERROR(VLOOKUP(J946,Listas!$A$127:$E$139,3,FALSE),"Alerta: Seleccione la celda en la comumna B con el nombre del proyecto")))</f>
        <v>Alerta: Seleccione la celda en la comumna B con el nombre del proyecto</v>
      </c>
      <c r="AL946" s="640" t="str">
        <f>IF(J946="Funcionamiento Gastos Generales","No aplica",IF(J946="Funcionamiento Servicios Personales","No aplica",IFERROR(VLOOKUP(J946,Listas!$A$220:$D$224,2,FALSE),"Alerta: Seleccione la celda en la comumna B con el nombre del proyecto")))</f>
        <v>Alerta: Seleccione la celda en la comumna B con el nombre del proyecto</v>
      </c>
      <c r="AM946" s="640" t="str">
        <f>IF(J946="Funcionamiento Gastos Generales","No aplica",IF(J946="Funcionamiento Servicios Personales","No aplica",IFERROR(VLOOKUP(J946,Listas!$A$220:$D$224,3,FALSE),"Alerta: Seleccione la celda en la comumna B con el nombre del proyecto")))</f>
        <v>Alerta: Seleccione la celda en la comumna B con el nombre del proyecto</v>
      </c>
      <c r="AN946" s="633"/>
      <c r="AO946" s="633"/>
      <c r="AP946" s="634" t="str">
        <f>IFERROR(VLOOKUP(J946,Listas!$A$182:$E$215,5,FALSE),"Alerta: Seleccione la celda en la comumna B con el nombre del proyecto")</f>
        <v>Alerta: Seleccione la celda en la comumna B con el nombre del proyecto</v>
      </c>
      <c r="AQ946" s="634" t="str">
        <f>IF(J946="Funcionamiento Gastos Generales","No aplica",IF(J946="Funcionamiento Servicios Personales","No aplica",IFERROR(VLOOKUP(J946,Listas!$A$220:$D$224,4,FALSE),"Alerta: Seleccione la celda en la comumna B con el nombre del proyecto")))</f>
        <v>Alerta: Seleccione la celda en la comumna B con el nombre del proyecto</v>
      </c>
      <c r="AR946" s="633"/>
      <c r="AS946" s="634" t="str">
        <f>IFERROR(VLOOKUP(AU946,Listas!$E$85:$L$105,7,FALSE),"Alerta: Seleccione la celda en la comumna AI con el concepto de gasto")</f>
        <v>Alerta: Seleccione la celda en la comumna AI con el concepto de gasto</v>
      </c>
      <c r="AT946" s="634" t="str">
        <f>IFERROR(VLOOKUP(AU946,Listas!$E$85:$L$105,8,FALSE),"Alerta: Seleccione la celda en la comumna AI con el concepto de gasto")</f>
        <v>Alerta: Seleccione la celda en la comumna AI con el concepto de gasto</v>
      </c>
      <c r="AU946" s="633"/>
      <c r="AV946" s="634" t="str">
        <f>IFERROR(VLOOKUP(AU946,Listas!$E$85:$F$105,2,FALSE),"Alerta: Seleccione el Concepto de Gasto primero")</f>
        <v>Alerta: Seleccione el Concepto de Gasto primero</v>
      </c>
      <c r="AW946" s="644"/>
      <c r="AX946" s="645"/>
      <c r="AY946" s="645"/>
      <c r="AZ946" s="645"/>
      <c r="BA946" s="646">
        <f t="shared" si="294"/>
        <v>0</v>
      </c>
      <c r="BB946" s="647"/>
      <c r="BC946" s="648"/>
      <c r="BD946" s="649"/>
      <c r="BE946" s="647"/>
      <c r="BF946" s="644"/>
      <c r="BG946" s="646">
        <f t="shared" si="295"/>
        <v>0</v>
      </c>
      <c r="BH946" s="650"/>
      <c r="BI946" s="647"/>
      <c r="BJ946" s="644"/>
      <c r="BK946" s="646">
        <f t="shared" si="296"/>
        <v>0</v>
      </c>
      <c r="BL946" s="651"/>
      <c r="BM946" s="652">
        <f t="shared" si="297"/>
        <v>1</v>
      </c>
      <c r="BN946" s="628"/>
      <c r="BO946" s="670"/>
      <c r="BP946" s="644"/>
      <c r="BQ946" s="644"/>
      <c r="BR946" s="644"/>
      <c r="BS946" s="644"/>
      <c r="BT946" s="644"/>
      <c r="BU946" s="644"/>
      <c r="BV946" s="644"/>
      <c r="BW946" s="644"/>
      <c r="BX946" s="644"/>
      <c r="BY946" s="644"/>
      <c r="BZ946" s="644"/>
      <c r="CA946" s="644"/>
      <c r="CB946" s="646">
        <f t="shared" si="298"/>
        <v>0</v>
      </c>
      <c r="CC946" s="646">
        <f t="shared" si="299"/>
        <v>0</v>
      </c>
      <c r="CD946" s="614"/>
    </row>
    <row r="947" spans="1:82" s="561" customFormat="1" ht="61.5" customHeight="1">
      <c r="A947" s="625" t="str">
        <f t="shared" si="281"/>
        <v>proyecto-Alerta: Seleccione la celda en la comumna B con el nombre del proyecto-Al-Al--</v>
      </c>
      <c r="B947" s="626" t="str">
        <f t="shared" si="282"/>
        <v>proyecto-Alerta: Seleccione la celda en la comumna B con el nombre del proyecto-Al-Al-</v>
      </c>
      <c r="C947" s="626" t="str">
        <f t="shared" si="283"/>
        <v>proyecto-Alerta: Seleccione la celda en la comumna B con el nombre del proyecto-</v>
      </c>
      <c r="D947" s="626" t="str">
        <f t="shared" si="284"/>
        <v>proyecto--Al-Al-</v>
      </c>
      <c r="E947" s="626" t="str">
        <f t="shared" si="285"/>
        <v>--</v>
      </c>
      <c r="F947" s="627"/>
      <c r="G947" s="628">
        <f t="shared" si="286"/>
        <v>0</v>
      </c>
      <c r="H947" s="629" t="b">
        <f t="shared" si="287"/>
        <v>1</v>
      </c>
      <c r="I947" s="630"/>
      <c r="J947" s="627"/>
      <c r="K947" s="631" t="str">
        <f>+IFERROR(VLOOKUP(J947,Listas!$A$108:$B$114,2,FALSE),"Alerta: Seleccione la celda en la comumna B con el nombre del proyecto")</f>
        <v>Alerta: Seleccione la celda en la comumna B con el nombre del proyecto</v>
      </c>
      <c r="L947" s="632"/>
      <c r="M947" s="633"/>
      <c r="N947" s="634" t="str">
        <f t="shared" si="288"/>
        <v xml:space="preserve">(Cód. ) </v>
      </c>
      <c r="O947" s="635"/>
      <c r="P947" s="636">
        <f>IFERROR(VLOOKUP(W947,'Estimación CRP'!$D$21:$E$30,2,FALSE),0)</f>
        <v>0</v>
      </c>
      <c r="Q947" s="637">
        <f>IF(O947="No aplica","No aplica",WORKDAY.INTL(O947,P947,1,'Estimación CRP'!A1133:A1149))</f>
        <v>0</v>
      </c>
      <c r="R947" s="636">
        <f t="shared" si="289"/>
        <v>1</v>
      </c>
      <c r="S947" s="636">
        <f t="shared" si="290"/>
        <v>1</v>
      </c>
      <c r="T947" s="636">
        <f t="shared" si="291"/>
        <v>1</v>
      </c>
      <c r="U947" s="638"/>
      <c r="V947" s="638"/>
      <c r="W947" s="639"/>
      <c r="X947" s="640" t="str">
        <f>IFERROR(VLOOKUP(W947,Listas!$A$60:$B$73,2,FALSE),"Alerta: Seleccione primero Modalidad de selección")</f>
        <v>Alerta: Seleccione primero Modalidad de selección</v>
      </c>
      <c r="Y947" s="641">
        <v>0</v>
      </c>
      <c r="Z947" s="641"/>
      <c r="AA947" s="641"/>
      <c r="AB947" s="642">
        <f t="shared" si="292"/>
        <v>0</v>
      </c>
      <c r="AC947" s="642">
        <f t="shared" si="293"/>
        <v>0</v>
      </c>
      <c r="AD947" s="641">
        <v>0</v>
      </c>
      <c r="AE947" s="643">
        <v>0</v>
      </c>
      <c r="AF947" s="639" t="s">
        <v>276</v>
      </c>
      <c r="AG947" s="639" t="s">
        <v>277</v>
      </c>
      <c r="AH947" s="639"/>
      <c r="AI947" s="626" t="str">
        <f>IFERROR(VLOOKUP(AH947,Listas!$A$77:$C$83,2,FALSE),"Alerta: Seleccione primero el responsable")</f>
        <v>Alerta: Seleccione primero el responsable</v>
      </c>
      <c r="AJ947" s="640" t="str">
        <f>IFERROR(VLOOKUP(AH947,Listas!$A$77:$C$83,3,FALSE),"Alerta: Seleccione primero el responsable")</f>
        <v>Alerta: Seleccione primero el responsable</v>
      </c>
      <c r="AK947" s="640" t="str">
        <f>IF(J947="Funcionamiento Gastos Generales","No aplica",IF(J947="Funcionamiento Servicios Personales indirectos","No aplica",IFERROR(VLOOKUP(J947,Listas!$A$127:$E$139,3,FALSE),"Alerta: Seleccione la celda en la comumna B con el nombre del proyecto")))</f>
        <v>Alerta: Seleccione la celda en la comumna B con el nombre del proyecto</v>
      </c>
      <c r="AL947" s="640" t="str">
        <f>IF(J947="Funcionamiento Gastos Generales","No aplica",IF(J947="Funcionamiento Servicios Personales","No aplica",IFERROR(VLOOKUP(J947,Listas!$A$220:$D$224,2,FALSE),"Alerta: Seleccione la celda en la comumna B con el nombre del proyecto")))</f>
        <v>Alerta: Seleccione la celda en la comumna B con el nombre del proyecto</v>
      </c>
      <c r="AM947" s="640" t="str">
        <f>IF(J947="Funcionamiento Gastos Generales","No aplica",IF(J947="Funcionamiento Servicios Personales","No aplica",IFERROR(VLOOKUP(J947,Listas!$A$220:$D$224,3,FALSE),"Alerta: Seleccione la celda en la comumna B con el nombre del proyecto")))</f>
        <v>Alerta: Seleccione la celda en la comumna B con el nombre del proyecto</v>
      </c>
      <c r="AN947" s="633"/>
      <c r="AO947" s="633"/>
      <c r="AP947" s="634" t="str">
        <f>IFERROR(VLOOKUP(J947,Listas!$A$182:$E$215,5,FALSE),"Alerta: Seleccione la celda en la comumna B con el nombre del proyecto")</f>
        <v>Alerta: Seleccione la celda en la comumna B con el nombre del proyecto</v>
      </c>
      <c r="AQ947" s="634" t="str">
        <f>IF(J947="Funcionamiento Gastos Generales","No aplica",IF(J947="Funcionamiento Servicios Personales","No aplica",IFERROR(VLOOKUP(J947,Listas!$A$220:$D$224,4,FALSE),"Alerta: Seleccione la celda en la comumna B con el nombre del proyecto")))</f>
        <v>Alerta: Seleccione la celda en la comumna B con el nombre del proyecto</v>
      </c>
      <c r="AR947" s="633"/>
      <c r="AS947" s="634" t="str">
        <f>IFERROR(VLOOKUP(AU947,Listas!$E$85:$L$105,7,FALSE),"Alerta: Seleccione la celda en la comumna AI con el concepto de gasto")</f>
        <v>Alerta: Seleccione la celda en la comumna AI con el concepto de gasto</v>
      </c>
      <c r="AT947" s="634" t="str">
        <f>IFERROR(VLOOKUP(AU947,Listas!$E$85:$L$105,8,FALSE),"Alerta: Seleccione la celda en la comumna AI con el concepto de gasto")</f>
        <v>Alerta: Seleccione la celda en la comumna AI con el concepto de gasto</v>
      </c>
      <c r="AU947" s="633"/>
      <c r="AV947" s="634" t="str">
        <f>IFERROR(VLOOKUP(AU947,Listas!$E$85:$F$105,2,FALSE),"Alerta: Seleccione el Concepto de Gasto primero")</f>
        <v>Alerta: Seleccione el Concepto de Gasto primero</v>
      </c>
      <c r="AW947" s="644"/>
      <c r="AX947" s="645"/>
      <c r="AY947" s="645"/>
      <c r="AZ947" s="645"/>
      <c r="BA947" s="646">
        <f t="shared" si="294"/>
        <v>0</v>
      </c>
      <c r="BB947" s="647"/>
      <c r="BC947" s="648"/>
      <c r="BD947" s="649"/>
      <c r="BE947" s="647"/>
      <c r="BF947" s="644"/>
      <c r="BG947" s="646">
        <f t="shared" si="295"/>
        <v>0</v>
      </c>
      <c r="BH947" s="650"/>
      <c r="BI947" s="647"/>
      <c r="BJ947" s="644"/>
      <c r="BK947" s="646">
        <f t="shared" si="296"/>
        <v>0</v>
      </c>
      <c r="BL947" s="651"/>
      <c r="BM947" s="652">
        <f t="shared" si="297"/>
        <v>1</v>
      </c>
      <c r="BN947" s="628"/>
      <c r="BO947" s="670"/>
      <c r="BP947" s="644"/>
      <c r="BQ947" s="644"/>
      <c r="BR947" s="644"/>
      <c r="BS947" s="644"/>
      <c r="BT947" s="644"/>
      <c r="BU947" s="644"/>
      <c r="BV947" s="644"/>
      <c r="BW947" s="644"/>
      <c r="BX947" s="644"/>
      <c r="BY947" s="644"/>
      <c r="BZ947" s="644"/>
      <c r="CA947" s="644"/>
      <c r="CB947" s="646">
        <f t="shared" si="298"/>
        <v>0</v>
      </c>
      <c r="CC947" s="646">
        <f t="shared" si="299"/>
        <v>0</v>
      </c>
      <c r="CD947" s="614"/>
    </row>
    <row r="948" spans="1:82" s="561" customFormat="1" ht="61.5" customHeight="1">
      <c r="A948" s="625" t="str">
        <f t="shared" si="281"/>
        <v>proyecto-Alerta: Seleccione la celda en la comumna B con el nombre del proyecto-Al-Al--</v>
      </c>
      <c r="B948" s="626" t="str">
        <f t="shared" si="282"/>
        <v>proyecto-Alerta: Seleccione la celda en la comumna B con el nombre del proyecto-Al-Al-</v>
      </c>
      <c r="C948" s="626" t="str">
        <f t="shared" si="283"/>
        <v>proyecto-Alerta: Seleccione la celda en la comumna B con el nombre del proyecto-</v>
      </c>
      <c r="D948" s="626" t="str">
        <f t="shared" si="284"/>
        <v>proyecto--Al-Al-</v>
      </c>
      <c r="E948" s="626" t="str">
        <f t="shared" si="285"/>
        <v>--</v>
      </c>
      <c r="F948" s="627"/>
      <c r="G948" s="628">
        <f t="shared" si="286"/>
        <v>0</v>
      </c>
      <c r="H948" s="629" t="b">
        <f t="shared" si="287"/>
        <v>1</v>
      </c>
      <c r="I948" s="630"/>
      <c r="J948" s="627"/>
      <c r="K948" s="631" t="str">
        <f>+IFERROR(VLOOKUP(J948,Listas!$A$108:$B$114,2,FALSE),"Alerta: Seleccione la celda en la comumna B con el nombre del proyecto")</f>
        <v>Alerta: Seleccione la celda en la comumna B con el nombre del proyecto</v>
      </c>
      <c r="L948" s="632"/>
      <c r="M948" s="633"/>
      <c r="N948" s="634" t="str">
        <f t="shared" si="288"/>
        <v xml:space="preserve">(Cód. ) </v>
      </c>
      <c r="O948" s="635"/>
      <c r="P948" s="636">
        <f>IFERROR(VLOOKUP(W948,'Estimación CRP'!$D$21:$E$30,2,FALSE),0)</f>
        <v>0</v>
      </c>
      <c r="Q948" s="637">
        <f>IF(O948="No aplica","No aplica",WORKDAY.INTL(O948,P948,1,'Estimación CRP'!A1134:A1150))</f>
        <v>0</v>
      </c>
      <c r="R948" s="636">
        <f t="shared" si="289"/>
        <v>1</v>
      </c>
      <c r="S948" s="636">
        <f t="shared" si="290"/>
        <v>1</v>
      </c>
      <c r="T948" s="636">
        <f t="shared" si="291"/>
        <v>1</v>
      </c>
      <c r="U948" s="638"/>
      <c r="V948" s="638"/>
      <c r="W948" s="639"/>
      <c r="X948" s="640" t="str">
        <f>IFERROR(VLOOKUP(W948,Listas!$A$60:$B$73,2,FALSE),"Alerta: Seleccione primero Modalidad de selección")</f>
        <v>Alerta: Seleccione primero Modalidad de selección</v>
      </c>
      <c r="Y948" s="641">
        <v>0</v>
      </c>
      <c r="Z948" s="641"/>
      <c r="AA948" s="641"/>
      <c r="AB948" s="642">
        <f t="shared" si="292"/>
        <v>0</v>
      </c>
      <c r="AC948" s="642">
        <f t="shared" si="293"/>
        <v>0</v>
      </c>
      <c r="AD948" s="641">
        <v>0</v>
      </c>
      <c r="AE948" s="643">
        <v>0</v>
      </c>
      <c r="AF948" s="639" t="s">
        <v>276</v>
      </c>
      <c r="AG948" s="639" t="s">
        <v>277</v>
      </c>
      <c r="AH948" s="639"/>
      <c r="AI948" s="626" t="str">
        <f>IFERROR(VLOOKUP(AH948,Listas!$A$77:$C$83,2,FALSE),"Alerta: Seleccione primero el responsable")</f>
        <v>Alerta: Seleccione primero el responsable</v>
      </c>
      <c r="AJ948" s="640" t="str">
        <f>IFERROR(VLOOKUP(AH948,Listas!$A$77:$C$83,3,FALSE),"Alerta: Seleccione primero el responsable")</f>
        <v>Alerta: Seleccione primero el responsable</v>
      </c>
      <c r="AK948" s="640" t="str">
        <f>IF(J948="Funcionamiento Gastos Generales","No aplica",IF(J948="Funcionamiento Servicios Personales indirectos","No aplica",IFERROR(VLOOKUP(J948,Listas!$A$127:$E$139,3,FALSE),"Alerta: Seleccione la celda en la comumna B con el nombre del proyecto")))</f>
        <v>Alerta: Seleccione la celda en la comumna B con el nombre del proyecto</v>
      </c>
      <c r="AL948" s="640" t="str">
        <f>IF(J948="Funcionamiento Gastos Generales","No aplica",IF(J948="Funcionamiento Servicios Personales","No aplica",IFERROR(VLOOKUP(J948,Listas!$A$220:$D$224,2,FALSE),"Alerta: Seleccione la celda en la comumna B con el nombre del proyecto")))</f>
        <v>Alerta: Seleccione la celda en la comumna B con el nombre del proyecto</v>
      </c>
      <c r="AM948" s="640" t="str">
        <f>IF(J948="Funcionamiento Gastos Generales","No aplica",IF(J948="Funcionamiento Servicios Personales","No aplica",IFERROR(VLOOKUP(J948,Listas!$A$220:$D$224,3,FALSE),"Alerta: Seleccione la celda en la comumna B con el nombre del proyecto")))</f>
        <v>Alerta: Seleccione la celda en la comumna B con el nombre del proyecto</v>
      </c>
      <c r="AN948" s="633"/>
      <c r="AO948" s="633"/>
      <c r="AP948" s="634" t="str">
        <f>IFERROR(VLOOKUP(J948,Listas!$A$182:$E$215,5,FALSE),"Alerta: Seleccione la celda en la comumna B con el nombre del proyecto")</f>
        <v>Alerta: Seleccione la celda en la comumna B con el nombre del proyecto</v>
      </c>
      <c r="AQ948" s="634" t="str">
        <f>IF(J948="Funcionamiento Gastos Generales","No aplica",IF(J948="Funcionamiento Servicios Personales","No aplica",IFERROR(VLOOKUP(J948,Listas!$A$220:$D$224,4,FALSE),"Alerta: Seleccione la celda en la comumna B con el nombre del proyecto")))</f>
        <v>Alerta: Seleccione la celda en la comumna B con el nombre del proyecto</v>
      </c>
      <c r="AR948" s="633"/>
      <c r="AS948" s="634" t="str">
        <f>IFERROR(VLOOKUP(AU948,Listas!$E$85:$L$105,7,FALSE),"Alerta: Seleccione la celda en la comumna AI con el concepto de gasto")</f>
        <v>Alerta: Seleccione la celda en la comumna AI con el concepto de gasto</v>
      </c>
      <c r="AT948" s="634" t="str">
        <f>IFERROR(VLOOKUP(AU948,Listas!$E$85:$L$105,8,FALSE),"Alerta: Seleccione la celda en la comumna AI con el concepto de gasto")</f>
        <v>Alerta: Seleccione la celda en la comumna AI con el concepto de gasto</v>
      </c>
      <c r="AU948" s="633"/>
      <c r="AV948" s="634" t="str">
        <f>IFERROR(VLOOKUP(AU948,Listas!$E$85:$F$105,2,FALSE),"Alerta: Seleccione el Concepto de Gasto primero")</f>
        <v>Alerta: Seleccione el Concepto de Gasto primero</v>
      </c>
      <c r="AW948" s="644"/>
      <c r="AX948" s="645"/>
      <c r="AY948" s="645"/>
      <c r="AZ948" s="645"/>
      <c r="BA948" s="646">
        <f t="shared" si="294"/>
        <v>0</v>
      </c>
      <c r="BB948" s="647"/>
      <c r="BC948" s="648"/>
      <c r="BD948" s="649"/>
      <c r="BE948" s="647"/>
      <c r="BF948" s="644"/>
      <c r="BG948" s="646">
        <f t="shared" si="295"/>
        <v>0</v>
      </c>
      <c r="BH948" s="650"/>
      <c r="BI948" s="647"/>
      <c r="BJ948" s="644"/>
      <c r="BK948" s="646">
        <f t="shared" si="296"/>
        <v>0</v>
      </c>
      <c r="BL948" s="651"/>
      <c r="BM948" s="652">
        <f t="shared" si="297"/>
        <v>1</v>
      </c>
      <c r="BN948" s="628"/>
      <c r="BO948" s="670"/>
      <c r="BP948" s="644"/>
      <c r="BQ948" s="644"/>
      <c r="BR948" s="644"/>
      <c r="BS948" s="644"/>
      <c r="BT948" s="644"/>
      <c r="BU948" s="644"/>
      <c r="BV948" s="644"/>
      <c r="BW948" s="644"/>
      <c r="BX948" s="644"/>
      <c r="BY948" s="644"/>
      <c r="BZ948" s="644"/>
      <c r="CA948" s="644"/>
      <c r="CB948" s="646">
        <f t="shared" si="298"/>
        <v>0</v>
      </c>
      <c r="CC948" s="646">
        <f t="shared" si="299"/>
        <v>0</v>
      </c>
      <c r="CD948" s="614"/>
    </row>
    <row r="949" spans="1:82" s="561" customFormat="1" ht="61.5" customHeight="1">
      <c r="A949" s="625" t="str">
        <f t="shared" si="281"/>
        <v>proyecto-Alerta: Seleccione la celda en la comumna B con el nombre del proyecto-Al-Al--</v>
      </c>
      <c r="B949" s="626" t="str">
        <f t="shared" si="282"/>
        <v>proyecto-Alerta: Seleccione la celda en la comumna B con el nombre del proyecto-Al-Al-</v>
      </c>
      <c r="C949" s="626" t="str">
        <f t="shared" si="283"/>
        <v>proyecto-Alerta: Seleccione la celda en la comumna B con el nombre del proyecto-</v>
      </c>
      <c r="D949" s="626" t="str">
        <f t="shared" si="284"/>
        <v>proyecto--Al-Al-</v>
      </c>
      <c r="E949" s="626" t="str">
        <f t="shared" si="285"/>
        <v>--</v>
      </c>
      <c r="F949" s="627"/>
      <c r="G949" s="628">
        <f t="shared" si="286"/>
        <v>0</v>
      </c>
      <c r="H949" s="629" t="b">
        <f t="shared" si="287"/>
        <v>1</v>
      </c>
      <c r="I949" s="630"/>
      <c r="J949" s="627"/>
      <c r="K949" s="631" t="str">
        <f>+IFERROR(VLOOKUP(J949,Listas!$A$108:$B$114,2,FALSE),"Alerta: Seleccione la celda en la comumna B con el nombre del proyecto")</f>
        <v>Alerta: Seleccione la celda en la comumna B con el nombre del proyecto</v>
      </c>
      <c r="L949" s="632"/>
      <c r="M949" s="633"/>
      <c r="N949" s="634" t="str">
        <f t="shared" si="288"/>
        <v xml:space="preserve">(Cód. ) </v>
      </c>
      <c r="O949" s="635"/>
      <c r="P949" s="636">
        <f>IFERROR(VLOOKUP(W949,'Estimación CRP'!$D$21:$E$30,2,FALSE),0)</f>
        <v>0</v>
      </c>
      <c r="Q949" s="637">
        <f>IF(O949="No aplica","No aplica",WORKDAY.INTL(O949,P949,1,'Estimación CRP'!A1135:A1151))</f>
        <v>0</v>
      </c>
      <c r="R949" s="636">
        <f t="shared" si="289"/>
        <v>1</v>
      </c>
      <c r="S949" s="636">
        <f t="shared" si="290"/>
        <v>1</v>
      </c>
      <c r="T949" s="636">
        <f t="shared" si="291"/>
        <v>1</v>
      </c>
      <c r="U949" s="638"/>
      <c r="V949" s="638"/>
      <c r="W949" s="639"/>
      <c r="X949" s="640" t="str">
        <f>IFERROR(VLOOKUP(W949,Listas!$A$60:$B$73,2,FALSE),"Alerta: Seleccione primero Modalidad de selección")</f>
        <v>Alerta: Seleccione primero Modalidad de selección</v>
      </c>
      <c r="Y949" s="641">
        <v>0</v>
      </c>
      <c r="Z949" s="641"/>
      <c r="AA949" s="641"/>
      <c r="AB949" s="642">
        <f t="shared" si="292"/>
        <v>0</v>
      </c>
      <c r="AC949" s="642">
        <f t="shared" si="293"/>
        <v>0</v>
      </c>
      <c r="AD949" s="641">
        <v>0</v>
      </c>
      <c r="AE949" s="643">
        <v>0</v>
      </c>
      <c r="AF949" s="639" t="s">
        <v>276</v>
      </c>
      <c r="AG949" s="639" t="s">
        <v>277</v>
      </c>
      <c r="AH949" s="639"/>
      <c r="AI949" s="626" t="str">
        <f>IFERROR(VLOOKUP(AH949,Listas!$A$77:$C$83,2,FALSE),"Alerta: Seleccione primero el responsable")</f>
        <v>Alerta: Seleccione primero el responsable</v>
      </c>
      <c r="AJ949" s="640" t="str">
        <f>IFERROR(VLOOKUP(AH949,Listas!$A$77:$C$83,3,FALSE),"Alerta: Seleccione primero el responsable")</f>
        <v>Alerta: Seleccione primero el responsable</v>
      </c>
      <c r="AK949" s="640" t="str">
        <f>IF(J949="Funcionamiento Gastos Generales","No aplica",IF(J949="Funcionamiento Servicios Personales indirectos","No aplica",IFERROR(VLOOKUP(J949,Listas!$A$127:$E$139,3,FALSE),"Alerta: Seleccione la celda en la comumna B con el nombre del proyecto")))</f>
        <v>Alerta: Seleccione la celda en la comumna B con el nombre del proyecto</v>
      </c>
      <c r="AL949" s="640" t="str">
        <f>IF(J949="Funcionamiento Gastos Generales","No aplica",IF(J949="Funcionamiento Servicios Personales","No aplica",IFERROR(VLOOKUP(J949,Listas!$A$220:$D$224,2,FALSE),"Alerta: Seleccione la celda en la comumna B con el nombre del proyecto")))</f>
        <v>Alerta: Seleccione la celda en la comumna B con el nombre del proyecto</v>
      </c>
      <c r="AM949" s="640" t="str">
        <f>IF(J949="Funcionamiento Gastos Generales","No aplica",IF(J949="Funcionamiento Servicios Personales","No aplica",IFERROR(VLOOKUP(J949,Listas!$A$220:$D$224,3,FALSE),"Alerta: Seleccione la celda en la comumna B con el nombre del proyecto")))</f>
        <v>Alerta: Seleccione la celda en la comumna B con el nombre del proyecto</v>
      </c>
      <c r="AN949" s="633"/>
      <c r="AO949" s="633"/>
      <c r="AP949" s="634" t="str">
        <f>IFERROR(VLOOKUP(J949,Listas!$A$182:$E$215,5,FALSE),"Alerta: Seleccione la celda en la comumna B con el nombre del proyecto")</f>
        <v>Alerta: Seleccione la celda en la comumna B con el nombre del proyecto</v>
      </c>
      <c r="AQ949" s="634" t="str">
        <f>IF(J949="Funcionamiento Gastos Generales","No aplica",IF(J949="Funcionamiento Servicios Personales","No aplica",IFERROR(VLOOKUP(J949,Listas!$A$220:$D$224,4,FALSE),"Alerta: Seleccione la celda en la comumna B con el nombre del proyecto")))</f>
        <v>Alerta: Seleccione la celda en la comumna B con el nombre del proyecto</v>
      </c>
      <c r="AR949" s="633"/>
      <c r="AS949" s="634" t="str">
        <f>IFERROR(VLOOKUP(AU949,Listas!$E$85:$L$105,7,FALSE),"Alerta: Seleccione la celda en la comumna AI con el concepto de gasto")</f>
        <v>Alerta: Seleccione la celda en la comumna AI con el concepto de gasto</v>
      </c>
      <c r="AT949" s="634" t="str">
        <f>IFERROR(VLOOKUP(AU949,Listas!$E$85:$L$105,8,FALSE),"Alerta: Seleccione la celda en la comumna AI con el concepto de gasto")</f>
        <v>Alerta: Seleccione la celda en la comumna AI con el concepto de gasto</v>
      </c>
      <c r="AU949" s="633"/>
      <c r="AV949" s="634" t="str">
        <f>IFERROR(VLOOKUP(AU949,Listas!$E$85:$F$105,2,FALSE),"Alerta: Seleccione el Concepto de Gasto primero")</f>
        <v>Alerta: Seleccione el Concepto de Gasto primero</v>
      </c>
      <c r="AW949" s="644"/>
      <c r="AX949" s="645"/>
      <c r="AY949" s="645"/>
      <c r="AZ949" s="645"/>
      <c r="BA949" s="646">
        <f t="shared" si="294"/>
        <v>0</v>
      </c>
      <c r="BB949" s="647"/>
      <c r="BC949" s="648"/>
      <c r="BD949" s="649"/>
      <c r="BE949" s="647"/>
      <c r="BF949" s="644"/>
      <c r="BG949" s="646">
        <f t="shared" si="295"/>
        <v>0</v>
      </c>
      <c r="BH949" s="650"/>
      <c r="BI949" s="647"/>
      <c r="BJ949" s="644"/>
      <c r="BK949" s="646">
        <f t="shared" si="296"/>
        <v>0</v>
      </c>
      <c r="BL949" s="651"/>
      <c r="BM949" s="652">
        <f t="shared" si="297"/>
        <v>1</v>
      </c>
      <c r="BN949" s="628"/>
      <c r="BO949" s="670"/>
      <c r="BP949" s="644"/>
      <c r="BQ949" s="644"/>
      <c r="BR949" s="644"/>
      <c r="BS949" s="644"/>
      <c r="BT949" s="644"/>
      <c r="BU949" s="644"/>
      <c r="BV949" s="644"/>
      <c r="BW949" s="644"/>
      <c r="BX949" s="644"/>
      <c r="BY949" s="644"/>
      <c r="BZ949" s="644"/>
      <c r="CA949" s="644"/>
      <c r="CB949" s="646">
        <f t="shared" si="298"/>
        <v>0</v>
      </c>
      <c r="CC949" s="646">
        <f t="shared" si="299"/>
        <v>0</v>
      </c>
      <c r="CD949" s="614"/>
    </row>
    <row r="950" spans="1:82" s="561" customFormat="1" ht="61.5" customHeight="1">
      <c r="A950" s="625" t="str">
        <f t="shared" si="281"/>
        <v>proyecto-Alerta: Seleccione la celda en la comumna B con el nombre del proyecto-Al-Al--</v>
      </c>
      <c r="B950" s="626" t="str">
        <f t="shared" si="282"/>
        <v>proyecto-Alerta: Seleccione la celda en la comumna B con el nombre del proyecto-Al-Al-</v>
      </c>
      <c r="C950" s="626" t="str">
        <f t="shared" si="283"/>
        <v>proyecto-Alerta: Seleccione la celda en la comumna B con el nombre del proyecto-</v>
      </c>
      <c r="D950" s="626" t="str">
        <f t="shared" si="284"/>
        <v>proyecto--Al-Al-</v>
      </c>
      <c r="E950" s="626" t="str">
        <f t="shared" si="285"/>
        <v>--</v>
      </c>
      <c r="F950" s="627"/>
      <c r="G950" s="628">
        <f t="shared" si="286"/>
        <v>0</v>
      </c>
      <c r="H950" s="629" t="b">
        <f t="shared" si="287"/>
        <v>1</v>
      </c>
      <c r="I950" s="630"/>
      <c r="J950" s="627"/>
      <c r="K950" s="631" t="str">
        <f>+IFERROR(VLOOKUP(J950,Listas!$A$108:$B$114,2,FALSE),"Alerta: Seleccione la celda en la comumna B con el nombre del proyecto")</f>
        <v>Alerta: Seleccione la celda en la comumna B con el nombre del proyecto</v>
      </c>
      <c r="L950" s="632"/>
      <c r="M950" s="633"/>
      <c r="N950" s="634" t="str">
        <f t="shared" si="288"/>
        <v xml:space="preserve">(Cód. ) </v>
      </c>
      <c r="O950" s="635"/>
      <c r="P950" s="636">
        <f>IFERROR(VLOOKUP(W950,'Estimación CRP'!$D$21:$E$30,2,FALSE),0)</f>
        <v>0</v>
      </c>
      <c r="Q950" s="637">
        <f>IF(O950="No aplica","No aplica",WORKDAY.INTL(O950,P950,1,'Estimación CRP'!A1136:A1152))</f>
        <v>0</v>
      </c>
      <c r="R950" s="636">
        <f t="shared" si="289"/>
        <v>1</v>
      </c>
      <c r="S950" s="636">
        <f t="shared" si="290"/>
        <v>1</v>
      </c>
      <c r="T950" s="636">
        <f t="shared" si="291"/>
        <v>1</v>
      </c>
      <c r="U950" s="638"/>
      <c r="V950" s="638"/>
      <c r="W950" s="639"/>
      <c r="X950" s="640" t="str">
        <f>IFERROR(VLOOKUP(W950,Listas!$A$60:$B$73,2,FALSE),"Alerta: Seleccione primero Modalidad de selección")</f>
        <v>Alerta: Seleccione primero Modalidad de selección</v>
      </c>
      <c r="Y950" s="641">
        <v>0</v>
      </c>
      <c r="Z950" s="641"/>
      <c r="AA950" s="641"/>
      <c r="AB950" s="642">
        <f t="shared" si="292"/>
        <v>0</v>
      </c>
      <c r="AC950" s="642">
        <f t="shared" si="293"/>
        <v>0</v>
      </c>
      <c r="AD950" s="641">
        <v>0</v>
      </c>
      <c r="AE950" s="643">
        <v>0</v>
      </c>
      <c r="AF950" s="639" t="s">
        <v>276</v>
      </c>
      <c r="AG950" s="639" t="s">
        <v>277</v>
      </c>
      <c r="AH950" s="639"/>
      <c r="AI950" s="626" t="str">
        <f>IFERROR(VLOOKUP(AH950,Listas!$A$77:$C$83,2,FALSE),"Alerta: Seleccione primero el responsable")</f>
        <v>Alerta: Seleccione primero el responsable</v>
      </c>
      <c r="AJ950" s="640" t="str">
        <f>IFERROR(VLOOKUP(AH950,Listas!$A$77:$C$83,3,FALSE),"Alerta: Seleccione primero el responsable")</f>
        <v>Alerta: Seleccione primero el responsable</v>
      </c>
      <c r="AK950" s="640" t="str">
        <f>IF(J950="Funcionamiento Gastos Generales","No aplica",IF(J950="Funcionamiento Servicios Personales indirectos","No aplica",IFERROR(VLOOKUP(J950,Listas!$A$127:$E$139,3,FALSE),"Alerta: Seleccione la celda en la comumna B con el nombre del proyecto")))</f>
        <v>Alerta: Seleccione la celda en la comumna B con el nombre del proyecto</v>
      </c>
      <c r="AL950" s="640" t="str">
        <f>IF(J950="Funcionamiento Gastos Generales","No aplica",IF(J950="Funcionamiento Servicios Personales","No aplica",IFERROR(VLOOKUP(J950,Listas!$A$220:$D$224,2,FALSE),"Alerta: Seleccione la celda en la comumna B con el nombre del proyecto")))</f>
        <v>Alerta: Seleccione la celda en la comumna B con el nombre del proyecto</v>
      </c>
      <c r="AM950" s="640" t="str">
        <f>IF(J950="Funcionamiento Gastos Generales","No aplica",IF(J950="Funcionamiento Servicios Personales","No aplica",IFERROR(VLOOKUP(J950,Listas!$A$220:$D$224,3,FALSE),"Alerta: Seleccione la celda en la comumna B con el nombre del proyecto")))</f>
        <v>Alerta: Seleccione la celda en la comumna B con el nombre del proyecto</v>
      </c>
      <c r="AN950" s="633"/>
      <c r="AO950" s="633"/>
      <c r="AP950" s="634" t="str">
        <f>IFERROR(VLOOKUP(J950,Listas!$A$182:$E$215,5,FALSE),"Alerta: Seleccione la celda en la comumna B con el nombre del proyecto")</f>
        <v>Alerta: Seleccione la celda en la comumna B con el nombre del proyecto</v>
      </c>
      <c r="AQ950" s="634" t="str">
        <f>IF(J950="Funcionamiento Gastos Generales","No aplica",IF(J950="Funcionamiento Servicios Personales","No aplica",IFERROR(VLOOKUP(J950,Listas!$A$220:$D$224,4,FALSE),"Alerta: Seleccione la celda en la comumna B con el nombre del proyecto")))</f>
        <v>Alerta: Seleccione la celda en la comumna B con el nombre del proyecto</v>
      </c>
      <c r="AR950" s="633"/>
      <c r="AS950" s="634" t="str">
        <f>IFERROR(VLOOKUP(AU950,Listas!$E$85:$L$105,7,FALSE),"Alerta: Seleccione la celda en la comumna AI con el concepto de gasto")</f>
        <v>Alerta: Seleccione la celda en la comumna AI con el concepto de gasto</v>
      </c>
      <c r="AT950" s="634" t="str">
        <f>IFERROR(VLOOKUP(AU950,Listas!$E$85:$L$105,8,FALSE),"Alerta: Seleccione la celda en la comumna AI con el concepto de gasto")</f>
        <v>Alerta: Seleccione la celda en la comumna AI con el concepto de gasto</v>
      </c>
      <c r="AU950" s="633"/>
      <c r="AV950" s="634" t="str">
        <f>IFERROR(VLOOKUP(AU950,Listas!$E$85:$F$105,2,FALSE),"Alerta: Seleccione el Concepto de Gasto primero")</f>
        <v>Alerta: Seleccione el Concepto de Gasto primero</v>
      </c>
      <c r="AW950" s="644"/>
      <c r="AX950" s="645"/>
      <c r="AY950" s="645"/>
      <c r="AZ950" s="645"/>
      <c r="BA950" s="646">
        <f t="shared" si="294"/>
        <v>0</v>
      </c>
      <c r="BB950" s="647"/>
      <c r="BC950" s="648"/>
      <c r="BD950" s="649"/>
      <c r="BE950" s="647"/>
      <c r="BF950" s="644"/>
      <c r="BG950" s="646">
        <f t="shared" si="295"/>
        <v>0</v>
      </c>
      <c r="BH950" s="650"/>
      <c r="BI950" s="647"/>
      <c r="BJ950" s="644"/>
      <c r="BK950" s="646">
        <f t="shared" si="296"/>
        <v>0</v>
      </c>
      <c r="BL950" s="651"/>
      <c r="BM950" s="652">
        <f t="shared" si="297"/>
        <v>1</v>
      </c>
      <c r="BN950" s="628"/>
      <c r="BO950" s="670"/>
      <c r="BP950" s="644"/>
      <c r="BQ950" s="644"/>
      <c r="BR950" s="644"/>
      <c r="BS950" s="644"/>
      <c r="BT950" s="644"/>
      <c r="BU950" s="644"/>
      <c r="BV950" s="644"/>
      <c r="BW950" s="644"/>
      <c r="BX950" s="644"/>
      <c r="BY950" s="644"/>
      <c r="BZ950" s="644"/>
      <c r="CA950" s="644"/>
      <c r="CB950" s="646">
        <f t="shared" si="298"/>
        <v>0</v>
      </c>
      <c r="CC950" s="646">
        <f t="shared" si="299"/>
        <v>0</v>
      </c>
      <c r="CD950" s="614"/>
    </row>
    <row r="951" spans="1:82" s="561" customFormat="1" ht="61.5" customHeight="1">
      <c r="A951" s="625" t="str">
        <f t="shared" si="281"/>
        <v>proyecto-Alerta: Seleccione la celda en la comumna B con el nombre del proyecto-Al-Al--</v>
      </c>
      <c r="B951" s="626" t="str">
        <f t="shared" si="282"/>
        <v>proyecto-Alerta: Seleccione la celda en la comumna B con el nombre del proyecto-Al-Al-</v>
      </c>
      <c r="C951" s="626" t="str">
        <f t="shared" si="283"/>
        <v>proyecto-Alerta: Seleccione la celda en la comumna B con el nombre del proyecto-</v>
      </c>
      <c r="D951" s="626" t="str">
        <f t="shared" si="284"/>
        <v>proyecto--Al-Al-</v>
      </c>
      <c r="E951" s="626" t="str">
        <f t="shared" si="285"/>
        <v>--</v>
      </c>
      <c r="F951" s="627"/>
      <c r="G951" s="628">
        <f t="shared" si="286"/>
        <v>0</v>
      </c>
      <c r="H951" s="629" t="b">
        <f t="shared" si="287"/>
        <v>1</v>
      </c>
      <c r="I951" s="630"/>
      <c r="J951" s="627"/>
      <c r="K951" s="631" t="str">
        <f>+IFERROR(VLOOKUP(J951,Listas!$A$108:$B$114,2,FALSE),"Alerta: Seleccione la celda en la comumna B con el nombre del proyecto")</f>
        <v>Alerta: Seleccione la celda en la comumna B con el nombre del proyecto</v>
      </c>
      <c r="L951" s="632"/>
      <c r="M951" s="633"/>
      <c r="N951" s="634" t="str">
        <f t="shared" si="288"/>
        <v xml:space="preserve">(Cód. ) </v>
      </c>
      <c r="O951" s="635"/>
      <c r="P951" s="636">
        <f>IFERROR(VLOOKUP(W951,'Estimación CRP'!$D$21:$E$30,2,FALSE),0)</f>
        <v>0</v>
      </c>
      <c r="Q951" s="637">
        <f>IF(O951="No aplica","No aplica",WORKDAY.INTL(O951,P951,1,'Estimación CRP'!A1137:A1153))</f>
        <v>0</v>
      </c>
      <c r="R951" s="636">
        <f t="shared" si="289"/>
        <v>1</v>
      </c>
      <c r="S951" s="636">
        <f t="shared" si="290"/>
        <v>1</v>
      </c>
      <c r="T951" s="636">
        <f t="shared" si="291"/>
        <v>1</v>
      </c>
      <c r="U951" s="638"/>
      <c r="V951" s="638"/>
      <c r="W951" s="639"/>
      <c r="X951" s="640" t="str">
        <f>IFERROR(VLOOKUP(W951,Listas!$A$60:$B$73,2,FALSE),"Alerta: Seleccione primero Modalidad de selección")</f>
        <v>Alerta: Seleccione primero Modalidad de selección</v>
      </c>
      <c r="Y951" s="641">
        <v>0</v>
      </c>
      <c r="Z951" s="641"/>
      <c r="AA951" s="641"/>
      <c r="AB951" s="642">
        <f t="shared" si="292"/>
        <v>0</v>
      </c>
      <c r="AC951" s="642">
        <f t="shared" si="293"/>
        <v>0</v>
      </c>
      <c r="AD951" s="641">
        <v>0</v>
      </c>
      <c r="AE951" s="643">
        <v>0</v>
      </c>
      <c r="AF951" s="639" t="s">
        <v>276</v>
      </c>
      <c r="AG951" s="639" t="s">
        <v>277</v>
      </c>
      <c r="AH951" s="639"/>
      <c r="AI951" s="626" t="str">
        <f>IFERROR(VLOOKUP(AH951,Listas!$A$77:$C$83,2,FALSE),"Alerta: Seleccione primero el responsable")</f>
        <v>Alerta: Seleccione primero el responsable</v>
      </c>
      <c r="AJ951" s="640" t="str">
        <f>IFERROR(VLOOKUP(AH951,Listas!$A$77:$C$83,3,FALSE),"Alerta: Seleccione primero el responsable")</f>
        <v>Alerta: Seleccione primero el responsable</v>
      </c>
      <c r="AK951" s="640" t="str">
        <f>IF(J951="Funcionamiento Gastos Generales","No aplica",IF(J951="Funcionamiento Servicios Personales indirectos","No aplica",IFERROR(VLOOKUP(J951,Listas!$A$127:$E$139,3,FALSE),"Alerta: Seleccione la celda en la comumna B con el nombre del proyecto")))</f>
        <v>Alerta: Seleccione la celda en la comumna B con el nombre del proyecto</v>
      </c>
      <c r="AL951" s="640" t="str">
        <f>IF(J951="Funcionamiento Gastos Generales","No aplica",IF(J951="Funcionamiento Servicios Personales","No aplica",IFERROR(VLOOKUP(J951,Listas!$A$220:$D$224,2,FALSE),"Alerta: Seleccione la celda en la comumna B con el nombre del proyecto")))</f>
        <v>Alerta: Seleccione la celda en la comumna B con el nombre del proyecto</v>
      </c>
      <c r="AM951" s="640" t="str">
        <f>IF(J951="Funcionamiento Gastos Generales","No aplica",IF(J951="Funcionamiento Servicios Personales","No aplica",IFERROR(VLOOKUP(J951,Listas!$A$220:$D$224,3,FALSE),"Alerta: Seleccione la celda en la comumna B con el nombre del proyecto")))</f>
        <v>Alerta: Seleccione la celda en la comumna B con el nombre del proyecto</v>
      </c>
      <c r="AN951" s="633"/>
      <c r="AO951" s="633"/>
      <c r="AP951" s="634" t="str">
        <f>IFERROR(VLOOKUP(J951,Listas!$A$182:$E$215,5,FALSE),"Alerta: Seleccione la celda en la comumna B con el nombre del proyecto")</f>
        <v>Alerta: Seleccione la celda en la comumna B con el nombre del proyecto</v>
      </c>
      <c r="AQ951" s="634" t="str">
        <f>IF(J951="Funcionamiento Gastos Generales","No aplica",IF(J951="Funcionamiento Servicios Personales","No aplica",IFERROR(VLOOKUP(J951,Listas!$A$220:$D$224,4,FALSE),"Alerta: Seleccione la celda en la comumna B con el nombre del proyecto")))</f>
        <v>Alerta: Seleccione la celda en la comumna B con el nombre del proyecto</v>
      </c>
      <c r="AR951" s="633"/>
      <c r="AS951" s="634" t="str">
        <f>IFERROR(VLOOKUP(AU951,Listas!$E$85:$L$105,7,FALSE),"Alerta: Seleccione la celda en la comumna AI con el concepto de gasto")</f>
        <v>Alerta: Seleccione la celda en la comumna AI con el concepto de gasto</v>
      </c>
      <c r="AT951" s="634" t="str">
        <f>IFERROR(VLOOKUP(AU951,Listas!$E$85:$L$105,8,FALSE),"Alerta: Seleccione la celda en la comumna AI con el concepto de gasto")</f>
        <v>Alerta: Seleccione la celda en la comumna AI con el concepto de gasto</v>
      </c>
      <c r="AU951" s="633"/>
      <c r="AV951" s="634" t="str">
        <f>IFERROR(VLOOKUP(AU951,Listas!$E$85:$F$105,2,FALSE),"Alerta: Seleccione el Concepto de Gasto primero")</f>
        <v>Alerta: Seleccione el Concepto de Gasto primero</v>
      </c>
      <c r="AW951" s="644"/>
      <c r="AX951" s="645"/>
      <c r="AY951" s="645"/>
      <c r="AZ951" s="645"/>
      <c r="BA951" s="646">
        <f t="shared" si="294"/>
        <v>0</v>
      </c>
      <c r="BB951" s="647"/>
      <c r="BC951" s="648"/>
      <c r="BD951" s="649"/>
      <c r="BE951" s="647"/>
      <c r="BF951" s="644"/>
      <c r="BG951" s="646">
        <f t="shared" si="295"/>
        <v>0</v>
      </c>
      <c r="BH951" s="650"/>
      <c r="BI951" s="647"/>
      <c r="BJ951" s="644"/>
      <c r="BK951" s="646">
        <f t="shared" si="296"/>
        <v>0</v>
      </c>
      <c r="BL951" s="651"/>
      <c r="BM951" s="652">
        <f t="shared" si="297"/>
        <v>1</v>
      </c>
      <c r="BN951" s="628"/>
      <c r="BO951" s="670"/>
      <c r="BP951" s="644"/>
      <c r="BQ951" s="644"/>
      <c r="BR951" s="644"/>
      <c r="BS951" s="644"/>
      <c r="BT951" s="644"/>
      <c r="BU951" s="644"/>
      <c r="BV951" s="644"/>
      <c r="BW951" s="644"/>
      <c r="BX951" s="644"/>
      <c r="BY951" s="644"/>
      <c r="BZ951" s="644"/>
      <c r="CA951" s="644"/>
      <c r="CB951" s="646">
        <f t="shared" si="298"/>
        <v>0</v>
      </c>
      <c r="CC951" s="646">
        <f t="shared" si="299"/>
        <v>0</v>
      </c>
      <c r="CD951" s="614"/>
    </row>
    <row r="952" spans="1:82" s="561" customFormat="1" ht="61.5" customHeight="1">
      <c r="A952" s="625" t="str">
        <f t="shared" si="281"/>
        <v>proyecto-Alerta: Seleccione la celda en la comumna B con el nombre del proyecto-Al-Al--</v>
      </c>
      <c r="B952" s="626" t="str">
        <f t="shared" si="282"/>
        <v>proyecto-Alerta: Seleccione la celda en la comumna B con el nombre del proyecto-Al-Al-</v>
      </c>
      <c r="C952" s="626" t="str">
        <f t="shared" si="283"/>
        <v>proyecto-Alerta: Seleccione la celda en la comumna B con el nombre del proyecto-</v>
      </c>
      <c r="D952" s="626" t="str">
        <f t="shared" si="284"/>
        <v>proyecto--Al-Al-</v>
      </c>
      <c r="E952" s="626" t="str">
        <f t="shared" si="285"/>
        <v>--</v>
      </c>
      <c r="F952" s="627"/>
      <c r="G952" s="628">
        <f t="shared" si="286"/>
        <v>0</v>
      </c>
      <c r="H952" s="629" t="b">
        <f t="shared" si="287"/>
        <v>1</v>
      </c>
      <c r="I952" s="630"/>
      <c r="J952" s="627"/>
      <c r="K952" s="631" t="str">
        <f>+IFERROR(VLOOKUP(J952,Listas!$A$108:$B$114,2,FALSE),"Alerta: Seleccione la celda en la comumna B con el nombre del proyecto")</f>
        <v>Alerta: Seleccione la celda en la comumna B con el nombre del proyecto</v>
      </c>
      <c r="L952" s="632"/>
      <c r="M952" s="633"/>
      <c r="N952" s="634" t="str">
        <f t="shared" si="288"/>
        <v xml:space="preserve">(Cód. ) </v>
      </c>
      <c r="O952" s="635"/>
      <c r="P952" s="636">
        <f>IFERROR(VLOOKUP(W952,'Estimación CRP'!$D$21:$E$30,2,FALSE),0)</f>
        <v>0</v>
      </c>
      <c r="Q952" s="637">
        <f>IF(O952="No aplica","No aplica",WORKDAY.INTL(O952,P952,1,'Estimación CRP'!A1138:A1154))</f>
        <v>0</v>
      </c>
      <c r="R952" s="636">
        <f t="shared" si="289"/>
        <v>1</v>
      </c>
      <c r="S952" s="636">
        <f t="shared" si="290"/>
        <v>1</v>
      </c>
      <c r="T952" s="636">
        <f t="shared" si="291"/>
        <v>1</v>
      </c>
      <c r="U952" s="638"/>
      <c r="V952" s="638"/>
      <c r="W952" s="639"/>
      <c r="X952" s="640" t="str">
        <f>IFERROR(VLOOKUP(W952,Listas!$A$60:$B$73,2,FALSE),"Alerta: Seleccione primero Modalidad de selección")</f>
        <v>Alerta: Seleccione primero Modalidad de selección</v>
      </c>
      <c r="Y952" s="641">
        <v>0</v>
      </c>
      <c r="Z952" s="641"/>
      <c r="AA952" s="641"/>
      <c r="AB952" s="642">
        <f t="shared" si="292"/>
        <v>0</v>
      </c>
      <c r="AC952" s="642">
        <f t="shared" si="293"/>
        <v>0</v>
      </c>
      <c r="AD952" s="641">
        <v>0</v>
      </c>
      <c r="AE952" s="643">
        <v>0</v>
      </c>
      <c r="AF952" s="639" t="s">
        <v>276</v>
      </c>
      <c r="AG952" s="639" t="s">
        <v>277</v>
      </c>
      <c r="AH952" s="639"/>
      <c r="AI952" s="626" t="str">
        <f>IFERROR(VLOOKUP(AH952,Listas!$A$77:$C$83,2,FALSE),"Alerta: Seleccione primero el responsable")</f>
        <v>Alerta: Seleccione primero el responsable</v>
      </c>
      <c r="AJ952" s="640" t="str">
        <f>IFERROR(VLOOKUP(AH952,Listas!$A$77:$C$83,3,FALSE),"Alerta: Seleccione primero el responsable")</f>
        <v>Alerta: Seleccione primero el responsable</v>
      </c>
      <c r="AK952" s="640" t="str">
        <f>IF(J952="Funcionamiento Gastos Generales","No aplica",IF(J952="Funcionamiento Servicios Personales indirectos","No aplica",IFERROR(VLOOKUP(J952,Listas!$A$127:$E$139,3,FALSE),"Alerta: Seleccione la celda en la comumna B con el nombre del proyecto")))</f>
        <v>Alerta: Seleccione la celda en la comumna B con el nombre del proyecto</v>
      </c>
      <c r="AL952" s="640" t="str">
        <f>IF(J952="Funcionamiento Gastos Generales","No aplica",IF(J952="Funcionamiento Servicios Personales","No aplica",IFERROR(VLOOKUP(J952,Listas!$A$220:$D$224,2,FALSE),"Alerta: Seleccione la celda en la comumna B con el nombre del proyecto")))</f>
        <v>Alerta: Seleccione la celda en la comumna B con el nombre del proyecto</v>
      </c>
      <c r="AM952" s="640" t="str">
        <f>IF(J952="Funcionamiento Gastos Generales","No aplica",IF(J952="Funcionamiento Servicios Personales","No aplica",IFERROR(VLOOKUP(J952,Listas!$A$220:$D$224,3,FALSE),"Alerta: Seleccione la celda en la comumna B con el nombre del proyecto")))</f>
        <v>Alerta: Seleccione la celda en la comumna B con el nombre del proyecto</v>
      </c>
      <c r="AN952" s="633"/>
      <c r="AO952" s="633"/>
      <c r="AP952" s="634" t="str">
        <f>IFERROR(VLOOKUP(J952,Listas!$A$182:$E$215,5,FALSE),"Alerta: Seleccione la celda en la comumna B con el nombre del proyecto")</f>
        <v>Alerta: Seleccione la celda en la comumna B con el nombre del proyecto</v>
      </c>
      <c r="AQ952" s="634" t="str">
        <f>IF(J952="Funcionamiento Gastos Generales","No aplica",IF(J952="Funcionamiento Servicios Personales","No aplica",IFERROR(VLOOKUP(J952,Listas!$A$220:$D$224,4,FALSE),"Alerta: Seleccione la celda en la comumna B con el nombre del proyecto")))</f>
        <v>Alerta: Seleccione la celda en la comumna B con el nombre del proyecto</v>
      </c>
      <c r="AR952" s="633"/>
      <c r="AS952" s="634" t="str">
        <f>IFERROR(VLOOKUP(AU952,Listas!$E$85:$L$105,7,FALSE),"Alerta: Seleccione la celda en la comumna AI con el concepto de gasto")</f>
        <v>Alerta: Seleccione la celda en la comumna AI con el concepto de gasto</v>
      </c>
      <c r="AT952" s="634" t="str">
        <f>IFERROR(VLOOKUP(AU952,Listas!$E$85:$L$105,8,FALSE),"Alerta: Seleccione la celda en la comumna AI con el concepto de gasto")</f>
        <v>Alerta: Seleccione la celda en la comumna AI con el concepto de gasto</v>
      </c>
      <c r="AU952" s="633"/>
      <c r="AV952" s="634" t="str">
        <f>IFERROR(VLOOKUP(AU952,Listas!$E$85:$F$105,2,FALSE),"Alerta: Seleccione el Concepto de Gasto primero")</f>
        <v>Alerta: Seleccione el Concepto de Gasto primero</v>
      </c>
      <c r="AW952" s="644"/>
      <c r="AX952" s="645"/>
      <c r="AY952" s="645"/>
      <c r="AZ952" s="645"/>
      <c r="BA952" s="646">
        <f t="shared" si="294"/>
        <v>0</v>
      </c>
      <c r="BB952" s="647"/>
      <c r="BC952" s="648"/>
      <c r="BD952" s="649"/>
      <c r="BE952" s="647"/>
      <c r="BF952" s="644"/>
      <c r="BG952" s="646">
        <f t="shared" si="295"/>
        <v>0</v>
      </c>
      <c r="BH952" s="650"/>
      <c r="BI952" s="647"/>
      <c r="BJ952" s="644"/>
      <c r="BK952" s="646">
        <f t="shared" si="296"/>
        <v>0</v>
      </c>
      <c r="BL952" s="651"/>
      <c r="BM952" s="652">
        <f t="shared" si="297"/>
        <v>1</v>
      </c>
      <c r="BN952" s="628"/>
      <c r="BO952" s="670"/>
      <c r="BP952" s="644"/>
      <c r="BQ952" s="644"/>
      <c r="BR952" s="644"/>
      <c r="BS952" s="644"/>
      <c r="BT952" s="644"/>
      <c r="BU952" s="644"/>
      <c r="BV952" s="644"/>
      <c r="BW952" s="644"/>
      <c r="BX952" s="644"/>
      <c r="BY952" s="644"/>
      <c r="BZ952" s="644"/>
      <c r="CA952" s="644"/>
      <c r="CB952" s="646">
        <f t="shared" si="298"/>
        <v>0</v>
      </c>
      <c r="CC952" s="646">
        <f t="shared" si="299"/>
        <v>0</v>
      </c>
      <c r="CD952" s="614"/>
    </row>
    <row r="953" spans="1:82" s="561" customFormat="1" ht="61.5" customHeight="1">
      <c r="A953" s="625" t="str">
        <f t="shared" si="281"/>
        <v>proyecto-Alerta: Seleccione la celda en la comumna B con el nombre del proyecto-Al-Al--</v>
      </c>
      <c r="B953" s="626" t="str">
        <f t="shared" si="282"/>
        <v>proyecto-Alerta: Seleccione la celda en la comumna B con el nombre del proyecto-Al-Al-</v>
      </c>
      <c r="C953" s="626" t="str">
        <f t="shared" si="283"/>
        <v>proyecto-Alerta: Seleccione la celda en la comumna B con el nombre del proyecto-</v>
      </c>
      <c r="D953" s="626" t="str">
        <f t="shared" si="284"/>
        <v>proyecto--Al-Al-</v>
      </c>
      <c r="E953" s="626" t="str">
        <f t="shared" si="285"/>
        <v>--</v>
      </c>
      <c r="F953" s="627"/>
      <c r="G953" s="628">
        <f t="shared" si="286"/>
        <v>0</v>
      </c>
      <c r="H953" s="629" t="b">
        <f t="shared" si="287"/>
        <v>1</v>
      </c>
      <c r="I953" s="630"/>
      <c r="J953" s="627"/>
      <c r="K953" s="631" t="str">
        <f>+IFERROR(VLOOKUP(J953,Listas!$A$108:$B$114,2,FALSE),"Alerta: Seleccione la celda en la comumna B con el nombre del proyecto")</f>
        <v>Alerta: Seleccione la celda en la comumna B con el nombre del proyecto</v>
      </c>
      <c r="L953" s="632"/>
      <c r="M953" s="633"/>
      <c r="N953" s="634" t="str">
        <f t="shared" si="288"/>
        <v xml:space="preserve">(Cód. ) </v>
      </c>
      <c r="O953" s="635"/>
      <c r="P953" s="636">
        <f>IFERROR(VLOOKUP(W953,'Estimación CRP'!$D$21:$E$30,2,FALSE),0)</f>
        <v>0</v>
      </c>
      <c r="Q953" s="637">
        <f>IF(O953="No aplica","No aplica",WORKDAY.INTL(O953,P953,1,'Estimación CRP'!A1139:A1155))</f>
        <v>0</v>
      </c>
      <c r="R953" s="636">
        <f t="shared" si="289"/>
        <v>1</v>
      </c>
      <c r="S953" s="636">
        <f t="shared" si="290"/>
        <v>1</v>
      </c>
      <c r="T953" s="636">
        <f t="shared" si="291"/>
        <v>1</v>
      </c>
      <c r="U953" s="638"/>
      <c r="V953" s="638"/>
      <c r="W953" s="639"/>
      <c r="X953" s="640" t="str">
        <f>IFERROR(VLOOKUP(W953,Listas!$A$60:$B$73,2,FALSE),"Alerta: Seleccione primero Modalidad de selección")</f>
        <v>Alerta: Seleccione primero Modalidad de selección</v>
      </c>
      <c r="Y953" s="641">
        <v>0</v>
      </c>
      <c r="Z953" s="641"/>
      <c r="AA953" s="641"/>
      <c r="AB953" s="642">
        <f t="shared" si="292"/>
        <v>0</v>
      </c>
      <c r="AC953" s="642">
        <f t="shared" si="293"/>
        <v>0</v>
      </c>
      <c r="AD953" s="641">
        <v>0</v>
      </c>
      <c r="AE953" s="643">
        <v>0</v>
      </c>
      <c r="AF953" s="639" t="s">
        <v>276</v>
      </c>
      <c r="AG953" s="639" t="s">
        <v>277</v>
      </c>
      <c r="AH953" s="639"/>
      <c r="AI953" s="626" t="str">
        <f>IFERROR(VLOOKUP(AH953,Listas!$A$77:$C$83,2,FALSE),"Alerta: Seleccione primero el responsable")</f>
        <v>Alerta: Seleccione primero el responsable</v>
      </c>
      <c r="AJ953" s="640" t="str">
        <f>IFERROR(VLOOKUP(AH953,Listas!$A$77:$C$83,3,FALSE),"Alerta: Seleccione primero el responsable")</f>
        <v>Alerta: Seleccione primero el responsable</v>
      </c>
      <c r="AK953" s="640" t="str">
        <f>IF(J953="Funcionamiento Gastos Generales","No aplica",IF(J953="Funcionamiento Servicios Personales indirectos","No aplica",IFERROR(VLOOKUP(J953,Listas!$A$127:$E$139,3,FALSE),"Alerta: Seleccione la celda en la comumna B con el nombre del proyecto")))</f>
        <v>Alerta: Seleccione la celda en la comumna B con el nombre del proyecto</v>
      </c>
      <c r="AL953" s="640" t="str">
        <f>IF(J953="Funcionamiento Gastos Generales","No aplica",IF(J953="Funcionamiento Servicios Personales","No aplica",IFERROR(VLOOKUP(J953,Listas!$A$220:$D$224,2,FALSE),"Alerta: Seleccione la celda en la comumna B con el nombre del proyecto")))</f>
        <v>Alerta: Seleccione la celda en la comumna B con el nombre del proyecto</v>
      </c>
      <c r="AM953" s="640" t="str">
        <f>IF(J953="Funcionamiento Gastos Generales","No aplica",IF(J953="Funcionamiento Servicios Personales","No aplica",IFERROR(VLOOKUP(J953,Listas!$A$220:$D$224,3,FALSE),"Alerta: Seleccione la celda en la comumna B con el nombre del proyecto")))</f>
        <v>Alerta: Seleccione la celda en la comumna B con el nombre del proyecto</v>
      </c>
      <c r="AN953" s="633"/>
      <c r="AO953" s="633"/>
      <c r="AP953" s="634" t="str">
        <f>IFERROR(VLOOKUP(J953,Listas!$A$182:$E$215,5,FALSE),"Alerta: Seleccione la celda en la comumna B con el nombre del proyecto")</f>
        <v>Alerta: Seleccione la celda en la comumna B con el nombre del proyecto</v>
      </c>
      <c r="AQ953" s="634" t="str">
        <f>IF(J953="Funcionamiento Gastos Generales","No aplica",IF(J953="Funcionamiento Servicios Personales","No aplica",IFERROR(VLOOKUP(J953,Listas!$A$220:$D$224,4,FALSE),"Alerta: Seleccione la celda en la comumna B con el nombre del proyecto")))</f>
        <v>Alerta: Seleccione la celda en la comumna B con el nombre del proyecto</v>
      </c>
      <c r="AR953" s="633"/>
      <c r="AS953" s="634" t="str">
        <f>IFERROR(VLOOKUP(AU953,Listas!$E$85:$L$105,7,FALSE),"Alerta: Seleccione la celda en la comumna AI con el concepto de gasto")</f>
        <v>Alerta: Seleccione la celda en la comumna AI con el concepto de gasto</v>
      </c>
      <c r="AT953" s="634" t="str">
        <f>IFERROR(VLOOKUP(AU953,Listas!$E$85:$L$105,8,FALSE),"Alerta: Seleccione la celda en la comumna AI con el concepto de gasto")</f>
        <v>Alerta: Seleccione la celda en la comumna AI con el concepto de gasto</v>
      </c>
      <c r="AU953" s="633"/>
      <c r="AV953" s="634" t="str">
        <f>IFERROR(VLOOKUP(AU953,Listas!$E$85:$F$105,2,FALSE),"Alerta: Seleccione el Concepto de Gasto primero")</f>
        <v>Alerta: Seleccione el Concepto de Gasto primero</v>
      </c>
      <c r="AW953" s="644"/>
      <c r="AX953" s="645"/>
      <c r="AY953" s="645"/>
      <c r="AZ953" s="645"/>
      <c r="BA953" s="646">
        <f t="shared" si="294"/>
        <v>0</v>
      </c>
      <c r="BB953" s="647"/>
      <c r="BC953" s="648"/>
      <c r="BD953" s="649"/>
      <c r="BE953" s="647"/>
      <c r="BF953" s="644"/>
      <c r="BG953" s="646">
        <f t="shared" si="295"/>
        <v>0</v>
      </c>
      <c r="BH953" s="650"/>
      <c r="BI953" s="647"/>
      <c r="BJ953" s="644"/>
      <c r="BK953" s="646">
        <f t="shared" si="296"/>
        <v>0</v>
      </c>
      <c r="BL953" s="651"/>
      <c r="BM953" s="652">
        <f t="shared" si="297"/>
        <v>1</v>
      </c>
      <c r="BN953" s="628"/>
      <c r="BO953" s="670"/>
      <c r="BP953" s="644"/>
      <c r="BQ953" s="644"/>
      <c r="BR953" s="644"/>
      <c r="BS953" s="644"/>
      <c r="BT953" s="644"/>
      <c r="BU953" s="644"/>
      <c r="BV953" s="644"/>
      <c r="BW953" s="644"/>
      <c r="BX953" s="644"/>
      <c r="BY953" s="644"/>
      <c r="BZ953" s="644"/>
      <c r="CA953" s="644"/>
      <c r="CB953" s="646">
        <f t="shared" si="298"/>
        <v>0</v>
      </c>
      <c r="CC953" s="646">
        <f t="shared" si="299"/>
        <v>0</v>
      </c>
      <c r="CD953" s="614"/>
    </row>
    <row r="954" spans="1:82" s="561" customFormat="1" ht="61.5" customHeight="1">
      <c r="A954" s="625" t="str">
        <f t="shared" si="281"/>
        <v>proyecto-Alerta: Seleccione la celda en la comumna B con el nombre del proyecto-Al-Al--</v>
      </c>
      <c r="B954" s="626" t="str">
        <f t="shared" si="282"/>
        <v>proyecto-Alerta: Seleccione la celda en la comumna B con el nombre del proyecto-Al-Al-</v>
      </c>
      <c r="C954" s="626" t="str">
        <f t="shared" si="283"/>
        <v>proyecto-Alerta: Seleccione la celda en la comumna B con el nombre del proyecto-</v>
      </c>
      <c r="D954" s="626" t="str">
        <f t="shared" si="284"/>
        <v>proyecto--Al-Al-</v>
      </c>
      <c r="E954" s="626" t="str">
        <f t="shared" si="285"/>
        <v>--</v>
      </c>
      <c r="F954" s="627"/>
      <c r="G954" s="628">
        <f t="shared" si="286"/>
        <v>0</v>
      </c>
      <c r="H954" s="629" t="b">
        <f t="shared" si="287"/>
        <v>1</v>
      </c>
      <c r="I954" s="630"/>
      <c r="J954" s="627"/>
      <c r="K954" s="631" t="str">
        <f>+IFERROR(VLOOKUP(J954,Listas!$A$108:$B$114,2,FALSE),"Alerta: Seleccione la celda en la comumna B con el nombre del proyecto")</f>
        <v>Alerta: Seleccione la celda en la comumna B con el nombre del proyecto</v>
      </c>
      <c r="L954" s="632"/>
      <c r="M954" s="633"/>
      <c r="N954" s="634" t="str">
        <f t="shared" si="288"/>
        <v xml:space="preserve">(Cód. ) </v>
      </c>
      <c r="O954" s="635"/>
      <c r="P954" s="636">
        <f>IFERROR(VLOOKUP(W954,'Estimación CRP'!$D$21:$E$30,2,FALSE),0)</f>
        <v>0</v>
      </c>
      <c r="Q954" s="637">
        <f>IF(O954="No aplica","No aplica",WORKDAY.INTL(O954,P954,1,'Estimación CRP'!A1140:A1156))</f>
        <v>0</v>
      </c>
      <c r="R954" s="636">
        <f t="shared" si="289"/>
        <v>1</v>
      </c>
      <c r="S954" s="636">
        <f t="shared" si="290"/>
        <v>1</v>
      </c>
      <c r="T954" s="636">
        <f t="shared" si="291"/>
        <v>1</v>
      </c>
      <c r="U954" s="638"/>
      <c r="V954" s="638"/>
      <c r="W954" s="639"/>
      <c r="X954" s="640" t="str">
        <f>IFERROR(VLOOKUP(W954,Listas!$A$60:$B$73,2,FALSE),"Alerta: Seleccione primero Modalidad de selección")</f>
        <v>Alerta: Seleccione primero Modalidad de selección</v>
      </c>
      <c r="Y954" s="641">
        <v>0</v>
      </c>
      <c r="Z954" s="641"/>
      <c r="AA954" s="641"/>
      <c r="AB954" s="642">
        <f t="shared" si="292"/>
        <v>0</v>
      </c>
      <c r="AC954" s="642">
        <f t="shared" si="293"/>
        <v>0</v>
      </c>
      <c r="AD954" s="641">
        <v>0</v>
      </c>
      <c r="AE954" s="643">
        <v>0</v>
      </c>
      <c r="AF954" s="639" t="s">
        <v>276</v>
      </c>
      <c r="AG954" s="639" t="s">
        <v>277</v>
      </c>
      <c r="AH954" s="639"/>
      <c r="AI954" s="626" t="str">
        <f>IFERROR(VLOOKUP(AH954,Listas!$A$77:$C$83,2,FALSE),"Alerta: Seleccione primero el responsable")</f>
        <v>Alerta: Seleccione primero el responsable</v>
      </c>
      <c r="AJ954" s="640" t="str">
        <f>IFERROR(VLOOKUP(AH954,Listas!$A$77:$C$83,3,FALSE),"Alerta: Seleccione primero el responsable")</f>
        <v>Alerta: Seleccione primero el responsable</v>
      </c>
      <c r="AK954" s="640" t="str">
        <f>IF(J954="Funcionamiento Gastos Generales","No aplica",IF(J954="Funcionamiento Servicios Personales indirectos","No aplica",IFERROR(VLOOKUP(J954,Listas!$A$127:$E$139,3,FALSE),"Alerta: Seleccione la celda en la comumna B con el nombre del proyecto")))</f>
        <v>Alerta: Seleccione la celda en la comumna B con el nombre del proyecto</v>
      </c>
      <c r="AL954" s="640" t="str">
        <f>IF(J954="Funcionamiento Gastos Generales","No aplica",IF(J954="Funcionamiento Servicios Personales","No aplica",IFERROR(VLOOKUP(J954,Listas!$A$220:$D$224,2,FALSE),"Alerta: Seleccione la celda en la comumna B con el nombre del proyecto")))</f>
        <v>Alerta: Seleccione la celda en la comumna B con el nombre del proyecto</v>
      </c>
      <c r="AM954" s="640" t="str">
        <f>IF(J954="Funcionamiento Gastos Generales","No aplica",IF(J954="Funcionamiento Servicios Personales","No aplica",IFERROR(VLOOKUP(J954,Listas!$A$220:$D$224,3,FALSE),"Alerta: Seleccione la celda en la comumna B con el nombre del proyecto")))</f>
        <v>Alerta: Seleccione la celda en la comumna B con el nombre del proyecto</v>
      </c>
      <c r="AN954" s="633"/>
      <c r="AO954" s="633"/>
      <c r="AP954" s="634" t="str">
        <f>IFERROR(VLOOKUP(J954,Listas!$A$182:$E$215,5,FALSE),"Alerta: Seleccione la celda en la comumna B con el nombre del proyecto")</f>
        <v>Alerta: Seleccione la celda en la comumna B con el nombre del proyecto</v>
      </c>
      <c r="AQ954" s="634" t="str">
        <f>IF(J954="Funcionamiento Gastos Generales","No aplica",IF(J954="Funcionamiento Servicios Personales","No aplica",IFERROR(VLOOKUP(J954,Listas!$A$220:$D$224,4,FALSE),"Alerta: Seleccione la celda en la comumna B con el nombre del proyecto")))</f>
        <v>Alerta: Seleccione la celda en la comumna B con el nombre del proyecto</v>
      </c>
      <c r="AR954" s="633"/>
      <c r="AS954" s="634" t="str">
        <f>IFERROR(VLOOKUP(AU954,Listas!$E$85:$L$105,7,FALSE),"Alerta: Seleccione la celda en la comumna AI con el concepto de gasto")</f>
        <v>Alerta: Seleccione la celda en la comumna AI con el concepto de gasto</v>
      </c>
      <c r="AT954" s="634" t="str">
        <f>IFERROR(VLOOKUP(AU954,Listas!$E$85:$L$105,8,FALSE),"Alerta: Seleccione la celda en la comumna AI con el concepto de gasto")</f>
        <v>Alerta: Seleccione la celda en la comumna AI con el concepto de gasto</v>
      </c>
      <c r="AU954" s="633"/>
      <c r="AV954" s="634" t="str">
        <f>IFERROR(VLOOKUP(AU954,Listas!$E$85:$F$105,2,FALSE),"Alerta: Seleccione el Concepto de Gasto primero")</f>
        <v>Alerta: Seleccione el Concepto de Gasto primero</v>
      </c>
      <c r="AW954" s="644"/>
      <c r="AX954" s="645"/>
      <c r="AY954" s="645"/>
      <c r="AZ954" s="645"/>
      <c r="BA954" s="646">
        <f t="shared" si="294"/>
        <v>0</v>
      </c>
      <c r="BB954" s="647"/>
      <c r="BC954" s="648"/>
      <c r="BD954" s="649"/>
      <c r="BE954" s="647"/>
      <c r="BF954" s="644"/>
      <c r="BG954" s="646">
        <f t="shared" si="295"/>
        <v>0</v>
      </c>
      <c r="BH954" s="650"/>
      <c r="BI954" s="647"/>
      <c r="BJ954" s="644"/>
      <c r="BK954" s="646">
        <f t="shared" si="296"/>
        <v>0</v>
      </c>
      <c r="BL954" s="651"/>
      <c r="BM954" s="652">
        <f t="shared" si="297"/>
        <v>1</v>
      </c>
      <c r="BN954" s="628"/>
      <c r="BO954" s="670"/>
      <c r="BP954" s="644"/>
      <c r="BQ954" s="644"/>
      <c r="BR954" s="644"/>
      <c r="BS954" s="644"/>
      <c r="BT954" s="644"/>
      <c r="BU954" s="644"/>
      <c r="BV954" s="644"/>
      <c r="BW954" s="644"/>
      <c r="BX954" s="644"/>
      <c r="BY954" s="644"/>
      <c r="BZ954" s="644"/>
      <c r="CA954" s="644"/>
      <c r="CB954" s="646">
        <f t="shared" si="298"/>
        <v>0</v>
      </c>
      <c r="CC954" s="646">
        <f t="shared" si="299"/>
        <v>0</v>
      </c>
      <c r="CD954" s="614"/>
    </row>
    <row r="955" spans="1:82" s="561" customFormat="1" ht="61.5" customHeight="1">
      <c r="A955" s="625" t="str">
        <f t="shared" si="281"/>
        <v>proyecto-Alerta: Seleccione la celda en la comumna B con el nombre del proyecto-Al-Al--</v>
      </c>
      <c r="B955" s="626" t="str">
        <f t="shared" si="282"/>
        <v>proyecto-Alerta: Seleccione la celda en la comumna B con el nombre del proyecto-Al-Al-</v>
      </c>
      <c r="C955" s="626" t="str">
        <f t="shared" si="283"/>
        <v>proyecto-Alerta: Seleccione la celda en la comumna B con el nombre del proyecto-</v>
      </c>
      <c r="D955" s="626" t="str">
        <f t="shared" si="284"/>
        <v>proyecto--Al-Al-</v>
      </c>
      <c r="E955" s="626" t="str">
        <f t="shared" si="285"/>
        <v>--</v>
      </c>
      <c r="F955" s="627"/>
      <c r="G955" s="628">
        <f t="shared" si="286"/>
        <v>0</v>
      </c>
      <c r="H955" s="629" t="b">
        <f t="shared" si="287"/>
        <v>1</v>
      </c>
      <c r="I955" s="630"/>
      <c r="J955" s="627"/>
      <c r="K955" s="631" t="str">
        <f>+IFERROR(VLOOKUP(J955,Listas!$A$108:$B$114,2,FALSE),"Alerta: Seleccione la celda en la comumna B con el nombre del proyecto")</f>
        <v>Alerta: Seleccione la celda en la comumna B con el nombre del proyecto</v>
      </c>
      <c r="L955" s="632"/>
      <c r="M955" s="633"/>
      <c r="N955" s="634" t="str">
        <f t="shared" si="288"/>
        <v xml:space="preserve">(Cód. ) </v>
      </c>
      <c r="O955" s="635"/>
      <c r="P955" s="636">
        <f>IFERROR(VLOOKUP(W955,'Estimación CRP'!$D$21:$E$30,2,FALSE),0)</f>
        <v>0</v>
      </c>
      <c r="Q955" s="637">
        <f>IF(O955="No aplica","No aplica",WORKDAY.INTL(O955,P955,1,'Estimación CRP'!A1141:A1157))</f>
        <v>0</v>
      </c>
      <c r="R955" s="636">
        <f t="shared" si="289"/>
        <v>1</v>
      </c>
      <c r="S955" s="636">
        <f t="shared" si="290"/>
        <v>1</v>
      </c>
      <c r="T955" s="636">
        <f t="shared" si="291"/>
        <v>1</v>
      </c>
      <c r="U955" s="638"/>
      <c r="V955" s="638"/>
      <c r="W955" s="639"/>
      <c r="X955" s="640" t="str">
        <f>IFERROR(VLOOKUP(W955,Listas!$A$60:$B$73,2,FALSE),"Alerta: Seleccione primero Modalidad de selección")</f>
        <v>Alerta: Seleccione primero Modalidad de selección</v>
      </c>
      <c r="Y955" s="641">
        <v>0</v>
      </c>
      <c r="Z955" s="641"/>
      <c r="AA955" s="641"/>
      <c r="AB955" s="642">
        <f t="shared" si="292"/>
        <v>0</v>
      </c>
      <c r="AC955" s="642">
        <f t="shared" si="293"/>
        <v>0</v>
      </c>
      <c r="AD955" s="641">
        <v>0</v>
      </c>
      <c r="AE955" s="643">
        <v>0</v>
      </c>
      <c r="AF955" s="639" t="s">
        <v>276</v>
      </c>
      <c r="AG955" s="639" t="s">
        <v>277</v>
      </c>
      <c r="AH955" s="639"/>
      <c r="AI955" s="626" t="str">
        <f>IFERROR(VLOOKUP(AH955,Listas!$A$77:$C$83,2,FALSE),"Alerta: Seleccione primero el responsable")</f>
        <v>Alerta: Seleccione primero el responsable</v>
      </c>
      <c r="AJ955" s="640" t="str">
        <f>IFERROR(VLOOKUP(AH955,Listas!$A$77:$C$83,3,FALSE),"Alerta: Seleccione primero el responsable")</f>
        <v>Alerta: Seleccione primero el responsable</v>
      </c>
      <c r="AK955" s="640" t="str">
        <f>IF(J955="Funcionamiento Gastos Generales","No aplica",IF(J955="Funcionamiento Servicios Personales indirectos","No aplica",IFERROR(VLOOKUP(J955,Listas!$A$127:$E$139,3,FALSE),"Alerta: Seleccione la celda en la comumna B con el nombre del proyecto")))</f>
        <v>Alerta: Seleccione la celda en la comumna B con el nombre del proyecto</v>
      </c>
      <c r="AL955" s="640" t="str">
        <f>IF(J955="Funcionamiento Gastos Generales","No aplica",IF(J955="Funcionamiento Servicios Personales","No aplica",IFERROR(VLOOKUP(J955,Listas!$A$220:$D$224,2,FALSE),"Alerta: Seleccione la celda en la comumna B con el nombre del proyecto")))</f>
        <v>Alerta: Seleccione la celda en la comumna B con el nombre del proyecto</v>
      </c>
      <c r="AM955" s="640" t="str">
        <f>IF(J955="Funcionamiento Gastos Generales","No aplica",IF(J955="Funcionamiento Servicios Personales","No aplica",IFERROR(VLOOKUP(J955,Listas!$A$220:$D$224,3,FALSE),"Alerta: Seleccione la celda en la comumna B con el nombre del proyecto")))</f>
        <v>Alerta: Seleccione la celda en la comumna B con el nombre del proyecto</v>
      </c>
      <c r="AN955" s="633"/>
      <c r="AO955" s="633"/>
      <c r="AP955" s="634" t="str">
        <f>IFERROR(VLOOKUP(J955,Listas!$A$182:$E$215,5,FALSE),"Alerta: Seleccione la celda en la comumna B con el nombre del proyecto")</f>
        <v>Alerta: Seleccione la celda en la comumna B con el nombre del proyecto</v>
      </c>
      <c r="AQ955" s="634" t="str">
        <f>IF(J955="Funcionamiento Gastos Generales","No aplica",IF(J955="Funcionamiento Servicios Personales","No aplica",IFERROR(VLOOKUP(J955,Listas!$A$220:$D$224,4,FALSE),"Alerta: Seleccione la celda en la comumna B con el nombre del proyecto")))</f>
        <v>Alerta: Seleccione la celda en la comumna B con el nombre del proyecto</v>
      </c>
      <c r="AR955" s="633"/>
      <c r="AS955" s="634" t="str">
        <f>IFERROR(VLOOKUP(AU955,Listas!$E$85:$L$105,7,FALSE),"Alerta: Seleccione la celda en la comumna AI con el concepto de gasto")</f>
        <v>Alerta: Seleccione la celda en la comumna AI con el concepto de gasto</v>
      </c>
      <c r="AT955" s="634" t="str">
        <f>IFERROR(VLOOKUP(AU955,Listas!$E$85:$L$105,8,FALSE),"Alerta: Seleccione la celda en la comumna AI con el concepto de gasto")</f>
        <v>Alerta: Seleccione la celda en la comumna AI con el concepto de gasto</v>
      </c>
      <c r="AU955" s="633"/>
      <c r="AV955" s="634" t="str">
        <f>IFERROR(VLOOKUP(AU955,Listas!$E$85:$F$105,2,FALSE),"Alerta: Seleccione el Concepto de Gasto primero")</f>
        <v>Alerta: Seleccione el Concepto de Gasto primero</v>
      </c>
      <c r="AW955" s="644"/>
      <c r="AX955" s="645"/>
      <c r="AY955" s="645"/>
      <c r="AZ955" s="645"/>
      <c r="BA955" s="646">
        <f t="shared" si="294"/>
        <v>0</v>
      </c>
      <c r="BB955" s="647"/>
      <c r="BC955" s="648"/>
      <c r="BD955" s="649"/>
      <c r="BE955" s="647"/>
      <c r="BF955" s="644"/>
      <c r="BG955" s="646">
        <f t="shared" si="295"/>
        <v>0</v>
      </c>
      <c r="BH955" s="650"/>
      <c r="BI955" s="647"/>
      <c r="BJ955" s="644"/>
      <c r="BK955" s="646">
        <f t="shared" si="296"/>
        <v>0</v>
      </c>
      <c r="BL955" s="651"/>
      <c r="BM955" s="652">
        <f t="shared" si="297"/>
        <v>1</v>
      </c>
      <c r="BN955" s="628"/>
      <c r="BO955" s="670"/>
      <c r="BP955" s="644"/>
      <c r="BQ955" s="644"/>
      <c r="BR955" s="644"/>
      <c r="BS955" s="644"/>
      <c r="BT955" s="644"/>
      <c r="BU955" s="644"/>
      <c r="BV955" s="644"/>
      <c r="BW955" s="644"/>
      <c r="BX955" s="644"/>
      <c r="BY955" s="644"/>
      <c r="BZ955" s="644"/>
      <c r="CA955" s="644"/>
      <c r="CB955" s="646">
        <f t="shared" si="298"/>
        <v>0</v>
      </c>
      <c r="CC955" s="646">
        <f t="shared" si="299"/>
        <v>0</v>
      </c>
      <c r="CD955" s="614"/>
    </row>
    <row r="956" spans="1:82" s="561" customFormat="1" ht="61.5" customHeight="1">
      <c r="A956" s="625" t="str">
        <f t="shared" si="281"/>
        <v>proyecto-Alerta: Seleccione la celda en la comumna B con el nombre del proyecto-Al-Al--</v>
      </c>
      <c r="B956" s="626" t="str">
        <f t="shared" si="282"/>
        <v>proyecto-Alerta: Seleccione la celda en la comumna B con el nombre del proyecto-Al-Al-</v>
      </c>
      <c r="C956" s="626" t="str">
        <f t="shared" si="283"/>
        <v>proyecto-Alerta: Seleccione la celda en la comumna B con el nombre del proyecto-</v>
      </c>
      <c r="D956" s="626" t="str">
        <f t="shared" si="284"/>
        <v>proyecto--Al-Al-</v>
      </c>
      <c r="E956" s="626" t="str">
        <f t="shared" si="285"/>
        <v>--</v>
      </c>
      <c r="F956" s="627"/>
      <c r="G956" s="628">
        <f t="shared" si="286"/>
        <v>0</v>
      </c>
      <c r="H956" s="629" t="b">
        <f t="shared" si="287"/>
        <v>1</v>
      </c>
      <c r="I956" s="630"/>
      <c r="J956" s="627"/>
      <c r="K956" s="631" t="str">
        <f>+IFERROR(VLOOKUP(J956,Listas!$A$108:$B$114,2,FALSE),"Alerta: Seleccione la celda en la comumna B con el nombre del proyecto")</f>
        <v>Alerta: Seleccione la celda en la comumna B con el nombre del proyecto</v>
      </c>
      <c r="L956" s="632"/>
      <c r="M956" s="633"/>
      <c r="N956" s="634" t="str">
        <f t="shared" si="288"/>
        <v xml:space="preserve">(Cód. ) </v>
      </c>
      <c r="O956" s="635"/>
      <c r="P956" s="636">
        <f>IFERROR(VLOOKUP(W956,'Estimación CRP'!$D$21:$E$30,2,FALSE),0)</f>
        <v>0</v>
      </c>
      <c r="Q956" s="637">
        <f>IF(O956="No aplica","No aplica",WORKDAY.INTL(O956,P956,1,'Estimación CRP'!A1142:A1158))</f>
        <v>0</v>
      </c>
      <c r="R956" s="636">
        <f t="shared" si="289"/>
        <v>1</v>
      </c>
      <c r="S956" s="636">
        <f t="shared" si="290"/>
        <v>1</v>
      </c>
      <c r="T956" s="636">
        <f t="shared" si="291"/>
        <v>1</v>
      </c>
      <c r="U956" s="638"/>
      <c r="V956" s="638"/>
      <c r="W956" s="639"/>
      <c r="X956" s="640" t="str">
        <f>IFERROR(VLOOKUP(W956,Listas!$A$60:$B$73,2,FALSE),"Alerta: Seleccione primero Modalidad de selección")</f>
        <v>Alerta: Seleccione primero Modalidad de selección</v>
      </c>
      <c r="Y956" s="641">
        <v>0</v>
      </c>
      <c r="Z956" s="641"/>
      <c r="AA956" s="641"/>
      <c r="AB956" s="642">
        <f t="shared" si="292"/>
        <v>0</v>
      </c>
      <c r="AC956" s="642">
        <f t="shared" si="293"/>
        <v>0</v>
      </c>
      <c r="AD956" s="641">
        <v>0</v>
      </c>
      <c r="AE956" s="643">
        <v>0</v>
      </c>
      <c r="AF956" s="639" t="s">
        <v>276</v>
      </c>
      <c r="AG956" s="639" t="s">
        <v>277</v>
      </c>
      <c r="AH956" s="639"/>
      <c r="AI956" s="626" t="str">
        <f>IFERROR(VLOOKUP(AH956,Listas!$A$77:$C$83,2,FALSE),"Alerta: Seleccione primero el responsable")</f>
        <v>Alerta: Seleccione primero el responsable</v>
      </c>
      <c r="AJ956" s="640" t="str">
        <f>IFERROR(VLOOKUP(AH956,Listas!$A$77:$C$83,3,FALSE),"Alerta: Seleccione primero el responsable")</f>
        <v>Alerta: Seleccione primero el responsable</v>
      </c>
      <c r="AK956" s="640" t="str">
        <f>IF(J956="Funcionamiento Gastos Generales","No aplica",IF(J956="Funcionamiento Servicios Personales indirectos","No aplica",IFERROR(VLOOKUP(J956,Listas!$A$127:$E$139,3,FALSE),"Alerta: Seleccione la celda en la comumna B con el nombre del proyecto")))</f>
        <v>Alerta: Seleccione la celda en la comumna B con el nombre del proyecto</v>
      </c>
      <c r="AL956" s="640" t="str">
        <f>IF(J956="Funcionamiento Gastos Generales","No aplica",IF(J956="Funcionamiento Servicios Personales","No aplica",IFERROR(VLOOKUP(J956,Listas!$A$220:$D$224,2,FALSE),"Alerta: Seleccione la celda en la comumna B con el nombre del proyecto")))</f>
        <v>Alerta: Seleccione la celda en la comumna B con el nombre del proyecto</v>
      </c>
      <c r="AM956" s="640" t="str">
        <f>IF(J956="Funcionamiento Gastos Generales","No aplica",IF(J956="Funcionamiento Servicios Personales","No aplica",IFERROR(VLOOKUP(J956,Listas!$A$220:$D$224,3,FALSE),"Alerta: Seleccione la celda en la comumna B con el nombre del proyecto")))</f>
        <v>Alerta: Seleccione la celda en la comumna B con el nombre del proyecto</v>
      </c>
      <c r="AN956" s="633"/>
      <c r="AO956" s="633"/>
      <c r="AP956" s="634" t="str">
        <f>IFERROR(VLOOKUP(J956,Listas!$A$182:$E$215,5,FALSE),"Alerta: Seleccione la celda en la comumna B con el nombre del proyecto")</f>
        <v>Alerta: Seleccione la celda en la comumna B con el nombre del proyecto</v>
      </c>
      <c r="AQ956" s="634" t="str">
        <f>IF(J956="Funcionamiento Gastos Generales","No aplica",IF(J956="Funcionamiento Servicios Personales","No aplica",IFERROR(VLOOKUP(J956,Listas!$A$220:$D$224,4,FALSE),"Alerta: Seleccione la celda en la comumna B con el nombre del proyecto")))</f>
        <v>Alerta: Seleccione la celda en la comumna B con el nombre del proyecto</v>
      </c>
      <c r="AR956" s="633"/>
      <c r="AS956" s="634" t="str">
        <f>IFERROR(VLOOKUP(AU956,Listas!$E$85:$L$105,7,FALSE),"Alerta: Seleccione la celda en la comumna AI con el concepto de gasto")</f>
        <v>Alerta: Seleccione la celda en la comumna AI con el concepto de gasto</v>
      </c>
      <c r="AT956" s="634" t="str">
        <f>IFERROR(VLOOKUP(AU956,Listas!$E$85:$L$105,8,FALSE),"Alerta: Seleccione la celda en la comumna AI con el concepto de gasto")</f>
        <v>Alerta: Seleccione la celda en la comumna AI con el concepto de gasto</v>
      </c>
      <c r="AU956" s="633"/>
      <c r="AV956" s="634" t="str">
        <f>IFERROR(VLOOKUP(AU956,Listas!$E$85:$F$105,2,FALSE),"Alerta: Seleccione el Concepto de Gasto primero")</f>
        <v>Alerta: Seleccione el Concepto de Gasto primero</v>
      </c>
      <c r="AW956" s="644"/>
      <c r="AX956" s="645"/>
      <c r="AY956" s="645"/>
      <c r="AZ956" s="645"/>
      <c r="BA956" s="646">
        <f t="shared" si="294"/>
        <v>0</v>
      </c>
      <c r="BB956" s="647"/>
      <c r="BC956" s="648"/>
      <c r="BD956" s="649"/>
      <c r="BE956" s="647"/>
      <c r="BF956" s="644"/>
      <c r="BG956" s="646">
        <f t="shared" si="295"/>
        <v>0</v>
      </c>
      <c r="BH956" s="650"/>
      <c r="BI956" s="647"/>
      <c r="BJ956" s="644"/>
      <c r="BK956" s="646">
        <f t="shared" si="296"/>
        <v>0</v>
      </c>
      <c r="BL956" s="651"/>
      <c r="BM956" s="652">
        <f t="shared" si="297"/>
        <v>1</v>
      </c>
      <c r="BN956" s="628"/>
      <c r="BO956" s="670"/>
      <c r="BP956" s="644"/>
      <c r="BQ956" s="644"/>
      <c r="BR956" s="644"/>
      <c r="BS956" s="644"/>
      <c r="BT956" s="644"/>
      <c r="BU956" s="644"/>
      <c r="BV956" s="644"/>
      <c r="BW956" s="644"/>
      <c r="BX956" s="644"/>
      <c r="BY956" s="644"/>
      <c r="BZ956" s="644"/>
      <c r="CA956" s="644"/>
      <c r="CB956" s="646">
        <f t="shared" si="298"/>
        <v>0</v>
      </c>
      <c r="CC956" s="646">
        <f t="shared" si="299"/>
        <v>0</v>
      </c>
      <c r="CD956" s="614"/>
    </row>
    <row r="957" spans="1:82" s="561" customFormat="1" ht="61.5" customHeight="1">
      <c r="A957" s="625" t="str">
        <f t="shared" si="281"/>
        <v>proyecto-Alerta: Seleccione la celda en la comumna B con el nombre del proyecto-Al-Al--</v>
      </c>
      <c r="B957" s="626" t="str">
        <f t="shared" si="282"/>
        <v>proyecto-Alerta: Seleccione la celda en la comumna B con el nombre del proyecto-Al-Al-</v>
      </c>
      <c r="C957" s="626" t="str">
        <f t="shared" si="283"/>
        <v>proyecto-Alerta: Seleccione la celda en la comumna B con el nombre del proyecto-</v>
      </c>
      <c r="D957" s="626" t="str">
        <f t="shared" si="284"/>
        <v>proyecto--Al-Al-</v>
      </c>
      <c r="E957" s="626" t="str">
        <f t="shared" si="285"/>
        <v>--</v>
      </c>
      <c r="F957" s="627"/>
      <c r="G957" s="628">
        <f t="shared" si="286"/>
        <v>0</v>
      </c>
      <c r="H957" s="629" t="b">
        <f t="shared" si="287"/>
        <v>1</v>
      </c>
      <c r="I957" s="630"/>
      <c r="J957" s="627"/>
      <c r="K957" s="631" t="str">
        <f>+IFERROR(VLOOKUP(J957,Listas!$A$108:$B$114,2,FALSE),"Alerta: Seleccione la celda en la comumna B con el nombre del proyecto")</f>
        <v>Alerta: Seleccione la celda en la comumna B con el nombre del proyecto</v>
      </c>
      <c r="L957" s="632"/>
      <c r="M957" s="633"/>
      <c r="N957" s="634" t="str">
        <f t="shared" si="288"/>
        <v xml:space="preserve">(Cód. ) </v>
      </c>
      <c r="O957" s="635"/>
      <c r="P957" s="636">
        <f>IFERROR(VLOOKUP(W957,'Estimación CRP'!$D$21:$E$30,2,FALSE),0)</f>
        <v>0</v>
      </c>
      <c r="Q957" s="637">
        <f>IF(O957="No aplica","No aplica",WORKDAY.INTL(O957,P957,1,'Estimación CRP'!A1143:A1159))</f>
        <v>0</v>
      </c>
      <c r="R957" s="636">
        <f t="shared" si="289"/>
        <v>1</v>
      </c>
      <c r="S957" s="636">
        <f t="shared" si="290"/>
        <v>1</v>
      </c>
      <c r="T957" s="636">
        <f t="shared" si="291"/>
        <v>1</v>
      </c>
      <c r="U957" s="638"/>
      <c r="V957" s="638"/>
      <c r="W957" s="639"/>
      <c r="X957" s="640" t="str">
        <f>IFERROR(VLOOKUP(W957,Listas!$A$60:$B$73,2,FALSE),"Alerta: Seleccione primero Modalidad de selección")</f>
        <v>Alerta: Seleccione primero Modalidad de selección</v>
      </c>
      <c r="Y957" s="641">
        <v>0</v>
      </c>
      <c r="Z957" s="641"/>
      <c r="AA957" s="641"/>
      <c r="AB957" s="642">
        <f t="shared" si="292"/>
        <v>0</v>
      </c>
      <c r="AC957" s="642">
        <f t="shared" si="293"/>
        <v>0</v>
      </c>
      <c r="AD957" s="641">
        <v>0</v>
      </c>
      <c r="AE957" s="643">
        <v>0</v>
      </c>
      <c r="AF957" s="639" t="s">
        <v>276</v>
      </c>
      <c r="AG957" s="639" t="s">
        <v>277</v>
      </c>
      <c r="AH957" s="639"/>
      <c r="AI957" s="626" t="str">
        <f>IFERROR(VLOOKUP(AH957,Listas!$A$77:$C$83,2,FALSE),"Alerta: Seleccione primero el responsable")</f>
        <v>Alerta: Seleccione primero el responsable</v>
      </c>
      <c r="AJ957" s="640" t="str">
        <f>IFERROR(VLOOKUP(AH957,Listas!$A$77:$C$83,3,FALSE),"Alerta: Seleccione primero el responsable")</f>
        <v>Alerta: Seleccione primero el responsable</v>
      </c>
      <c r="AK957" s="640" t="str">
        <f>IF(J957="Funcionamiento Gastos Generales","No aplica",IF(J957="Funcionamiento Servicios Personales indirectos","No aplica",IFERROR(VLOOKUP(J957,Listas!$A$127:$E$139,3,FALSE),"Alerta: Seleccione la celda en la comumna B con el nombre del proyecto")))</f>
        <v>Alerta: Seleccione la celda en la comumna B con el nombre del proyecto</v>
      </c>
      <c r="AL957" s="640" t="str">
        <f>IF(J957="Funcionamiento Gastos Generales","No aplica",IF(J957="Funcionamiento Servicios Personales","No aplica",IFERROR(VLOOKUP(J957,Listas!$A$220:$D$224,2,FALSE),"Alerta: Seleccione la celda en la comumna B con el nombre del proyecto")))</f>
        <v>Alerta: Seleccione la celda en la comumna B con el nombre del proyecto</v>
      </c>
      <c r="AM957" s="640" t="str">
        <f>IF(J957="Funcionamiento Gastos Generales","No aplica",IF(J957="Funcionamiento Servicios Personales","No aplica",IFERROR(VLOOKUP(J957,Listas!$A$220:$D$224,3,FALSE),"Alerta: Seleccione la celda en la comumna B con el nombre del proyecto")))</f>
        <v>Alerta: Seleccione la celda en la comumna B con el nombre del proyecto</v>
      </c>
      <c r="AN957" s="633"/>
      <c r="AO957" s="633"/>
      <c r="AP957" s="634" t="str">
        <f>IFERROR(VLOOKUP(J957,Listas!$A$182:$E$215,5,FALSE),"Alerta: Seleccione la celda en la comumna B con el nombre del proyecto")</f>
        <v>Alerta: Seleccione la celda en la comumna B con el nombre del proyecto</v>
      </c>
      <c r="AQ957" s="634" t="str">
        <f>IF(J957="Funcionamiento Gastos Generales","No aplica",IF(J957="Funcionamiento Servicios Personales","No aplica",IFERROR(VLOOKUP(J957,Listas!$A$220:$D$224,4,FALSE),"Alerta: Seleccione la celda en la comumna B con el nombre del proyecto")))</f>
        <v>Alerta: Seleccione la celda en la comumna B con el nombre del proyecto</v>
      </c>
      <c r="AR957" s="633"/>
      <c r="AS957" s="634" t="str">
        <f>IFERROR(VLOOKUP(AU957,Listas!$E$85:$L$105,7,FALSE),"Alerta: Seleccione la celda en la comumna AI con el concepto de gasto")</f>
        <v>Alerta: Seleccione la celda en la comumna AI con el concepto de gasto</v>
      </c>
      <c r="AT957" s="634" t="str">
        <f>IFERROR(VLOOKUP(AU957,Listas!$E$85:$L$105,8,FALSE),"Alerta: Seleccione la celda en la comumna AI con el concepto de gasto")</f>
        <v>Alerta: Seleccione la celda en la comumna AI con el concepto de gasto</v>
      </c>
      <c r="AU957" s="633"/>
      <c r="AV957" s="634" t="str">
        <f>IFERROR(VLOOKUP(AU957,Listas!$E$85:$F$105,2,FALSE),"Alerta: Seleccione el Concepto de Gasto primero")</f>
        <v>Alerta: Seleccione el Concepto de Gasto primero</v>
      </c>
      <c r="AW957" s="644"/>
      <c r="AX957" s="645"/>
      <c r="AY957" s="645"/>
      <c r="AZ957" s="645"/>
      <c r="BA957" s="646">
        <f t="shared" si="294"/>
        <v>0</v>
      </c>
      <c r="BB957" s="647"/>
      <c r="BC957" s="648"/>
      <c r="BD957" s="649"/>
      <c r="BE957" s="647"/>
      <c r="BF957" s="644"/>
      <c r="BG957" s="646">
        <f t="shared" si="295"/>
        <v>0</v>
      </c>
      <c r="BH957" s="650"/>
      <c r="BI957" s="647"/>
      <c r="BJ957" s="644"/>
      <c r="BK957" s="646">
        <f t="shared" si="296"/>
        <v>0</v>
      </c>
      <c r="BL957" s="651"/>
      <c r="BM957" s="652">
        <f t="shared" si="297"/>
        <v>1</v>
      </c>
      <c r="BN957" s="628"/>
      <c r="BO957" s="670"/>
      <c r="BP957" s="644"/>
      <c r="BQ957" s="644"/>
      <c r="BR957" s="644"/>
      <c r="BS957" s="644"/>
      <c r="BT957" s="644"/>
      <c r="BU957" s="644"/>
      <c r="BV957" s="644"/>
      <c r="BW957" s="644"/>
      <c r="BX957" s="644"/>
      <c r="BY957" s="644"/>
      <c r="BZ957" s="644"/>
      <c r="CA957" s="644"/>
      <c r="CB957" s="646">
        <f t="shared" si="298"/>
        <v>0</v>
      </c>
      <c r="CC957" s="646">
        <f t="shared" si="299"/>
        <v>0</v>
      </c>
      <c r="CD957" s="614"/>
    </row>
    <row r="958" spans="1:82" s="561" customFormat="1" ht="61.5" customHeight="1">
      <c r="A958" s="625" t="str">
        <f t="shared" si="281"/>
        <v>proyecto-Alerta: Seleccione la celda en la comumna B con el nombre del proyecto-Al-Al--</v>
      </c>
      <c r="B958" s="626" t="str">
        <f t="shared" si="282"/>
        <v>proyecto-Alerta: Seleccione la celda en la comumna B con el nombre del proyecto-Al-Al-</v>
      </c>
      <c r="C958" s="626" t="str">
        <f t="shared" si="283"/>
        <v>proyecto-Alerta: Seleccione la celda en la comumna B con el nombre del proyecto-</v>
      </c>
      <c r="D958" s="626" t="str">
        <f t="shared" si="284"/>
        <v>proyecto--Al-Al-</v>
      </c>
      <c r="E958" s="626" t="str">
        <f t="shared" si="285"/>
        <v>--</v>
      </c>
      <c r="F958" s="627"/>
      <c r="G958" s="628">
        <f t="shared" si="286"/>
        <v>0</v>
      </c>
      <c r="H958" s="629" t="b">
        <f t="shared" si="287"/>
        <v>1</v>
      </c>
      <c r="I958" s="630"/>
      <c r="J958" s="627"/>
      <c r="K958" s="631" t="str">
        <f>+IFERROR(VLOOKUP(J958,Listas!$A$108:$B$114,2,FALSE),"Alerta: Seleccione la celda en la comumna B con el nombre del proyecto")</f>
        <v>Alerta: Seleccione la celda en la comumna B con el nombre del proyecto</v>
      </c>
      <c r="L958" s="632"/>
      <c r="M958" s="633"/>
      <c r="N958" s="634" t="str">
        <f t="shared" si="288"/>
        <v xml:space="preserve">(Cód. ) </v>
      </c>
      <c r="O958" s="635"/>
      <c r="P958" s="636">
        <f>IFERROR(VLOOKUP(W958,'Estimación CRP'!$D$21:$E$30,2,FALSE),0)</f>
        <v>0</v>
      </c>
      <c r="Q958" s="637">
        <f>IF(O958="No aplica","No aplica",WORKDAY.INTL(O958,P958,1,'Estimación CRP'!A1144:A1160))</f>
        <v>0</v>
      </c>
      <c r="R958" s="636">
        <f t="shared" si="289"/>
        <v>1</v>
      </c>
      <c r="S958" s="636">
        <f t="shared" si="290"/>
        <v>1</v>
      </c>
      <c r="T958" s="636">
        <f t="shared" si="291"/>
        <v>1</v>
      </c>
      <c r="U958" s="638"/>
      <c r="V958" s="638"/>
      <c r="W958" s="639"/>
      <c r="X958" s="640" t="str">
        <f>IFERROR(VLOOKUP(W958,Listas!$A$60:$B$73,2,FALSE),"Alerta: Seleccione primero Modalidad de selección")</f>
        <v>Alerta: Seleccione primero Modalidad de selección</v>
      </c>
      <c r="Y958" s="641">
        <v>0</v>
      </c>
      <c r="Z958" s="641"/>
      <c r="AA958" s="641"/>
      <c r="AB958" s="642">
        <f t="shared" si="292"/>
        <v>0</v>
      </c>
      <c r="AC958" s="642">
        <f t="shared" si="293"/>
        <v>0</v>
      </c>
      <c r="AD958" s="641">
        <v>0</v>
      </c>
      <c r="AE958" s="643">
        <v>0</v>
      </c>
      <c r="AF958" s="639" t="s">
        <v>276</v>
      </c>
      <c r="AG958" s="639" t="s">
        <v>277</v>
      </c>
      <c r="AH958" s="639"/>
      <c r="AI958" s="626" t="str">
        <f>IFERROR(VLOOKUP(AH958,Listas!$A$77:$C$83,2,FALSE),"Alerta: Seleccione primero el responsable")</f>
        <v>Alerta: Seleccione primero el responsable</v>
      </c>
      <c r="AJ958" s="640" t="str">
        <f>IFERROR(VLOOKUP(AH958,Listas!$A$77:$C$83,3,FALSE),"Alerta: Seleccione primero el responsable")</f>
        <v>Alerta: Seleccione primero el responsable</v>
      </c>
      <c r="AK958" s="640" t="str">
        <f>IF(J958="Funcionamiento Gastos Generales","No aplica",IF(J958="Funcionamiento Servicios Personales indirectos","No aplica",IFERROR(VLOOKUP(J958,Listas!$A$127:$E$139,3,FALSE),"Alerta: Seleccione la celda en la comumna B con el nombre del proyecto")))</f>
        <v>Alerta: Seleccione la celda en la comumna B con el nombre del proyecto</v>
      </c>
      <c r="AL958" s="640" t="str">
        <f>IF(J958="Funcionamiento Gastos Generales","No aplica",IF(J958="Funcionamiento Servicios Personales","No aplica",IFERROR(VLOOKUP(J958,Listas!$A$220:$D$224,2,FALSE),"Alerta: Seleccione la celda en la comumna B con el nombre del proyecto")))</f>
        <v>Alerta: Seleccione la celda en la comumna B con el nombre del proyecto</v>
      </c>
      <c r="AM958" s="640" t="str">
        <f>IF(J958="Funcionamiento Gastos Generales","No aplica",IF(J958="Funcionamiento Servicios Personales","No aplica",IFERROR(VLOOKUP(J958,Listas!$A$220:$D$224,3,FALSE),"Alerta: Seleccione la celda en la comumna B con el nombre del proyecto")))</f>
        <v>Alerta: Seleccione la celda en la comumna B con el nombre del proyecto</v>
      </c>
      <c r="AN958" s="633"/>
      <c r="AO958" s="633"/>
      <c r="AP958" s="634" t="str">
        <f>IFERROR(VLOOKUP(J958,Listas!$A$182:$E$215,5,FALSE),"Alerta: Seleccione la celda en la comumna B con el nombre del proyecto")</f>
        <v>Alerta: Seleccione la celda en la comumna B con el nombre del proyecto</v>
      </c>
      <c r="AQ958" s="634" t="str">
        <f>IF(J958="Funcionamiento Gastos Generales","No aplica",IF(J958="Funcionamiento Servicios Personales","No aplica",IFERROR(VLOOKUP(J958,Listas!$A$220:$D$224,4,FALSE),"Alerta: Seleccione la celda en la comumna B con el nombre del proyecto")))</f>
        <v>Alerta: Seleccione la celda en la comumna B con el nombre del proyecto</v>
      </c>
      <c r="AR958" s="633"/>
      <c r="AS958" s="634" t="str">
        <f>IFERROR(VLOOKUP(AU958,Listas!$E$85:$L$105,7,FALSE),"Alerta: Seleccione la celda en la comumna AI con el concepto de gasto")</f>
        <v>Alerta: Seleccione la celda en la comumna AI con el concepto de gasto</v>
      </c>
      <c r="AT958" s="634" t="str">
        <f>IFERROR(VLOOKUP(AU958,Listas!$E$85:$L$105,8,FALSE),"Alerta: Seleccione la celda en la comumna AI con el concepto de gasto")</f>
        <v>Alerta: Seleccione la celda en la comumna AI con el concepto de gasto</v>
      </c>
      <c r="AU958" s="633"/>
      <c r="AV958" s="634" t="str">
        <f>IFERROR(VLOOKUP(AU958,Listas!$E$85:$F$105,2,FALSE),"Alerta: Seleccione el Concepto de Gasto primero")</f>
        <v>Alerta: Seleccione el Concepto de Gasto primero</v>
      </c>
      <c r="AW958" s="644"/>
      <c r="AX958" s="645"/>
      <c r="AY958" s="645"/>
      <c r="AZ958" s="645"/>
      <c r="BA958" s="646">
        <f t="shared" si="294"/>
        <v>0</v>
      </c>
      <c r="BB958" s="647"/>
      <c r="BC958" s="648"/>
      <c r="BD958" s="649"/>
      <c r="BE958" s="647"/>
      <c r="BF958" s="644"/>
      <c r="BG958" s="646">
        <f t="shared" si="295"/>
        <v>0</v>
      </c>
      <c r="BH958" s="650"/>
      <c r="BI958" s="647"/>
      <c r="BJ958" s="644"/>
      <c r="BK958" s="646">
        <f t="shared" si="296"/>
        <v>0</v>
      </c>
      <c r="BL958" s="651"/>
      <c r="BM958" s="652">
        <f t="shared" si="297"/>
        <v>1</v>
      </c>
      <c r="BN958" s="628"/>
      <c r="BO958" s="670"/>
      <c r="BP958" s="644"/>
      <c r="BQ958" s="644"/>
      <c r="BR958" s="644"/>
      <c r="BS958" s="644"/>
      <c r="BT958" s="644"/>
      <c r="BU958" s="644"/>
      <c r="BV958" s="644"/>
      <c r="BW958" s="644"/>
      <c r="BX958" s="644"/>
      <c r="BY958" s="644"/>
      <c r="BZ958" s="644"/>
      <c r="CA958" s="644"/>
      <c r="CB958" s="646">
        <f t="shared" si="298"/>
        <v>0</v>
      </c>
      <c r="CC958" s="646">
        <f t="shared" si="299"/>
        <v>0</v>
      </c>
      <c r="CD958" s="614"/>
    </row>
    <row r="959" spans="1:82" s="561" customFormat="1" ht="61.5" customHeight="1">
      <c r="A959" s="625" t="str">
        <f t="shared" si="281"/>
        <v>proyecto-Alerta: Seleccione la celda en la comumna B con el nombre del proyecto-Al-Al--</v>
      </c>
      <c r="B959" s="626" t="str">
        <f t="shared" si="282"/>
        <v>proyecto-Alerta: Seleccione la celda en la comumna B con el nombre del proyecto-Al-Al-</v>
      </c>
      <c r="C959" s="626" t="str">
        <f t="shared" si="283"/>
        <v>proyecto-Alerta: Seleccione la celda en la comumna B con el nombre del proyecto-</v>
      </c>
      <c r="D959" s="626" t="str">
        <f t="shared" si="284"/>
        <v>proyecto--Al-Al-</v>
      </c>
      <c r="E959" s="626" t="str">
        <f t="shared" si="285"/>
        <v>--</v>
      </c>
      <c r="F959" s="627"/>
      <c r="G959" s="628">
        <f t="shared" si="286"/>
        <v>0</v>
      </c>
      <c r="H959" s="629" t="b">
        <f t="shared" si="287"/>
        <v>1</v>
      </c>
      <c r="I959" s="630"/>
      <c r="J959" s="627"/>
      <c r="K959" s="631" t="str">
        <f>+IFERROR(VLOOKUP(J959,Listas!$A$108:$B$114,2,FALSE),"Alerta: Seleccione la celda en la comumna B con el nombre del proyecto")</f>
        <v>Alerta: Seleccione la celda en la comumna B con el nombre del proyecto</v>
      </c>
      <c r="L959" s="632"/>
      <c r="M959" s="633"/>
      <c r="N959" s="634" t="str">
        <f t="shared" si="288"/>
        <v xml:space="preserve">(Cód. ) </v>
      </c>
      <c r="O959" s="635"/>
      <c r="P959" s="636">
        <f>IFERROR(VLOOKUP(W959,'Estimación CRP'!$D$21:$E$30,2,FALSE),0)</f>
        <v>0</v>
      </c>
      <c r="Q959" s="637">
        <f>IF(O959="No aplica","No aplica",WORKDAY.INTL(O959,P959,1,'Estimación CRP'!A1145:A1161))</f>
        <v>0</v>
      </c>
      <c r="R959" s="636">
        <f t="shared" si="289"/>
        <v>1</v>
      </c>
      <c r="S959" s="636">
        <f t="shared" si="290"/>
        <v>1</v>
      </c>
      <c r="T959" s="636">
        <f t="shared" si="291"/>
        <v>1</v>
      </c>
      <c r="U959" s="638"/>
      <c r="V959" s="638"/>
      <c r="W959" s="639"/>
      <c r="X959" s="640" t="str">
        <f>IFERROR(VLOOKUP(W959,Listas!$A$60:$B$73,2,FALSE),"Alerta: Seleccione primero Modalidad de selección")</f>
        <v>Alerta: Seleccione primero Modalidad de selección</v>
      </c>
      <c r="Y959" s="641">
        <v>0</v>
      </c>
      <c r="Z959" s="641"/>
      <c r="AA959" s="641"/>
      <c r="AB959" s="642">
        <f t="shared" si="292"/>
        <v>0</v>
      </c>
      <c r="AC959" s="642">
        <f t="shared" si="293"/>
        <v>0</v>
      </c>
      <c r="AD959" s="641">
        <v>0</v>
      </c>
      <c r="AE959" s="643">
        <v>0</v>
      </c>
      <c r="AF959" s="639" t="s">
        <v>276</v>
      </c>
      <c r="AG959" s="639" t="s">
        <v>277</v>
      </c>
      <c r="AH959" s="639"/>
      <c r="AI959" s="626" t="str">
        <f>IFERROR(VLOOKUP(AH959,Listas!$A$77:$C$83,2,FALSE),"Alerta: Seleccione primero el responsable")</f>
        <v>Alerta: Seleccione primero el responsable</v>
      </c>
      <c r="AJ959" s="640" t="str">
        <f>IFERROR(VLOOKUP(AH959,Listas!$A$77:$C$83,3,FALSE),"Alerta: Seleccione primero el responsable")</f>
        <v>Alerta: Seleccione primero el responsable</v>
      </c>
      <c r="AK959" s="640" t="str">
        <f>IF(J959="Funcionamiento Gastos Generales","No aplica",IF(J959="Funcionamiento Servicios Personales indirectos","No aplica",IFERROR(VLOOKUP(J959,Listas!$A$127:$E$139,3,FALSE),"Alerta: Seleccione la celda en la comumna B con el nombre del proyecto")))</f>
        <v>Alerta: Seleccione la celda en la comumna B con el nombre del proyecto</v>
      </c>
      <c r="AL959" s="640" t="str">
        <f>IF(J959="Funcionamiento Gastos Generales","No aplica",IF(J959="Funcionamiento Servicios Personales","No aplica",IFERROR(VLOOKUP(J959,Listas!$A$220:$D$224,2,FALSE),"Alerta: Seleccione la celda en la comumna B con el nombre del proyecto")))</f>
        <v>Alerta: Seleccione la celda en la comumna B con el nombre del proyecto</v>
      </c>
      <c r="AM959" s="640" t="str">
        <f>IF(J959="Funcionamiento Gastos Generales","No aplica",IF(J959="Funcionamiento Servicios Personales","No aplica",IFERROR(VLOOKUP(J959,Listas!$A$220:$D$224,3,FALSE),"Alerta: Seleccione la celda en la comumna B con el nombre del proyecto")))</f>
        <v>Alerta: Seleccione la celda en la comumna B con el nombre del proyecto</v>
      </c>
      <c r="AN959" s="633"/>
      <c r="AO959" s="633"/>
      <c r="AP959" s="634" t="str">
        <f>IFERROR(VLOOKUP(J959,Listas!$A$182:$E$215,5,FALSE),"Alerta: Seleccione la celda en la comumna B con el nombre del proyecto")</f>
        <v>Alerta: Seleccione la celda en la comumna B con el nombre del proyecto</v>
      </c>
      <c r="AQ959" s="634" t="str">
        <f>IF(J959="Funcionamiento Gastos Generales","No aplica",IF(J959="Funcionamiento Servicios Personales","No aplica",IFERROR(VLOOKUP(J959,Listas!$A$220:$D$224,4,FALSE),"Alerta: Seleccione la celda en la comumna B con el nombre del proyecto")))</f>
        <v>Alerta: Seleccione la celda en la comumna B con el nombre del proyecto</v>
      </c>
      <c r="AR959" s="633"/>
      <c r="AS959" s="634" t="str">
        <f>IFERROR(VLOOKUP(AU959,Listas!$E$85:$L$105,7,FALSE),"Alerta: Seleccione la celda en la comumna AI con el concepto de gasto")</f>
        <v>Alerta: Seleccione la celda en la comumna AI con el concepto de gasto</v>
      </c>
      <c r="AT959" s="634" t="str">
        <f>IFERROR(VLOOKUP(AU959,Listas!$E$85:$L$105,8,FALSE),"Alerta: Seleccione la celda en la comumna AI con el concepto de gasto")</f>
        <v>Alerta: Seleccione la celda en la comumna AI con el concepto de gasto</v>
      </c>
      <c r="AU959" s="633"/>
      <c r="AV959" s="634" t="str">
        <f>IFERROR(VLOOKUP(AU959,Listas!$E$85:$F$105,2,FALSE),"Alerta: Seleccione el Concepto de Gasto primero")</f>
        <v>Alerta: Seleccione el Concepto de Gasto primero</v>
      </c>
      <c r="AW959" s="644"/>
      <c r="AX959" s="645"/>
      <c r="AY959" s="645"/>
      <c r="AZ959" s="645"/>
      <c r="BA959" s="646">
        <f t="shared" si="294"/>
        <v>0</v>
      </c>
      <c r="BB959" s="647"/>
      <c r="BC959" s="648"/>
      <c r="BD959" s="649"/>
      <c r="BE959" s="647"/>
      <c r="BF959" s="644"/>
      <c r="BG959" s="646">
        <f t="shared" si="295"/>
        <v>0</v>
      </c>
      <c r="BH959" s="650"/>
      <c r="BI959" s="647"/>
      <c r="BJ959" s="644"/>
      <c r="BK959" s="646">
        <f t="shared" si="296"/>
        <v>0</v>
      </c>
      <c r="BL959" s="651"/>
      <c r="BM959" s="652">
        <f t="shared" si="297"/>
        <v>1</v>
      </c>
      <c r="BN959" s="628"/>
      <c r="BO959" s="670"/>
      <c r="BP959" s="644"/>
      <c r="BQ959" s="644"/>
      <c r="BR959" s="644"/>
      <c r="BS959" s="644"/>
      <c r="BT959" s="644"/>
      <c r="BU959" s="644"/>
      <c r="BV959" s="644"/>
      <c r="BW959" s="644"/>
      <c r="BX959" s="644"/>
      <c r="BY959" s="644"/>
      <c r="BZ959" s="644"/>
      <c r="CA959" s="644"/>
      <c r="CB959" s="646">
        <f t="shared" si="298"/>
        <v>0</v>
      </c>
      <c r="CC959" s="646">
        <f t="shared" si="299"/>
        <v>0</v>
      </c>
      <c r="CD959" s="614"/>
    </row>
    <row r="960" spans="1:82" s="561" customFormat="1" ht="61.5" customHeight="1">
      <c r="A960" s="625" t="str">
        <f t="shared" si="281"/>
        <v>proyecto-Alerta: Seleccione la celda en la comumna B con el nombre del proyecto-Al-Al--</v>
      </c>
      <c r="B960" s="626" t="str">
        <f t="shared" si="282"/>
        <v>proyecto-Alerta: Seleccione la celda en la comumna B con el nombre del proyecto-Al-Al-</v>
      </c>
      <c r="C960" s="626" t="str">
        <f t="shared" si="283"/>
        <v>proyecto-Alerta: Seleccione la celda en la comumna B con el nombre del proyecto-</v>
      </c>
      <c r="D960" s="626" t="str">
        <f t="shared" si="284"/>
        <v>proyecto--Al-Al-</v>
      </c>
      <c r="E960" s="626" t="str">
        <f t="shared" si="285"/>
        <v>--</v>
      </c>
      <c r="F960" s="627"/>
      <c r="G960" s="628">
        <f t="shared" si="286"/>
        <v>0</v>
      </c>
      <c r="H960" s="629" t="b">
        <f t="shared" si="287"/>
        <v>1</v>
      </c>
      <c r="I960" s="630"/>
      <c r="J960" s="627"/>
      <c r="K960" s="631" t="str">
        <f>+IFERROR(VLOOKUP(J960,Listas!$A$108:$B$114,2,FALSE),"Alerta: Seleccione la celda en la comumna B con el nombre del proyecto")</f>
        <v>Alerta: Seleccione la celda en la comumna B con el nombre del proyecto</v>
      </c>
      <c r="L960" s="632"/>
      <c r="M960" s="633"/>
      <c r="N960" s="634" t="str">
        <f t="shared" si="288"/>
        <v xml:space="preserve">(Cód. ) </v>
      </c>
      <c r="O960" s="635"/>
      <c r="P960" s="636">
        <f>IFERROR(VLOOKUP(W960,'Estimación CRP'!$D$21:$E$30,2,FALSE),0)</f>
        <v>0</v>
      </c>
      <c r="Q960" s="637">
        <f>IF(O960="No aplica","No aplica",WORKDAY.INTL(O960,P960,1,'Estimación CRP'!A1146:A1162))</f>
        <v>0</v>
      </c>
      <c r="R960" s="636">
        <f t="shared" si="289"/>
        <v>1</v>
      </c>
      <c r="S960" s="636">
        <f t="shared" si="290"/>
        <v>1</v>
      </c>
      <c r="T960" s="636">
        <f t="shared" si="291"/>
        <v>1</v>
      </c>
      <c r="U960" s="638"/>
      <c r="V960" s="638"/>
      <c r="W960" s="639"/>
      <c r="X960" s="640" t="str">
        <f>IFERROR(VLOOKUP(W960,Listas!$A$60:$B$73,2,FALSE),"Alerta: Seleccione primero Modalidad de selección")</f>
        <v>Alerta: Seleccione primero Modalidad de selección</v>
      </c>
      <c r="Y960" s="641">
        <v>0</v>
      </c>
      <c r="Z960" s="641"/>
      <c r="AA960" s="641"/>
      <c r="AB960" s="642">
        <f t="shared" si="292"/>
        <v>0</v>
      </c>
      <c r="AC960" s="642">
        <f t="shared" si="293"/>
        <v>0</v>
      </c>
      <c r="AD960" s="641">
        <v>0</v>
      </c>
      <c r="AE960" s="643">
        <v>0</v>
      </c>
      <c r="AF960" s="639" t="s">
        <v>276</v>
      </c>
      <c r="AG960" s="639" t="s">
        <v>277</v>
      </c>
      <c r="AH960" s="639"/>
      <c r="AI960" s="626" t="str">
        <f>IFERROR(VLOOKUP(AH960,Listas!$A$77:$C$83,2,FALSE),"Alerta: Seleccione primero el responsable")</f>
        <v>Alerta: Seleccione primero el responsable</v>
      </c>
      <c r="AJ960" s="640" t="str">
        <f>IFERROR(VLOOKUP(AH960,Listas!$A$77:$C$83,3,FALSE),"Alerta: Seleccione primero el responsable")</f>
        <v>Alerta: Seleccione primero el responsable</v>
      </c>
      <c r="AK960" s="640" t="str">
        <f>IF(J960="Funcionamiento Gastos Generales","No aplica",IF(J960="Funcionamiento Servicios Personales indirectos","No aplica",IFERROR(VLOOKUP(J960,Listas!$A$127:$E$139,3,FALSE),"Alerta: Seleccione la celda en la comumna B con el nombre del proyecto")))</f>
        <v>Alerta: Seleccione la celda en la comumna B con el nombre del proyecto</v>
      </c>
      <c r="AL960" s="640" t="str">
        <f>IF(J960="Funcionamiento Gastos Generales","No aplica",IF(J960="Funcionamiento Servicios Personales","No aplica",IFERROR(VLOOKUP(J960,Listas!$A$220:$D$224,2,FALSE),"Alerta: Seleccione la celda en la comumna B con el nombre del proyecto")))</f>
        <v>Alerta: Seleccione la celda en la comumna B con el nombre del proyecto</v>
      </c>
      <c r="AM960" s="640" t="str">
        <f>IF(J960="Funcionamiento Gastos Generales","No aplica",IF(J960="Funcionamiento Servicios Personales","No aplica",IFERROR(VLOOKUP(J960,Listas!$A$220:$D$224,3,FALSE),"Alerta: Seleccione la celda en la comumna B con el nombre del proyecto")))</f>
        <v>Alerta: Seleccione la celda en la comumna B con el nombre del proyecto</v>
      </c>
      <c r="AN960" s="633"/>
      <c r="AO960" s="633"/>
      <c r="AP960" s="634" t="str">
        <f>IFERROR(VLOOKUP(J960,Listas!$A$182:$E$215,5,FALSE),"Alerta: Seleccione la celda en la comumna B con el nombre del proyecto")</f>
        <v>Alerta: Seleccione la celda en la comumna B con el nombre del proyecto</v>
      </c>
      <c r="AQ960" s="634" t="str">
        <f>IF(J960="Funcionamiento Gastos Generales","No aplica",IF(J960="Funcionamiento Servicios Personales","No aplica",IFERROR(VLOOKUP(J960,Listas!$A$220:$D$224,4,FALSE),"Alerta: Seleccione la celda en la comumna B con el nombre del proyecto")))</f>
        <v>Alerta: Seleccione la celda en la comumna B con el nombre del proyecto</v>
      </c>
      <c r="AR960" s="633"/>
      <c r="AS960" s="634" t="str">
        <f>IFERROR(VLOOKUP(AU960,Listas!$E$85:$L$105,7,FALSE),"Alerta: Seleccione la celda en la comumna AI con el concepto de gasto")</f>
        <v>Alerta: Seleccione la celda en la comumna AI con el concepto de gasto</v>
      </c>
      <c r="AT960" s="634" t="str">
        <f>IFERROR(VLOOKUP(AU960,Listas!$E$85:$L$105,8,FALSE),"Alerta: Seleccione la celda en la comumna AI con el concepto de gasto")</f>
        <v>Alerta: Seleccione la celda en la comumna AI con el concepto de gasto</v>
      </c>
      <c r="AU960" s="633"/>
      <c r="AV960" s="634" t="str">
        <f>IFERROR(VLOOKUP(AU960,Listas!$E$85:$F$105,2,FALSE),"Alerta: Seleccione el Concepto de Gasto primero")</f>
        <v>Alerta: Seleccione el Concepto de Gasto primero</v>
      </c>
      <c r="AW960" s="644"/>
      <c r="AX960" s="645"/>
      <c r="AY960" s="645"/>
      <c r="AZ960" s="645"/>
      <c r="BA960" s="646">
        <f t="shared" si="294"/>
        <v>0</v>
      </c>
      <c r="BB960" s="647"/>
      <c r="BC960" s="648"/>
      <c r="BD960" s="649"/>
      <c r="BE960" s="647"/>
      <c r="BF960" s="644"/>
      <c r="BG960" s="646">
        <f t="shared" si="295"/>
        <v>0</v>
      </c>
      <c r="BH960" s="650"/>
      <c r="BI960" s="647"/>
      <c r="BJ960" s="644"/>
      <c r="BK960" s="646">
        <f t="shared" si="296"/>
        <v>0</v>
      </c>
      <c r="BL960" s="651"/>
      <c r="BM960" s="652">
        <f t="shared" si="297"/>
        <v>1</v>
      </c>
      <c r="BN960" s="628"/>
      <c r="BO960" s="670"/>
      <c r="BP960" s="644"/>
      <c r="BQ960" s="644"/>
      <c r="BR960" s="644"/>
      <c r="BS960" s="644"/>
      <c r="BT960" s="644"/>
      <c r="BU960" s="644"/>
      <c r="BV960" s="644"/>
      <c r="BW960" s="644"/>
      <c r="BX960" s="644"/>
      <c r="BY960" s="644"/>
      <c r="BZ960" s="644"/>
      <c r="CA960" s="644"/>
      <c r="CB960" s="646">
        <f t="shared" si="298"/>
        <v>0</v>
      </c>
      <c r="CC960" s="646">
        <f t="shared" si="299"/>
        <v>0</v>
      </c>
      <c r="CD960" s="614"/>
    </row>
    <row r="961" spans="1:82" s="561" customFormat="1" ht="61.5" customHeight="1">
      <c r="A961" s="625" t="str">
        <f t="shared" si="281"/>
        <v>proyecto-Alerta: Seleccione la celda en la comumna B con el nombre del proyecto-Al-Al--</v>
      </c>
      <c r="B961" s="626" t="str">
        <f t="shared" si="282"/>
        <v>proyecto-Alerta: Seleccione la celda en la comumna B con el nombre del proyecto-Al-Al-</v>
      </c>
      <c r="C961" s="626" t="str">
        <f t="shared" si="283"/>
        <v>proyecto-Alerta: Seleccione la celda en la comumna B con el nombre del proyecto-</v>
      </c>
      <c r="D961" s="626" t="str">
        <f t="shared" si="284"/>
        <v>proyecto--Al-Al-</v>
      </c>
      <c r="E961" s="626" t="str">
        <f t="shared" si="285"/>
        <v>--</v>
      </c>
      <c r="F961" s="627"/>
      <c r="G961" s="628">
        <f t="shared" si="286"/>
        <v>0</v>
      </c>
      <c r="H961" s="629" t="b">
        <f t="shared" si="287"/>
        <v>1</v>
      </c>
      <c r="I961" s="630"/>
      <c r="J961" s="627"/>
      <c r="K961" s="631" t="str">
        <f>+IFERROR(VLOOKUP(J961,Listas!$A$108:$B$114,2,FALSE),"Alerta: Seleccione la celda en la comumna B con el nombre del proyecto")</f>
        <v>Alerta: Seleccione la celda en la comumna B con el nombre del proyecto</v>
      </c>
      <c r="L961" s="632"/>
      <c r="M961" s="633"/>
      <c r="N961" s="634" t="str">
        <f t="shared" si="288"/>
        <v xml:space="preserve">(Cód. ) </v>
      </c>
      <c r="O961" s="635"/>
      <c r="P961" s="636">
        <f>IFERROR(VLOOKUP(W961,'Estimación CRP'!$D$21:$E$30,2,FALSE),0)</f>
        <v>0</v>
      </c>
      <c r="Q961" s="637">
        <f>IF(O961="No aplica","No aplica",WORKDAY.INTL(O961,P961,1,'Estimación CRP'!A1147:A1163))</f>
        <v>0</v>
      </c>
      <c r="R961" s="636">
        <f t="shared" si="289"/>
        <v>1</v>
      </c>
      <c r="S961" s="636">
        <f t="shared" si="290"/>
        <v>1</v>
      </c>
      <c r="T961" s="636">
        <f t="shared" si="291"/>
        <v>1</v>
      </c>
      <c r="U961" s="638"/>
      <c r="V961" s="638"/>
      <c r="W961" s="639"/>
      <c r="X961" s="640" t="str">
        <f>IFERROR(VLOOKUP(W961,Listas!$A$60:$B$73,2,FALSE),"Alerta: Seleccione primero Modalidad de selección")</f>
        <v>Alerta: Seleccione primero Modalidad de selección</v>
      </c>
      <c r="Y961" s="641">
        <v>0</v>
      </c>
      <c r="Z961" s="641"/>
      <c r="AA961" s="641"/>
      <c r="AB961" s="642">
        <f t="shared" si="292"/>
        <v>0</v>
      </c>
      <c r="AC961" s="642">
        <f t="shared" si="293"/>
        <v>0</v>
      </c>
      <c r="AD961" s="641">
        <v>0</v>
      </c>
      <c r="AE961" s="643">
        <v>0</v>
      </c>
      <c r="AF961" s="639" t="s">
        <v>276</v>
      </c>
      <c r="AG961" s="639" t="s">
        <v>277</v>
      </c>
      <c r="AH961" s="639"/>
      <c r="AI961" s="626" t="str">
        <f>IFERROR(VLOOKUP(AH961,Listas!$A$77:$C$83,2,FALSE),"Alerta: Seleccione primero el responsable")</f>
        <v>Alerta: Seleccione primero el responsable</v>
      </c>
      <c r="AJ961" s="640" t="str">
        <f>IFERROR(VLOOKUP(AH961,Listas!$A$77:$C$83,3,FALSE),"Alerta: Seleccione primero el responsable")</f>
        <v>Alerta: Seleccione primero el responsable</v>
      </c>
      <c r="AK961" s="640" t="str">
        <f>IF(J961="Funcionamiento Gastos Generales","No aplica",IF(J961="Funcionamiento Servicios Personales indirectos","No aplica",IFERROR(VLOOKUP(J961,Listas!$A$127:$E$139,3,FALSE),"Alerta: Seleccione la celda en la comumna B con el nombre del proyecto")))</f>
        <v>Alerta: Seleccione la celda en la comumna B con el nombre del proyecto</v>
      </c>
      <c r="AL961" s="640" t="str">
        <f>IF(J961="Funcionamiento Gastos Generales","No aplica",IF(J961="Funcionamiento Servicios Personales","No aplica",IFERROR(VLOOKUP(J961,Listas!$A$220:$D$224,2,FALSE),"Alerta: Seleccione la celda en la comumna B con el nombre del proyecto")))</f>
        <v>Alerta: Seleccione la celda en la comumna B con el nombre del proyecto</v>
      </c>
      <c r="AM961" s="640" t="str">
        <f>IF(J961="Funcionamiento Gastos Generales","No aplica",IF(J961="Funcionamiento Servicios Personales","No aplica",IFERROR(VLOOKUP(J961,Listas!$A$220:$D$224,3,FALSE),"Alerta: Seleccione la celda en la comumna B con el nombre del proyecto")))</f>
        <v>Alerta: Seleccione la celda en la comumna B con el nombre del proyecto</v>
      </c>
      <c r="AN961" s="633"/>
      <c r="AO961" s="633"/>
      <c r="AP961" s="634" t="str">
        <f>IFERROR(VLOOKUP(J961,Listas!$A$182:$E$215,5,FALSE),"Alerta: Seleccione la celda en la comumna B con el nombre del proyecto")</f>
        <v>Alerta: Seleccione la celda en la comumna B con el nombre del proyecto</v>
      </c>
      <c r="AQ961" s="634" t="str">
        <f>IF(J961="Funcionamiento Gastos Generales","No aplica",IF(J961="Funcionamiento Servicios Personales","No aplica",IFERROR(VLOOKUP(J961,Listas!$A$220:$D$224,4,FALSE),"Alerta: Seleccione la celda en la comumna B con el nombre del proyecto")))</f>
        <v>Alerta: Seleccione la celda en la comumna B con el nombre del proyecto</v>
      </c>
      <c r="AR961" s="633"/>
      <c r="AS961" s="634" t="str">
        <f>IFERROR(VLOOKUP(AU961,Listas!$E$85:$L$105,7,FALSE),"Alerta: Seleccione la celda en la comumna AI con el concepto de gasto")</f>
        <v>Alerta: Seleccione la celda en la comumna AI con el concepto de gasto</v>
      </c>
      <c r="AT961" s="634" t="str">
        <f>IFERROR(VLOOKUP(AU961,Listas!$E$85:$L$105,8,FALSE),"Alerta: Seleccione la celda en la comumna AI con el concepto de gasto")</f>
        <v>Alerta: Seleccione la celda en la comumna AI con el concepto de gasto</v>
      </c>
      <c r="AU961" s="633"/>
      <c r="AV961" s="634" t="str">
        <f>IFERROR(VLOOKUP(AU961,Listas!$E$85:$F$105,2,FALSE),"Alerta: Seleccione el Concepto de Gasto primero")</f>
        <v>Alerta: Seleccione el Concepto de Gasto primero</v>
      </c>
      <c r="AW961" s="644"/>
      <c r="AX961" s="645"/>
      <c r="AY961" s="645"/>
      <c r="AZ961" s="645"/>
      <c r="BA961" s="646">
        <f t="shared" si="294"/>
        <v>0</v>
      </c>
      <c r="BB961" s="647"/>
      <c r="BC961" s="648"/>
      <c r="BD961" s="649"/>
      <c r="BE961" s="647"/>
      <c r="BF961" s="644"/>
      <c r="BG961" s="646">
        <f t="shared" si="295"/>
        <v>0</v>
      </c>
      <c r="BH961" s="650"/>
      <c r="BI961" s="647"/>
      <c r="BJ961" s="644"/>
      <c r="BK961" s="646">
        <f t="shared" si="296"/>
        <v>0</v>
      </c>
      <c r="BL961" s="651"/>
      <c r="BM961" s="652">
        <f t="shared" si="297"/>
        <v>1</v>
      </c>
      <c r="BN961" s="628"/>
      <c r="BO961" s="670"/>
      <c r="BP961" s="644"/>
      <c r="BQ961" s="644"/>
      <c r="BR961" s="644"/>
      <c r="BS961" s="644"/>
      <c r="BT961" s="644"/>
      <c r="BU961" s="644"/>
      <c r="BV961" s="644"/>
      <c r="BW961" s="644"/>
      <c r="BX961" s="644"/>
      <c r="BY961" s="644"/>
      <c r="BZ961" s="644"/>
      <c r="CA961" s="644"/>
      <c r="CB961" s="646">
        <f t="shared" si="298"/>
        <v>0</v>
      </c>
      <c r="CC961" s="646">
        <f t="shared" si="299"/>
        <v>0</v>
      </c>
      <c r="CD961" s="614"/>
    </row>
    <row r="962" spans="1:82" s="561" customFormat="1" ht="61.5" customHeight="1">
      <c r="A962" s="625" t="str">
        <f t="shared" si="281"/>
        <v>proyecto-Alerta: Seleccione la celda en la comumna B con el nombre del proyecto-Al-Al--</v>
      </c>
      <c r="B962" s="626" t="str">
        <f t="shared" si="282"/>
        <v>proyecto-Alerta: Seleccione la celda en la comumna B con el nombre del proyecto-Al-Al-</v>
      </c>
      <c r="C962" s="626" t="str">
        <f t="shared" si="283"/>
        <v>proyecto-Alerta: Seleccione la celda en la comumna B con el nombre del proyecto-</v>
      </c>
      <c r="D962" s="626" t="str">
        <f t="shared" si="284"/>
        <v>proyecto--Al-Al-</v>
      </c>
      <c r="E962" s="626" t="str">
        <f t="shared" si="285"/>
        <v>--</v>
      </c>
      <c r="F962" s="627"/>
      <c r="G962" s="628">
        <f t="shared" si="286"/>
        <v>0</v>
      </c>
      <c r="H962" s="629" t="b">
        <f t="shared" si="287"/>
        <v>1</v>
      </c>
      <c r="I962" s="630"/>
      <c r="J962" s="627"/>
      <c r="K962" s="631" t="str">
        <f>+IFERROR(VLOOKUP(J962,Listas!$A$108:$B$114,2,FALSE),"Alerta: Seleccione la celda en la comumna B con el nombre del proyecto")</f>
        <v>Alerta: Seleccione la celda en la comumna B con el nombre del proyecto</v>
      </c>
      <c r="L962" s="632"/>
      <c r="M962" s="633"/>
      <c r="N962" s="634" t="str">
        <f t="shared" si="288"/>
        <v xml:space="preserve">(Cód. ) </v>
      </c>
      <c r="O962" s="635"/>
      <c r="P962" s="636">
        <f>IFERROR(VLOOKUP(W962,'Estimación CRP'!$D$21:$E$30,2,FALSE),0)</f>
        <v>0</v>
      </c>
      <c r="Q962" s="637">
        <f>IF(O962="No aplica","No aplica",WORKDAY.INTL(O962,P962,1,'Estimación CRP'!A1148:A1164))</f>
        <v>0</v>
      </c>
      <c r="R962" s="636">
        <f t="shared" si="289"/>
        <v>1</v>
      </c>
      <c r="S962" s="636">
        <f t="shared" si="290"/>
        <v>1</v>
      </c>
      <c r="T962" s="636">
        <f t="shared" si="291"/>
        <v>1</v>
      </c>
      <c r="U962" s="638"/>
      <c r="V962" s="638"/>
      <c r="W962" s="639"/>
      <c r="X962" s="640" t="str">
        <f>IFERROR(VLOOKUP(W962,Listas!$A$60:$B$73,2,FALSE),"Alerta: Seleccione primero Modalidad de selección")</f>
        <v>Alerta: Seleccione primero Modalidad de selección</v>
      </c>
      <c r="Y962" s="641">
        <v>0</v>
      </c>
      <c r="Z962" s="641"/>
      <c r="AA962" s="641"/>
      <c r="AB962" s="642">
        <f t="shared" si="292"/>
        <v>0</v>
      </c>
      <c r="AC962" s="642">
        <f t="shared" si="293"/>
        <v>0</v>
      </c>
      <c r="AD962" s="641">
        <v>0</v>
      </c>
      <c r="AE962" s="643">
        <v>0</v>
      </c>
      <c r="AF962" s="639" t="s">
        <v>276</v>
      </c>
      <c r="AG962" s="639" t="s">
        <v>277</v>
      </c>
      <c r="AH962" s="639"/>
      <c r="AI962" s="626" t="str">
        <f>IFERROR(VLOOKUP(AH962,Listas!$A$77:$C$83,2,FALSE),"Alerta: Seleccione primero el responsable")</f>
        <v>Alerta: Seleccione primero el responsable</v>
      </c>
      <c r="AJ962" s="640" t="str">
        <f>IFERROR(VLOOKUP(AH962,Listas!$A$77:$C$83,3,FALSE),"Alerta: Seleccione primero el responsable")</f>
        <v>Alerta: Seleccione primero el responsable</v>
      </c>
      <c r="AK962" s="640" t="str">
        <f>IF(J962="Funcionamiento Gastos Generales","No aplica",IF(J962="Funcionamiento Servicios Personales indirectos","No aplica",IFERROR(VLOOKUP(J962,Listas!$A$127:$E$139,3,FALSE),"Alerta: Seleccione la celda en la comumna B con el nombre del proyecto")))</f>
        <v>Alerta: Seleccione la celda en la comumna B con el nombre del proyecto</v>
      </c>
      <c r="AL962" s="640" t="str">
        <f>IF(J962="Funcionamiento Gastos Generales","No aplica",IF(J962="Funcionamiento Servicios Personales","No aplica",IFERROR(VLOOKUP(J962,Listas!$A$220:$D$224,2,FALSE),"Alerta: Seleccione la celda en la comumna B con el nombre del proyecto")))</f>
        <v>Alerta: Seleccione la celda en la comumna B con el nombre del proyecto</v>
      </c>
      <c r="AM962" s="640" t="str">
        <f>IF(J962="Funcionamiento Gastos Generales","No aplica",IF(J962="Funcionamiento Servicios Personales","No aplica",IFERROR(VLOOKUP(J962,Listas!$A$220:$D$224,3,FALSE),"Alerta: Seleccione la celda en la comumna B con el nombre del proyecto")))</f>
        <v>Alerta: Seleccione la celda en la comumna B con el nombre del proyecto</v>
      </c>
      <c r="AN962" s="633"/>
      <c r="AO962" s="633"/>
      <c r="AP962" s="634" t="str">
        <f>IFERROR(VLOOKUP(J962,Listas!$A$182:$E$215,5,FALSE),"Alerta: Seleccione la celda en la comumna B con el nombre del proyecto")</f>
        <v>Alerta: Seleccione la celda en la comumna B con el nombre del proyecto</v>
      </c>
      <c r="AQ962" s="634" t="str">
        <f>IF(J962="Funcionamiento Gastos Generales","No aplica",IF(J962="Funcionamiento Servicios Personales","No aplica",IFERROR(VLOOKUP(J962,Listas!$A$220:$D$224,4,FALSE),"Alerta: Seleccione la celda en la comumna B con el nombre del proyecto")))</f>
        <v>Alerta: Seleccione la celda en la comumna B con el nombre del proyecto</v>
      </c>
      <c r="AR962" s="633"/>
      <c r="AS962" s="634" t="str">
        <f>IFERROR(VLOOKUP(AU962,Listas!$E$85:$L$105,7,FALSE),"Alerta: Seleccione la celda en la comumna AI con el concepto de gasto")</f>
        <v>Alerta: Seleccione la celda en la comumna AI con el concepto de gasto</v>
      </c>
      <c r="AT962" s="634" t="str">
        <f>IFERROR(VLOOKUP(AU962,Listas!$E$85:$L$105,8,FALSE),"Alerta: Seleccione la celda en la comumna AI con el concepto de gasto")</f>
        <v>Alerta: Seleccione la celda en la comumna AI con el concepto de gasto</v>
      </c>
      <c r="AU962" s="633"/>
      <c r="AV962" s="634" t="str">
        <f>IFERROR(VLOOKUP(AU962,Listas!$E$85:$F$105,2,FALSE),"Alerta: Seleccione el Concepto de Gasto primero")</f>
        <v>Alerta: Seleccione el Concepto de Gasto primero</v>
      </c>
      <c r="AW962" s="644"/>
      <c r="AX962" s="645"/>
      <c r="AY962" s="645"/>
      <c r="AZ962" s="645"/>
      <c r="BA962" s="646">
        <f t="shared" si="294"/>
        <v>0</v>
      </c>
      <c r="BB962" s="647"/>
      <c r="BC962" s="648"/>
      <c r="BD962" s="649"/>
      <c r="BE962" s="647"/>
      <c r="BF962" s="644"/>
      <c r="BG962" s="646">
        <f t="shared" si="295"/>
        <v>0</v>
      </c>
      <c r="BH962" s="650"/>
      <c r="BI962" s="647"/>
      <c r="BJ962" s="644"/>
      <c r="BK962" s="646">
        <f t="shared" si="296"/>
        <v>0</v>
      </c>
      <c r="BL962" s="651"/>
      <c r="BM962" s="652">
        <f t="shared" si="297"/>
        <v>1</v>
      </c>
      <c r="BN962" s="628"/>
      <c r="BO962" s="670"/>
      <c r="BP962" s="644"/>
      <c r="BQ962" s="644"/>
      <c r="BR962" s="644"/>
      <c r="BS962" s="644"/>
      <c r="BT962" s="644"/>
      <c r="BU962" s="644"/>
      <c r="BV962" s="644"/>
      <c r="BW962" s="644"/>
      <c r="BX962" s="644"/>
      <c r="BY962" s="644"/>
      <c r="BZ962" s="644"/>
      <c r="CA962" s="644"/>
      <c r="CB962" s="646">
        <f t="shared" si="298"/>
        <v>0</v>
      </c>
      <c r="CC962" s="646">
        <f t="shared" si="299"/>
        <v>0</v>
      </c>
      <c r="CD962" s="614"/>
    </row>
    <row r="963" spans="1:82" s="561" customFormat="1" ht="76.5" customHeight="1">
      <c r="A963" s="625" t="str">
        <f t="shared" si="281"/>
        <v>proyecto-Alerta: Seleccione la celda en la comumna B con el nombre del proyecto-Al-Al--</v>
      </c>
      <c r="B963" s="626" t="str">
        <f t="shared" si="282"/>
        <v>proyecto-Alerta: Seleccione la celda en la comumna B con el nombre del proyecto-Al-Al-</v>
      </c>
      <c r="C963" s="626" t="str">
        <f t="shared" si="283"/>
        <v>proyecto-Alerta: Seleccione la celda en la comumna B con el nombre del proyecto-</v>
      </c>
      <c r="D963" s="626" t="str">
        <f t="shared" si="284"/>
        <v>proyecto--Al-Al-</v>
      </c>
      <c r="E963" s="626" t="str">
        <f t="shared" si="285"/>
        <v>--</v>
      </c>
      <c r="F963" s="627"/>
      <c r="G963" s="628">
        <f t="shared" si="286"/>
        <v>0</v>
      </c>
      <c r="H963" s="629" t="b">
        <f t="shared" si="287"/>
        <v>1</v>
      </c>
      <c r="I963" s="630"/>
      <c r="J963" s="627"/>
      <c r="K963" s="631" t="str">
        <f>+IFERROR(VLOOKUP(J963,Listas!$A$108:$B$114,2,FALSE),"Alerta: Seleccione la celda en la comumna B con el nombre del proyecto")</f>
        <v>Alerta: Seleccione la celda en la comumna B con el nombre del proyecto</v>
      </c>
      <c r="L963" s="632"/>
      <c r="M963" s="633"/>
      <c r="N963" s="634" t="str">
        <f t="shared" si="288"/>
        <v xml:space="preserve">(Cód. ) </v>
      </c>
      <c r="O963" s="635"/>
      <c r="P963" s="636">
        <f>IFERROR(VLOOKUP(W963,'Estimación CRP'!$D$21:$E$30,2,FALSE),0)</f>
        <v>0</v>
      </c>
      <c r="Q963" s="637">
        <f>IF(O963="No aplica","No aplica",WORKDAY.INTL(O963,P963,1,'Estimación CRP'!A1149:A1165))</f>
        <v>0</v>
      </c>
      <c r="R963" s="636">
        <f t="shared" si="289"/>
        <v>1</v>
      </c>
      <c r="S963" s="636">
        <f t="shared" si="290"/>
        <v>1</v>
      </c>
      <c r="T963" s="636">
        <f t="shared" si="291"/>
        <v>1</v>
      </c>
      <c r="U963" s="638"/>
      <c r="V963" s="638"/>
      <c r="W963" s="639"/>
      <c r="X963" s="640" t="str">
        <f>IFERROR(VLOOKUP(W963,Listas!$A$60:$B$73,2,FALSE),"Alerta: Seleccione primero Modalidad de selección")</f>
        <v>Alerta: Seleccione primero Modalidad de selección</v>
      </c>
      <c r="Y963" s="641">
        <v>0</v>
      </c>
      <c r="Z963" s="641"/>
      <c r="AA963" s="641"/>
      <c r="AB963" s="642">
        <f t="shared" si="292"/>
        <v>0</v>
      </c>
      <c r="AC963" s="642">
        <f t="shared" si="293"/>
        <v>0</v>
      </c>
      <c r="AD963" s="641">
        <v>0</v>
      </c>
      <c r="AE963" s="643">
        <v>0</v>
      </c>
      <c r="AF963" s="639" t="s">
        <v>276</v>
      </c>
      <c r="AG963" s="639" t="s">
        <v>277</v>
      </c>
      <c r="AH963" s="639"/>
      <c r="AI963" s="626" t="str">
        <f>IFERROR(VLOOKUP(AH963,Listas!$A$77:$C$83,2,FALSE),"Alerta: Seleccione primero el responsable")</f>
        <v>Alerta: Seleccione primero el responsable</v>
      </c>
      <c r="AJ963" s="640" t="str">
        <f>IFERROR(VLOOKUP(AH963,Listas!$A$77:$C$83,3,FALSE),"Alerta: Seleccione primero el responsable")</f>
        <v>Alerta: Seleccione primero el responsable</v>
      </c>
      <c r="AK963" s="640" t="str">
        <f>IF(J963="Funcionamiento Gastos Generales","No aplica",IF(J963="Funcionamiento Servicios Personales indirectos","No aplica",IFERROR(VLOOKUP(J963,Listas!$A$127:$E$139,3,FALSE),"Alerta: Seleccione la celda en la comumna B con el nombre del proyecto")))</f>
        <v>Alerta: Seleccione la celda en la comumna B con el nombre del proyecto</v>
      </c>
      <c r="AL963" s="640" t="str">
        <f>IF(J963="Funcionamiento Gastos Generales","No aplica",IF(J963="Funcionamiento Servicios Personales","No aplica",IFERROR(VLOOKUP(J963,Listas!$A$220:$D$224,2,FALSE),"Alerta: Seleccione la celda en la comumna B con el nombre del proyecto")))</f>
        <v>Alerta: Seleccione la celda en la comumna B con el nombre del proyecto</v>
      </c>
      <c r="AM963" s="640" t="str">
        <f>IF(J963="Funcionamiento Gastos Generales","No aplica",IF(J963="Funcionamiento Servicios Personales","No aplica",IFERROR(VLOOKUP(J963,Listas!$A$220:$D$224,3,FALSE),"Alerta: Seleccione la celda en la comumna B con el nombre del proyecto")))</f>
        <v>Alerta: Seleccione la celda en la comumna B con el nombre del proyecto</v>
      </c>
      <c r="AN963" s="633"/>
      <c r="AO963" s="633"/>
      <c r="AP963" s="634" t="str">
        <f>IFERROR(VLOOKUP(J963,Listas!$A$182:$E$215,5,FALSE),"Alerta: Seleccione la celda en la comumna B con el nombre del proyecto")</f>
        <v>Alerta: Seleccione la celda en la comumna B con el nombre del proyecto</v>
      </c>
      <c r="AQ963" s="634" t="str">
        <f>IF(J963="Funcionamiento Gastos Generales","No aplica",IF(J963="Funcionamiento Servicios Personales","No aplica",IFERROR(VLOOKUP(J963,Listas!$A$220:$D$224,4,FALSE),"Alerta: Seleccione la celda en la comumna B con el nombre del proyecto")))</f>
        <v>Alerta: Seleccione la celda en la comumna B con el nombre del proyecto</v>
      </c>
      <c r="AR963" s="633"/>
      <c r="AS963" s="634" t="str">
        <f>IFERROR(VLOOKUP(AU963,Listas!$E$85:$L$105,7,FALSE),"Alerta: Seleccione la celda en la comumna AI con el concepto de gasto")</f>
        <v>Alerta: Seleccione la celda en la comumna AI con el concepto de gasto</v>
      </c>
      <c r="AT963" s="634" t="str">
        <f>IFERROR(VLOOKUP(AU963,Listas!$E$85:$L$105,8,FALSE),"Alerta: Seleccione la celda en la comumna AI con el concepto de gasto")</f>
        <v>Alerta: Seleccione la celda en la comumna AI con el concepto de gasto</v>
      </c>
      <c r="AU963" s="633"/>
      <c r="AV963" s="634" t="str">
        <f>IFERROR(VLOOKUP(AU963,Listas!$E$85:$F$105,2,FALSE),"Alerta: Seleccione el Concepto de Gasto primero")</f>
        <v>Alerta: Seleccione el Concepto de Gasto primero</v>
      </c>
      <c r="AW963" s="644"/>
      <c r="AX963" s="645"/>
      <c r="AY963" s="645"/>
      <c r="AZ963" s="645"/>
      <c r="BA963" s="646">
        <f t="shared" si="294"/>
        <v>0</v>
      </c>
      <c r="BB963" s="647"/>
      <c r="BC963" s="648"/>
      <c r="BD963" s="649"/>
      <c r="BE963" s="647"/>
      <c r="BF963" s="644"/>
      <c r="BG963" s="646">
        <f t="shared" si="295"/>
        <v>0</v>
      </c>
      <c r="BH963" s="650"/>
      <c r="BI963" s="647"/>
      <c r="BJ963" s="644"/>
      <c r="BK963" s="646">
        <f t="shared" si="296"/>
        <v>0</v>
      </c>
      <c r="BL963" s="651"/>
      <c r="BM963" s="652">
        <f t="shared" si="297"/>
        <v>1</v>
      </c>
      <c r="BN963" s="628"/>
      <c r="BO963" s="670"/>
      <c r="BP963" s="644"/>
      <c r="BQ963" s="644"/>
      <c r="BR963" s="644"/>
      <c r="BS963" s="644"/>
      <c r="BT963" s="644"/>
      <c r="BU963" s="644"/>
      <c r="BV963" s="644"/>
      <c r="BW963" s="644"/>
      <c r="BX963" s="644"/>
      <c r="BY963" s="644"/>
      <c r="BZ963" s="644"/>
      <c r="CA963" s="644"/>
      <c r="CB963" s="646">
        <f t="shared" si="298"/>
        <v>0</v>
      </c>
      <c r="CC963" s="646">
        <f t="shared" si="299"/>
        <v>0</v>
      </c>
      <c r="CD963" s="614"/>
    </row>
    <row r="964" spans="1:82" s="561" customFormat="1" ht="76.5" customHeight="1">
      <c r="A964" s="625" t="str">
        <f t="shared" si="281"/>
        <v>proyecto-Alerta: Seleccione la celda en la comumna B con el nombre del proyecto-Al-Al--</v>
      </c>
      <c r="B964" s="626" t="str">
        <f t="shared" si="282"/>
        <v>proyecto-Alerta: Seleccione la celda en la comumna B con el nombre del proyecto-Al-Al-</v>
      </c>
      <c r="C964" s="626" t="str">
        <f t="shared" si="283"/>
        <v>proyecto-Alerta: Seleccione la celda en la comumna B con el nombre del proyecto-</v>
      </c>
      <c r="D964" s="626" t="str">
        <f t="shared" si="284"/>
        <v>proyecto--Al-Al-</v>
      </c>
      <c r="E964" s="626" t="str">
        <f t="shared" si="285"/>
        <v>--</v>
      </c>
      <c r="F964" s="627"/>
      <c r="G964" s="628">
        <f t="shared" si="286"/>
        <v>0</v>
      </c>
      <c r="H964" s="629" t="b">
        <f t="shared" si="287"/>
        <v>1</v>
      </c>
      <c r="I964" s="630"/>
      <c r="J964" s="627"/>
      <c r="K964" s="631" t="str">
        <f>+IFERROR(VLOOKUP(J964,Listas!$A$108:$B$114,2,FALSE),"Alerta: Seleccione la celda en la comumna B con el nombre del proyecto")</f>
        <v>Alerta: Seleccione la celda en la comumna B con el nombre del proyecto</v>
      </c>
      <c r="L964" s="632"/>
      <c r="M964" s="633"/>
      <c r="N964" s="634" t="str">
        <f t="shared" si="288"/>
        <v xml:space="preserve">(Cód. ) </v>
      </c>
      <c r="O964" s="635"/>
      <c r="P964" s="636">
        <f>IFERROR(VLOOKUP(W964,'Estimación CRP'!$D$21:$E$30,2,FALSE),0)</f>
        <v>0</v>
      </c>
      <c r="Q964" s="637">
        <f>IF(O964="No aplica","No aplica",WORKDAY.INTL(O964,P964,1,'Estimación CRP'!A1150:A1166))</f>
        <v>0</v>
      </c>
      <c r="R964" s="636">
        <f t="shared" si="289"/>
        <v>1</v>
      </c>
      <c r="S964" s="636">
        <f t="shared" si="290"/>
        <v>1</v>
      </c>
      <c r="T964" s="636">
        <f t="shared" si="291"/>
        <v>1</v>
      </c>
      <c r="U964" s="638"/>
      <c r="V964" s="638"/>
      <c r="W964" s="639"/>
      <c r="X964" s="640" t="str">
        <f>IFERROR(VLOOKUP(W964,Listas!$A$60:$B$73,2,FALSE),"Alerta: Seleccione primero Modalidad de selección")</f>
        <v>Alerta: Seleccione primero Modalidad de selección</v>
      </c>
      <c r="Y964" s="641">
        <v>0</v>
      </c>
      <c r="Z964" s="641"/>
      <c r="AA964" s="641"/>
      <c r="AB964" s="642">
        <f t="shared" si="292"/>
        <v>0</v>
      </c>
      <c r="AC964" s="642">
        <f t="shared" si="293"/>
        <v>0</v>
      </c>
      <c r="AD964" s="641">
        <v>0</v>
      </c>
      <c r="AE964" s="643">
        <v>0</v>
      </c>
      <c r="AF964" s="639" t="s">
        <v>276</v>
      </c>
      <c r="AG964" s="639" t="s">
        <v>277</v>
      </c>
      <c r="AH964" s="639"/>
      <c r="AI964" s="626" t="str">
        <f>IFERROR(VLOOKUP(AH964,Listas!$A$77:$C$83,2,FALSE),"Alerta: Seleccione primero el responsable")</f>
        <v>Alerta: Seleccione primero el responsable</v>
      </c>
      <c r="AJ964" s="640" t="str">
        <f>IFERROR(VLOOKUP(AH964,Listas!$A$77:$C$83,3,FALSE),"Alerta: Seleccione primero el responsable")</f>
        <v>Alerta: Seleccione primero el responsable</v>
      </c>
      <c r="AK964" s="640" t="str">
        <f>IF(J964="Funcionamiento Gastos Generales","No aplica",IF(J964="Funcionamiento Servicios Personales indirectos","No aplica",IFERROR(VLOOKUP(J964,Listas!$A$127:$E$139,3,FALSE),"Alerta: Seleccione la celda en la comumna B con el nombre del proyecto")))</f>
        <v>Alerta: Seleccione la celda en la comumna B con el nombre del proyecto</v>
      </c>
      <c r="AL964" s="640" t="str">
        <f>IF(J964="Funcionamiento Gastos Generales","No aplica",IF(J964="Funcionamiento Servicios Personales","No aplica",IFERROR(VLOOKUP(J964,Listas!$A$220:$D$224,2,FALSE),"Alerta: Seleccione la celda en la comumna B con el nombre del proyecto")))</f>
        <v>Alerta: Seleccione la celda en la comumna B con el nombre del proyecto</v>
      </c>
      <c r="AM964" s="640" t="str">
        <f>IF(J964="Funcionamiento Gastos Generales","No aplica",IF(J964="Funcionamiento Servicios Personales","No aplica",IFERROR(VLOOKUP(J964,Listas!$A$220:$D$224,3,FALSE),"Alerta: Seleccione la celda en la comumna B con el nombre del proyecto")))</f>
        <v>Alerta: Seleccione la celda en la comumna B con el nombre del proyecto</v>
      </c>
      <c r="AN964" s="633"/>
      <c r="AO964" s="633"/>
      <c r="AP964" s="634" t="str">
        <f>IFERROR(VLOOKUP(J964,Listas!$A$182:$E$215,5,FALSE),"Alerta: Seleccione la celda en la comumna B con el nombre del proyecto")</f>
        <v>Alerta: Seleccione la celda en la comumna B con el nombre del proyecto</v>
      </c>
      <c r="AQ964" s="634" t="str">
        <f>IF(J964="Funcionamiento Gastos Generales","No aplica",IF(J964="Funcionamiento Servicios Personales","No aplica",IFERROR(VLOOKUP(J964,Listas!$A$220:$D$224,4,FALSE),"Alerta: Seleccione la celda en la comumna B con el nombre del proyecto")))</f>
        <v>Alerta: Seleccione la celda en la comumna B con el nombre del proyecto</v>
      </c>
      <c r="AR964" s="633"/>
      <c r="AS964" s="634" t="str">
        <f>IFERROR(VLOOKUP(AU964,Listas!$E$85:$L$105,7,FALSE),"Alerta: Seleccione la celda en la comumna AI con el concepto de gasto")</f>
        <v>Alerta: Seleccione la celda en la comumna AI con el concepto de gasto</v>
      </c>
      <c r="AT964" s="634" t="str">
        <f>IFERROR(VLOOKUP(AU964,Listas!$E$85:$L$105,8,FALSE),"Alerta: Seleccione la celda en la comumna AI con el concepto de gasto")</f>
        <v>Alerta: Seleccione la celda en la comumna AI con el concepto de gasto</v>
      </c>
      <c r="AU964" s="633"/>
      <c r="AV964" s="634" t="str">
        <f>IFERROR(VLOOKUP(AU964,Listas!$E$85:$F$105,2,FALSE),"Alerta: Seleccione el Concepto de Gasto primero")</f>
        <v>Alerta: Seleccione el Concepto de Gasto primero</v>
      </c>
      <c r="AW964" s="644"/>
      <c r="AX964" s="645"/>
      <c r="AY964" s="645"/>
      <c r="AZ964" s="645"/>
      <c r="BA964" s="646">
        <f t="shared" si="294"/>
        <v>0</v>
      </c>
      <c r="BB964" s="647"/>
      <c r="BC964" s="648"/>
      <c r="BD964" s="649"/>
      <c r="BE964" s="647"/>
      <c r="BF964" s="644"/>
      <c r="BG964" s="646">
        <f t="shared" si="295"/>
        <v>0</v>
      </c>
      <c r="BH964" s="650"/>
      <c r="BI964" s="647"/>
      <c r="BJ964" s="644"/>
      <c r="BK964" s="646">
        <f t="shared" si="296"/>
        <v>0</v>
      </c>
      <c r="BL964" s="651"/>
      <c r="BM964" s="652">
        <f t="shared" si="297"/>
        <v>1</v>
      </c>
      <c r="BN964" s="628"/>
      <c r="BO964" s="670"/>
      <c r="BP964" s="644"/>
      <c r="BQ964" s="644"/>
      <c r="BR964" s="644"/>
      <c r="BS964" s="644"/>
      <c r="BT964" s="644"/>
      <c r="BU964" s="644"/>
      <c r="BV964" s="644"/>
      <c r="BW964" s="644"/>
      <c r="BX964" s="644"/>
      <c r="BY964" s="644"/>
      <c r="BZ964" s="644"/>
      <c r="CA964" s="644"/>
      <c r="CB964" s="646">
        <f t="shared" si="298"/>
        <v>0</v>
      </c>
      <c r="CC964" s="646">
        <f t="shared" si="299"/>
        <v>0</v>
      </c>
      <c r="CD964" s="614"/>
    </row>
    <row r="965" spans="1:82" s="561" customFormat="1" ht="76.5" customHeight="1">
      <c r="A965" s="625" t="str">
        <f t="shared" si="281"/>
        <v>proyecto-Alerta: Seleccione la celda en la comumna B con el nombre del proyecto-Al-Al--</v>
      </c>
      <c r="B965" s="626" t="str">
        <f t="shared" si="282"/>
        <v>proyecto-Alerta: Seleccione la celda en la comumna B con el nombre del proyecto-Al-Al-</v>
      </c>
      <c r="C965" s="626" t="str">
        <f t="shared" si="283"/>
        <v>proyecto-Alerta: Seleccione la celda en la comumna B con el nombre del proyecto-</v>
      </c>
      <c r="D965" s="626" t="str">
        <f t="shared" si="284"/>
        <v>proyecto--Al-Al-</v>
      </c>
      <c r="E965" s="626" t="str">
        <f t="shared" si="285"/>
        <v>--</v>
      </c>
      <c r="F965" s="627"/>
      <c r="G965" s="628">
        <f t="shared" si="286"/>
        <v>0</v>
      </c>
      <c r="H965" s="629" t="b">
        <f t="shared" si="287"/>
        <v>1</v>
      </c>
      <c r="I965" s="630"/>
      <c r="J965" s="627"/>
      <c r="K965" s="631" t="str">
        <f>+IFERROR(VLOOKUP(J965,Listas!$A$108:$B$114,2,FALSE),"Alerta: Seleccione la celda en la comumna B con el nombre del proyecto")</f>
        <v>Alerta: Seleccione la celda en la comumna B con el nombre del proyecto</v>
      </c>
      <c r="L965" s="632"/>
      <c r="M965" s="633"/>
      <c r="N965" s="634" t="str">
        <f t="shared" si="288"/>
        <v xml:space="preserve">(Cód. ) </v>
      </c>
      <c r="O965" s="635"/>
      <c r="P965" s="636">
        <f>IFERROR(VLOOKUP(W965,'Estimación CRP'!$D$21:$E$30,2,FALSE),0)</f>
        <v>0</v>
      </c>
      <c r="Q965" s="637">
        <f>IF(O965="No aplica","No aplica",WORKDAY.INTL(O965,P965,1,'Estimación CRP'!A1151:A1167))</f>
        <v>0</v>
      </c>
      <c r="R965" s="636">
        <f t="shared" si="289"/>
        <v>1</v>
      </c>
      <c r="S965" s="636">
        <f t="shared" si="290"/>
        <v>1</v>
      </c>
      <c r="T965" s="636">
        <f t="shared" si="291"/>
        <v>1</v>
      </c>
      <c r="U965" s="638"/>
      <c r="V965" s="638"/>
      <c r="W965" s="639"/>
      <c r="X965" s="640" t="str">
        <f>IFERROR(VLOOKUP(W965,Listas!$A$60:$B$73,2,FALSE),"Alerta: Seleccione primero Modalidad de selección")</f>
        <v>Alerta: Seleccione primero Modalidad de selección</v>
      </c>
      <c r="Y965" s="641">
        <v>0</v>
      </c>
      <c r="Z965" s="641"/>
      <c r="AA965" s="641"/>
      <c r="AB965" s="642">
        <f t="shared" si="292"/>
        <v>0</v>
      </c>
      <c r="AC965" s="642">
        <f t="shared" si="293"/>
        <v>0</v>
      </c>
      <c r="AD965" s="641">
        <v>0</v>
      </c>
      <c r="AE965" s="643">
        <v>0</v>
      </c>
      <c r="AF965" s="639" t="s">
        <v>276</v>
      </c>
      <c r="AG965" s="639" t="s">
        <v>277</v>
      </c>
      <c r="AH965" s="639"/>
      <c r="AI965" s="626" t="str">
        <f>IFERROR(VLOOKUP(AH965,Listas!$A$77:$C$83,2,FALSE),"Alerta: Seleccione primero el responsable")</f>
        <v>Alerta: Seleccione primero el responsable</v>
      </c>
      <c r="AJ965" s="640" t="str">
        <f>IFERROR(VLOOKUP(AH965,Listas!$A$77:$C$83,3,FALSE),"Alerta: Seleccione primero el responsable")</f>
        <v>Alerta: Seleccione primero el responsable</v>
      </c>
      <c r="AK965" s="640" t="str">
        <f>IF(J965="Funcionamiento Gastos Generales","No aplica",IF(J965="Funcionamiento Servicios Personales indirectos","No aplica",IFERROR(VLOOKUP(J965,Listas!$A$127:$E$139,3,FALSE),"Alerta: Seleccione la celda en la comumna B con el nombre del proyecto")))</f>
        <v>Alerta: Seleccione la celda en la comumna B con el nombre del proyecto</v>
      </c>
      <c r="AL965" s="640" t="str">
        <f>IF(J965="Funcionamiento Gastos Generales","No aplica",IF(J965="Funcionamiento Servicios Personales","No aplica",IFERROR(VLOOKUP(J965,Listas!$A$220:$D$224,2,FALSE),"Alerta: Seleccione la celda en la comumna B con el nombre del proyecto")))</f>
        <v>Alerta: Seleccione la celda en la comumna B con el nombre del proyecto</v>
      </c>
      <c r="AM965" s="640" t="str">
        <f>IF(J965="Funcionamiento Gastos Generales","No aplica",IF(J965="Funcionamiento Servicios Personales","No aplica",IFERROR(VLOOKUP(J965,Listas!$A$220:$D$224,3,FALSE),"Alerta: Seleccione la celda en la comumna B con el nombre del proyecto")))</f>
        <v>Alerta: Seleccione la celda en la comumna B con el nombre del proyecto</v>
      </c>
      <c r="AN965" s="633"/>
      <c r="AO965" s="633"/>
      <c r="AP965" s="634" t="str">
        <f>IFERROR(VLOOKUP(J965,Listas!$A$182:$E$215,5,FALSE),"Alerta: Seleccione la celda en la comumna B con el nombre del proyecto")</f>
        <v>Alerta: Seleccione la celda en la comumna B con el nombre del proyecto</v>
      </c>
      <c r="AQ965" s="634" t="str">
        <f>IF(J965="Funcionamiento Gastos Generales","No aplica",IF(J965="Funcionamiento Servicios Personales","No aplica",IFERROR(VLOOKUP(J965,Listas!$A$220:$D$224,4,FALSE),"Alerta: Seleccione la celda en la comumna B con el nombre del proyecto")))</f>
        <v>Alerta: Seleccione la celda en la comumna B con el nombre del proyecto</v>
      </c>
      <c r="AR965" s="633"/>
      <c r="AS965" s="634" t="str">
        <f>IFERROR(VLOOKUP(AU965,Listas!$E$85:$L$105,7,FALSE),"Alerta: Seleccione la celda en la comumna AI con el concepto de gasto")</f>
        <v>Alerta: Seleccione la celda en la comumna AI con el concepto de gasto</v>
      </c>
      <c r="AT965" s="634" t="str">
        <f>IFERROR(VLOOKUP(AU965,Listas!$E$85:$L$105,8,FALSE),"Alerta: Seleccione la celda en la comumna AI con el concepto de gasto")</f>
        <v>Alerta: Seleccione la celda en la comumna AI con el concepto de gasto</v>
      </c>
      <c r="AU965" s="633"/>
      <c r="AV965" s="634" t="str">
        <f>IFERROR(VLOOKUP(AU965,Listas!$E$85:$F$105,2,FALSE),"Alerta: Seleccione el Concepto de Gasto primero")</f>
        <v>Alerta: Seleccione el Concepto de Gasto primero</v>
      </c>
      <c r="AW965" s="644"/>
      <c r="AX965" s="645"/>
      <c r="AY965" s="645"/>
      <c r="AZ965" s="645"/>
      <c r="BA965" s="646">
        <f t="shared" si="294"/>
        <v>0</v>
      </c>
      <c r="BB965" s="647"/>
      <c r="BC965" s="648"/>
      <c r="BD965" s="649"/>
      <c r="BE965" s="647"/>
      <c r="BF965" s="644"/>
      <c r="BG965" s="646">
        <f t="shared" si="295"/>
        <v>0</v>
      </c>
      <c r="BH965" s="650"/>
      <c r="BI965" s="647"/>
      <c r="BJ965" s="644"/>
      <c r="BK965" s="646">
        <f t="shared" si="296"/>
        <v>0</v>
      </c>
      <c r="BL965" s="651"/>
      <c r="BM965" s="652">
        <f t="shared" si="297"/>
        <v>1</v>
      </c>
      <c r="BN965" s="628"/>
      <c r="BO965" s="670"/>
      <c r="BP965" s="644"/>
      <c r="BQ965" s="644"/>
      <c r="BR965" s="644"/>
      <c r="BS965" s="644"/>
      <c r="BT965" s="644"/>
      <c r="BU965" s="644"/>
      <c r="BV965" s="644"/>
      <c r="BW965" s="644"/>
      <c r="BX965" s="644"/>
      <c r="BY965" s="644"/>
      <c r="BZ965" s="644"/>
      <c r="CA965" s="644"/>
      <c r="CB965" s="646">
        <f t="shared" si="298"/>
        <v>0</v>
      </c>
      <c r="CC965" s="646">
        <f t="shared" si="299"/>
        <v>0</v>
      </c>
      <c r="CD965" s="614"/>
    </row>
    <row r="966" spans="1:82" s="561" customFormat="1" ht="76.5" customHeight="1">
      <c r="A966" s="625" t="str">
        <f t="shared" si="281"/>
        <v>proyecto-Alerta: Seleccione la celda en la comumna B con el nombre del proyecto-Al-Al--</v>
      </c>
      <c r="B966" s="626" t="str">
        <f t="shared" si="282"/>
        <v>proyecto-Alerta: Seleccione la celda en la comumna B con el nombre del proyecto-Al-Al-</v>
      </c>
      <c r="C966" s="626" t="str">
        <f t="shared" si="283"/>
        <v>proyecto-Alerta: Seleccione la celda en la comumna B con el nombre del proyecto-</v>
      </c>
      <c r="D966" s="626" t="str">
        <f t="shared" si="284"/>
        <v>proyecto--Al-Al-</v>
      </c>
      <c r="E966" s="626" t="str">
        <f t="shared" si="285"/>
        <v>--</v>
      </c>
      <c r="F966" s="627"/>
      <c r="G966" s="628">
        <f t="shared" si="286"/>
        <v>0</v>
      </c>
      <c r="H966" s="629" t="b">
        <f t="shared" si="287"/>
        <v>1</v>
      </c>
      <c r="I966" s="630"/>
      <c r="J966" s="627"/>
      <c r="K966" s="631" t="str">
        <f>+IFERROR(VLOOKUP(J966,Listas!$A$108:$B$114,2,FALSE),"Alerta: Seleccione la celda en la comumna B con el nombre del proyecto")</f>
        <v>Alerta: Seleccione la celda en la comumna B con el nombre del proyecto</v>
      </c>
      <c r="L966" s="632"/>
      <c r="M966" s="633"/>
      <c r="N966" s="634" t="str">
        <f t="shared" si="288"/>
        <v xml:space="preserve">(Cód. ) </v>
      </c>
      <c r="O966" s="635"/>
      <c r="P966" s="636">
        <f>IFERROR(VLOOKUP(W966,'Estimación CRP'!$D$21:$E$30,2,FALSE),0)</f>
        <v>0</v>
      </c>
      <c r="Q966" s="637">
        <f>IF(O966="No aplica","No aplica",WORKDAY.INTL(O966,P966,1,'Estimación CRP'!A1152:A1168))</f>
        <v>0</v>
      </c>
      <c r="R966" s="636">
        <f t="shared" si="289"/>
        <v>1</v>
      </c>
      <c r="S966" s="636">
        <f t="shared" si="290"/>
        <v>1</v>
      </c>
      <c r="T966" s="636">
        <f t="shared" si="291"/>
        <v>1</v>
      </c>
      <c r="U966" s="638"/>
      <c r="V966" s="638"/>
      <c r="W966" s="639"/>
      <c r="X966" s="640" t="str">
        <f>IFERROR(VLOOKUP(W966,Listas!$A$60:$B$73,2,FALSE),"Alerta: Seleccione primero Modalidad de selección")</f>
        <v>Alerta: Seleccione primero Modalidad de selección</v>
      </c>
      <c r="Y966" s="641">
        <v>0</v>
      </c>
      <c r="Z966" s="641"/>
      <c r="AA966" s="641"/>
      <c r="AB966" s="642">
        <f t="shared" si="292"/>
        <v>0</v>
      </c>
      <c r="AC966" s="642">
        <f t="shared" si="293"/>
        <v>0</v>
      </c>
      <c r="AD966" s="641">
        <v>0</v>
      </c>
      <c r="AE966" s="643">
        <v>0</v>
      </c>
      <c r="AF966" s="639" t="s">
        <v>276</v>
      </c>
      <c r="AG966" s="639" t="s">
        <v>277</v>
      </c>
      <c r="AH966" s="639"/>
      <c r="AI966" s="626" t="str">
        <f>IFERROR(VLOOKUP(AH966,Listas!$A$77:$C$83,2,FALSE),"Alerta: Seleccione primero el responsable")</f>
        <v>Alerta: Seleccione primero el responsable</v>
      </c>
      <c r="AJ966" s="640" t="str">
        <f>IFERROR(VLOOKUP(AH966,Listas!$A$77:$C$83,3,FALSE),"Alerta: Seleccione primero el responsable")</f>
        <v>Alerta: Seleccione primero el responsable</v>
      </c>
      <c r="AK966" s="640" t="str">
        <f>IF(J966="Funcionamiento Gastos Generales","No aplica",IF(J966="Funcionamiento Servicios Personales indirectos","No aplica",IFERROR(VLOOKUP(J966,Listas!$A$127:$E$139,3,FALSE),"Alerta: Seleccione la celda en la comumna B con el nombre del proyecto")))</f>
        <v>Alerta: Seleccione la celda en la comumna B con el nombre del proyecto</v>
      </c>
      <c r="AL966" s="640" t="str">
        <f>IF(J966="Funcionamiento Gastos Generales","No aplica",IF(J966="Funcionamiento Servicios Personales","No aplica",IFERROR(VLOOKUP(J966,Listas!$A$220:$D$224,2,FALSE),"Alerta: Seleccione la celda en la comumna B con el nombre del proyecto")))</f>
        <v>Alerta: Seleccione la celda en la comumna B con el nombre del proyecto</v>
      </c>
      <c r="AM966" s="640" t="str">
        <f>IF(J966="Funcionamiento Gastos Generales","No aplica",IF(J966="Funcionamiento Servicios Personales","No aplica",IFERROR(VLOOKUP(J966,Listas!$A$220:$D$224,3,FALSE),"Alerta: Seleccione la celda en la comumna B con el nombre del proyecto")))</f>
        <v>Alerta: Seleccione la celda en la comumna B con el nombre del proyecto</v>
      </c>
      <c r="AN966" s="633"/>
      <c r="AO966" s="633"/>
      <c r="AP966" s="634" t="str">
        <f>IFERROR(VLOOKUP(J966,Listas!$A$182:$E$215,5,FALSE),"Alerta: Seleccione la celda en la comumna B con el nombre del proyecto")</f>
        <v>Alerta: Seleccione la celda en la comumna B con el nombre del proyecto</v>
      </c>
      <c r="AQ966" s="634" t="str">
        <f>IF(J966="Funcionamiento Gastos Generales","No aplica",IF(J966="Funcionamiento Servicios Personales","No aplica",IFERROR(VLOOKUP(J966,Listas!$A$220:$D$224,4,FALSE),"Alerta: Seleccione la celda en la comumna B con el nombre del proyecto")))</f>
        <v>Alerta: Seleccione la celda en la comumna B con el nombre del proyecto</v>
      </c>
      <c r="AR966" s="633"/>
      <c r="AS966" s="634" t="str">
        <f>IFERROR(VLOOKUP(AU966,Listas!$E$85:$L$105,7,FALSE),"Alerta: Seleccione la celda en la comumna AI con el concepto de gasto")</f>
        <v>Alerta: Seleccione la celda en la comumna AI con el concepto de gasto</v>
      </c>
      <c r="AT966" s="634" t="str">
        <f>IFERROR(VLOOKUP(AU966,Listas!$E$85:$L$105,8,FALSE),"Alerta: Seleccione la celda en la comumna AI con el concepto de gasto")</f>
        <v>Alerta: Seleccione la celda en la comumna AI con el concepto de gasto</v>
      </c>
      <c r="AU966" s="633"/>
      <c r="AV966" s="634" t="str">
        <f>IFERROR(VLOOKUP(AU966,Listas!$E$85:$F$105,2,FALSE),"Alerta: Seleccione el Concepto de Gasto primero")</f>
        <v>Alerta: Seleccione el Concepto de Gasto primero</v>
      </c>
      <c r="AW966" s="644"/>
      <c r="AX966" s="645"/>
      <c r="AY966" s="645"/>
      <c r="AZ966" s="645"/>
      <c r="BA966" s="646">
        <f t="shared" si="294"/>
        <v>0</v>
      </c>
      <c r="BB966" s="647"/>
      <c r="BC966" s="648"/>
      <c r="BD966" s="649"/>
      <c r="BE966" s="647"/>
      <c r="BF966" s="644"/>
      <c r="BG966" s="646">
        <f t="shared" si="295"/>
        <v>0</v>
      </c>
      <c r="BH966" s="650"/>
      <c r="BI966" s="647"/>
      <c r="BJ966" s="644"/>
      <c r="BK966" s="646">
        <f t="shared" si="296"/>
        <v>0</v>
      </c>
      <c r="BL966" s="651"/>
      <c r="BM966" s="652">
        <f t="shared" si="297"/>
        <v>1</v>
      </c>
      <c r="BN966" s="628"/>
      <c r="BO966" s="670"/>
      <c r="BP966" s="644"/>
      <c r="BQ966" s="644"/>
      <c r="BR966" s="644"/>
      <c r="BS966" s="644"/>
      <c r="BT966" s="644"/>
      <c r="BU966" s="644"/>
      <c r="BV966" s="644"/>
      <c r="BW966" s="644"/>
      <c r="BX966" s="644"/>
      <c r="BY966" s="644"/>
      <c r="BZ966" s="644"/>
      <c r="CA966" s="644"/>
      <c r="CB966" s="646">
        <f t="shared" si="298"/>
        <v>0</v>
      </c>
      <c r="CC966" s="646">
        <f t="shared" si="299"/>
        <v>0</v>
      </c>
      <c r="CD966" s="614"/>
    </row>
    <row r="967" spans="1:82" s="561" customFormat="1" ht="76.5" customHeight="1">
      <c r="A967" s="625" t="str">
        <f t="shared" si="281"/>
        <v>proyecto-Alerta: Seleccione la celda en la comumna B con el nombre del proyecto-Al-Al--</v>
      </c>
      <c r="B967" s="626" t="str">
        <f t="shared" si="282"/>
        <v>proyecto-Alerta: Seleccione la celda en la comumna B con el nombre del proyecto-Al-Al-</v>
      </c>
      <c r="C967" s="626" t="str">
        <f t="shared" si="283"/>
        <v>proyecto-Alerta: Seleccione la celda en la comumna B con el nombre del proyecto-</v>
      </c>
      <c r="D967" s="626" t="str">
        <f t="shared" si="284"/>
        <v>proyecto--Al-Al-</v>
      </c>
      <c r="E967" s="626" t="str">
        <f t="shared" si="285"/>
        <v>--</v>
      </c>
      <c r="F967" s="627"/>
      <c r="G967" s="628">
        <f t="shared" si="286"/>
        <v>0</v>
      </c>
      <c r="H967" s="629" t="b">
        <f t="shared" si="287"/>
        <v>1</v>
      </c>
      <c r="I967" s="630"/>
      <c r="J967" s="627"/>
      <c r="K967" s="631" t="str">
        <f>+IFERROR(VLOOKUP(J967,Listas!$A$108:$B$114,2,FALSE),"Alerta: Seleccione la celda en la comumna B con el nombre del proyecto")</f>
        <v>Alerta: Seleccione la celda en la comumna B con el nombre del proyecto</v>
      </c>
      <c r="L967" s="632"/>
      <c r="M967" s="633"/>
      <c r="N967" s="634" t="str">
        <f t="shared" si="288"/>
        <v xml:space="preserve">(Cód. ) </v>
      </c>
      <c r="O967" s="635"/>
      <c r="P967" s="636">
        <f>IFERROR(VLOOKUP(W967,'Estimación CRP'!$D$21:$E$30,2,FALSE),0)</f>
        <v>0</v>
      </c>
      <c r="Q967" s="637">
        <f>IF(O967="No aplica","No aplica",WORKDAY.INTL(O967,P967,1,'Estimación CRP'!A1153:A1169))</f>
        <v>0</v>
      </c>
      <c r="R967" s="636">
        <f t="shared" si="289"/>
        <v>1</v>
      </c>
      <c r="S967" s="636">
        <f t="shared" si="290"/>
        <v>1</v>
      </c>
      <c r="T967" s="636">
        <f t="shared" si="291"/>
        <v>1</v>
      </c>
      <c r="U967" s="638"/>
      <c r="V967" s="638"/>
      <c r="W967" s="639"/>
      <c r="X967" s="640" t="str">
        <f>IFERROR(VLOOKUP(W967,Listas!$A$60:$B$73,2,FALSE),"Alerta: Seleccione primero Modalidad de selección")</f>
        <v>Alerta: Seleccione primero Modalidad de selección</v>
      </c>
      <c r="Y967" s="641">
        <v>0</v>
      </c>
      <c r="Z967" s="641"/>
      <c r="AA967" s="641"/>
      <c r="AB967" s="642">
        <f t="shared" si="292"/>
        <v>0</v>
      </c>
      <c r="AC967" s="642">
        <f t="shared" si="293"/>
        <v>0</v>
      </c>
      <c r="AD967" s="641">
        <v>0</v>
      </c>
      <c r="AE967" s="643">
        <v>0</v>
      </c>
      <c r="AF967" s="639" t="s">
        <v>276</v>
      </c>
      <c r="AG967" s="639" t="s">
        <v>277</v>
      </c>
      <c r="AH967" s="639"/>
      <c r="AI967" s="626" t="str">
        <f>IFERROR(VLOOKUP(AH967,Listas!$A$77:$C$83,2,FALSE),"Alerta: Seleccione primero el responsable")</f>
        <v>Alerta: Seleccione primero el responsable</v>
      </c>
      <c r="AJ967" s="640" t="str">
        <f>IFERROR(VLOOKUP(AH967,Listas!$A$77:$C$83,3,FALSE),"Alerta: Seleccione primero el responsable")</f>
        <v>Alerta: Seleccione primero el responsable</v>
      </c>
      <c r="AK967" s="640" t="str">
        <f>IF(J967="Funcionamiento Gastos Generales","No aplica",IF(J967="Funcionamiento Servicios Personales indirectos","No aplica",IFERROR(VLOOKUP(J967,Listas!$A$127:$E$139,3,FALSE),"Alerta: Seleccione la celda en la comumna B con el nombre del proyecto")))</f>
        <v>Alerta: Seleccione la celda en la comumna B con el nombre del proyecto</v>
      </c>
      <c r="AL967" s="640" t="str">
        <f>IF(J967="Funcionamiento Gastos Generales","No aplica",IF(J967="Funcionamiento Servicios Personales","No aplica",IFERROR(VLOOKUP(J967,Listas!$A$220:$D$224,2,FALSE),"Alerta: Seleccione la celda en la comumna B con el nombre del proyecto")))</f>
        <v>Alerta: Seleccione la celda en la comumna B con el nombre del proyecto</v>
      </c>
      <c r="AM967" s="640" t="str">
        <f>IF(J967="Funcionamiento Gastos Generales","No aplica",IF(J967="Funcionamiento Servicios Personales","No aplica",IFERROR(VLOOKUP(J967,Listas!$A$220:$D$224,3,FALSE),"Alerta: Seleccione la celda en la comumna B con el nombre del proyecto")))</f>
        <v>Alerta: Seleccione la celda en la comumna B con el nombre del proyecto</v>
      </c>
      <c r="AN967" s="633"/>
      <c r="AO967" s="633"/>
      <c r="AP967" s="634" t="str">
        <f>IFERROR(VLOOKUP(J967,Listas!$A$182:$E$215,5,FALSE),"Alerta: Seleccione la celda en la comumna B con el nombre del proyecto")</f>
        <v>Alerta: Seleccione la celda en la comumna B con el nombre del proyecto</v>
      </c>
      <c r="AQ967" s="634" t="str">
        <f>IF(J967="Funcionamiento Gastos Generales","No aplica",IF(J967="Funcionamiento Servicios Personales","No aplica",IFERROR(VLOOKUP(J967,Listas!$A$220:$D$224,4,FALSE),"Alerta: Seleccione la celda en la comumna B con el nombre del proyecto")))</f>
        <v>Alerta: Seleccione la celda en la comumna B con el nombre del proyecto</v>
      </c>
      <c r="AR967" s="633"/>
      <c r="AS967" s="634" t="str">
        <f>IFERROR(VLOOKUP(AU967,Listas!$E$85:$L$105,7,FALSE),"Alerta: Seleccione la celda en la comumna AI con el concepto de gasto")</f>
        <v>Alerta: Seleccione la celda en la comumna AI con el concepto de gasto</v>
      </c>
      <c r="AT967" s="634" t="str">
        <f>IFERROR(VLOOKUP(AU967,Listas!$E$85:$L$105,8,FALSE),"Alerta: Seleccione la celda en la comumna AI con el concepto de gasto")</f>
        <v>Alerta: Seleccione la celda en la comumna AI con el concepto de gasto</v>
      </c>
      <c r="AU967" s="633"/>
      <c r="AV967" s="634" t="str">
        <f>IFERROR(VLOOKUP(AU967,Listas!$E$85:$F$105,2,FALSE),"Alerta: Seleccione el Concepto de Gasto primero")</f>
        <v>Alerta: Seleccione el Concepto de Gasto primero</v>
      </c>
      <c r="AW967" s="644"/>
      <c r="AX967" s="645"/>
      <c r="AY967" s="645"/>
      <c r="AZ967" s="645"/>
      <c r="BA967" s="646">
        <f t="shared" si="294"/>
        <v>0</v>
      </c>
      <c r="BB967" s="647"/>
      <c r="BC967" s="648"/>
      <c r="BD967" s="649"/>
      <c r="BE967" s="647"/>
      <c r="BF967" s="644"/>
      <c r="BG967" s="646">
        <f t="shared" si="295"/>
        <v>0</v>
      </c>
      <c r="BH967" s="650"/>
      <c r="BI967" s="647"/>
      <c r="BJ967" s="644"/>
      <c r="BK967" s="646">
        <f t="shared" si="296"/>
        <v>0</v>
      </c>
      <c r="BL967" s="651"/>
      <c r="BM967" s="652">
        <f t="shared" si="297"/>
        <v>1</v>
      </c>
      <c r="BN967" s="628"/>
      <c r="BO967" s="670"/>
      <c r="BP967" s="644"/>
      <c r="BQ967" s="644"/>
      <c r="BR967" s="644"/>
      <c r="BS967" s="644"/>
      <c r="BT967" s="644"/>
      <c r="BU967" s="644"/>
      <c r="BV967" s="644"/>
      <c r="BW967" s="644"/>
      <c r="BX967" s="644"/>
      <c r="BY967" s="644"/>
      <c r="BZ967" s="644"/>
      <c r="CA967" s="644"/>
      <c r="CB967" s="646">
        <f t="shared" si="298"/>
        <v>0</v>
      </c>
      <c r="CC967" s="646">
        <f t="shared" si="299"/>
        <v>0</v>
      </c>
      <c r="CD967" s="614"/>
    </row>
    <row r="970" spans="1:82">
      <c r="AR970" s="689" t="s">
        <v>198</v>
      </c>
      <c r="AU970" s="689" t="s">
        <v>196</v>
      </c>
    </row>
    <row r="971" spans="1:82">
      <c r="AR971" s="689" t="s">
        <v>198</v>
      </c>
      <c r="AU971" s="689" t="s">
        <v>196</v>
      </c>
    </row>
    <row r="972" spans="1:82">
      <c r="AR972" s="689" t="s">
        <v>198</v>
      </c>
      <c r="AU972" s="689" t="s">
        <v>196</v>
      </c>
    </row>
    <row r="973" spans="1:82">
      <c r="AR973" s="689" t="s">
        <v>198</v>
      </c>
      <c r="AU973" s="689" t="s">
        <v>196</v>
      </c>
    </row>
    <row r="974" spans="1:82">
      <c r="AR974" s="689" t="s">
        <v>198</v>
      </c>
      <c r="AU974" s="689" t="s">
        <v>196</v>
      </c>
    </row>
    <row r="975" spans="1:82">
      <c r="AR975" s="689" t="s">
        <v>198</v>
      </c>
      <c r="AU975" s="689" t="s">
        <v>196</v>
      </c>
    </row>
    <row r="976" spans="1:82">
      <c r="AR976" s="689" t="s">
        <v>198</v>
      </c>
      <c r="AU976" s="689" t="s">
        <v>196</v>
      </c>
    </row>
    <row r="977" spans="44:47">
      <c r="AR977" s="689" t="s">
        <v>198</v>
      </c>
      <c r="AU977" s="689" t="s">
        <v>196</v>
      </c>
    </row>
    <row r="978" spans="44:47">
      <c r="AR978" s="689" t="s">
        <v>198</v>
      </c>
      <c r="AU978" s="689" t="s">
        <v>196</v>
      </c>
    </row>
    <row r="979" spans="44:47">
      <c r="AR979" s="689" t="s">
        <v>198</v>
      </c>
      <c r="AU979" s="689" t="s">
        <v>196</v>
      </c>
    </row>
    <row r="980" spans="44:47">
      <c r="AR980" s="689" t="s">
        <v>198</v>
      </c>
      <c r="AU980" s="689" t="s">
        <v>196</v>
      </c>
    </row>
    <row r="981" spans="44:47">
      <c r="AR981" s="689" t="s">
        <v>198</v>
      </c>
      <c r="AU981" s="689" t="s">
        <v>196</v>
      </c>
    </row>
    <row r="982" spans="44:47">
      <c r="AR982" s="689" t="s">
        <v>198</v>
      </c>
      <c r="AU982" s="689" t="s">
        <v>196</v>
      </c>
    </row>
    <row r="983" spans="44:47">
      <c r="AR983" s="689" t="s">
        <v>198</v>
      </c>
      <c r="AU983" s="689" t="s">
        <v>196</v>
      </c>
    </row>
    <row r="984" spans="44:47">
      <c r="AR984" s="689" t="s">
        <v>198</v>
      </c>
      <c r="AU984" s="689" t="s">
        <v>196</v>
      </c>
    </row>
    <row r="985" spans="44:47">
      <c r="AR985" s="689" t="s">
        <v>198</v>
      </c>
      <c r="AU985" s="689" t="s">
        <v>196</v>
      </c>
    </row>
    <row r="986" spans="44:47">
      <c r="AR986" s="689" t="s">
        <v>198</v>
      </c>
      <c r="AU986" s="689" t="s">
        <v>196</v>
      </c>
    </row>
    <row r="987" spans="44:47">
      <c r="AR987" s="689" t="s">
        <v>198</v>
      </c>
      <c r="AU987" s="689" t="s">
        <v>196</v>
      </c>
    </row>
    <row r="988" spans="44:47">
      <c r="AR988" s="689" t="s">
        <v>198</v>
      </c>
      <c r="AU988" s="689" t="s">
        <v>196</v>
      </c>
    </row>
    <row r="989" spans="44:47">
      <c r="AR989" s="689" t="s">
        <v>198</v>
      </c>
      <c r="AU989" s="689" t="s">
        <v>196</v>
      </c>
    </row>
    <row r="990" spans="44:47">
      <c r="AR990" s="689" t="s">
        <v>198</v>
      </c>
      <c r="AU990" s="689" t="s">
        <v>196</v>
      </c>
    </row>
    <row r="991" spans="44:47">
      <c r="AR991" s="689" t="s">
        <v>198</v>
      </c>
      <c r="AU991" s="689" t="s">
        <v>196</v>
      </c>
    </row>
    <row r="992" spans="44:47">
      <c r="AR992" s="689" t="s">
        <v>198</v>
      </c>
      <c r="AU992" s="689" t="s">
        <v>232</v>
      </c>
    </row>
    <row r="993" spans="44:47">
      <c r="AR993" s="689" t="s">
        <v>198</v>
      </c>
      <c r="AU993" s="689" t="s">
        <v>232</v>
      </c>
    </row>
    <row r="994" spans="44:47">
      <c r="AR994" s="689" t="s">
        <v>198</v>
      </c>
      <c r="AU994" s="689" t="s">
        <v>232</v>
      </c>
    </row>
    <row r="995" spans="44:47">
      <c r="AR995" s="689" t="s">
        <v>198</v>
      </c>
      <c r="AU995" s="689" t="s">
        <v>232</v>
      </c>
    </row>
    <row r="996" spans="44:47">
      <c r="AR996" s="689" t="s">
        <v>198</v>
      </c>
      <c r="AU996" s="689" t="s">
        <v>232</v>
      </c>
    </row>
    <row r="997" spans="44:47">
      <c r="AR997" s="689" t="s">
        <v>198</v>
      </c>
      <c r="AU997" s="689" t="s">
        <v>232</v>
      </c>
    </row>
    <row r="998" spans="44:47">
      <c r="AR998" s="689" t="s">
        <v>198</v>
      </c>
      <c r="AU998" s="689" t="s">
        <v>232</v>
      </c>
    </row>
    <row r="999" spans="44:47">
      <c r="AR999" s="689" t="s">
        <v>198</v>
      </c>
      <c r="AU999" s="689" t="s">
        <v>232</v>
      </c>
    </row>
    <row r="1000" spans="44:47">
      <c r="AR1000" s="689" t="s">
        <v>198</v>
      </c>
      <c r="AU1000" s="689" t="s">
        <v>232</v>
      </c>
    </row>
    <row r="1001" spans="44:47">
      <c r="AR1001" s="689" t="s">
        <v>198</v>
      </c>
      <c r="AU1001" s="689" t="s">
        <v>232</v>
      </c>
    </row>
    <row r="1002" spans="44:47">
      <c r="AR1002" s="689" t="s">
        <v>198</v>
      </c>
      <c r="AU1002" s="689" t="s">
        <v>232</v>
      </c>
    </row>
    <row r="1003" spans="44:47">
      <c r="AR1003" s="689" t="s">
        <v>198</v>
      </c>
      <c r="AU1003" s="689" t="s">
        <v>232</v>
      </c>
    </row>
    <row r="1004" spans="44:47">
      <c r="AR1004" s="689" t="s">
        <v>198</v>
      </c>
      <c r="AU1004" s="689" t="s">
        <v>232</v>
      </c>
    </row>
    <row r="1005" spans="44:47">
      <c r="AR1005" s="689" t="s">
        <v>198</v>
      </c>
      <c r="AU1005" s="689" t="s">
        <v>232</v>
      </c>
    </row>
    <row r="1006" spans="44:47">
      <c r="AR1006" s="689" t="s">
        <v>198</v>
      </c>
      <c r="AU1006" s="689" t="s">
        <v>232</v>
      </c>
    </row>
    <row r="1007" spans="44:47">
      <c r="AR1007" s="689" t="s">
        <v>198</v>
      </c>
      <c r="AU1007" s="689" t="s">
        <v>232</v>
      </c>
    </row>
    <row r="1008" spans="44:47">
      <c r="AR1008" s="689" t="s">
        <v>198</v>
      </c>
      <c r="AU1008" s="689" t="s">
        <v>232</v>
      </c>
    </row>
    <row r="1009" spans="44:47">
      <c r="AR1009" s="689" t="s">
        <v>221</v>
      </c>
      <c r="AU1009" s="689" t="s">
        <v>232</v>
      </c>
    </row>
    <row r="1010" spans="44:47">
      <c r="AR1010" s="689" t="s">
        <v>198</v>
      </c>
      <c r="AU1010" s="689" t="s">
        <v>232</v>
      </c>
    </row>
    <row r="1011" spans="44:47">
      <c r="AR1011" s="689" t="s">
        <v>198</v>
      </c>
      <c r="AU1011" s="689" t="s">
        <v>232</v>
      </c>
    </row>
    <row r="1012" spans="44:47">
      <c r="AR1012" s="689" t="s">
        <v>198</v>
      </c>
      <c r="AU1012" s="689" t="s">
        <v>232</v>
      </c>
    </row>
    <row r="1013" spans="44:47">
      <c r="AR1013" s="689" t="s">
        <v>198</v>
      </c>
      <c r="AU1013" s="689" t="s">
        <v>232</v>
      </c>
    </row>
    <row r="1014" spans="44:47">
      <c r="AR1014" s="689" t="s">
        <v>198</v>
      </c>
      <c r="AU1014" s="689" t="s">
        <v>232</v>
      </c>
    </row>
    <row r="1015" spans="44:47">
      <c r="AR1015" s="689" t="s">
        <v>198</v>
      </c>
      <c r="AU1015" s="689" t="s">
        <v>232</v>
      </c>
    </row>
    <row r="1016" spans="44:47">
      <c r="AR1016" s="689" t="s">
        <v>198</v>
      </c>
      <c r="AU1016" s="689" t="s">
        <v>232</v>
      </c>
    </row>
    <row r="1017" spans="44:47">
      <c r="AR1017" s="689" t="s">
        <v>198</v>
      </c>
      <c r="AU1017" s="689" t="s">
        <v>232</v>
      </c>
    </row>
    <row r="1018" spans="44:47">
      <c r="AR1018" s="689" t="s">
        <v>198</v>
      </c>
      <c r="AU1018" s="689" t="s">
        <v>232</v>
      </c>
    </row>
    <row r="1019" spans="44:47">
      <c r="AR1019" s="689" t="s">
        <v>198</v>
      </c>
      <c r="AU1019" s="689" t="s">
        <v>232</v>
      </c>
    </row>
    <row r="1020" spans="44:47">
      <c r="AR1020" s="689" t="s">
        <v>198</v>
      </c>
      <c r="AU1020" s="689" t="s">
        <v>232</v>
      </c>
    </row>
    <row r="1021" spans="44:47">
      <c r="AR1021" s="689" t="s">
        <v>198</v>
      </c>
      <c r="AU1021" s="689" t="s">
        <v>232</v>
      </c>
    </row>
    <row r="1022" spans="44:47">
      <c r="AR1022" s="689" t="s">
        <v>198</v>
      </c>
      <c r="AU1022" s="689" t="s">
        <v>232</v>
      </c>
    </row>
    <row r="1023" spans="44:47">
      <c r="AR1023" s="689" t="s">
        <v>198</v>
      </c>
      <c r="AU1023" s="689" t="s">
        <v>232</v>
      </c>
    </row>
    <row r="1024" spans="44:47">
      <c r="AR1024" s="689" t="s">
        <v>198</v>
      </c>
      <c r="AU1024" s="689" t="s">
        <v>232</v>
      </c>
    </row>
    <row r="1025" spans="44:47">
      <c r="AR1025" s="689" t="s">
        <v>221</v>
      </c>
      <c r="AU1025" s="689" t="s">
        <v>232</v>
      </c>
    </row>
    <row r="1026" spans="44:47">
      <c r="AR1026" s="689" t="s">
        <v>198</v>
      </c>
      <c r="AU1026" s="689" t="s">
        <v>232</v>
      </c>
    </row>
    <row r="1027" spans="44:47">
      <c r="AR1027" s="689" t="s">
        <v>198</v>
      </c>
      <c r="AU1027" s="689" t="s">
        <v>232</v>
      </c>
    </row>
    <row r="1028" spans="44:47">
      <c r="AR1028" s="689" t="s">
        <v>198</v>
      </c>
      <c r="AU1028" s="689" t="s">
        <v>232</v>
      </c>
    </row>
    <row r="1029" spans="44:47">
      <c r="AR1029" s="689" t="s">
        <v>198</v>
      </c>
      <c r="AU1029" s="689" t="s">
        <v>232</v>
      </c>
    </row>
    <row r="1030" spans="44:47">
      <c r="AR1030" s="689" t="s">
        <v>198</v>
      </c>
      <c r="AU1030" s="689" t="s">
        <v>232</v>
      </c>
    </row>
    <row r="1031" spans="44:47">
      <c r="AR1031" s="689" t="s">
        <v>198</v>
      </c>
      <c r="AU1031" s="689" t="s">
        <v>232</v>
      </c>
    </row>
    <row r="1032" spans="44:47">
      <c r="AR1032" s="689" t="s">
        <v>198</v>
      </c>
      <c r="AU1032" s="689" t="s">
        <v>232</v>
      </c>
    </row>
    <row r="1033" spans="44:47">
      <c r="AR1033" s="689" t="s">
        <v>198</v>
      </c>
      <c r="AU1033" s="689" t="s">
        <v>232</v>
      </c>
    </row>
    <row r="1034" spans="44:47">
      <c r="AR1034" s="689" t="s">
        <v>198</v>
      </c>
      <c r="AU1034" s="689" t="s">
        <v>232</v>
      </c>
    </row>
    <row r="1035" spans="44:47">
      <c r="AR1035" s="689" t="s">
        <v>198</v>
      </c>
      <c r="AU1035" s="689" t="s">
        <v>232</v>
      </c>
    </row>
    <row r="1036" spans="44:47">
      <c r="AR1036" s="689" t="s">
        <v>198</v>
      </c>
      <c r="AU1036" s="689" t="s">
        <v>232</v>
      </c>
    </row>
    <row r="1037" spans="44:47">
      <c r="AR1037" s="689" t="s">
        <v>198</v>
      </c>
      <c r="AU1037" s="689" t="s">
        <v>232</v>
      </c>
    </row>
    <row r="1038" spans="44:47">
      <c r="AR1038" s="689" t="s">
        <v>198</v>
      </c>
      <c r="AU1038" s="689" t="s">
        <v>232</v>
      </c>
    </row>
    <row r="1039" spans="44:47">
      <c r="AR1039" s="689" t="s">
        <v>198</v>
      </c>
      <c r="AU1039" s="689" t="s">
        <v>232</v>
      </c>
    </row>
    <row r="1040" spans="44:47">
      <c r="AR1040" s="689" t="s">
        <v>198</v>
      </c>
      <c r="AU1040" s="689" t="s">
        <v>232</v>
      </c>
    </row>
    <row r="1041" spans="44:47">
      <c r="AR1041" s="689" t="s">
        <v>198</v>
      </c>
      <c r="AU1041" s="689" t="s">
        <v>232</v>
      </c>
    </row>
    <row r="1042" spans="44:47">
      <c r="AR1042" s="689" t="s">
        <v>198</v>
      </c>
      <c r="AU1042" s="689" t="s">
        <v>232</v>
      </c>
    </row>
    <row r="1043" spans="44:47">
      <c r="AR1043" s="689" t="s">
        <v>198</v>
      </c>
      <c r="AU1043" s="689" t="s">
        <v>232</v>
      </c>
    </row>
    <row r="1044" spans="44:47">
      <c r="AR1044" s="689" t="s">
        <v>198</v>
      </c>
      <c r="AU1044" s="689" t="s">
        <v>232</v>
      </c>
    </row>
    <row r="1045" spans="44:47">
      <c r="AR1045" s="689" t="s">
        <v>198</v>
      </c>
      <c r="AU1045" s="689" t="s">
        <v>232</v>
      </c>
    </row>
    <row r="1046" spans="44:47">
      <c r="AR1046" s="689" t="s">
        <v>198</v>
      </c>
      <c r="AU1046" s="689" t="s">
        <v>201</v>
      </c>
    </row>
    <row r="1047" spans="44:47">
      <c r="AR1047" s="689" t="s">
        <v>198</v>
      </c>
      <c r="AU1047" s="689" t="s">
        <v>232</v>
      </c>
    </row>
    <row r="1048" spans="44:47">
      <c r="AR1048" s="689" t="s">
        <v>198</v>
      </c>
      <c r="AU1048" s="689" t="s">
        <v>232</v>
      </c>
    </row>
    <row r="1049" spans="44:47">
      <c r="AR1049" s="689" t="s">
        <v>198</v>
      </c>
      <c r="AU1049" s="689" t="s">
        <v>232</v>
      </c>
    </row>
    <row r="1050" spans="44:47">
      <c r="AR1050" s="689" t="s">
        <v>198</v>
      </c>
      <c r="AU1050" s="689" t="s">
        <v>232</v>
      </c>
    </row>
    <row r="1051" spans="44:47">
      <c r="AR1051" s="689" t="s">
        <v>198</v>
      </c>
      <c r="AU1051" s="689" t="s">
        <v>232</v>
      </c>
    </row>
    <row r="1052" spans="44:47">
      <c r="AR1052" s="689" t="s">
        <v>198</v>
      </c>
      <c r="AU1052" s="689" t="s">
        <v>232</v>
      </c>
    </row>
    <row r="1053" spans="44:47">
      <c r="AR1053" s="689" t="s">
        <v>198</v>
      </c>
      <c r="AU1053" s="689" t="s">
        <v>232</v>
      </c>
    </row>
    <row r="1054" spans="44:47">
      <c r="AR1054" s="689" t="s">
        <v>198</v>
      </c>
      <c r="AU1054" s="689" t="s">
        <v>232</v>
      </c>
    </row>
    <row r="1055" spans="44:47">
      <c r="AR1055" s="689" t="s">
        <v>198</v>
      </c>
      <c r="AU1055" s="689" t="s">
        <v>232</v>
      </c>
    </row>
    <row r="1056" spans="44:47">
      <c r="AR1056" s="689" t="s">
        <v>198</v>
      </c>
      <c r="AU1056" s="689" t="s">
        <v>232</v>
      </c>
    </row>
    <row r="1057" spans="44:47">
      <c r="AR1057" s="689" t="s">
        <v>198</v>
      </c>
      <c r="AU1057" s="689" t="s">
        <v>232</v>
      </c>
    </row>
    <row r="1058" spans="44:47">
      <c r="AR1058" s="689" t="s">
        <v>198</v>
      </c>
      <c r="AU1058" s="689" t="s">
        <v>232</v>
      </c>
    </row>
    <row r="1059" spans="44:47">
      <c r="AR1059" s="689" t="s">
        <v>198</v>
      </c>
      <c r="AU1059" s="689" t="s">
        <v>232</v>
      </c>
    </row>
    <row r="1060" spans="44:47">
      <c r="AR1060" s="689" t="s">
        <v>198</v>
      </c>
      <c r="AU1060" s="689" t="s">
        <v>201</v>
      </c>
    </row>
    <row r="1061" spans="44:47">
      <c r="AR1061" s="689" t="s">
        <v>198</v>
      </c>
      <c r="AU1061" s="689" t="s">
        <v>232</v>
      </c>
    </row>
    <row r="1062" spans="44:47">
      <c r="AR1062" s="689" t="s">
        <v>198</v>
      </c>
      <c r="AU1062" s="689" t="s">
        <v>232</v>
      </c>
    </row>
    <row r="1063" spans="44:47">
      <c r="AR1063" s="689" t="s">
        <v>198</v>
      </c>
      <c r="AU1063" s="689" t="s">
        <v>232</v>
      </c>
    </row>
    <row r="1064" spans="44:47">
      <c r="AR1064" s="689" t="s">
        <v>198</v>
      </c>
      <c r="AU1064" s="689" t="s">
        <v>232</v>
      </c>
    </row>
    <row r="1065" spans="44:47">
      <c r="AR1065" s="689" t="s">
        <v>198</v>
      </c>
      <c r="AU1065" s="689" t="s">
        <v>232</v>
      </c>
    </row>
    <row r="1066" spans="44:47">
      <c r="AR1066" s="689" t="s">
        <v>198</v>
      </c>
      <c r="AU1066" s="689" t="s">
        <v>232</v>
      </c>
    </row>
    <row r="1067" spans="44:47">
      <c r="AR1067" s="689" t="s">
        <v>198</v>
      </c>
      <c r="AU1067" s="689" t="s">
        <v>232</v>
      </c>
    </row>
    <row r="1068" spans="44:47">
      <c r="AR1068" s="689" t="s">
        <v>198</v>
      </c>
      <c r="AU1068" s="689" t="s">
        <v>232</v>
      </c>
    </row>
    <row r="1069" spans="44:47">
      <c r="AR1069" s="689" t="s">
        <v>222</v>
      </c>
      <c r="AU1069" s="689" t="s">
        <v>232</v>
      </c>
    </row>
    <row r="1070" spans="44:47">
      <c r="AR1070" s="689" t="s">
        <v>198</v>
      </c>
      <c r="AU1070" s="689" t="s">
        <v>232</v>
      </c>
    </row>
    <row r="1071" spans="44:47">
      <c r="AR1071" s="689" t="s">
        <v>198</v>
      </c>
      <c r="AU1071" s="689" t="s">
        <v>232</v>
      </c>
    </row>
    <row r="1072" spans="44:47">
      <c r="AR1072" s="689" t="s">
        <v>198</v>
      </c>
      <c r="AU1072" s="689" t="s">
        <v>232</v>
      </c>
    </row>
    <row r="1073" spans="44:47">
      <c r="AR1073" s="689" t="s">
        <v>198</v>
      </c>
      <c r="AU1073" s="689" t="s">
        <v>232</v>
      </c>
    </row>
    <row r="1074" spans="44:47">
      <c r="AR1074" s="689" t="s">
        <v>198</v>
      </c>
      <c r="AU1074" s="689" t="s">
        <v>232</v>
      </c>
    </row>
    <row r="1075" spans="44:47">
      <c r="AR1075" s="689" t="s">
        <v>198</v>
      </c>
      <c r="AU1075" s="689" t="s">
        <v>232</v>
      </c>
    </row>
    <row r="1076" spans="44:47">
      <c r="AR1076" s="689" t="s">
        <v>198</v>
      </c>
      <c r="AU1076" s="689" t="s">
        <v>232</v>
      </c>
    </row>
    <row r="1077" spans="44:47">
      <c r="AR1077" s="689" t="s">
        <v>198</v>
      </c>
      <c r="AU1077" s="689" t="s">
        <v>232</v>
      </c>
    </row>
    <row r="1078" spans="44:47">
      <c r="AR1078" s="689" t="s">
        <v>198</v>
      </c>
      <c r="AU1078" s="689" t="s">
        <v>232</v>
      </c>
    </row>
    <row r="1079" spans="44:47">
      <c r="AR1079" s="689" t="s">
        <v>198</v>
      </c>
      <c r="AU1079" s="689" t="s">
        <v>232</v>
      </c>
    </row>
    <row r="1080" spans="44:47">
      <c r="AR1080" s="689" t="s">
        <v>198</v>
      </c>
      <c r="AU1080" s="689" t="s">
        <v>232</v>
      </c>
    </row>
    <row r="1081" spans="44:47">
      <c r="AR1081" s="689" t="s">
        <v>198</v>
      </c>
      <c r="AU1081" s="689" t="s">
        <v>232</v>
      </c>
    </row>
    <row r="1082" spans="44:47">
      <c r="AR1082" s="689" t="s">
        <v>198</v>
      </c>
      <c r="AU1082" s="689" t="s">
        <v>232</v>
      </c>
    </row>
    <row r="1083" spans="44:47">
      <c r="AR1083" s="689" t="s">
        <v>198</v>
      </c>
      <c r="AU1083" s="689" t="s">
        <v>232</v>
      </c>
    </row>
    <row r="1084" spans="44:47">
      <c r="AR1084" s="689" t="s">
        <v>198</v>
      </c>
      <c r="AU1084" s="689" t="s">
        <v>232</v>
      </c>
    </row>
    <row r="1085" spans="44:47">
      <c r="AR1085" s="689" t="s">
        <v>198</v>
      </c>
      <c r="AU1085" s="689" t="s">
        <v>232</v>
      </c>
    </row>
    <row r="1086" spans="44:47">
      <c r="AR1086" s="689" t="s">
        <v>198</v>
      </c>
      <c r="AU1086" s="689" t="s">
        <v>232</v>
      </c>
    </row>
    <row r="1087" spans="44:47">
      <c r="AR1087" s="689" t="s">
        <v>198</v>
      </c>
      <c r="AU1087" s="689" t="s">
        <v>232</v>
      </c>
    </row>
    <row r="1088" spans="44:47">
      <c r="AR1088" s="689" t="s">
        <v>1056</v>
      </c>
      <c r="AU1088" s="689" t="s">
        <v>232</v>
      </c>
    </row>
    <row r="1089" spans="44:47">
      <c r="AR1089" s="689" t="s">
        <v>198</v>
      </c>
      <c r="AU1089" s="689" t="s">
        <v>201</v>
      </c>
    </row>
    <row r="1090" spans="44:47">
      <c r="AR1090" s="689" t="s">
        <v>198</v>
      </c>
      <c r="AU1090" s="689" t="s">
        <v>201</v>
      </c>
    </row>
    <row r="1091" spans="44:47">
      <c r="AR1091" s="689" t="s">
        <v>198</v>
      </c>
      <c r="AU1091" s="689" t="s">
        <v>201</v>
      </c>
    </row>
    <row r="1092" spans="44:47">
      <c r="AR1092" s="689" t="s">
        <v>198</v>
      </c>
      <c r="AU1092" s="689" t="s">
        <v>201</v>
      </c>
    </row>
    <row r="1093" spans="44:47">
      <c r="AR1093" s="689" t="s">
        <v>198</v>
      </c>
      <c r="AU1093" s="689" t="s">
        <v>201</v>
      </c>
    </row>
    <row r="1094" spans="44:47">
      <c r="AR1094" s="689" t="s">
        <v>198</v>
      </c>
      <c r="AU1094" s="689" t="s">
        <v>232</v>
      </c>
    </row>
    <row r="1095" spans="44:47">
      <c r="AR1095" s="689" t="s">
        <v>198</v>
      </c>
      <c r="AU1095" s="689" t="s">
        <v>243</v>
      </c>
    </row>
    <row r="1096" spans="44:47">
      <c r="AR1096" s="689" t="s">
        <v>198</v>
      </c>
      <c r="AU1096" s="689" t="s">
        <v>243</v>
      </c>
    </row>
    <row r="1097" spans="44:47">
      <c r="AR1097" s="689" t="s">
        <v>198</v>
      </c>
      <c r="AU1097" s="689" t="s">
        <v>243</v>
      </c>
    </row>
    <row r="1098" spans="44:47">
      <c r="AR1098" s="689" t="s">
        <v>198</v>
      </c>
      <c r="AU1098" s="689" t="s">
        <v>243</v>
      </c>
    </row>
    <row r="1099" spans="44:47">
      <c r="AR1099" s="689" t="s">
        <v>198</v>
      </c>
      <c r="AU1099" s="689" t="s">
        <v>243</v>
      </c>
    </row>
    <row r="1100" spans="44:47">
      <c r="AR1100" s="689" t="s">
        <v>198</v>
      </c>
      <c r="AU1100" s="689" t="s">
        <v>243</v>
      </c>
    </row>
    <row r="1101" spans="44:47">
      <c r="AR1101" s="689" t="s">
        <v>198</v>
      </c>
      <c r="AU1101" s="689" t="s">
        <v>243</v>
      </c>
    </row>
    <row r="1102" spans="44:47">
      <c r="AR1102" s="689" t="s">
        <v>198</v>
      </c>
      <c r="AU1102" s="689" t="s">
        <v>243</v>
      </c>
    </row>
    <row r="1103" spans="44:47">
      <c r="AR1103" s="689" t="s">
        <v>198</v>
      </c>
      <c r="AU1103" s="689" t="s">
        <v>243</v>
      </c>
    </row>
    <row r="1104" spans="44:47">
      <c r="AR1104" s="689" t="s">
        <v>198</v>
      </c>
      <c r="AU1104" s="689" t="s">
        <v>243</v>
      </c>
    </row>
    <row r="1105" spans="44:47">
      <c r="AR1105" s="689" t="s">
        <v>198</v>
      </c>
      <c r="AU1105" s="689" t="s">
        <v>243</v>
      </c>
    </row>
    <row r="1106" spans="44:47">
      <c r="AR1106" s="689" t="s">
        <v>198</v>
      </c>
      <c r="AU1106" s="689" t="s">
        <v>243</v>
      </c>
    </row>
    <row r="1107" spans="44:47">
      <c r="AR1107" s="689" t="s">
        <v>198</v>
      </c>
      <c r="AU1107" s="689" t="s">
        <v>243</v>
      </c>
    </row>
    <row r="1108" spans="44:47">
      <c r="AR1108" s="689" t="s">
        <v>198</v>
      </c>
      <c r="AU1108" s="689" t="s">
        <v>235</v>
      </c>
    </row>
    <row r="1109" spans="44:47">
      <c r="AR1109" s="689" t="s">
        <v>198</v>
      </c>
      <c r="AU1109" s="689" t="s">
        <v>243</v>
      </c>
    </row>
    <row r="1110" spans="44:47">
      <c r="AR1110" s="689" t="s">
        <v>198</v>
      </c>
      <c r="AU1110" s="689" t="s">
        <v>243</v>
      </c>
    </row>
    <row r="1111" spans="44:47">
      <c r="AR1111" s="689" t="s">
        <v>198</v>
      </c>
      <c r="AU1111" s="689" t="s">
        <v>243</v>
      </c>
    </row>
    <row r="1112" spans="44:47">
      <c r="AR1112" s="689" t="s">
        <v>198</v>
      </c>
      <c r="AU1112" s="689" t="s">
        <v>243</v>
      </c>
    </row>
    <row r="1113" spans="44:47">
      <c r="AR1113" s="689" t="s">
        <v>198</v>
      </c>
      <c r="AU1113" s="689" t="s">
        <v>243</v>
      </c>
    </row>
    <row r="1114" spans="44:47">
      <c r="AR1114" s="689" t="s">
        <v>198</v>
      </c>
      <c r="AU1114" s="689" t="s">
        <v>243</v>
      </c>
    </row>
    <row r="1115" spans="44:47">
      <c r="AR1115" s="689" t="s">
        <v>198</v>
      </c>
      <c r="AU1115" s="689" t="s">
        <v>239</v>
      </c>
    </row>
    <row r="1116" spans="44:47">
      <c r="AR1116" s="689" t="s">
        <v>198</v>
      </c>
      <c r="AU1116" s="689" t="s">
        <v>243</v>
      </c>
    </row>
    <row r="1117" spans="44:47">
      <c r="AR1117" s="689" t="s">
        <v>198</v>
      </c>
      <c r="AU1117" s="689" t="s">
        <v>243</v>
      </c>
    </row>
    <row r="1118" spans="44:47">
      <c r="AR1118" s="689" t="s">
        <v>198</v>
      </c>
      <c r="AU1118" s="689" t="s">
        <v>243</v>
      </c>
    </row>
    <row r="1119" spans="44:47">
      <c r="AR1119" s="689" t="s">
        <v>198</v>
      </c>
      <c r="AU1119" s="689" t="s">
        <v>239</v>
      </c>
    </row>
    <row r="1120" spans="44:47">
      <c r="AR1120" s="689" t="s">
        <v>198</v>
      </c>
      <c r="AU1120" s="689" t="s">
        <v>243</v>
      </c>
    </row>
    <row r="1121" spans="44:47">
      <c r="AR1121" s="689" t="s">
        <v>198</v>
      </c>
      <c r="AU1121" s="689" t="s">
        <v>243</v>
      </c>
    </row>
    <row r="1122" spans="44:47">
      <c r="AR1122" s="689" t="s">
        <v>198</v>
      </c>
      <c r="AU1122" s="689" t="s">
        <v>243</v>
      </c>
    </row>
    <row r="1123" spans="44:47">
      <c r="AR1123" s="689" t="s">
        <v>198</v>
      </c>
      <c r="AU1123" s="689" t="s">
        <v>243</v>
      </c>
    </row>
    <row r="1124" spans="44:47">
      <c r="AR1124" s="689" t="s">
        <v>198</v>
      </c>
      <c r="AU1124" s="689" t="s">
        <v>243</v>
      </c>
    </row>
    <row r="1125" spans="44:47">
      <c r="AR1125" s="689" t="s">
        <v>198</v>
      </c>
      <c r="AU1125" s="689" t="s">
        <v>243</v>
      </c>
    </row>
    <row r="1126" spans="44:47">
      <c r="AR1126" s="689" t="s">
        <v>198</v>
      </c>
      <c r="AU1126" s="689" t="s">
        <v>243</v>
      </c>
    </row>
    <row r="1127" spans="44:47">
      <c r="AR1127" s="689" t="s">
        <v>198</v>
      </c>
      <c r="AU1127" s="689" t="s">
        <v>243</v>
      </c>
    </row>
    <row r="1128" spans="44:47">
      <c r="AR1128" s="689" t="s">
        <v>198</v>
      </c>
      <c r="AU1128" s="689" t="s">
        <v>243</v>
      </c>
    </row>
    <row r="1129" spans="44:47">
      <c r="AR1129" s="689" t="s">
        <v>198</v>
      </c>
      <c r="AU1129" s="689" t="s">
        <v>243</v>
      </c>
    </row>
    <row r="1130" spans="44:47">
      <c r="AR1130" s="689" t="s">
        <v>198</v>
      </c>
      <c r="AU1130" s="689" t="s">
        <v>243</v>
      </c>
    </row>
    <row r="1131" spans="44:47">
      <c r="AR1131" s="689" t="s">
        <v>198</v>
      </c>
      <c r="AU1131" s="689" t="s">
        <v>243</v>
      </c>
    </row>
    <row r="1132" spans="44:47">
      <c r="AR1132" s="689" t="s">
        <v>198</v>
      </c>
      <c r="AU1132" s="689" t="s">
        <v>243</v>
      </c>
    </row>
    <row r="1133" spans="44:47">
      <c r="AR1133" s="689" t="s">
        <v>198</v>
      </c>
      <c r="AU1133" s="689" t="s">
        <v>243</v>
      </c>
    </row>
    <row r="1134" spans="44:47">
      <c r="AR1134" s="689" t="s">
        <v>198</v>
      </c>
      <c r="AU1134" s="689" t="s">
        <v>239</v>
      </c>
    </row>
    <row r="1135" spans="44:47">
      <c r="AR1135" s="689" t="s">
        <v>198</v>
      </c>
      <c r="AU1135" s="689" t="s">
        <v>243</v>
      </c>
    </row>
    <row r="1136" spans="44:47">
      <c r="AR1136" s="689" t="s">
        <v>198</v>
      </c>
      <c r="AU1136" s="689" t="s">
        <v>243</v>
      </c>
    </row>
    <row r="1137" spans="44:47">
      <c r="AR1137" s="689" t="s">
        <v>198</v>
      </c>
      <c r="AU1137" s="689" t="s">
        <v>243</v>
      </c>
    </row>
    <row r="1138" spans="44:47">
      <c r="AR1138" s="689" t="s">
        <v>198</v>
      </c>
      <c r="AU1138" s="689" t="s">
        <v>243</v>
      </c>
    </row>
    <row r="1139" spans="44:47">
      <c r="AR1139" s="689" t="s">
        <v>198</v>
      </c>
      <c r="AU1139" s="689" t="s">
        <v>243</v>
      </c>
    </row>
    <row r="1140" spans="44:47">
      <c r="AR1140" s="689" t="s">
        <v>198</v>
      </c>
      <c r="AU1140" s="689" t="s">
        <v>243</v>
      </c>
    </row>
    <row r="1141" spans="44:47">
      <c r="AR1141" s="689" t="s">
        <v>198</v>
      </c>
      <c r="AU1141" s="689" t="s">
        <v>243</v>
      </c>
    </row>
    <row r="1142" spans="44:47">
      <c r="AR1142" s="689" t="s">
        <v>198</v>
      </c>
      <c r="AU1142" s="689" t="s">
        <v>243</v>
      </c>
    </row>
    <row r="1143" spans="44:47">
      <c r="AR1143" s="689" t="s">
        <v>198</v>
      </c>
      <c r="AU1143" s="689" t="s">
        <v>243</v>
      </c>
    </row>
    <row r="1144" spans="44:47">
      <c r="AR1144" s="689" t="s">
        <v>198</v>
      </c>
      <c r="AU1144" s="689" t="s">
        <v>243</v>
      </c>
    </row>
    <row r="1145" spans="44:47">
      <c r="AR1145" s="689" t="s">
        <v>198</v>
      </c>
      <c r="AU1145" s="689" t="s">
        <v>243</v>
      </c>
    </row>
    <row r="1146" spans="44:47">
      <c r="AR1146" s="689" t="s">
        <v>198</v>
      </c>
      <c r="AU1146" s="689" t="s">
        <v>243</v>
      </c>
    </row>
    <row r="1147" spans="44:47">
      <c r="AR1147" s="689" t="s">
        <v>198</v>
      </c>
      <c r="AU1147" s="689" t="s">
        <v>243</v>
      </c>
    </row>
    <row r="1148" spans="44:47">
      <c r="AR1148" s="689" t="s">
        <v>198</v>
      </c>
      <c r="AU1148" s="689" t="s">
        <v>243</v>
      </c>
    </row>
    <row r="1149" spans="44:47">
      <c r="AR1149" s="689" t="s">
        <v>198</v>
      </c>
      <c r="AU1149" s="689" t="s">
        <v>243</v>
      </c>
    </row>
    <row r="1150" spans="44:47">
      <c r="AR1150" s="689" t="s">
        <v>198</v>
      </c>
      <c r="AU1150" s="689" t="s">
        <v>244</v>
      </c>
    </row>
    <row r="1151" spans="44:47">
      <c r="AR1151" s="689" t="s">
        <v>198</v>
      </c>
      <c r="AU1151" s="689" t="s">
        <v>243</v>
      </c>
    </row>
    <row r="1152" spans="44:47">
      <c r="AR1152" s="689" t="s">
        <v>198</v>
      </c>
      <c r="AU1152" s="689" t="s">
        <v>243</v>
      </c>
    </row>
    <row r="1153" spans="44:47">
      <c r="AR1153" s="689" t="s">
        <v>198</v>
      </c>
      <c r="AU1153" s="689" t="s">
        <v>243</v>
      </c>
    </row>
    <row r="1154" spans="44:47">
      <c r="AR1154" s="689" t="s">
        <v>198</v>
      </c>
      <c r="AU1154" s="689" t="s">
        <v>243</v>
      </c>
    </row>
    <row r="1155" spans="44:47">
      <c r="AR1155" s="689" t="s">
        <v>198</v>
      </c>
      <c r="AU1155" s="689" t="s">
        <v>243</v>
      </c>
    </row>
    <row r="1156" spans="44:47">
      <c r="AR1156" s="689" t="s">
        <v>198</v>
      </c>
      <c r="AU1156" s="689" t="s">
        <v>243</v>
      </c>
    </row>
    <row r="1157" spans="44:47">
      <c r="AR1157" s="689" t="s">
        <v>198</v>
      </c>
      <c r="AU1157" s="689" t="s">
        <v>243</v>
      </c>
    </row>
    <row r="1158" spans="44:47">
      <c r="AR1158" s="689" t="s">
        <v>198</v>
      </c>
      <c r="AU1158" s="689" t="s">
        <v>243</v>
      </c>
    </row>
    <row r="1159" spans="44:47">
      <c r="AR1159" s="689" t="s">
        <v>198</v>
      </c>
      <c r="AU1159" s="689" t="s">
        <v>239</v>
      </c>
    </row>
    <row r="1160" spans="44:47">
      <c r="AR1160" s="689" t="s">
        <v>198</v>
      </c>
      <c r="AU1160" s="689" t="s">
        <v>243</v>
      </c>
    </row>
    <row r="1161" spans="44:47">
      <c r="AR1161" s="689" t="s">
        <v>198</v>
      </c>
      <c r="AU1161" s="689" t="s">
        <v>239</v>
      </c>
    </row>
    <row r="1162" spans="44:47">
      <c r="AR1162" s="689" t="s">
        <v>198</v>
      </c>
      <c r="AU1162" s="689" t="s">
        <v>243</v>
      </c>
    </row>
    <row r="1163" spans="44:47">
      <c r="AR1163" s="689" t="s">
        <v>198</v>
      </c>
      <c r="AU1163" s="689" t="s">
        <v>243</v>
      </c>
    </row>
    <row r="1164" spans="44:47">
      <c r="AR1164" s="689" t="s">
        <v>198</v>
      </c>
      <c r="AU1164" s="689" t="s">
        <v>243</v>
      </c>
    </row>
    <row r="1165" spans="44:47">
      <c r="AR1165" s="689" t="s">
        <v>198</v>
      </c>
      <c r="AU1165" s="689" t="s">
        <v>243</v>
      </c>
    </row>
    <row r="1166" spans="44:47">
      <c r="AR1166" s="689" t="s">
        <v>198</v>
      </c>
      <c r="AU1166" s="689" t="s">
        <v>243</v>
      </c>
    </row>
    <row r="1167" spans="44:47">
      <c r="AR1167" s="689" t="s">
        <v>198</v>
      </c>
      <c r="AU1167" s="689" t="s">
        <v>243</v>
      </c>
    </row>
    <row r="1168" spans="44:47">
      <c r="AR1168" s="689" t="s">
        <v>198</v>
      </c>
      <c r="AU1168" s="689" t="s">
        <v>243</v>
      </c>
    </row>
    <row r="1169" spans="44:47">
      <c r="AR1169" s="689" t="s">
        <v>198</v>
      </c>
      <c r="AU1169" s="689" t="s">
        <v>243</v>
      </c>
    </row>
    <row r="1170" spans="44:47">
      <c r="AR1170" s="689" t="s">
        <v>198</v>
      </c>
      <c r="AU1170" s="689" t="s">
        <v>243</v>
      </c>
    </row>
    <row r="1171" spans="44:47">
      <c r="AR1171" s="689" t="s">
        <v>198</v>
      </c>
      <c r="AU1171" s="689" t="s">
        <v>243</v>
      </c>
    </row>
    <row r="1172" spans="44:47">
      <c r="AR1172" s="689" t="s">
        <v>198</v>
      </c>
      <c r="AU1172" s="689" t="s">
        <v>243</v>
      </c>
    </row>
    <row r="1173" spans="44:47">
      <c r="AR1173" s="689" t="s">
        <v>198</v>
      </c>
      <c r="AU1173" s="689" t="s">
        <v>243</v>
      </c>
    </row>
    <row r="1174" spans="44:47">
      <c r="AR1174" s="689" t="s">
        <v>198</v>
      </c>
      <c r="AU1174" s="689" t="s">
        <v>243</v>
      </c>
    </row>
    <row r="1175" spans="44:47">
      <c r="AR1175" s="689" t="s">
        <v>198</v>
      </c>
      <c r="AU1175" s="689" t="s">
        <v>243</v>
      </c>
    </row>
    <row r="1176" spans="44:47">
      <c r="AR1176" s="689" t="s">
        <v>222</v>
      </c>
      <c r="AU1176" s="689" t="s">
        <v>243</v>
      </c>
    </row>
    <row r="1177" spans="44:47">
      <c r="AR1177" s="689" t="s">
        <v>198</v>
      </c>
      <c r="AU1177" s="689" t="s">
        <v>243</v>
      </c>
    </row>
    <row r="1178" spans="44:47">
      <c r="AR1178" s="689" t="s">
        <v>198</v>
      </c>
      <c r="AU1178" s="689" t="s">
        <v>235</v>
      </c>
    </row>
    <row r="1179" spans="44:47">
      <c r="AR1179" s="689" t="s">
        <v>222</v>
      </c>
      <c r="AU1179" s="689" t="s">
        <v>235</v>
      </c>
    </row>
    <row r="1180" spans="44:47">
      <c r="AR1180" s="689" t="s">
        <v>1057</v>
      </c>
      <c r="AU1180" s="689" t="s">
        <v>235</v>
      </c>
    </row>
    <row r="1181" spans="44:47">
      <c r="AR1181" s="689" t="s">
        <v>198</v>
      </c>
      <c r="AU1181" s="689" t="s">
        <v>243</v>
      </c>
    </row>
    <row r="1182" spans="44:47">
      <c r="AR1182" s="689" t="s">
        <v>198</v>
      </c>
      <c r="AU1182" s="689" t="s">
        <v>235</v>
      </c>
    </row>
    <row r="1183" spans="44:47">
      <c r="AR1183" s="689" t="s">
        <v>198</v>
      </c>
      <c r="AU1183" s="689" t="s">
        <v>235</v>
      </c>
    </row>
    <row r="1184" spans="44:47">
      <c r="AR1184" s="689" t="s">
        <v>198</v>
      </c>
      <c r="AU1184" s="689" t="s">
        <v>243</v>
      </c>
    </row>
    <row r="1185" spans="44:47">
      <c r="AR1185" s="689" t="s">
        <v>198</v>
      </c>
      <c r="AU1185" s="689" t="s">
        <v>235</v>
      </c>
    </row>
    <row r="1186" spans="44:47">
      <c r="AR1186" s="689" t="s">
        <v>198</v>
      </c>
      <c r="AU1186" s="689" t="s">
        <v>239</v>
      </c>
    </row>
    <row r="1187" spans="44:47">
      <c r="AR1187" s="689" t="s">
        <v>198</v>
      </c>
      <c r="AU1187" s="689" t="s">
        <v>239</v>
      </c>
    </row>
    <row r="1188" spans="44:47">
      <c r="AR1188" s="689" t="s">
        <v>198</v>
      </c>
      <c r="AU1188" s="689" t="s">
        <v>239</v>
      </c>
    </row>
    <row r="1189" spans="44:47">
      <c r="AR1189" s="689" t="s">
        <v>198</v>
      </c>
      <c r="AU1189" s="689" t="s">
        <v>243</v>
      </c>
    </row>
    <row r="1190" spans="44:47">
      <c r="AR1190" s="689" t="s">
        <v>198</v>
      </c>
      <c r="AU1190" s="689" t="s">
        <v>244</v>
      </c>
    </row>
    <row r="1191" spans="44:47">
      <c r="AR1191" s="689" t="s">
        <v>198</v>
      </c>
      <c r="AU1191" s="689" t="s">
        <v>244</v>
      </c>
    </row>
    <row r="1192" spans="44:47">
      <c r="AR1192" s="689" t="s">
        <v>198</v>
      </c>
      <c r="AU1192" s="689" t="s">
        <v>243</v>
      </c>
    </row>
    <row r="1193" spans="44:47">
      <c r="AR1193" s="689" t="s">
        <v>198</v>
      </c>
      <c r="AU1193" s="689" t="s">
        <v>235</v>
      </c>
    </row>
    <row r="1194" spans="44:47">
      <c r="AR1194" s="689" t="s">
        <v>198</v>
      </c>
      <c r="AU1194" s="689" t="s">
        <v>201</v>
      </c>
    </row>
    <row r="1195" spans="44:47">
      <c r="AR1195" s="689" t="s">
        <v>198</v>
      </c>
      <c r="AU1195" s="689" t="s">
        <v>201</v>
      </c>
    </row>
    <row r="1196" spans="44:47">
      <c r="AR1196" s="689" t="s">
        <v>198</v>
      </c>
      <c r="AU1196" s="689" t="s">
        <v>201</v>
      </c>
    </row>
    <row r="1197" spans="44:47">
      <c r="AR1197" s="689" t="s">
        <v>198</v>
      </c>
      <c r="AU1197" s="689" t="s">
        <v>201</v>
      </c>
    </row>
    <row r="1198" spans="44:47">
      <c r="AR1198" s="689" t="s">
        <v>198</v>
      </c>
      <c r="AU1198" s="689" t="s">
        <v>201</v>
      </c>
    </row>
    <row r="1199" spans="44:47">
      <c r="AR1199" s="689" t="s">
        <v>198</v>
      </c>
      <c r="AU1199" s="689" t="s">
        <v>201</v>
      </c>
    </row>
    <row r="1200" spans="44:47">
      <c r="AR1200" s="689" t="s">
        <v>198</v>
      </c>
      <c r="AU1200" s="689" t="s">
        <v>201</v>
      </c>
    </row>
    <row r="1201" spans="44:47">
      <c r="AR1201" s="689" t="s">
        <v>198</v>
      </c>
      <c r="AU1201" s="689" t="s">
        <v>201</v>
      </c>
    </row>
    <row r="1202" spans="44:47">
      <c r="AR1202" s="689" t="s">
        <v>198</v>
      </c>
      <c r="AU1202" s="689" t="s">
        <v>201</v>
      </c>
    </row>
    <row r="1203" spans="44:47">
      <c r="AR1203" s="689" t="s">
        <v>198</v>
      </c>
      <c r="AU1203" s="689" t="s">
        <v>201</v>
      </c>
    </row>
    <row r="1204" spans="44:47">
      <c r="AR1204" s="689" t="s">
        <v>198</v>
      </c>
      <c r="AU1204" s="689" t="s">
        <v>201</v>
      </c>
    </row>
    <row r="1205" spans="44:47">
      <c r="AR1205" s="689" t="s">
        <v>198</v>
      </c>
      <c r="AU1205" s="689" t="s">
        <v>201</v>
      </c>
    </row>
    <row r="1206" spans="44:47">
      <c r="AR1206" s="689" t="s">
        <v>198</v>
      </c>
      <c r="AU1206" s="689" t="s">
        <v>201</v>
      </c>
    </row>
    <row r="1207" spans="44:47">
      <c r="AR1207" s="689" t="s">
        <v>198</v>
      </c>
      <c r="AU1207" s="689" t="s">
        <v>201</v>
      </c>
    </row>
    <row r="1208" spans="44:47">
      <c r="AR1208" s="689" t="s">
        <v>198</v>
      </c>
      <c r="AU1208" s="689" t="s">
        <v>201</v>
      </c>
    </row>
    <row r="1209" spans="44:47">
      <c r="AR1209" s="689" t="s">
        <v>198</v>
      </c>
      <c r="AU1209" s="689" t="s">
        <v>201</v>
      </c>
    </row>
    <row r="1210" spans="44:47">
      <c r="AR1210" s="689" t="s">
        <v>198</v>
      </c>
      <c r="AU1210" s="689" t="s">
        <v>201</v>
      </c>
    </row>
    <row r="1211" spans="44:47">
      <c r="AR1211" s="689" t="s">
        <v>198</v>
      </c>
      <c r="AU1211" s="689" t="s">
        <v>201</v>
      </c>
    </row>
    <row r="1212" spans="44:47">
      <c r="AR1212" s="689" t="s">
        <v>198</v>
      </c>
      <c r="AU1212" s="689" t="s">
        <v>201</v>
      </c>
    </row>
    <row r="1213" spans="44:47">
      <c r="AR1213" s="689" t="s">
        <v>198</v>
      </c>
      <c r="AU1213" s="689" t="s">
        <v>201</v>
      </c>
    </row>
    <row r="1214" spans="44:47">
      <c r="AR1214" s="689" t="s">
        <v>198</v>
      </c>
      <c r="AU1214" s="689" t="s">
        <v>201</v>
      </c>
    </row>
    <row r="1215" spans="44:47">
      <c r="AR1215" s="689" t="s">
        <v>198</v>
      </c>
      <c r="AU1215" s="689" t="s">
        <v>201</v>
      </c>
    </row>
    <row r="1216" spans="44:47">
      <c r="AR1216" s="689" t="s">
        <v>198</v>
      </c>
      <c r="AU1216" s="689" t="s">
        <v>201</v>
      </c>
    </row>
    <row r="1217" spans="44:47">
      <c r="AR1217" s="689" t="s">
        <v>198</v>
      </c>
      <c r="AU1217" s="689" t="s">
        <v>201</v>
      </c>
    </row>
    <row r="1218" spans="44:47">
      <c r="AR1218" s="689" t="s">
        <v>198</v>
      </c>
      <c r="AU1218" s="689" t="s">
        <v>201</v>
      </c>
    </row>
    <row r="1219" spans="44:47">
      <c r="AR1219" s="689" t="s">
        <v>198</v>
      </c>
      <c r="AU1219" s="689" t="s">
        <v>201</v>
      </c>
    </row>
    <row r="1220" spans="44:47">
      <c r="AR1220" s="689" t="s">
        <v>198</v>
      </c>
      <c r="AU1220" s="689" t="s">
        <v>201</v>
      </c>
    </row>
    <row r="1221" spans="44:47">
      <c r="AR1221" s="689" t="s">
        <v>198</v>
      </c>
      <c r="AU1221" s="689" t="s">
        <v>201</v>
      </c>
    </row>
    <row r="1222" spans="44:47">
      <c r="AR1222" s="689" t="s">
        <v>198</v>
      </c>
      <c r="AU1222" s="689" t="s">
        <v>201</v>
      </c>
    </row>
    <row r="1223" spans="44:47">
      <c r="AR1223" s="689" t="s">
        <v>198</v>
      </c>
      <c r="AU1223" s="689" t="s">
        <v>201</v>
      </c>
    </row>
    <row r="1224" spans="44:47">
      <c r="AR1224" s="689" t="s">
        <v>198</v>
      </c>
      <c r="AU1224" s="689" t="s">
        <v>201</v>
      </c>
    </row>
    <row r="1225" spans="44:47">
      <c r="AR1225" s="689" t="s">
        <v>198</v>
      </c>
      <c r="AU1225" s="689" t="s">
        <v>201</v>
      </c>
    </row>
    <row r="1226" spans="44:47">
      <c r="AR1226" s="689" t="s">
        <v>198</v>
      </c>
      <c r="AU1226" s="689" t="s">
        <v>201</v>
      </c>
    </row>
    <row r="1227" spans="44:47">
      <c r="AR1227" s="689" t="s">
        <v>198</v>
      </c>
      <c r="AU1227" s="689" t="s">
        <v>201</v>
      </c>
    </row>
    <row r="1228" spans="44:47">
      <c r="AR1228" s="689" t="s">
        <v>198</v>
      </c>
      <c r="AU1228" s="689" t="s">
        <v>201</v>
      </c>
    </row>
    <row r="1229" spans="44:47">
      <c r="AR1229" s="689" t="s">
        <v>198</v>
      </c>
      <c r="AU1229" s="689" t="s">
        <v>201</v>
      </c>
    </row>
    <row r="1230" spans="44:47">
      <c r="AR1230" s="689" t="s">
        <v>198</v>
      </c>
      <c r="AU1230" s="689" t="s">
        <v>201</v>
      </c>
    </row>
    <row r="1231" spans="44:47">
      <c r="AR1231" s="689" t="s">
        <v>198</v>
      </c>
      <c r="AU1231" s="689" t="s">
        <v>201</v>
      </c>
    </row>
    <row r="1232" spans="44:47">
      <c r="AR1232" s="689" t="s">
        <v>198</v>
      </c>
      <c r="AU1232" s="689" t="s">
        <v>201</v>
      </c>
    </row>
    <row r="1233" spans="44:47">
      <c r="AR1233" s="689" t="s">
        <v>198</v>
      </c>
      <c r="AU1233" s="689" t="s">
        <v>201</v>
      </c>
    </row>
    <row r="1234" spans="44:47">
      <c r="AR1234" s="689" t="s">
        <v>198</v>
      </c>
      <c r="AU1234" s="689" t="s">
        <v>201</v>
      </c>
    </row>
    <row r="1235" spans="44:47">
      <c r="AR1235" s="689" t="s">
        <v>198</v>
      </c>
      <c r="AU1235" s="689" t="s">
        <v>201</v>
      </c>
    </row>
    <row r="1236" spans="44:47">
      <c r="AR1236" s="689" t="s">
        <v>198</v>
      </c>
      <c r="AU1236" s="689" t="s">
        <v>201</v>
      </c>
    </row>
    <row r="1237" spans="44:47">
      <c r="AR1237" s="689" t="s">
        <v>198</v>
      </c>
      <c r="AU1237" s="689" t="s">
        <v>201</v>
      </c>
    </row>
    <row r="1238" spans="44:47">
      <c r="AR1238" s="689" t="s">
        <v>198</v>
      </c>
      <c r="AU1238" s="689" t="s">
        <v>201</v>
      </c>
    </row>
    <row r="1239" spans="44:47">
      <c r="AR1239" s="689" t="s">
        <v>198</v>
      </c>
      <c r="AU1239" s="689" t="s">
        <v>201</v>
      </c>
    </row>
    <row r="1240" spans="44:47">
      <c r="AR1240" s="689" t="s">
        <v>198</v>
      </c>
      <c r="AU1240" s="689" t="s">
        <v>201</v>
      </c>
    </row>
    <row r="1241" spans="44:47">
      <c r="AR1241" s="689" t="s">
        <v>198</v>
      </c>
      <c r="AU1241" s="689" t="s">
        <v>201</v>
      </c>
    </row>
    <row r="1242" spans="44:47">
      <c r="AR1242" s="689" t="s">
        <v>198</v>
      </c>
      <c r="AU1242" s="689" t="s">
        <v>201</v>
      </c>
    </row>
    <row r="1243" spans="44:47">
      <c r="AR1243" s="689" t="s">
        <v>198</v>
      </c>
      <c r="AU1243" s="689" t="s">
        <v>201</v>
      </c>
    </row>
    <row r="1244" spans="44:47">
      <c r="AR1244" s="689" t="s">
        <v>198</v>
      </c>
      <c r="AU1244" s="689" t="s">
        <v>201</v>
      </c>
    </row>
    <row r="1245" spans="44:47">
      <c r="AR1245" s="689" t="s">
        <v>198</v>
      </c>
      <c r="AU1245" s="689" t="s">
        <v>201</v>
      </c>
    </row>
    <row r="1246" spans="44:47">
      <c r="AR1246" s="689" t="s">
        <v>198</v>
      </c>
      <c r="AU1246" s="689" t="s">
        <v>201</v>
      </c>
    </row>
    <row r="1247" spans="44:47">
      <c r="AR1247" s="689" t="s">
        <v>198</v>
      </c>
      <c r="AU1247" s="689" t="s">
        <v>201</v>
      </c>
    </row>
    <row r="1248" spans="44:47">
      <c r="AR1248" s="689" t="s">
        <v>198</v>
      </c>
      <c r="AU1248" s="689" t="s">
        <v>201</v>
      </c>
    </row>
    <row r="1249" spans="44:47">
      <c r="AR1249" s="689" t="s">
        <v>198</v>
      </c>
      <c r="AU1249" s="689" t="s">
        <v>201</v>
      </c>
    </row>
    <row r="1250" spans="44:47">
      <c r="AR1250" s="689" t="s">
        <v>198</v>
      </c>
      <c r="AU1250" s="689" t="s">
        <v>228</v>
      </c>
    </row>
    <row r="1251" spans="44:47">
      <c r="AR1251" s="689" t="s">
        <v>198</v>
      </c>
      <c r="AU1251" s="689" t="s">
        <v>228</v>
      </c>
    </row>
    <row r="1252" spans="44:47">
      <c r="AR1252" s="689" t="s">
        <v>198</v>
      </c>
      <c r="AU1252" s="689" t="s">
        <v>228</v>
      </c>
    </row>
    <row r="1253" spans="44:47">
      <c r="AR1253" s="689" t="s">
        <v>198</v>
      </c>
      <c r="AU1253" s="689" t="s">
        <v>228</v>
      </c>
    </row>
    <row r="1254" spans="44:47">
      <c r="AR1254" s="689" t="s">
        <v>198</v>
      </c>
      <c r="AU1254" s="689" t="s">
        <v>228</v>
      </c>
    </row>
    <row r="1255" spans="44:47">
      <c r="AR1255" s="689" t="s">
        <v>198</v>
      </c>
      <c r="AU1255" s="689" t="s">
        <v>228</v>
      </c>
    </row>
    <row r="1256" spans="44:47">
      <c r="AR1256" s="689" t="s">
        <v>198</v>
      </c>
      <c r="AU1256" s="689" t="s">
        <v>228</v>
      </c>
    </row>
    <row r="1257" spans="44:47">
      <c r="AR1257" s="689" t="s">
        <v>198</v>
      </c>
      <c r="AU1257" s="689" t="s">
        <v>228</v>
      </c>
    </row>
    <row r="1258" spans="44:47">
      <c r="AR1258" s="689" t="s">
        <v>198</v>
      </c>
      <c r="AU1258" s="689" t="s">
        <v>228</v>
      </c>
    </row>
    <row r="1259" spans="44:47">
      <c r="AR1259" s="689" t="s">
        <v>198</v>
      </c>
      <c r="AU1259" s="689" t="s">
        <v>228</v>
      </c>
    </row>
    <row r="1260" spans="44:47">
      <c r="AR1260" s="689" t="s">
        <v>198</v>
      </c>
      <c r="AU1260" s="689" t="s">
        <v>228</v>
      </c>
    </row>
    <row r="1261" spans="44:47">
      <c r="AR1261" s="689" t="s">
        <v>198</v>
      </c>
      <c r="AU1261" s="689" t="s">
        <v>228</v>
      </c>
    </row>
    <row r="1262" spans="44:47">
      <c r="AR1262" s="689" t="s">
        <v>198</v>
      </c>
      <c r="AU1262" s="689" t="s">
        <v>228</v>
      </c>
    </row>
    <row r="1263" spans="44:47">
      <c r="AR1263" s="689" t="s">
        <v>198</v>
      </c>
      <c r="AU1263" s="689" t="s">
        <v>228</v>
      </c>
    </row>
    <row r="1264" spans="44:47">
      <c r="AR1264" s="689" t="s">
        <v>198</v>
      </c>
      <c r="AU1264" s="689" t="s">
        <v>228</v>
      </c>
    </row>
    <row r="1265" spans="44:47">
      <c r="AR1265" s="689" t="s">
        <v>198</v>
      </c>
      <c r="AU1265" s="689" t="s">
        <v>228</v>
      </c>
    </row>
    <row r="1266" spans="44:47">
      <c r="AR1266" s="689" t="s">
        <v>198</v>
      </c>
      <c r="AU1266" s="689" t="s">
        <v>228</v>
      </c>
    </row>
    <row r="1267" spans="44:47">
      <c r="AR1267" s="689" t="s">
        <v>198</v>
      </c>
      <c r="AU1267" s="689" t="s">
        <v>228</v>
      </c>
    </row>
    <row r="1268" spans="44:47">
      <c r="AR1268" s="689" t="s">
        <v>198</v>
      </c>
      <c r="AU1268" s="689" t="s">
        <v>228</v>
      </c>
    </row>
    <row r="1269" spans="44:47">
      <c r="AR1269" s="689" t="s">
        <v>198</v>
      </c>
      <c r="AU1269" s="689" t="s">
        <v>228</v>
      </c>
    </row>
    <row r="1270" spans="44:47">
      <c r="AR1270" s="689" t="s">
        <v>198</v>
      </c>
      <c r="AU1270" s="689" t="s">
        <v>228</v>
      </c>
    </row>
    <row r="1271" spans="44:47">
      <c r="AR1271" s="689" t="s">
        <v>198</v>
      </c>
      <c r="AU1271" s="689" t="s">
        <v>228</v>
      </c>
    </row>
    <row r="1272" spans="44:47">
      <c r="AR1272" s="689" t="s">
        <v>198</v>
      </c>
      <c r="AU1272" s="689" t="s">
        <v>228</v>
      </c>
    </row>
    <row r="1273" spans="44:47">
      <c r="AR1273" s="689" t="s">
        <v>198</v>
      </c>
      <c r="AU1273" s="689" t="s">
        <v>228</v>
      </c>
    </row>
    <row r="1274" spans="44:47">
      <c r="AR1274" s="689" t="s">
        <v>198</v>
      </c>
      <c r="AU1274" s="689" t="s">
        <v>228</v>
      </c>
    </row>
    <row r="1275" spans="44:47">
      <c r="AR1275" s="689" t="s">
        <v>198</v>
      </c>
      <c r="AU1275" s="689" t="s">
        <v>228</v>
      </c>
    </row>
    <row r="1276" spans="44:47">
      <c r="AR1276" s="689" t="s">
        <v>198</v>
      </c>
      <c r="AU1276" s="689" t="s">
        <v>228</v>
      </c>
    </row>
    <row r="1277" spans="44:47">
      <c r="AR1277" s="689" t="s">
        <v>198</v>
      </c>
      <c r="AU1277" s="689" t="s">
        <v>228</v>
      </c>
    </row>
    <row r="1278" spans="44:47">
      <c r="AR1278" s="689" t="s">
        <v>198</v>
      </c>
      <c r="AU1278" s="689" t="s">
        <v>228</v>
      </c>
    </row>
    <row r="1279" spans="44:47">
      <c r="AR1279" s="689" t="s">
        <v>198</v>
      </c>
      <c r="AU1279" s="689" t="s">
        <v>228</v>
      </c>
    </row>
    <row r="1280" spans="44:47">
      <c r="AR1280" s="689" t="s">
        <v>198</v>
      </c>
      <c r="AU1280" s="689" t="s">
        <v>228</v>
      </c>
    </row>
    <row r="1281" spans="44:47">
      <c r="AR1281" s="689" t="s">
        <v>198</v>
      </c>
      <c r="AU1281" s="689" t="s">
        <v>228</v>
      </c>
    </row>
    <row r="1282" spans="44:47">
      <c r="AR1282" s="689" t="s">
        <v>198</v>
      </c>
      <c r="AU1282" s="689" t="s">
        <v>228</v>
      </c>
    </row>
    <row r="1283" spans="44:47">
      <c r="AR1283" s="689" t="s">
        <v>198</v>
      </c>
      <c r="AU1283" s="689" t="s">
        <v>228</v>
      </c>
    </row>
    <row r="1284" spans="44:47">
      <c r="AR1284" s="689" t="s">
        <v>198</v>
      </c>
      <c r="AU1284" s="689" t="s">
        <v>228</v>
      </c>
    </row>
    <row r="1285" spans="44:47">
      <c r="AR1285" s="689" t="s">
        <v>198</v>
      </c>
      <c r="AU1285" s="689" t="s">
        <v>228</v>
      </c>
    </row>
    <row r="1286" spans="44:47">
      <c r="AR1286" s="689" t="s">
        <v>198</v>
      </c>
      <c r="AU1286" s="689" t="s">
        <v>228</v>
      </c>
    </row>
    <row r="1287" spans="44:47">
      <c r="AR1287" s="689" t="s">
        <v>198</v>
      </c>
      <c r="AU1287" s="689" t="s">
        <v>228</v>
      </c>
    </row>
    <row r="1288" spans="44:47">
      <c r="AR1288" s="689" t="s">
        <v>198</v>
      </c>
      <c r="AU1288" s="689" t="s">
        <v>228</v>
      </c>
    </row>
    <row r="1289" spans="44:47">
      <c r="AR1289" s="689" t="s">
        <v>198</v>
      </c>
      <c r="AU1289" s="689" t="s">
        <v>422</v>
      </c>
    </row>
    <row r="1290" spans="44:47">
      <c r="AR1290" s="689" t="s">
        <v>198</v>
      </c>
      <c r="AU1290" s="689" t="s">
        <v>422</v>
      </c>
    </row>
    <row r="1291" spans="44:47">
      <c r="AR1291" s="689" t="s">
        <v>198</v>
      </c>
      <c r="AU1291" s="689" t="s">
        <v>422</v>
      </c>
    </row>
    <row r="1292" spans="44:47">
      <c r="AR1292" s="689" t="s">
        <v>198</v>
      </c>
      <c r="AU1292" s="689" t="s">
        <v>422</v>
      </c>
    </row>
    <row r="1293" spans="44:47">
      <c r="AR1293" s="689" t="s">
        <v>198</v>
      </c>
      <c r="AU1293" s="689" t="s">
        <v>422</v>
      </c>
    </row>
    <row r="1294" spans="44:47">
      <c r="AR1294" s="689" t="s">
        <v>198</v>
      </c>
      <c r="AU1294" s="689" t="s">
        <v>422</v>
      </c>
    </row>
    <row r="1295" spans="44:47">
      <c r="AR1295" s="689" t="s">
        <v>198</v>
      </c>
      <c r="AU1295" s="689" t="s">
        <v>422</v>
      </c>
    </row>
    <row r="1296" spans="44:47">
      <c r="AR1296" s="689" t="s">
        <v>1058</v>
      </c>
      <c r="AU1296" s="689" t="s">
        <v>422</v>
      </c>
    </row>
    <row r="1297" spans="44:47">
      <c r="AR1297" s="689" t="s">
        <v>1056</v>
      </c>
      <c r="AU1297" s="689" t="s">
        <v>422</v>
      </c>
    </row>
    <row r="1298" spans="44:47">
      <c r="AR1298" s="689" t="s">
        <v>1059</v>
      </c>
      <c r="AU1298" s="689" t="s">
        <v>422</v>
      </c>
    </row>
    <row r="1299" spans="44:47">
      <c r="AR1299" s="689" t="s">
        <v>1060</v>
      </c>
      <c r="AU1299" s="689" t="s">
        <v>422</v>
      </c>
    </row>
    <row r="1300" spans="44:47">
      <c r="AR1300" s="689" t="s">
        <v>218</v>
      </c>
      <c r="AU1300" s="689" t="s">
        <v>422</v>
      </c>
    </row>
    <row r="1301" spans="44:47">
      <c r="AR1301" s="689" t="s">
        <v>1061</v>
      </c>
      <c r="AU1301" s="689" t="s">
        <v>422</v>
      </c>
    </row>
    <row r="1302" spans="44:47">
      <c r="AR1302" s="689" t="s">
        <v>1061</v>
      </c>
      <c r="AU1302" s="689" t="s">
        <v>422</v>
      </c>
    </row>
    <row r="1303" spans="44:47">
      <c r="AR1303" s="689" t="s">
        <v>198</v>
      </c>
      <c r="AU1303" s="689" t="s">
        <v>422</v>
      </c>
    </row>
    <row r="1304" spans="44:47">
      <c r="AR1304" s="689" t="s">
        <v>198</v>
      </c>
      <c r="AU1304" s="689" t="s">
        <v>422</v>
      </c>
    </row>
    <row r="1305" spans="44:47">
      <c r="AR1305" s="689" t="s">
        <v>198</v>
      </c>
      <c r="AU1305" s="689" t="s">
        <v>422</v>
      </c>
    </row>
    <row r="1306" spans="44:47">
      <c r="AR1306" s="689" t="s">
        <v>198</v>
      </c>
      <c r="AU1306" s="689" t="s">
        <v>422</v>
      </c>
    </row>
    <row r="1307" spans="44:47">
      <c r="AR1307" s="689" t="s">
        <v>198</v>
      </c>
      <c r="AU1307" s="689" t="s">
        <v>422</v>
      </c>
    </row>
    <row r="1308" spans="44:47">
      <c r="AR1308" s="689" t="s">
        <v>198</v>
      </c>
      <c r="AU1308" s="689" t="s">
        <v>422</v>
      </c>
    </row>
    <row r="1309" spans="44:47">
      <c r="AR1309" s="689" t="s">
        <v>198</v>
      </c>
      <c r="AU1309" s="689" t="s">
        <v>422</v>
      </c>
    </row>
    <row r="1311" spans="44:47">
      <c r="AR1311" s="689" t="s">
        <v>198</v>
      </c>
      <c r="AU1311" s="689" t="s">
        <v>422</v>
      </c>
    </row>
    <row r="1312" spans="44:47">
      <c r="AR1312" s="689" t="s">
        <v>198</v>
      </c>
      <c r="AU1312" s="689" t="s">
        <v>422</v>
      </c>
    </row>
    <row r="1313" spans="44:47">
      <c r="AR1313" s="689" t="s">
        <v>198</v>
      </c>
      <c r="AU1313" s="689" t="s">
        <v>422</v>
      </c>
    </row>
    <row r="1314" spans="44:47">
      <c r="AR1314" s="689" t="s">
        <v>198</v>
      </c>
      <c r="AU1314" s="689" t="s">
        <v>225</v>
      </c>
    </row>
    <row r="1315" spans="44:47">
      <c r="AR1315" s="689" t="s">
        <v>198</v>
      </c>
      <c r="AU1315" s="689" t="s">
        <v>422</v>
      </c>
    </row>
    <row r="1316" spans="44:47">
      <c r="AR1316" s="689" t="s">
        <v>198</v>
      </c>
      <c r="AU1316" s="689" t="s">
        <v>422</v>
      </c>
    </row>
    <row r="1317" spans="44:47">
      <c r="AR1317" s="689" t="s">
        <v>198</v>
      </c>
      <c r="AU1317" s="689" t="s">
        <v>422</v>
      </c>
    </row>
    <row r="1318" spans="44:47">
      <c r="AR1318" s="689" t="s">
        <v>198</v>
      </c>
      <c r="AU1318" s="689" t="s">
        <v>422</v>
      </c>
    </row>
    <row r="1319" spans="44:47">
      <c r="AR1319" s="689" t="s">
        <v>198</v>
      </c>
      <c r="AU1319" s="689" t="s">
        <v>422</v>
      </c>
    </row>
    <row r="1320" spans="44:47">
      <c r="AR1320" s="689" t="s">
        <v>198</v>
      </c>
      <c r="AU1320" s="689" t="s">
        <v>422</v>
      </c>
    </row>
    <row r="1321" spans="44:47">
      <c r="AR1321" s="689" t="s">
        <v>198</v>
      </c>
      <c r="AU1321" s="689" t="s">
        <v>422</v>
      </c>
    </row>
    <row r="1322" spans="44:47">
      <c r="AR1322" s="689" t="s">
        <v>198</v>
      </c>
      <c r="AU1322" s="689" t="s">
        <v>422</v>
      </c>
    </row>
    <row r="1323" spans="44:47">
      <c r="AR1323" s="689" t="s">
        <v>198</v>
      </c>
      <c r="AU1323" s="689" t="s">
        <v>422</v>
      </c>
    </row>
    <row r="1324" spans="44:47">
      <c r="AR1324" s="689" t="s">
        <v>198</v>
      </c>
      <c r="AU1324" s="689" t="s">
        <v>422</v>
      </c>
    </row>
    <row r="1325" spans="44:47">
      <c r="AR1325" s="689" t="s">
        <v>198</v>
      </c>
      <c r="AU1325" s="689" t="s">
        <v>422</v>
      </c>
    </row>
    <row r="1326" spans="44:47">
      <c r="AR1326" s="689" t="s">
        <v>198</v>
      </c>
      <c r="AU1326" s="689" t="s">
        <v>422</v>
      </c>
    </row>
    <row r="1327" spans="44:47">
      <c r="AR1327" s="689" t="s">
        <v>198</v>
      </c>
      <c r="AU1327" s="689" t="s">
        <v>422</v>
      </c>
    </row>
    <row r="1328" spans="44:47">
      <c r="AR1328" s="689" t="s">
        <v>198</v>
      </c>
      <c r="AU1328" s="689" t="s">
        <v>422</v>
      </c>
    </row>
    <row r="1329" spans="44:47">
      <c r="AR1329" s="689" t="s">
        <v>198</v>
      </c>
      <c r="AU1329" s="689" t="s">
        <v>422</v>
      </c>
    </row>
    <row r="1330" spans="44:47">
      <c r="AR1330" s="689" t="s">
        <v>198</v>
      </c>
      <c r="AU1330" s="689" t="s">
        <v>422</v>
      </c>
    </row>
    <row r="1331" spans="44:47">
      <c r="AR1331" s="689" t="s">
        <v>198</v>
      </c>
      <c r="AU1331" s="689" t="s">
        <v>422</v>
      </c>
    </row>
    <row r="1332" spans="44:47">
      <c r="AR1332" s="689" t="s">
        <v>198</v>
      </c>
      <c r="AU1332" s="689" t="s">
        <v>422</v>
      </c>
    </row>
    <row r="1333" spans="44:47">
      <c r="AR1333" s="689" t="s">
        <v>198</v>
      </c>
      <c r="AU1333" s="689" t="s">
        <v>422</v>
      </c>
    </row>
    <row r="1334" spans="44:47">
      <c r="AR1334" s="689" t="s">
        <v>198</v>
      </c>
      <c r="AU1334" s="689" t="s">
        <v>422</v>
      </c>
    </row>
    <row r="1335" spans="44:47">
      <c r="AR1335" s="689" t="s">
        <v>198</v>
      </c>
      <c r="AU1335" s="689" t="s">
        <v>422</v>
      </c>
    </row>
    <row r="1336" spans="44:47">
      <c r="AR1336" s="689" t="s">
        <v>198</v>
      </c>
      <c r="AU1336" s="689" t="s">
        <v>422</v>
      </c>
    </row>
    <row r="1337" spans="44:47">
      <c r="AR1337" s="689" t="s">
        <v>198</v>
      </c>
      <c r="AU1337" s="689" t="s">
        <v>422</v>
      </c>
    </row>
    <row r="1338" spans="44:47">
      <c r="AR1338" s="689" t="s">
        <v>198</v>
      </c>
      <c r="AU1338" s="689" t="s">
        <v>422</v>
      </c>
    </row>
    <row r="1339" spans="44:47">
      <c r="AR1339" s="689" t="s">
        <v>198</v>
      </c>
      <c r="AU1339" s="689" t="s">
        <v>422</v>
      </c>
    </row>
    <row r="1340" spans="44:47">
      <c r="AR1340" s="689" t="s">
        <v>198</v>
      </c>
      <c r="AU1340" s="689" t="s">
        <v>225</v>
      </c>
    </row>
    <row r="1341" spans="44:47">
      <c r="AR1341" s="689" t="s">
        <v>198</v>
      </c>
      <c r="AU1341" s="689" t="s">
        <v>225</v>
      </c>
    </row>
    <row r="1342" spans="44:47">
      <c r="AR1342" s="689" t="s">
        <v>198</v>
      </c>
      <c r="AU1342" s="689" t="s">
        <v>225</v>
      </c>
    </row>
    <row r="1343" spans="44:47">
      <c r="AR1343" s="689" t="s">
        <v>198</v>
      </c>
      <c r="AU1343" s="689" t="s">
        <v>225</v>
      </c>
    </row>
    <row r="1344" spans="44:47">
      <c r="AR1344" s="689" t="s">
        <v>198</v>
      </c>
      <c r="AU1344" s="689" t="s">
        <v>225</v>
      </c>
    </row>
    <row r="1345" spans="44:47">
      <c r="AR1345" s="689" t="s">
        <v>198</v>
      </c>
      <c r="AU1345" s="689" t="s">
        <v>225</v>
      </c>
    </row>
    <row r="1346" spans="44:47">
      <c r="AR1346" s="689" t="s">
        <v>198</v>
      </c>
      <c r="AU1346" s="689" t="s">
        <v>225</v>
      </c>
    </row>
    <row r="1347" spans="44:47">
      <c r="AR1347" s="689" t="s">
        <v>198</v>
      </c>
      <c r="AU1347" s="689" t="s">
        <v>225</v>
      </c>
    </row>
    <row r="1348" spans="44:47">
      <c r="AR1348" s="689" t="s">
        <v>198</v>
      </c>
      <c r="AU1348" s="689" t="s">
        <v>225</v>
      </c>
    </row>
    <row r="1349" spans="44:47">
      <c r="AR1349" s="689" t="s">
        <v>198</v>
      </c>
      <c r="AU1349" s="689" t="s">
        <v>225</v>
      </c>
    </row>
    <row r="1350" spans="44:47">
      <c r="AR1350" s="689" t="s">
        <v>198</v>
      </c>
      <c r="AU1350" s="689" t="s">
        <v>225</v>
      </c>
    </row>
    <row r="1351" spans="44:47">
      <c r="AR1351" s="689" t="s">
        <v>198</v>
      </c>
      <c r="AU1351" s="689" t="s">
        <v>225</v>
      </c>
    </row>
    <row r="1352" spans="44:47">
      <c r="AR1352" s="689" t="s">
        <v>198</v>
      </c>
      <c r="AU1352" s="689" t="s">
        <v>225</v>
      </c>
    </row>
    <row r="1353" spans="44:47">
      <c r="AR1353" s="689" t="s">
        <v>198</v>
      </c>
      <c r="AU1353" s="689" t="s">
        <v>225</v>
      </c>
    </row>
    <row r="1354" spans="44:47">
      <c r="AR1354" s="689" t="s">
        <v>198</v>
      </c>
      <c r="AU1354" s="689" t="s">
        <v>225</v>
      </c>
    </row>
    <row r="1355" spans="44:47">
      <c r="AR1355" s="689" t="s">
        <v>198</v>
      </c>
      <c r="AU1355" s="689" t="s">
        <v>225</v>
      </c>
    </row>
    <row r="1356" spans="44:47">
      <c r="AR1356" s="689" t="s">
        <v>198</v>
      </c>
      <c r="AU1356" s="689" t="s">
        <v>225</v>
      </c>
    </row>
    <row r="1357" spans="44:47">
      <c r="AR1357" s="689" t="s">
        <v>198</v>
      </c>
      <c r="AU1357" s="689" t="s">
        <v>225</v>
      </c>
    </row>
    <row r="1358" spans="44:47">
      <c r="AR1358" s="689" t="s">
        <v>198</v>
      </c>
      <c r="AU1358" s="689" t="s">
        <v>225</v>
      </c>
    </row>
    <row r="1359" spans="44:47">
      <c r="AR1359" s="689" t="s">
        <v>198</v>
      </c>
      <c r="AU1359" s="689" t="s">
        <v>225</v>
      </c>
    </row>
    <row r="1360" spans="44:47">
      <c r="AR1360" s="689" t="s">
        <v>198</v>
      </c>
      <c r="AU1360" s="689" t="s">
        <v>225</v>
      </c>
    </row>
    <row r="1361" spans="44:47">
      <c r="AR1361" s="689" t="s">
        <v>198</v>
      </c>
      <c r="AU1361" s="689" t="s">
        <v>225</v>
      </c>
    </row>
    <row r="1362" spans="44:47">
      <c r="AR1362" s="689" t="s">
        <v>198</v>
      </c>
      <c r="AU1362" s="689" t="s">
        <v>422</v>
      </c>
    </row>
    <row r="1363" spans="44:47">
      <c r="AR1363" s="689" t="s">
        <v>198</v>
      </c>
      <c r="AU1363" s="689" t="s">
        <v>422</v>
      </c>
    </row>
    <row r="1364" spans="44:47">
      <c r="AR1364" s="689" t="s">
        <v>198</v>
      </c>
      <c r="AU1364" s="689" t="s">
        <v>422</v>
      </c>
    </row>
    <row r="1365" spans="44:47">
      <c r="AR1365" s="689" t="s">
        <v>198</v>
      </c>
      <c r="AU1365" s="689" t="s">
        <v>422</v>
      </c>
    </row>
    <row r="1366" spans="44:47">
      <c r="AR1366" s="689" t="s">
        <v>198</v>
      </c>
      <c r="AU1366" s="689" t="s">
        <v>422</v>
      </c>
    </row>
    <row r="1367" spans="44:47">
      <c r="AR1367" s="689" t="s">
        <v>198</v>
      </c>
      <c r="AU1367" s="689" t="s">
        <v>422</v>
      </c>
    </row>
    <row r="1368" spans="44:47">
      <c r="AR1368" s="689" t="s">
        <v>198</v>
      </c>
      <c r="AU1368" s="689" t="s">
        <v>422</v>
      </c>
    </row>
    <row r="1369" spans="44:47">
      <c r="AR1369" s="689" t="s">
        <v>198</v>
      </c>
      <c r="AU1369" s="689" t="s">
        <v>422</v>
      </c>
    </row>
    <row r="1370" spans="44:47">
      <c r="AR1370" s="689" t="s">
        <v>198</v>
      </c>
      <c r="AU1370" s="689" t="s">
        <v>422</v>
      </c>
    </row>
    <row r="1371" spans="44:47">
      <c r="AR1371" s="689" t="s">
        <v>198</v>
      </c>
      <c r="AU1371" s="689" t="s">
        <v>422</v>
      </c>
    </row>
    <row r="1372" spans="44:47">
      <c r="AR1372" s="689" t="s">
        <v>198</v>
      </c>
      <c r="AU1372" s="689" t="s">
        <v>422</v>
      </c>
    </row>
    <row r="1373" spans="44:47">
      <c r="AR1373" s="689" t="s">
        <v>198</v>
      </c>
      <c r="AU1373" s="689" t="s">
        <v>422</v>
      </c>
    </row>
    <row r="1374" spans="44:47">
      <c r="AR1374" s="689" t="s">
        <v>198</v>
      </c>
      <c r="AU1374" s="689" t="s">
        <v>422</v>
      </c>
    </row>
    <row r="1375" spans="44:47">
      <c r="AR1375" s="689" t="s">
        <v>198</v>
      </c>
      <c r="AU1375" s="689" t="s">
        <v>422</v>
      </c>
    </row>
    <row r="1376" spans="44:47">
      <c r="AR1376" s="689" t="s">
        <v>198</v>
      </c>
      <c r="AU1376" s="689" t="s">
        <v>422</v>
      </c>
    </row>
    <row r="1377" spans="44:47">
      <c r="AR1377" s="689" t="s">
        <v>198</v>
      </c>
      <c r="AU1377" s="689" t="s">
        <v>422</v>
      </c>
    </row>
    <row r="1378" spans="44:47">
      <c r="AR1378" s="689" t="s">
        <v>198</v>
      </c>
      <c r="AU1378" s="689" t="s">
        <v>422</v>
      </c>
    </row>
    <row r="1379" spans="44:47">
      <c r="AR1379" s="689" t="s">
        <v>198</v>
      </c>
      <c r="AU1379" s="689" t="s">
        <v>422</v>
      </c>
    </row>
    <row r="1380" spans="44:47">
      <c r="AR1380" s="689" t="s">
        <v>198</v>
      </c>
      <c r="AU1380" s="689" t="s">
        <v>422</v>
      </c>
    </row>
    <row r="1381" spans="44:47">
      <c r="AR1381" s="689" t="s">
        <v>198</v>
      </c>
      <c r="AU1381" s="689" t="s">
        <v>422</v>
      </c>
    </row>
    <row r="1382" spans="44:47">
      <c r="AR1382" s="689" t="s">
        <v>198</v>
      </c>
      <c r="AU1382" s="689" t="s">
        <v>422</v>
      </c>
    </row>
    <row r="1383" spans="44:47">
      <c r="AR1383" s="689" t="s">
        <v>198</v>
      </c>
      <c r="AU1383" s="689" t="s">
        <v>422</v>
      </c>
    </row>
    <row r="1384" spans="44:47">
      <c r="AR1384" s="689" t="s">
        <v>198</v>
      </c>
      <c r="AU1384" s="689" t="s">
        <v>422</v>
      </c>
    </row>
    <row r="1385" spans="44:47">
      <c r="AR1385" s="689" t="s">
        <v>198</v>
      </c>
      <c r="AU1385" s="689" t="s">
        <v>422</v>
      </c>
    </row>
    <row r="1386" spans="44:47">
      <c r="AR1386" s="689" t="s">
        <v>198</v>
      </c>
      <c r="AU1386" s="689" t="s">
        <v>422</v>
      </c>
    </row>
    <row r="1387" spans="44:47">
      <c r="AR1387" s="689" t="s">
        <v>198</v>
      </c>
      <c r="AU1387" s="689" t="s">
        <v>228</v>
      </c>
    </row>
    <row r="1388" spans="44:47">
      <c r="AR1388" s="689" t="s">
        <v>198</v>
      </c>
      <c r="AU1388" s="689" t="s">
        <v>228</v>
      </c>
    </row>
    <row r="1389" spans="44:47">
      <c r="AR1389" s="689" t="s">
        <v>198</v>
      </c>
      <c r="AU1389" s="689" t="s">
        <v>228</v>
      </c>
    </row>
    <row r="1390" spans="44:47">
      <c r="AR1390" s="689" t="s">
        <v>198</v>
      </c>
      <c r="AU1390" s="689" t="s">
        <v>422</v>
      </c>
    </row>
  </sheetData>
  <autoFilter ref="A31:CH31"/>
  <sortState ref="F36:CD903">
    <sortCondition ref="F36:F903"/>
  </sortState>
  <dataConsolidate/>
  <mergeCells count="3">
    <mergeCell ref="AW27:CD30"/>
    <mergeCell ref="F27:AJ30"/>
    <mergeCell ref="AK27:AV30"/>
  </mergeCells>
  <conditionalFormatting sqref="BE32:BE967">
    <cfRule type="duplicateValues" dxfId="12" priority="4472" stopIfTrue="1"/>
  </conditionalFormatting>
  <conditionalFormatting sqref="BE32:BE967">
    <cfRule type="duplicateValues" dxfId="11" priority="4754" stopIfTrue="1"/>
  </conditionalFormatting>
  <conditionalFormatting sqref="CC1:CC31">
    <cfRule type="cellIs" dxfId="10" priority="4419" operator="lessThan">
      <formula>0</formula>
    </cfRule>
  </conditionalFormatting>
  <conditionalFormatting sqref="CC32:CC967">
    <cfRule type="cellIs" dxfId="9" priority="1559" operator="lessThan">
      <formula>0</formula>
    </cfRule>
  </conditionalFormatting>
  <conditionalFormatting sqref="CC32:CC967">
    <cfRule type="cellIs" dxfId="8" priority="1558" operator="lessThan">
      <formula>0</formula>
    </cfRule>
  </conditionalFormatting>
  <conditionalFormatting sqref="CC32:CC967">
    <cfRule type="cellIs" dxfId="7" priority="1557" operator="lessThan">
      <formula>0</formula>
    </cfRule>
  </conditionalFormatting>
  <conditionalFormatting sqref="BO1:BO1048576">
    <cfRule type="duplicateValues" dxfId="6" priority="5103"/>
    <cfRule type="duplicateValues" dxfId="5" priority="5104"/>
  </conditionalFormatting>
  <conditionalFormatting sqref="BI1:BI1048576">
    <cfRule type="duplicateValues" dxfId="4" priority="5125"/>
  </conditionalFormatting>
  <conditionalFormatting sqref="BN1:BN1048576">
    <cfRule type="duplicateValues" dxfId="3" priority="5140"/>
  </conditionalFormatting>
  <conditionalFormatting sqref="BO1:BO1048576">
    <cfRule type="duplicateValues" dxfId="2" priority="5152"/>
  </conditionalFormatting>
  <conditionalFormatting sqref="BE31 BE1:BE26">
    <cfRule type="duplicateValues" dxfId="1" priority="5191" stopIfTrue="1"/>
  </conditionalFormatting>
  <conditionalFormatting sqref="BI1:BI967">
    <cfRule type="duplicateValues" dxfId="0" priority="5250"/>
  </conditionalFormatting>
  <dataValidations count="11">
    <dataValidation type="list" allowBlank="1" showInputMessage="1" showErrorMessage="1" sqref="AN32:AN967">
      <formula1>INDIRECT($AK32)</formula1>
    </dataValidation>
    <dataValidation type="list" allowBlank="1" showInputMessage="1" showErrorMessage="1" sqref="V32:V967">
      <formula1>"0,1,2"</formula1>
    </dataValidation>
    <dataValidation type="list" allowBlank="1" showInputMessage="1" showErrorMessage="1" sqref="W32:W967">
      <formula1>modalidad_desc</formula1>
    </dataValidation>
    <dataValidation type="list" allowBlank="1" showInputMessage="1" showErrorMessage="1" sqref="AF32:AF967">
      <formula1>"ASESORA JURIDICA"</formula1>
    </dataValidation>
    <dataValidation type="list" allowBlank="1" showInputMessage="1" showErrorMessage="1" sqref="AG32:AG967">
      <formula1>"CO-DC-11001"</formula1>
    </dataValidation>
    <dataValidation type="list" allowBlank="1" showInputMessage="1" showErrorMessage="1" sqref="AH32:AH967">
      <formula1>Responsable</formula1>
    </dataValidation>
    <dataValidation type="list" allowBlank="1" showInputMessage="1" showErrorMessage="1" sqref="I32:I967 BB32:BB967">
      <formula1>"Sí,No"</formula1>
    </dataValidation>
    <dataValidation type="list" allowBlank="1" showInputMessage="1" showErrorMessage="1" sqref="J32:J967">
      <formula1>proyecto_inv</formula1>
    </dataValidation>
    <dataValidation type="list" allowBlank="1" showInputMessage="1" showErrorMessage="1" sqref="AO32:AO967">
      <formula1>INDIRECT($AL32)</formula1>
    </dataValidation>
    <dataValidation type="list" allowBlank="1" showInputMessage="1" showErrorMessage="1" sqref="AR32:AR967">
      <formula1>INDIRECT($AQ32)</formula1>
    </dataValidation>
    <dataValidation type="list" allowBlank="1" showInputMessage="1" showErrorMessage="1" sqref="AU32:AU967">
      <formula1>INDIRECT($AM32)</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V428"/>
  <sheetViews>
    <sheetView zoomScaleNormal="100" workbookViewId="0">
      <selection activeCell="H437" sqref="H437"/>
    </sheetView>
  </sheetViews>
  <sheetFormatPr baseColWidth="10" defaultRowHeight="12.75"/>
  <cols>
    <col min="1" max="1" width="12.7109375" customWidth="1"/>
    <col min="2" max="2" width="13.42578125" customWidth="1"/>
    <col min="3" max="6" width="7.5703125" customWidth="1"/>
    <col min="7" max="7" width="9.5703125" customWidth="1"/>
    <col min="8" max="8" width="6.28515625" customWidth="1"/>
    <col min="9" max="9" width="15.28515625" customWidth="1"/>
    <col min="10" max="17" width="13.42578125" customWidth="1"/>
    <col min="19" max="19" width="11.42578125" style="660"/>
  </cols>
  <sheetData>
    <row r="1" spans="1:22">
      <c r="A1" s="771" t="s">
        <v>558</v>
      </c>
      <c r="B1" s="772"/>
      <c r="C1" s="772"/>
      <c r="D1" s="772"/>
      <c r="E1" s="772"/>
      <c r="F1" s="772"/>
      <c r="G1" s="772"/>
      <c r="H1" s="772"/>
      <c r="I1" s="773"/>
      <c r="J1" s="773"/>
      <c r="K1" s="772"/>
      <c r="L1" s="772"/>
      <c r="M1" s="772"/>
      <c r="N1" s="772"/>
      <c r="O1" s="772"/>
      <c r="P1" s="772"/>
      <c r="Q1" s="772"/>
    </row>
    <row r="2" spans="1:22">
      <c r="A2" s="772"/>
      <c r="B2" s="772"/>
      <c r="C2" s="772"/>
      <c r="D2" s="772"/>
      <c r="E2" s="772"/>
      <c r="F2" s="772"/>
      <c r="G2" s="772"/>
      <c r="H2" s="772"/>
      <c r="I2" s="773"/>
      <c r="J2" s="773"/>
      <c r="K2" s="772"/>
      <c r="L2" s="772"/>
      <c r="M2" s="772"/>
      <c r="N2" s="772"/>
      <c r="O2" s="772"/>
      <c r="P2" s="772"/>
      <c r="Q2" s="772"/>
    </row>
    <row r="3" spans="1:22" ht="15" customHeight="1">
      <c r="A3" s="772"/>
      <c r="B3" s="772"/>
      <c r="C3" s="772"/>
      <c r="D3" s="772"/>
      <c r="E3" s="772"/>
      <c r="F3" s="772"/>
      <c r="G3" s="772"/>
      <c r="H3" s="772"/>
      <c r="I3" s="773"/>
      <c r="J3" s="773"/>
      <c r="K3" s="772"/>
      <c r="L3" s="772"/>
      <c r="M3" s="772"/>
      <c r="N3" s="772"/>
      <c r="O3" s="772"/>
      <c r="P3" s="772"/>
      <c r="Q3" s="772"/>
    </row>
    <row r="4" spans="1:22" s="554" customFormat="1">
      <c r="A4" s="557" t="s">
        <v>559</v>
      </c>
      <c r="B4" s="557" t="s">
        <v>163</v>
      </c>
      <c r="C4" s="557" t="s">
        <v>202</v>
      </c>
      <c r="D4" s="557" t="s">
        <v>203</v>
      </c>
      <c r="E4" s="557" t="s">
        <v>560</v>
      </c>
      <c r="F4" s="557" t="s">
        <v>204</v>
      </c>
      <c r="G4" s="557" t="s">
        <v>165</v>
      </c>
      <c r="H4" s="557" t="s">
        <v>166</v>
      </c>
      <c r="I4" s="558" t="s">
        <v>205</v>
      </c>
      <c r="J4" s="558" t="s">
        <v>206</v>
      </c>
      <c r="K4" s="557" t="s">
        <v>207</v>
      </c>
      <c r="L4" s="557" t="s">
        <v>208</v>
      </c>
      <c r="M4" s="557" t="s">
        <v>209</v>
      </c>
      <c r="N4" s="557" t="s">
        <v>210</v>
      </c>
      <c r="O4" s="557" t="s">
        <v>211</v>
      </c>
      <c r="P4" s="557" t="s">
        <v>212</v>
      </c>
      <c r="Q4" s="557" t="s">
        <v>213</v>
      </c>
      <c r="R4" s="557" t="s">
        <v>587</v>
      </c>
      <c r="S4" s="557"/>
      <c r="T4" s="557" t="s">
        <v>588</v>
      </c>
      <c r="U4" s="557" t="s">
        <v>590</v>
      </c>
      <c r="V4" s="557" t="s">
        <v>591</v>
      </c>
    </row>
    <row r="5" spans="1:22" hidden="1">
      <c r="A5" t="s">
        <v>598</v>
      </c>
      <c r="B5" t="s">
        <v>1355</v>
      </c>
      <c r="C5">
        <v>1</v>
      </c>
      <c r="D5">
        <v>1</v>
      </c>
      <c r="E5">
        <f>10*30+15</f>
        <v>315</v>
      </c>
      <c r="F5" s="708">
        <v>0</v>
      </c>
      <c r="G5" t="s">
        <v>268</v>
      </c>
      <c r="H5">
        <v>0</v>
      </c>
      <c r="I5">
        <v>28119000</v>
      </c>
      <c r="J5">
        <v>28119000</v>
      </c>
      <c r="K5">
        <v>0</v>
      </c>
      <c r="L5">
        <v>0</v>
      </c>
      <c r="M5" t="s">
        <v>276</v>
      </c>
      <c r="N5" t="s">
        <v>277</v>
      </c>
      <c r="O5" t="s">
        <v>284</v>
      </c>
      <c r="P5" t="s">
        <v>278</v>
      </c>
      <c r="Q5" t="s">
        <v>280</v>
      </c>
      <c r="R5">
        <v>1</v>
      </c>
      <c r="T5" t="s">
        <v>596</v>
      </c>
    </row>
    <row r="6" spans="1:22" hidden="1">
      <c r="A6" t="s">
        <v>598</v>
      </c>
      <c r="B6" t="s">
        <v>1356</v>
      </c>
      <c r="C6">
        <v>1</v>
      </c>
      <c r="D6">
        <v>1</v>
      </c>
      <c r="E6">
        <v>11</v>
      </c>
      <c r="F6" s="708">
        <v>1</v>
      </c>
      <c r="G6" t="s">
        <v>268</v>
      </c>
      <c r="H6" s="672">
        <v>0</v>
      </c>
      <c r="I6">
        <v>53460000</v>
      </c>
      <c r="J6">
        <v>53460000</v>
      </c>
      <c r="K6">
        <v>0</v>
      </c>
      <c r="L6">
        <v>0</v>
      </c>
      <c r="M6" t="s">
        <v>276</v>
      </c>
      <c r="N6" t="s">
        <v>277</v>
      </c>
      <c r="O6" t="s">
        <v>284</v>
      </c>
      <c r="P6" t="s">
        <v>278</v>
      </c>
      <c r="Q6" t="s">
        <v>280</v>
      </c>
      <c r="R6">
        <v>2</v>
      </c>
      <c r="S6" s="660" t="b">
        <f>+R6=R5</f>
        <v>0</v>
      </c>
      <c r="T6" t="s">
        <v>596</v>
      </c>
    </row>
    <row r="7" spans="1:22" hidden="1">
      <c r="A7" t="s">
        <v>598</v>
      </c>
      <c r="B7" t="s">
        <v>1357</v>
      </c>
      <c r="C7">
        <v>1</v>
      </c>
      <c r="D7">
        <v>1</v>
      </c>
      <c r="E7" s="672">
        <f>10*30+15</f>
        <v>315</v>
      </c>
      <c r="F7" s="708">
        <v>0</v>
      </c>
      <c r="G7" t="s">
        <v>268</v>
      </c>
      <c r="H7" s="672">
        <v>0</v>
      </c>
      <c r="I7">
        <v>28119000</v>
      </c>
      <c r="J7">
        <v>28119000</v>
      </c>
      <c r="K7">
        <v>0</v>
      </c>
      <c r="L7">
        <v>0</v>
      </c>
      <c r="M7" t="s">
        <v>276</v>
      </c>
      <c r="N7" t="s">
        <v>277</v>
      </c>
      <c r="O7" t="s">
        <v>284</v>
      </c>
      <c r="P7" t="s">
        <v>278</v>
      </c>
      <c r="Q7" t="s">
        <v>280</v>
      </c>
      <c r="R7">
        <v>3</v>
      </c>
      <c r="S7" s="672" t="b">
        <f t="shared" ref="S7:S66" si="0">+R7=R6</f>
        <v>0</v>
      </c>
      <c r="T7" t="s">
        <v>596</v>
      </c>
    </row>
    <row r="8" spans="1:22" hidden="1">
      <c r="A8" t="s">
        <v>602</v>
      </c>
      <c r="B8" t="s">
        <v>1358</v>
      </c>
      <c r="C8">
        <v>3</v>
      </c>
      <c r="D8">
        <v>3</v>
      </c>
      <c r="E8">
        <v>1</v>
      </c>
      <c r="F8" s="8">
        <v>1</v>
      </c>
      <c r="G8" t="s">
        <v>265</v>
      </c>
      <c r="H8" s="672">
        <v>0</v>
      </c>
      <c r="I8">
        <v>10000000</v>
      </c>
      <c r="J8">
        <v>10000000</v>
      </c>
      <c r="K8">
        <v>0</v>
      </c>
      <c r="L8">
        <v>0</v>
      </c>
      <c r="M8" t="s">
        <v>276</v>
      </c>
      <c r="N8" t="s">
        <v>277</v>
      </c>
      <c r="O8" t="s">
        <v>284</v>
      </c>
      <c r="P8" t="s">
        <v>278</v>
      </c>
      <c r="Q8" t="s">
        <v>280</v>
      </c>
      <c r="R8">
        <v>4</v>
      </c>
      <c r="S8" s="672" t="b">
        <f t="shared" si="0"/>
        <v>0</v>
      </c>
      <c r="T8" t="s">
        <v>596</v>
      </c>
    </row>
    <row r="9" spans="1:22" hidden="1">
      <c r="A9" t="s">
        <v>604</v>
      </c>
      <c r="B9" t="s">
        <v>1359</v>
      </c>
      <c r="C9">
        <v>1</v>
      </c>
      <c r="D9">
        <v>1</v>
      </c>
      <c r="E9">
        <v>10</v>
      </c>
      <c r="F9" s="8">
        <v>1</v>
      </c>
      <c r="G9" t="s">
        <v>268</v>
      </c>
      <c r="H9" s="672">
        <v>0</v>
      </c>
      <c r="I9">
        <v>59400000</v>
      </c>
      <c r="J9">
        <v>59400000</v>
      </c>
      <c r="K9">
        <v>0</v>
      </c>
      <c r="L9">
        <v>0</v>
      </c>
      <c r="M9" t="s">
        <v>276</v>
      </c>
      <c r="N9" t="s">
        <v>277</v>
      </c>
      <c r="O9" t="s">
        <v>284</v>
      </c>
      <c r="P9" t="s">
        <v>278</v>
      </c>
      <c r="Q9" t="s">
        <v>280</v>
      </c>
      <c r="R9">
        <v>5</v>
      </c>
      <c r="S9" s="672" t="b">
        <f t="shared" si="0"/>
        <v>0</v>
      </c>
      <c r="T9" t="s">
        <v>596</v>
      </c>
    </row>
    <row r="10" spans="1:22" s="709" customFormat="1" hidden="1">
      <c r="A10" s="709" t="s">
        <v>598</v>
      </c>
      <c r="B10" s="709" t="s">
        <v>1360</v>
      </c>
      <c r="C10" s="709">
        <v>1</v>
      </c>
      <c r="D10" s="709">
        <v>1</v>
      </c>
      <c r="E10" s="709">
        <v>11</v>
      </c>
      <c r="F10" s="710">
        <v>1</v>
      </c>
      <c r="G10" s="709" t="s">
        <v>268</v>
      </c>
      <c r="H10" s="709">
        <v>0</v>
      </c>
      <c r="I10" s="709">
        <f>48280000+5180000</f>
        <v>53460000</v>
      </c>
      <c r="J10" s="709">
        <f>48280000+5180000</f>
        <v>53460000</v>
      </c>
      <c r="K10" s="709">
        <v>0</v>
      </c>
      <c r="L10" s="709">
        <v>0</v>
      </c>
      <c r="M10" s="709" t="s">
        <v>276</v>
      </c>
      <c r="N10" s="709" t="s">
        <v>277</v>
      </c>
      <c r="O10" s="709" t="s">
        <v>284</v>
      </c>
      <c r="P10" s="709" t="s">
        <v>278</v>
      </c>
      <c r="Q10" s="709" t="s">
        <v>280</v>
      </c>
      <c r="R10" s="709">
        <v>6</v>
      </c>
      <c r="S10" s="709" t="e">
        <f>+R10=#REF!</f>
        <v>#REF!</v>
      </c>
      <c r="T10" s="709" t="s">
        <v>596</v>
      </c>
    </row>
    <row r="11" spans="1:22" hidden="1">
      <c r="A11" t="s">
        <v>598</v>
      </c>
      <c r="B11" t="s">
        <v>1361</v>
      </c>
      <c r="C11">
        <v>1</v>
      </c>
      <c r="D11">
        <v>1</v>
      </c>
      <c r="E11">
        <v>11</v>
      </c>
      <c r="F11" s="708">
        <v>1</v>
      </c>
      <c r="G11" t="s">
        <v>268</v>
      </c>
      <c r="H11" s="672">
        <v>0</v>
      </c>
      <c r="I11">
        <v>72820000</v>
      </c>
      <c r="J11">
        <v>72820000</v>
      </c>
      <c r="K11">
        <v>0</v>
      </c>
      <c r="L11">
        <v>0</v>
      </c>
      <c r="M11" t="s">
        <v>276</v>
      </c>
      <c r="N11" t="s">
        <v>277</v>
      </c>
      <c r="O11" t="s">
        <v>284</v>
      </c>
      <c r="P11" t="s">
        <v>278</v>
      </c>
      <c r="Q11" t="s">
        <v>280</v>
      </c>
      <c r="R11">
        <v>7</v>
      </c>
      <c r="S11" s="672" t="b">
        <f t="shared" si="0"/>
        <v>0</v>
      </c>
      <c r="T11" t="s">
        <v>596</v>
      </c>
    </row>
    <row r="12" spans="1:22" hidden="1">
      <c r="A12" t="s">
        <v>608</v>
      </c>
      <c r="B12" t="s">
        <v>1362</v>
      </c>
      <c r="C12">
        <v>3</v>
      </c>
      <c r="D12">
        <v>3</v>
      </c>
      <c r="E12">
        <v>4</v>
      </c>
      <c r="F12" s="8">
        <v>1</v>
      </c>
      <c r="G12" t="s">
        <v>264</v>
      </c>
      <c r="H12" s="672">
        <v>0</v>
      </c>
      <c r="I12">
        <v>29528000</v>
      </c>
      <c r="J12">
        <v>29528000</v>
      </c>
      <c r="K12">
        <v>0</v>
      </c>
      <c r="L12">
        <v>0</v>
      </c>
      <c r="M12" t="s">
        <v>276</v>
      </c>
      <c r="N12" t="s">
        <v>277</v>
      </c>
      <c r="O12" t="s">
        <v>284</v>
      </c>
      <c r="P12" t="s">
        <v>278</v>
      </c>
      <c r="Q12" t="s">
        <v>280</v>
      </c>
      <c r="R12">
        <v>8</v>
      </c>
      <c r="S12" s="672" t="b">
        <f t="shared" si="0"/>
        <v>0</v>
      </c>
      <c r="T12" t="s">
        <v>596</v>
      </c>
    </row>
    <row r="13" spans="1:22" hidden="1">
      <c r="A13" t="s">
        <v>598</v>
      </c>
      <c r="B13" t="s">
        <v>1363</v>
      </c>
      <c r="C13">
        <v>1</v>
      </c>
      <c r="D13">
        <v>1</v>
      </c>
      <c r="E13" s="672">
        <f>10*30+15</f>
        <v>315</v>
      </c>
      <c r="F13" s="708">
        <v>0</v>
      </c>
      <c r="G13" t="s">
        <v>268</v>
      </c>
      <c r="H13" s="672">
        <v>0</v>
      </c>
      <c r="I13">
        <v>28119000</v>
      </c>
      <c r="J13">
        <v>28119000</v>
      </c>
      <c r="K13">
        <v>0</v>
      </c>
      <c r="L13">
        <v>0</v>
      </c>
      <c r="M13" t="s">
        <v>276</v>
      </c>
      <c r="N13" t="s">
        <v>277</v>
      </c>
      <c r="O13" t="s">
        <v>284</v>
      </c>
      <c r="P13" t="s">
        <v>278</v>
      </c>
      <c r="Q13" t="s">
        <v>280</v>
      </c>
      <c r="R13">
        <v>9</v>
      </c>
      <c r="S13" s="672" t="b">
        <f t="shared" si="0"/>
        <v>0</v>
      </c>
      <c r="T13" t="s">
        <v>596</v>
      </c>
    </row>
    <row r="14" spans="1:22" hidden="1">
      <c r="A14" t="s">
        <v>598</v>
      </c>
      <c r="B14" t="s">
        <v>1364</v>
      </c>
      <c r="C14">
        <v>1</v>
      </c>
      <c r="D14">
        <v>1</v>
      </c>
      <c r="E14" s="672">
        <f>10*30+15</f>
        <v>315</v>
      </c>
      <c r="F14" s="708">
        <v>0</v>
      </c>
      <c r="G14" t="s">
        <v>268</v>
      </c>
      <c r="H14" s="672">
        <v>0</v>
      </c>
      <c r="I14">
        <v>28119000</v>
      </c>
      <c r="J14">
        <v>28119000</v>
      </c>
      <c r="K14">
        <v>0</v>
      </c>
      <c r="L14">
        <v>0</v>
      </c>
      <c r="M14" t="s">
        <v>276</v>
      </c>
      <c r="N14" t="s">
        <v>277</v>
      </c>
      <c r="O14" t="s">
        <v>284</v>
      </c>
      <c r="P14" t="s">
        <v>278</v>
      </c>
      <c r="Q14" t="s">
        <v>280</v>
      </c>
      <c r="R14">
        <v>10</v>
      </c>
      <c r="S14" s="672" t="b">
        <f t="shared" si="0"/>
        <v>0</v>
      </c>
      <c r="T14" t="s">
        <v>596</v>
      </c>
    </row>
    <row r="15" spans="1:22" hidden="1">
      <c r="A15" t="s">
        <v>598</v>
      </c>
      <c r="B15" t="s">
        <v>1365</v>
      </c>
      <c r="C15">
        <v>1</v>
      </c>
      <c r="D15">
        <v>1</v>
      </c>
      <c r="E15" s="672">
        <f>10*30+15</f>
        <v>315</v>
      </c>
      <c r="F15" s="708">
        <v>0</v>
      </c>
      <c r="G15" t="s">
        <v>268</v>
      </c>
      <c r="H15" s="672">
        <v>0</v>
      </c>
      <c r="I15">
        <v>28119000</v>
      </c>
      <c r="J15">
        <v>28119000</v>
      </c>
      <c r="K15">
        <v>0</v>
      </c>
      <c r="L15">
        <v>0</v>
      </c>
      <c r="M15" t="s">
        <v>276</v>
      </c>
      <c r="N15" t="s">
        <v>277</v>
      </c>
      <c r="O15" t="s">
        <v>284</v>
      </c>
      <c r="P15" t="s">
        <v>278</v>
      </c>
      <c r="Q15" t="s">
        <v>280</v>
      </c>
      <c r="R15">
        <v>11</v>
      </c>
      <c r="S15" s="672" t="b">
        <f t="shared" si="0"/>
        <v>0</v>
      </c>
      <c r="T15" t="s">
        <v>596</v>
      </c>
    </row>
    <row r="16" spans="1:22" hidden="1">
      <c r="A16" t="s">
        <v>598</v>
      </c>
      <c r="B16" t="s">
        <v>1366</v>
      </c>
      <c r="C16">
        <v>1</v>
      </c>
      <c r="D16">
        <v>1</v>
      </c>
      <c r="E16" s="672">
        <f>10*30+15</f>
        <v>315</v>
      </c>
      <c r="F16" s="708">
        <v>0</v>
      </c>
      <c r="G16" t="s">
        <v>268</v>
      </c>
      <c r="H16" s="672">
        <v>0</v>
      </c>
      <c r="I16">
        <v>28119000</v>
      </c>
      <c r="J16">
        <v>28119000</v>
      </c>
      <c r="K16">
        <v>0</v>
      </c>
      <c r="L16">
        <v>0</v>
      </c>
      <c r="M16" t="s">
        <v>276</v>
      </c>
      <c r="N16" t="s">
        <v>277</v>
      </c>
      <c r="O16" t="s">
        <v>284</v>
      </c>
      <c r="P16" t="s">
        <v>278</v>
      </c>
      <c r="Q16" t="s">
        <v>280</v>
      </c>
      <c r="R16">
        <v>12</v>
      </c>
      <c r="S16" s="672" t="b">
        <f t="shared" si="0"/>
        <v>0</v>
      </c>
      <c r="T16" t="s">
        <v>596</v>
      </c>
    </row>
    <row r="17" spans="1:20" hidden="1">
      <c r="A17" t="s">
        <v>610</v>
      </c>
      <c r="B17" t="s">
        <v>1367</v>
      </c>
      <c r="C17">
        <v>3</v>
      </c>
      <c r="D17">
        <v>3</v>
      </c>
      <c r="E17">
        <v>10</v>
      </c>
      <c r="F17" s="8">
        <v>1</v>
      </c>
      <c r="G17" t="s">
        <v>265</v>
      </c>
      <c r="H17" s="672">
        <v>0</v>
      </c>
      <c r="I17">
        <v>30000000</v>
      </c>
      <c r="J17">
        <v>30000000</v>
      </c>
      <c r="K17">
        <v>0</v>
      </c>
      <c r="L17">
        <v>0</v>
      </c>
      <c r="M17" t="s">
        <v>276</v>
      </c>
      <c r="N17" t="s">
        <v>277</v>
      </c>
      <c r="O17" t="s">
        <v>284</v>
      </c>
      <c r="P17" t="s">
        <v>278</v>
      </c>
      <c r="Q17" t="s">
        <v>280</v>
      </c>
      <c r="R17">
        <v>13</v>
      </c>
      <c r="S17" s="672" t="b">
        <f t="shared" si="0"/>
        <v>0</v>
      </c>
      <c r="T17" t="s">
        <v>596</v>
      </c>
    </row>
    <row r="18" spans="1:20" hidden="1">
      <c r="A18" t="s">
        <v>598</v>
      </c>
      <c r="B18" t="s">
        <v>1368</v>
      </c>
      <c r="C18">
        <v>1</v>
      </c>
      <c r="D18">
        <v>1</v>
      </c>
      <c r="E18">
        <v>11</v>
      </c>
      <c r="F18" s="8">
        <v>1</v>
      </c>
      <c r="G18" t="s">
        <v>268</v>
      </c>
      <c r="H18" s="672">
        <v>0</v>
      </c>
      <c r="I18">
        <v>53460000</v>
      </c>
      <c r="J18">
        <v>53460000</v>
      </c>
      <c r="K18">
        <v>0</v>
      </c>
      <c r="L18">
        <v>0</v>
      </c>
      <c r="M18" t="s">
        <v>276</v>
      </c>
      <c r="N18" t="s">
        <v>277</v>
      </c>
      <c r="O18" t="s">
        <v>284</v>
      </c>
      <c r="P18" t="s">
        <v>278</v>
      </c>
      <c r="Q18" t="s">
        <v>280</v>
      </c>
      <c r="R18">
        <v>14</v>
      </c>
      <c r="S18" s="672" t="b">
        <f t="shared" si="0"/>
        <v>0</v>
      </c>
      <c r="T18" t="s">
        <v>596</v>
      </c>
    </row>
    <row r="19" spans="1:20" hidden="1">
      <c r="A19" t="s">
        <v>608</v>
      </c>
      <c r="B19" t="s">
        <v>1369</v>
      </c>
      <c r="C19">
        <v>3</v>
      </c>
      <c r="D19">
        <v>3</v>
      </c>
      <c r="E19">
        <v>8</v>
      </c>
      <c r="F19" s="8">
        <v>1</v>
      </c>
      <c r="G19" t="s">
        <v>257</v>
      </c>
      <c r="H19" s="672">
        <v>0</v>
      </c>
      <c r="I19">
        <v>20000000</v>
      </c>
      <c r="J19">
        <v>20000000</v>
      </c>
      <c r="K19">
        <v>0</v>
      </c>
      <c r="L19">
        <v>0</v>
      </c>
      <c r="M19" t="s">
        <v>276</v>
      </c>
      <c r="N19" t="s">
        <v>277</v>
      </c>
      <c r="O19" t="s">
        <v>284</v>
      </c>
      <c r="P19" t="s">
        <v>278</v>
      </c>
      <c r="Q19" t="s">
        <v>280</v>
      </c>
      <c r="R19">
        <v>15</v>
      </c>
      <c r="S19" s="672" t="b">
        <f t="shared" si="0"/>
        <v>0</v>
      </c>
      <c r="T19" t="s">
        <v>596</v>
      </c>
    </row>
    <row r="20" spans="1:20" hidden="1">
      <c r="A20" t="s">
        <v>598</v>
      </c>
      <c r="B20" t="s">
        <v>1370</v>
      </c>
      <c r="C20">
        <v>1</v>
      </c>
      <c r="D20">
        <v>1</v>
      </c>
      <c r="E20">
        <v>11</v>
      </c>
      <c r="F20" s="8">
        <v>1</v>
      </c>
      <c r="G20" t="s">
        <v>268</v>
      </c>
      <c r="H20" s="672">
        <v>0</v>
      </c>
      <c r="I20">
        <v>53460000</v>
      </c>
      <c r="J20">
        <v>53460000</v>
      </c>
      <c r="K20">
        <v>0</v>
      </c>
      <c r="L20">
        <v>0</v>
      </c>
      <c r="M20" t="s">
        <v>276</v>
      </c>
      <c r="N20" t="s">
        <v>277</v>
      </c>
      <c r="O20" t="s">
        <v>284</v>
      </c>
      <c r="P20" t="s">
        <v>278</v>
      </c>
      <c r="Q20" t="s">
        <v>280</v>
      </c>
      <c r="R20">
        <v>16</v>
      </c>
      <c r="S20" s="672" t="b">
        <f t="shared" si="0"/>
        <v>0</v>
      </c>
      <c r="T20" t="s">
        <v>596</v>
      </c>
    </row>
    <row r="21" spans="1:20" hidden="1">
      <c r="A21" t="s">
        <v>615</v>
      </c>
      <c r="B21" t="s">
        <v>1371</v>
      </c>
      <c r="C21">
        <v>3</v>
      </c>
      <c r="D21">
        <v>3</v>
      </c>
      <c r="E21">
        <v>6</v>
      </c>
      <c r="F21" s="8">
        <v>1</v>
      </c>
      <c r="G21" t="s">
        <v>264</v>
      </c>
      <c r="H21" s="672">
        <v>0</v>
      </c>
      <c r="I21">
        <v>15000000</v>
      </c>
      <c r="J21">
        <v>15000000</v>
      </c>
      <c r="K21">
        <v>0</v>
      </c>
      <c r="L21">
        <v>0</v>
      </c>
      <c r="M21" t="s">
        <v>276</v>
      </c>
      <c r="N21" t="s">
        <v>277</v>
      </c>
      <c r="O21" t="s">
        <v>284</v>
      </c>
      <c r="P21" t="s">
        <v>278</v>
      </c>
      <c r="Q21" t="s">
        <v>280</v>
      </c>
      <c r="R21">
        <v>17</v>
      </c>
      <c r="S21" s="672" t="b">
        <f t="shared" si="0"/>
        <v>0</v>
      </c>
      <c r="T21" t="s">
        <v>596</v>
      </c>
    </row>
    <row r="22" spans="1:20" hidden="1">
      <c r="A22" t="s">
        <v>598</v>
      </c>
      <c r="B22" t="s">
        <v>1372</v>
      </c>
      <c r="C22">
        <v>1</v>
      </c>
      <c r="D22">
        <v>1</v>
      </c>
      <c r="E22">
        <v>11</v>
      </c>
      <c r="F22" s="8">
        <v>1</v>
      </c>
      <c r="G22" t="s">
        <v>268</v>
      </c>
      <c r="H22" s="672">
        <v>0</v>
      </c>
      <c r="I22">
        <v>53460000</v>
      </c>
      <c r="J22">
        <v>53460000</v>
      </c>
      <c r="K22">
        <v>0</v>
      </c>
      <c r="L22">
        <v>0</v>
      </c>
      <c r="M22" t="s">
        <v>276</v>
      </c>
      <c r="N22" t="s">
        <v>277</v>
      </c>
      <c r="O22" t="s">
        <v>284</v>
      </c>
      <c r="P22" t="s">
        <v>278</v>
      </c>
      <c r="Q22" t="s">
        <v>280</v>
      </c>
      <c r="R22">
        <v>18</v>
      </c>
      <c r="S22" s="672" t="b">
        <f t="shared" si="0"/>
        <v>0</v>
      </c>
      <c r="T22" t="s">
        <v>596</v>
      </c>
    </row>
    <row r="23" spans="1:20" hidden="1">
      <c r="A23" t="s">
        <v>598</v>
      </c>
      <c r="B23" t="s">
        <v>1373</v>
      </c>
      <c r="C23">
        <v>1</v>
      </c>
      <c r="D23">
        <v>1</v>
      </c>
      <c r="E23" s="672">
        <f>10*30+15</f>
        <v>315</v>
      </c>
      <c r="F23" s="708">
        <v>0</v>
      </c>
      <c r="G23" t="s">
        <v>268</v>
      </c>
      <c r="H23" s="672">
        <v>0</v>
      </c>
      <c r="I23">
        <v>28119000</v>
      </c>
      <c r="J23">
        <v>28119000</v>
      </c>
      <c r="K23">
        <v>0</v>
      </c>
      <c r="L23">
        <v>0</v>
      </c>
      <c r="M23" t="s">
        <v>276</v>
      </c>
      <c r="N23" t="s">
        <v>277</v>
      </c>
      <c r="O23" t="s">
        <v>284</v>
      </c>
      <c r="P23" t="s">
        <v>278</v>
      </c>
      <c r="Q23" t="s">
        <v>280</v>
      </c>
      <c r="R23">
        <v>19</v>
      </c>
      <c r="S23" s="672" t="b">
        <f t="shared" si="0"/>
        <v>0</v>
      </c>
      <c r="T23" t="s">
        <v>596</v>
      </c>
    </row>
    <row r="24" spans="1:20" hidden="1">
      <c r="A24" t="s">
        <v>598</v>
      </c>
      <c r="B24" t="s">
        <v>1374</v>
      </c>
      <c r="C24">
        <v>1</v>
      </c>
      <c r="D24">
        <v>1</v>
      </c>
      <c r="E24" s="672">
        <f>10*30+15</f>
        <v>315</v>
      </c>
      <c r="F24" s="708">
        <v>0</v>
      </c>
      <c r="G24" t="s">
        <v>268</v>
      </c>
      <c r="H24" s="672">
        <v>0</v>
      </c>
      <c r="I24">
        <v>28119000</v>
      </c>
      <c r="J24">
        <v>28119000</v>
      </c>
      <c r="K24">
        <v>0</v>
      </c>
      <c r="L24">
        <v>0</v>
      </c>
      <c r="M24" t="s">
        <v>276</v>
      </c>
      <c r="N24" t="s">
        <v>277</v>
      </c>
      <c r="O24" t="s">
        <v>284</v>
      </c>
      <c r="P24" t="s">
        <v>278</v>
      </c>
      <c r="Q24" t="s">
        <v>280</v>
      </c>
      <c r="R24">
        <v>20</v>
      </c>
      <c r="S24" s="672" t="b">
        <f t="shared" si="0"/>
        <v>0</v>
      </c>
      <c r="T24" t="s">
        <v>596</v>
      </c>
    </row>
    <row r="25" spans="1:20" hidden="1">
      <c r="A25" t="s">
        <v>618</v>
      </c>
      <c r="B25" t="s">
        <v>1375</v>
      </c>
      <c r="C25">
        <v>5</v>
      </c>
      <c r="D25">
        <v>5</v>
      </c>
      <c r="E25">
        <v>2</v>
      </c>
      <c r="F25" s="8">
        <v>1</v>
      </c>
      <c r="G25" t="s">
        <v>268</v>
      </c>
      <c r="H25" s="672">
        <v>0</v>
      </c>
      <c r="I25">
        <v>7000000</v>
      </c>
      <c r="J25">
        <v>7000000</v>
      </c>
      <c r="K25">
        <v>0</v>
      </c>
      <c r="L25">
        <v>0</v>
      </c>
      <c r="M25" t="s">
        <v>276</v>
      </c>
      <c r="N25" t="s">
        <v>277</v>
      </c>
      <c r="O25" t="s">
        <v>284</v>
      </c>
      <c r="P25" t="s">
        <v>278</v>
      </c>
      <c r="Q25" t="s">
        <v>280</v>
      </c>
      <c r="R25">
        <v>21</v>
      </c>
      <c r="S25" s="672" t="b">
        <f t="shared" si="0"/>
        <v>0</v>
      </c>
      <c r="T25" t="s">
        <v>27</v>
      </c>
    </row>
    <row r="26" spans="1:20" hidden="1">
      <c r="A26" t="s">
        <v>618</v>
      </c>
      <c r="B26" t="s">
        <v>1376</v>
      </c>
      <c r="C26">
        <v>1</v>
      </c>
      <c r="D26">
        <v>1</v>
      </c>
      <c r="E26">
        <v>11</v>
      </c>
      <c r="F26" s="8">
        <v>1</v>
      </c>
      <c r="G26" t="s">
        <v>268</v>
      </c>
      <c r="H26" s="672">
        <v>0</v>
      </c>
      <c r="I26">
        <v>61380000</v>
      </c>
      <c r="J26">
        <v>61380000</v>
      </c>
      <c r="K26">
        <v>0</v>
      </c>
      <c r="L26">
        <v>0</v>
      </c>
      <c r="M26" t="s">
        <v>276</v>
      </c>
      <c r="N26" t="s">
        <v>277</v>
      </c>
      <c r="O26" t="s">
        <v>284</v>
      </c>
      <c r="P26" t="s">
        <v>278</v>
      </c>
      <c r="Q26" t="s">
        <v>280</v>
      </c>
      <c r="R26">
        <v>22</v>
      </c>
      <c r="S26" s="672" t="b">
        <f t="shared" si="0"/>
        <v>0</v>
      </c>
      <c r="T26" t="s">
        <v>27</v>
      </c>
    </row>
    <row r="27" spans="1:20" hidden="1">
      <c r="A27" t="s">
        <v>618</v>
      </c>
      <c r="B27" t="s">
        <v>1377</v>
      </c>
      <c r="C27">
        <v>1</v>
      </c>
      <c r="D27">
        <v>1</v>
      </c>
      <c r="E27">
        <v>3</v>
      </c>
      <c r="F27" s="8">
        <v>1</v>
      </c>
      <c r="G27" t="s">
        <v>268</v>
      </c>
      <c r="H27" s="672">
        <v>0</v>
      </c>
      <c r="I27">
        <v>14520000</v>
      </c>
      <c r="J27">
        <v>14520000</v>
      </c>
      <c r="K27">
        <v>0</v>
      </c>
      <c r="L27">
        <v>0</v>
      </c>
      <c r="M27" t="s">
        <v>276</v>
      </c>
      <c r="N27" t="s">
        <v>277</v>
      </c>
      <c r="O27" t="s">
        <v>284</v>
      </c>
      <c r="P27" t="s">
        <v>278</v>
      </c>
      <c r="Q27" t="s">
        <v>280</v>
      </c>
      <c r="R27">
        <v>23</v>
      </c>
      <c r="S27" s="672" t="b">
        <f t="shared" si="0"/>
        <v>0</v>
      </c>
      <c r="T27" t="s">
        <v>27</v>
      </c>
    </row>
    <row r="28" spans="1:20" s="709" customFormat="1" hidden="1">
      <c r="A28" s="709" t="s">
        <v>618</v>
      </c>
      <c r="B28" s="709" t="s">
        <v>1378</v>
      </c>
      <c r="C28" s="709">
        <v>1</v>
      </c>
      <c r="D28" s="709">
        <v>1</v>
      </c>
      <c r="E28" s="709">
        <v>11</v>
      </c>
      <c r="F28" s="711">
        <v>1</v>
      </c>
      <c r="G28" s="709" t="s">
        <v>268</v>
      </c>
      <c r="H28" s="709">
        <v>0</v>
      </c>
      <c r="I28" s="709">
        <f>36303381+30576619</f>
        <v>66880000</v>
      </c>
      <c r="J28" s="709">
        <f>36303381+30576619</f>
        <v>66880000</v>
      </c>
      <c r="K28" s="709">
        <v>0</v>
      </c>
      <c r="L28" s="709">
        <v>0</v>
      </c>
      <c r="M28" s="709" t="s">
        <v>276</v>
      </c>
      <c r="N28" s="709" t="s">
        <v>277</v>
      </c>
      <c r="O28" s="709" t="s">
        <v>284</v>
      </c>
      <c r="P28" s="709" t="s">
        <v>278</v>
      </c>
      <c r="Q28" s="709" t="s">
        <v>280</v>
      </c>
      <c r="R28" s="709">
        <v>24</v>
      </c>
      <c r="S28" s="709" t="e">
        <f>+R28=#REF!</f>
        <v>#REF!</v>
      </c>
      <c r="T28" s="709" t="s">
        <v>27</v>
      </c>
    </row>
    <row r="29" spans="1:20" hidden="1">
      <c r="A29" t="s">
        <v>618</v>
      </c>
      <c r="B29" t="s">
        <v>1379</v>
      </c>
      <c r="C29">
        <v>1</v>
      </c>
      <c r="D29">
        <v>1</v>
      </c>
      <c r="E29">
        <v>2</v>
      </c>
      <c r="F29" s="8">
        <v>1</v>
      </c>
      <c r="G29" t="s">
        <v>268</v>
      </c>
      <c r="H29" s="672">
        <v>0</v>
      </c>
      <c r="I29">
        <v>17000000</v>
      </c>
      <c r="J29">
        <v>17000000</v>
      </c>
      <c r="K29">
        <v>0</v>
      </c>
      <c r="L29">
        <v>0</v>
      </c>
      <c r="M29" t="s">
        <v>276</v>
      </c>
      <c r="N29" t="s">
        <v>277</v>
      </c>
      <c r="O29" t="s">
        <v>284</v>
      </c>
      <c r="P29" t="s">
        <v>278</v>
      </c>
      <c r="Q29" t="s">
        <v>280</v>
      </c>
      <c r="R29">
        <v>25</v>
      </c>
      <c r="S29" s="672" t="b">
        <f t="shared" si="0"/>
        <v>0</v>
      </c>
      <c r="T29" t="s">
        <v>27</v>
      </c>
    </row>
    <row r="30" spans="1:20" hidden="1">
      <c r="A30" t="s">
        <v>618</v>
      </c>
      <c r="B30" t="s">
        <v>1380</v>
      </c>
      <c r="C30">
        <v>2</v>
      </c>
      <c r="D30">
        <v>2</v>
      </c>
      <c r="E30">
        <v>10</v>
      </c>
      <c r="F30" s="8">
        <v>1</v>
      </c>
      <c r="G30" t="s">
        <v>268</v>
      </c>
      <c r="H30" s="672">
        <v>0</v>
      </c>
      <c r="I30">
        <v>20000000</v>
      </c>
      <c r="J30">
        <v>20000000</v>
      </c>
      <c r="K30">
        <v>0</v>
      </c>
      <c r="L30">
        <v>0</v>
      </c>
      <c r="M30" t="s">
        <v>276</v>
      </c>
      <c r="N30" t="s">
        <v>277</v>
      </c>
      <c r="O30" t="s">
        <v>284</v>
      </c>
      <c r="P30" t="s">
        <v>278</v>
      </c>
      <c r="Q30" t="s">
        <v>280</v>
      </c>
      <c r="R30">
        <v>26</v>
      </c>
      <c r="S30" s="672" t="b">
        <f t="shared" si="0"/>
        <v>0</v>
      </c>
      <c r="T30" t="s">
        <v>27</v>
      </c>
    </row>
    <row r="31" spans="1:20" hidden="1">
      <c r="A31" t="s">
        <v>625</v>
      </c>
      <c r="B31" t="s">
        <v>1381</v>
      </c>
      <c r="C31">
        <v>6</v>
      </c>
      <c r="D31">
        <v>6</v>
      </c>
      <c r="E31">
        <v>4</v>
      </c>
      <c r="F31" s="8">
        <v>1</v>
      </c>
      <c r="G31" t="s">
        <v>266</v>
      </c>
      <c r="H31" s="672">
        <v>0</v>
      </c>
      <c r="I31">
        <v>8000000</v>
      </c>
      <c r="J31">
        <v>8000000</v>
      </c>
      <c r="K31">
        <v>0</v>
      </c>
      <c r="L31">
        <v>0</v>
      </c>
      <c r="M31" t="s">
        <v>276</v>
      </c>
      <c r="N31" t="s">
        <v>277</v>
      </c>
      <c r="O31" t="s">
        <v>284</v>
      </c>
      <c r="P31" t="s">
        <v>278</v>
      </c>
      <c r="Q31" t="s">
        <v>280</v>
      </c>
      <c r="R31">
        <v>27</v>
      </c>
      <c r="S31" s="672" t="b">
        <f t="shared" si="0"/>
        <v>0</v>
      </c>
      <c r="T31" t="s">
        <v>27</v>
      </c>
    </row>
    <row r="32" spans="1:20" hidden="1">
      <c r="A32" t="s">
        <v>627</v>
      </c>
      <c r="B32" t="s">
        <v>1382</v>
      </c>
      <c r="C32">
        <v>3</v>
      </c>
      <c r="D32">
        <v>3</v>
      </c>
      <c r="E32">
        <v>3</v>
      </c>
      <c r="F32" s="8">
        <v>1</v>
      </c>
      <c r="G32" t="s">
        <v>265</v>
      </c>
      <c r="H32" s="672">
        <v>0</v>
      </c>
      <c r="I32">
        <v>20000000</v>
      </c>
      <c r="J32">
        <v>20000000</v>
      </c>
      <c r="K32">
        <v>0</v>
      </c>
      <c r="L32">
        <v>0</v>
      </c>
      <c r="M32" t="s">
        <v>276</v>
      </c>
      <c r="N32" t="s">
        <v>277</v>
      </c>
      <c r="O32" t="s">
        <v>284</v>
      </c>
      <c r="P32" t="s">
        <v>278</v>
      </c>
      <c r="Q32" t="s">
        <v>280</v>
      </c>
      <c r="R32">
        <v>28</v>
      </c>
      <c r="S32" s="672" t="b">
        <f t="shared" si="0"/>
        <v>0</v>
      </c>
      <c r="T32" t="s">
        <v>27</v>
      </c>
    </row>
    <row r="33" spans="1:20" hidden="1">
      <c r="A33" t="s">
        <v>618</v>
      </c>
      <c r="B33" t="s">
        <v>1383</v>
      </c>
      <c r="C33">
        <v>1</v>
      </c>
      <c r="D33">
        <v>1</v>
      </c>
      <c r="E33">
        <v>3</v>
      </c>
      <c r="F33" s="8">
        <v>1</v>
      </c>
      <c r="G33" t="s">
        <v>268</v>
      </c>
      <c r="H33" s="672">
        <v>0</v>
      </c>
      <c r="I33">
        <v>18240000</v>
      </c>
      <c r="J33">
        <v>18240000</v>
      </c>
      <c r="K33">
        <v>0</v>
      </c>
      <c r="L33">
        <v>0</v>
      </c>
      <c r="M33" t="s">
        <v>276</v>
      </c>
      <c r="N33" t="s">
        <v>277</v>
      </c>
      <c r="O33" t="s">
        <v>284</v>
      </c>
      <c r="P33" t="s">
        <v>278</v>
      </c>
      <c r="Q33" t="s">
        <v>280</v>
      </c>
      <c r="R33">
        <v>29</v>
      </c>
      <c r="S33" s="672" t="b">
        <f t="shared" si="0"/>
        <v>0</v>
      </c>
      <c r="T33" t="s">
        <v>27</v>
      </c>
    </row>
    <row r="34" spans="1:20" hidden="1">
      <c r="A34" t="s">
        <v>618</v>
      </c>
      <c r="B34" t="s">
        <v>1384</v>
      </c>
      <c r="C34">
        <v>1</v>
      </c>
      <c r="D34">
        <v>1</v>
      </c>
      <c r="E34">
        <v>11</v>
      </c>
      <c r="F34" s="8">
        <v>1</v>
      </c>
      <c r="G34" t="s">
        <v>268</v>
      </c>
      <c r="H34" s="672">
        <v>0</v>
      </c>
      <c r="I34">
        <v>66880000</v>
      </c>
      <c r="J34">
        <v>66880000</v>
      </c>
      <c r="K34">
        <v>0</v>
      </c>
      <c r="L34">
        <v>0</v>
      </c>
      <c r="M34" t="s">
        <v>276</v>
      </c>
      <c r="N34" t="s">
        <v>277</v>
      </c>
      <c r="O34" t="s">
        <v>284</v>
      </c>
      <c r="P34" t="s">
        <v>278</v>
      </c>
      <c r="Q34" t="s">
        <v>280</v>
      </c>
      <c r="R34">
        <v>30</v>
      </c>
      <c r="S34" s="672" t="b">
        <f t="shared" si="0"/>
        <v>0</v>
      </c>
      <c r="T34" t="s">
        <v>27</v>
      </c>
    </row>
    <row r="35" spans="1:20" hidden="1">
      <c r="A35" t="s">
        <v>618</v>
      </c>
      <c r="B35" t="s">
        <v>1385</v>
      </c>
      <c r="C35">
        <v>1</v>
      </c>
      <c r="D35">
        <v>1</v>
      </c>
      <c r="E35">
        <v>11</v>
      </c>
      <c r="F35" s="8">
        <v>1</v>
      </c>
      <c r="G35" t="s">
        <v>268</v>
      </c>
      <c r="H35" s="672">
        <v>0</v>
      </c>
      <c r="I35">
        <v>95260000</v>
      </c>
      <c r="J35">
        <v>95260000</v>
      </c>
      <c r="K35">
        <v>0</v>
      </c>
      <c r="L35">
        <v>0</v>
      </c>
      <c r="M35" t="s">
        <v>276</v>
      </c>
      <c r="N35" t="s">
        <v>277</v>
      </c>
      <c r="O35" t="s">
        <v>284</v>
      </c>
      <c r="P35" t="s">
        <v>278</v>
      </c>
      <c r="Q35" t="s">
        <v>280</v>
      </c>
      <c r="R35">
        <v>31</v>
      </c>
      <c r="S35" s="672" t="b">
        <f t="shared" si="0"/>
        <v>0</v>
      </c>
      <c r="T35" t="s">
        <v>27</v>
      </c>
    </row>
    <row r="36" spans="1:20" hidden="1">
      <c r="A36" t="s">
        <v>618</v>
      </c>
      <c r="B36" t="s">
        <v>1386</v>
      </c>
      <c r="C36">
        <v>1</v>
      </c>
      <c r="D36">
        <v>1</v>
      </c>
      <c r="E36">
        <v>11</v>
      </c>
      <c r="F36" s="8">
        <v>1</v>
      </c>
      <c r="G36" t="s">
        <v>268</v>
      </c>
      <c r="H36" s="672">
        <v>0</v>
      </c>
      <c r="I36">
        <v>72820000</v>
      </c>
      <c r="J36">
        <v>72820000</v>
      </c>
      <c r="K36">
        <v>0</v>
      </c>
      <c r="L36">
        <v>0</v>
      </c>
      <c r="M36" t="s">
        <v>276</v>
      </c>
      <c r="N36" t="s">
        <v>277</v>
      </c>
      <c r="O36" t="s">
        <v>284</v>
      </c>
      <c r="P36" t="s">
        <v>278</v>
      </c>
      <c r="Q36" t="s">
        <v>280</v>
      </c>
      <c r="R36">
        <v>32</v>
      </c>
      <c r="S36" s="672" t="b">
        <f t="shared" si="0"/>
        <v>0</v>
      </c>
      <c r="T36" t="s">
        <v>27</v>
      </c>
    </row>
    <row r="37" spans="1:20" hidden="1">
      <c r="A37" t="s">
        <v>618</v>
      </c>
      <c r="B37" t="s">
        <v>1387</v>
      </c>
      <c r="C37">
        <v>1</v>
      </c>
      <c r="D37">
        <v>1</v>
      </c>
      <c r="E37">
        <v>11</v>
      </c>
      <c r="F37" s="8">
        <v>1</v>
      </c>
      <c r="G37" t="s">
        <v>268</v>
      </c>
      <c r="H37" s="672">
        <v>0</v>
      </c>
      <c r="I37">
        <v>61380000</v>
      </c>
      <c r="J37">
        <v>61380000</v>
      </c>
      <c r="K37">
        <v>0</v>
      </c>
      <c r="L37">
        <v>0</v>
      </c>
      <c r="M37" t="s">
        <v>276</v>
      </c>
      <c r="N37" t="s">
        <v>277</v>
      </c>
      <c r="O37" t="s">
        <v>284</v>
      </c>
      <c r="P37" t="s">
        <v>278</v>
      </c>
      <c r="Q37" t="s">
        <v>280</v>
      </c>
      <c r="R37">
        <v>33</v>
      </c>
      <c r="S37" s="672" t="b">
        <f t="shared" si="0"/>
        <v>0</v>
      </c>
      <c r="T37" t="s">
        <v>27</v>
      </c>
    </row>
    <row r="38" spans="1:20" hidden="1">
      <c r="A38" t="s">
        <v>602</v>
      </c>
      <c r="B38" t="s">
        <v>1388</v>
      </c>
      <c r="C38">
        <v>3</v>
      </c>
      <c r="D38">
        <v>3</v>
      </c>
      <c r="E38">
        <v>1</v>
      </c>
      <c r="F38" s="8">
        <v>1</v>
      </c>
      <c r="G38" t="s">
        <v>265</v>
      </c>
      <c r="H38" s="672">
        <v>0</v>
      </c>
      <c r="I38">
        <v>12000000</v>
      </c>
      <c r="J38">
        <v>12000000</v>
      </c>
      <c r="K38">
        <v>0</v>
      </c>
      <c r="L38">
        <v>0</v>
      </c>
      <c r="M38" t="s">
        <v>276</v>
      </c>
      <c r="N38" t="s">
        <v>277</v>
      </c>
      <c r="O38" t="s">
        <v>284</v>
      </c>
      <c r="P38" t="s">
        <v>278</v>
      </c>
      <c r="Q38" t="s">
        <v>280</v>
      </c>
      <c r="R38">
        <v>34</v>
      </c>
      <c r="S38" s="672" t="b">
        <f t="shared" si="0"/>
        <v>0</v>
      </c>
      <c r="T38" t="s">
        <v>27</v>
      </c>
    </row>
    <row r="39" spans="1:20" hidden="1">
      <c r="A39" t="s">
        <v>618</v>
      </c>
      <c r="B39" t="s">
        <v>1389</v>
      </c>
      <c r="C39">
        <v>1</v>
      </c>
      <c r="D39">
        <v>1</v>
      </c>
      <c r="E39">
        <v>11</v>
      </c>
      <c r="F39" s="8">
        <v>1</v>
      </c>
      <c r="G39" t="s">
        <v>268</v>
      </c>
      <c r="H39" s="672">
        <v>0</v>
      </c>
      <c r="I39">
        <v>55000000</v>
      </c>
      <c r="J39">
        <v>55000000</v>
      </c>
      <c r="K39">
        <v>0</v>
      </c>
      <c r="L39">
        <v>0</v>
      </c>
      <c r="M39" t="s">
        <v>276</v>
      </c>
      <c r="N39" t="s">
        <v>277</v>
      </c>
      <c r="O39" t="s">
        <v>284</v>
      </c>
      <c r="P39" t="s">
        <v>278</v>
      </c>
      <c r="Q39" t="s">
        <v>280</v>
      </c>
      <c r="R39">
        <v>35</v>
      </c>
      <c r="S39" s="672" t="b">
        <f t="shared" si="0"/>
        <v>0</v>
      </c>
      <c r="T39" t="s">
        <v>27</v>
      </c>
    </row>
    <row r="40" spans="1:20" s="709" customFormat="1" hidden="1">
      <c r="A40" s="709" t="s">
        <v>604</v>
      </c>
      <c r="B40" s="709" t="s">
        <v>1390</v>
      </c>
      <c r="C40" s="709">
        <v>1</v>
      </c>
      <c r="D40" s="709">
        <v>1</v>
      </c>
      <c r="E40" s="709">
        <v>10</v>
      </c>
      <c r="F40" s="711">
        <v>1</v>
      </c>
      <c r="G40" s="709" t="s">
        <v>268</v>
      </c>
      <c r="H40" s="709">
        <v>0</v>
      </c>
      <c r="I40" s="709">
        <f>340000000+268964824</f>
        <v>608964824</v>
      </c>
      <c r="J40" s="709">
        <f>340000000+268964824</f>
        <v>608964824</v>
      </c>
      <c r="K40" s="709">
        <v>0</v>
      </c>
      <c r="L40" s="709">
        <v>0</v>
      </c>
      <c r="M40" s="709" t="s">
        <v>276</v>
      </c>
      <c r="N40" s="709" t="s">
        <v>277</v>
      </c>
      <c r="O40" s="709" t="s">
        <v>284</v>
      </c>
      <c r="P40" s="709" t="s">
        <v>278</v>
      </c>
      <c r="Q40" s="709" t="s">
        <v>280</v>
      </c>
      <c r="R40" s="709">
        <v>36</v>
      </c>
      <c r="S40" s="709" t="e">
        <f>+R40=#REF!</f>
        <v>#REF!</v>
      </c>
      <c r="T40" s="709" t="s">
        <v>27</v>
      </c>
    </row>
    <row r="41" spans="1:20" hidden="1">
      <c r="A41" t="s">
        <v>618</v>
      </c>
      <c r="B41" t="s">
        <v>1391</v>
      </c>
      <c r="C41">
        <v>1</v>
      </c>
      <c r="D41">
        <v>1</v>
      </c>
      <c r="E41">
        <v>8</v>
      </c>
      <c r="F41" s="8">
        <v>1</v>
      </c>
      <c r="G41" t="s">
        <v>268</v>
      </c>
      <c r="H41" s="672">
        <v>0</v>
      </c>
      <c r="I41">
        <v>52000000</v>
      </c>
      <c r="J41">
        <v>52000000</v>
      </c>
      <c r="K41">
        <v>0</v>
      </c>
      <c r="L41">
        <v>0</v>
      </c>
      <c r="M41" t="s">
        <v>276</v>
      </c>
      <c r="N41" t="s">
        <v>277</v>
      </c>
      <c r="O41" t="s">
        <v>284</v>
      </c>
      <c r="P41" t="s">
        <v>278</v>
      </c>
      <c r="Q41" t="s">
        <v>280</v>
      </c>
      <c r="R41">
        <v>37</v>
      </c>
      <c r="S41" s="672" t="b">
        <f t="shared" si="0"/>
        <v>0</v>
      </c>
      <c r="T41" t="s">
        <v>27</v>
      </c>
    </row>
    <row r="42" spans="1:20" hidden="1">
      <c r="A42" t="s">
        <v>618</v>
      </c>
      <c r="B42" t="s">
        <v>1392</v>
      </c>
      <c r="C42">
        <v>5</v>
      </c>
      <c r="D42">
        <v>5</v>
      </c>
      <c r="E42">
        <v>6</v>
      </c>
      <c r="F42" s="8">
        <v>2</v>
      </c>
      <c r="G42" t="s">
        <v>268</v>
      </c>
      <c r="H42" s="672">
        <v>0</v>
      </c>
      <c r="I42">
        <v>30000000</v>
      </c>
      <c r="J42">
        <v>30000000</v>
      </c>
      <c r="K42">
        <v>0</v>
      </c>
      <c r="L42">
        <v>0</v>
      </c>
      <c r="M42" t="s">
        <v>276</v>
      </c>
      <c r="N42" t="s">
        <v>277</v>
      </c>
      <c r="O42" t="s">
        <v>284</v>
      </c>
      <c r="P42" t="s">
        <v>278</v>
      </c>
      <c r="Q42" t="s">
        <v>280</v>
      </c>
      <c r="R42">
        <v>38</v>
      </c>
      <c r="S42" s="672" t="b">
        <f t="shared" si="0"/>
        <v>0</v>
      </c>
      <c r="T42" t="s">
        <v>27</v>
      </c>
    </row>
    <row r="43" spans="1:20" hidden="1">
      <c r="A43" t="s">
        <v>618</v>
      </c>
      <c r="B43" t="s">
        <v>1393</v>
      </c>
      <c r="C43">
        <v>2</v>
      </c>
      <c r="D43">
        <v>2</v>
      </c>
      <c r="E43">
        <v>5</v>
      </c>
      <c r="F43" s="8">
        <v>1</v>
      </c>
      <c r="G43" t="s">
        <v>268</v>
      </c>
      <c r="H43" s="672">
        <v>0</v>
      </c>
      <c r="I43">
        <v>20000000</v>
      </c>
      <c r="J43">
        <v>20000000</v>
      </c>
      <c r="K43">
        <v>0</v>
      </c>
      <c r="L43">
        <v>0</v>
      </c>
      <c r="M43" t="s">
        <v>276</v>
      </c>
      <c r="N43" t="s">
        <v>277</v>
      </c>
      <c r="O43" t="s">
        <v>284</v>
      </c>
      <c r="P43" t="s">
        <v>278</v>
      </c>
      <c r="Q43" t="s">
        <v>280</v>
      </c>
      <c r="R43">
        <v>39</v>
      </c>
      <c r="S43" s="672" t="b">
        <f t="shared" si="0"/>
        <v>0</v>
      </c>
      <c r="T43" t="s">
        <v>27</v>
      </c>
    </row>
    <row r="44" spans="1:20" hidden="1">
      <c r="A44">
        <v>81141504</v>
      </c>
      <c r="B44" t="s">
        <v>1394</v>
      </c>
      <c r="C44">
        <v>1</v>
      </c>
      <c r="D44">
        <v>1</v>
      </c>
      <c r="E44">
        <v>3</v>
      </c>
      <c r="F44" s="8">
        <v>1</v>
      </c>
      <c r="G44" t="s">
        <v>266</v>
      </c>
      <c r="H44" s="672">
        <v>0</v>
      </c>
      <c r="I44">
        <v>7000000</v>
      </c>
      <c r="J44">
        <v>7000000</v>
      </c>
      <c r="K44">
        <v>0</v>
      </c>
      <c r="L44">
        <v>0</v>
      </c>
      <c r="M44" t="s">
        <v>276</v>
      </c>
      <c r="N44" t="s">
        <v>277</v>
      </c>
      <c r="O44" t="s">
        <v>284</v>
      </c>
      <c r="P44" t="s">
        <v>278</v>
      </c>
      <c r="Q44" t="s">
        <v>280</v>
      </c>
      <c r="R44">
        <v>40</v>
      </c>
      <c r="S44" s="672" t="b">
        <f t="shared" si="0"/>
        <v>0</v>
      </c>
      <c r="T44" t="s">
        <v>27</v>
      </c>
    </row>
    <row r="45" spans="1:20" hidden="1">
      <c r="A45" t="s">
        <v>618</v>
      </c>
      <c r="B45" t="s">
        <v>1395</v>
      </c>
      <c r="C45">
        <v>1</v>
      </c>
      <c r="D45">
        <v>1</v>
      </c>
      <c r="E45">
        <v>3</v>
      </c>
      <c r="F45" s="8">
        <v>1</v>
      </c>
      <c r="G45" t="s">
        <v>268</v>
      </c>
      <c r="H45" s="672">
        <v>0</v>
      </c>
      <c r="I45">
        <v>7740000</v>
      </c>
      <c r="J45">
        <v>7740000</v>
      </c>
      <c r="K45">
        <v>0</v>
      </c>
      <c r="L45">
        <v>0</v>
      </c>
      <c r="M45" t="s">
        <v>276</v>
      </c>
      <c r="N45" t="s">
        <v>277</v>
      </c>
      <c r="O45" t="s">
        <v>284</v>
      </c>
      <c r="P45" t="s">
        <v>278</v>
      </c>
      <c r="Q45" t="s">
        <v>280</v>
      </c>
      <c r="R45">
        <v>41</v>
      </c>
      <c r="S45" s="672" t="b">
        <f t="shared" si="0"/>
        <v>0</v>
      </c>
      <c r="T45" t="s">
        <v>27</v>
      </c>
    </row>
    <row r="46" spans="1:20" hidden="1">
      <c r="A46" t="s">
        <v>618</v>
      </c>
      <c r="B46" t="s">
        <v>1396</v>
      </c>
      <c r="C46">
        <v>1</v>
      </c>
      <c r="D46">
        <v>1</v>
      </c>
      <c r="E46">
        <v>11</v>
      </c>
      <c r="F46" s="8">
        <v>1</v>
      </c>
      <c r="G46" t="s">
        <v>268</v>
      </c>
      <c r="H46" s="672">
        <v>0</v>
      </c>
      <c r="I46">
        <v>72820000</v>
      </c>
      <c r="J46">
        <v>72820000</v>
      </c>
      <c r="K46">
        <v>0</v>
      </c>
      <c r="L46">
        <v>0</v>
      </c>
      <c r="M46" t="s">
        <v>276</v>
      </c>
      <c r="N46" t="s">
        <v>277</v>
      </c>
      <c r="O46" t="s">
        <v>284</v>
      </c>
      <c r="P46" t="s">
        <v>278</v>
      </c>
      <c r="Q46" t="s">
        <v>280</v>
      </c>
      <c r="R46">
        <v>42</v>
      </c>
      <c r="S46" s="672" t="b">
        <f t="shared" si="0"/>
        <v>0</v>
      </c>
      <c r="T46" t="s">
        <v>27</v>
      </c>
    </row>
    <row r="47" spans="1:20" hidden="1">
      <c r="A47" t="s">
        <v>618</v>
      </c>
      <c r="B47" t="s">
        <v>1397</v>
      </c>
      <c r="C47">
        <v>1</v>
      </c>
      <c r="D47">
        <v>1</v>
      </c>
      <c r="E47">
        <v>11</v>
      </c>
      <c r="F47" s="8">
        <v>1</v>
      </c>
      <c r="G47" t="s">
        <v>268</v>
      </c>
      <c r="H47" s="672">
        <v>0</v>
      </c>
      <c r="I47">
        <v>65560000</v>
      </c>
      <c r="J47">
        <v>65560000</v>
      </c>
      <c r="K47">
        <v>0</v>
      </c>
      <c r="L47">
        <v>0</v>
      </c>
      <c r="M47" t="s">
        <v>276</v>
      </c>
      <c r="N47" t="s">
        <v>277</v>
      </c>
      <c r="O47" t="s">
        <v>284</v>
      </c>
      <c r="P47" t="s">
        <v>278</v>
      </c>
      <c r="Q47" t="s">
        <v>280</v>
      </c>
      <c r="R47">
        <v>43</v>
      </c>
      <c r="S47" s="672" t="b">
        <f t="shared" si="0"/>
        <v>0</v>
      </c>
      <c r="T47" t="s">
        <v>27</v>
      </c>
    </row>
    <row r="48" spans="1:20" hidden="1">
      <c r="A48" t="s">
        <v>618</v>
      </c>
      <c r="B48" t="s">
        <v>1398</v>
      </c>
      <c r="C48">
        <v>1</v>
      </c>
      <c r="D48">
        <v>1</v>
      </c>
      <c r="E48">
        <v>11</v>
      </c>
      <c r="F48" s="8">
        <v>1</v>
      </c>
      <c r="G48" t="s">
        <v>268</v>
      </c>
      <c r="H48" s="672">
        <v>0</v>
      </c>
      <c r="I48">
        <v>88000000</v>
      </c>
      <c r="J48">
        <v>88000000</v>
      </c>
      <c r="K48">
        <v>0</v>
      </c>
      <c r="L48">
        <v>0</v>
      </c>
      <c r="M48" t="s">
        <v>276</v>
      </c>
      <c r="N48" t="s">
        <v>277</v>
      </c>
      <c r="O48" t="s">
        <v>284</v>
      </c>
      <c r="P48" t="s">
        <v>278</v>
      </c>
      <c r="Q48" t="s">
        <v>280</v>
      </c>
      <c r="R48">
        <v>44</v>
      </c>
      <c r="S48" s="672" t="b">
        <f t="shared" si="0"/>
        <v>0</v>
      </c>
      <c r="T48" t="s">
        <v>27</v>
      </c>
    </row>
    <row r="49" spans="1:20" hidden="1">
      <c r="A49" t="s">
        <v>618</v>
      </c>
      <c r="B49" t="s">
        <v>1399</v>
      </c>
      <c r="C49">
        <v>5</v>
      </c>
      <c r="D49">
        <v>5</v>
      </c>
      <c r="E49">
        <v>4</v>
      </c>
      <c r="F49" s="8">
        <v>1</v>
      </c>
      <c r="G49" t="s">
        <v>268</v>
      </c>
      <c r="H49" s="672">
        <v>0</v>
      </c>
      <c r="I49">
        <v>16000000</v>
      </c>
      <c r="J49">
        <v>16000000</v>
      </c>
      <c r="K49">
        <v>0</v>
      </c>
      <c r="L49">
        <v>0</v>
      </c>
      <c r="M49" t="s">
        <v>276</v>
      </c>
      <c r="N49" t="s">
        <v>277</v>
      </c>
      <c r="O49" t="s">
        <v>284</v>
      </c>
      <c r="P49" t="s">
        <v>278</v>
      </c>
      <c r="Q49" t="s">
        <v>280</v>
      </c>
      <c r="R49">
        <v>45</v>
      </c>
      <c r="S49" s="672" t="b">
        <f t="shared" si="0"/>
        <v>0</v>
      </c>
      <c r="T49" t="s">
        <v>27</v>
      </c>
    </row>
    <row r="50" spans="1:20" hidden="1">
      <c r="A50" t="s">
        <v>618</v>
      </c>
      <c r="B50" t="s">
        <v>1400</v>
      </c>
      <c r="C50">
        <v>1</v>
      </c>
      <c r="D50">
        <v>1</v>
      </c>
      <c r="E50">
        <v>10</v>
      </c>
      <c r="F50" s="8">
        <v>1</v>
      </c>
      <c r="G50" t="s">
        <v>268</v>
      </c>
      <c r="H50" s="672">
        <v>0</v>
      </c>
      <c r="I50">
        <v>40000000</v>
      </c>
      <c r="J50">
        <v>40000000</v>
      </c>
      <c r="K50">
        <v>0</v>
      </c>
      <c r="L50">
        <v>0</v>
      </c>
      <c r="M50" t="s">
        <v>276</v>
      </c>
      <c r="N50" t="s">
        <v>277</v>
      </c>
      <c r="O50" t="s">
        <v>284</v>
      </c>
      <c r="P50" t="s">
        <v>278</v>
      </c>
      <c r="Q50" t="s">
        <v>280</v>
      </c>
      <c r="R50">
        <v>46</v>
      </c>
      <c r="S50" s="672" t="b">
        <f t="shared" si="0"/>
        <v>0</v>
      </c>
      <c r="T50" t="s">
        <v>27</v>
      </c>
    </row>
    <row r="51" spans="1:20" hidden="1">
      <c r="A51" t="s">
        <v>618</v>
      </c>
      <c r="B51" t="s">
        <v>1401</v>
      </c>
      <c r="C51">
        <v>1</v>
      </c>
      <c r="D51">
        <v>1</v>
      </c>
      <c r="E51">
        <v>11</v>
      </c>
      <c r="F51" s="8">
        <v>1</v>
      </c>
      <c r="G51" t="s">
        <v>268</v>
      </c>
      <c r="H51" s="672">
        <v>0</v>
      </c>
      <c r="I51">
        <v>49500000</v>
      </c>
      <c r="J51">
        <v>49500000</v>
      </c>
      <c r="K51">
        <v>0</v>
      </c>
      <c r="L51">
        <v>0</v>
      </c>
      <c r="M51" t="s">
        <v>276</v>
      </c>
      <c r="N51" t="s">
        <v>277</v>
      </c>
      <c r="O51" t="s">
        <v>284</v>
      </c>
      <c r="P51" t="s">
        <v>278</v>
      </c>
      <c r="Q51" t="s">
        <v>280</v>
      </c>
      <c r="R51">
        <v>47</v>
      </c>
      <c r="S51" s="672" t="b">
        <f t="shared" si="0"/>
        <v>0</v>
      </c>
      <c r="T51" t="s">
        <v>27</v>
      </c>
    </row>
    <row r="52" spans="1:20" hidden="1">
      <c r="A52" t="s">
        <v>618</v>
      </c>
      <c r="B52" t="s">
        <v>1402</v>
      </c>
      <c r="C52">
        <v>1</v>
      </c>
      <c r="D52">
        <v>1</v>
      </c>
      <c r="E52">
        <v>11</v>
      </c>
      <c r="F52" s="8">
        <v>1</v>
      </c>
      <c r="G52" t="s">
        <v>268</v>
      </c>
      <c r="H52" s="672">
        <v>0</v>
      </c>
      <c r="I52">
        <v>41580000</v>
      </c>
      <c r="J52">
        <v>41580000</v>
      </c>
      <c r="K52">
        <v>0</v>
      </c>
      <c r="L52">
        <v>0</v>
      </c>
      <c r="M52" t="s">
        <v>276</v>
      </c>
      <c r="N52" t="s">
        <v>277</v>
      </c>
      <c r="O52" t="s">
        <v>284</v>
      </c>
      <c r="P52" t="s">
        <v>278</v>
      </c>
      <c r="Q52" t="s">
        <v>280</v>
      </c>
      <c r="R52">
        <v>48</v>
      </c>
      <c r="S52" s="672" t="b">
        <f t="shared" si="0"/>
        <v>0</v>
      </c>
      <c r="T52" t="s">
        <v>27</v>
      </c>
    </row>
    <row r="53" spans="1:20" s="709" customFormat="1" hidden="1">
      <c r="A53" s="709" t="s">
        <v>618</v>
      </c>
      <c r="B53" s="709" t="s">
        <v>1403</v>
      </c>
      <c r="C53" s="709">
        <v>1</v>
      </c>
      <c r="D53" s="709">
        <v>1</v>
      </c>
      <c r="E53" s="709">
        <v>11</v>
      </c>
      <c r="F53" s="711">
        <v>1</v>
      </c>
      <c r="G53" s="709" t="s">
        <v>268</v>
      </c>
      <c r="H53" s="709">
        <v>0</v>
      </c>
      <c r="I53" s="709">
        <f>45935000+20945000</f>
        <v>66880000</v>
      </c>
      <c r="J53" s="709">
        <f>45935000+20945000</f>
        <v>66880000</v>
      </c>
      <c r="K53" s="709">
        <v>0</v>
      </c>
      <c r="L53" s="709">
        <v>0</v>
      </c>
      <c r="M53" s="709" t="s">
        <v>276</v>
      </c>
      <c r="N53" s="709" t="s">
        <v>277</v>
      </c>
      <c r="O53" s="709" t="s">
        <v>284</v>
      </c>
      <c r="P53" s="709" t="s">
        <v>278</v>
      </c>
      <c r="Q53" s="709" t="s">
        <v>280</v>
      </c>
      <c r="R53" s="709">
        <v>49</v>
      </c>
      <c r="S53" s="709" t="e">
        <f>+R53=#REF!</f>
        <v>#REF!</v>
      </c>
      <c r="T53" s="709" t="s">
        <v>27</v>
      </c>
    </row>
    <row r="54" spans="1:20" hidden="1">
      <c r="A54" t="s">
        <v>618</v>
      </c>
      <c r="B54" t="s">
        <v>1404</v>
      </c>
      <c r="C54">
        <v>2</v>
      </c>
      <c r="D54">
        <v>2</v>
      </c>
      <c r="E54">
        <v>3</v>
      </c>
      <c r="F54" s="8">
        <v>1</v>
      </c>
      <c r="G54" t="s">
        <v>268</v>
      </c>
      <c r="H54" s="672">
        <v>0</v>
      </c>
      <c r="I54">
        <v>19980000</v>
      </c>
      <c r="J54">
        <v>19980000</v>
      </c>
      <c r="K54">
        <v>0</v>
      </c>
      <c r="L54">
        <v>0</v>
      </c>
      <c r="M54" t="s">
        <v>276</v>
      </c>
      <c r="N54" t="s">
        <v>277</v>
      </c>
      <c r="O54" t="s">
        <v>284</v>
      </c>
      <c r="P54" t="s">
        <v>278</v>
      </c>
      <c r="Q54" t="s">
        <v>280</v>
      </c>
      <c r="R54">
        <v>50</v>
      </c>
      <c r="S54" s="672" t="b">
        <f t="shared" si="0"/>
        <v>0</v>
      </c>
      <c r="T54" t="s">
        <v>27</v>
      </c>
    </row>
    <row r="55" spans="1:20" hidden="1">
      <c r="A55" t="s">
        <v>651</v>
      </c>
      <c r="B55" t="s">
        <v>1405</v>
      </c>
      <c r="C55">
        <v>2</v>
      </c>
      <c r="D55">
        <v>2</v>
      </c>
      <c r="E55">
        <v>9</v>
      </c>
      <c r="F55" s="8">
        <v>1</v>
      </c>
      <c r="G55" t="s">
        <v>265</v>
      </c>
      <c r="H55" s="672">
        <v>0</v>
      </c>
      <c r="I55">
        <v>10000000</v>
      </c>
      <c r="J55">
        <v>10000000</v>
      </c>
      <c r="K55">
        <v>0</v>
      </c>
      <c r="L55">
        <v>0</v>
      </c>
      <c r="M55" t="s">
        <v>276</v>
      </c>
      <c r="N55" t="s">
        <v>277</v>
      </c>
      <c r="O55" t="s">
        <v>284</v>
      </c>
      <c r="P55" t="s">
        <v>278</v>
      </c>
      <c r="Q55" t="s">
        <v>280</v>
      </c>
      <c r="R55">
        <v>51</v>
      </c>
      <c r="S55" s="672" t="b">
        <f t="shared" si="0"/>
        <v>0</v>
      </c>
      <c r="T55" t="s">
        <v>27</v>
      </c>
    </row>
    <row r="56" spans="1:20" hidden="1">
      <c r="A56" t="s">
        <v>618</v>
      </c>
      <c r="B56" t="s">
        <v>1406</v>
      </c>
      <c r="C56">
        <v>1</v>
      </c>
      <c r="D56">
        <v>1</v>
      </c>
      <c r="E56">
        <v>10</v>
      </c>
      <c r="F56" s="8">
        <v>1</v>
      </c>
      <c r="G56" t="s">
        <v>268</v>
      </c>
      <c r="H56" s="672">
        <v>0</v>
      </c>
      <c r="I56">
        <v>46000000</v>
      </c>
      <c r="J56">
        <v>46000000</v>
      </c>
      <c r="K56">
        <v>0</v>
      </c>
      <c r="L56">
        <v>0</v>
      </c>
      <c r="M56" t="s">
        <v>276</v>
      </c>
      <c r="N56" t="s">
        <v>277</v>
      </c>
      <c r="O56" t="s">
        <v>284</v>
      </c>
      <c r="P56" t="s">
        <v>278</v>
      </c>
      <c r="Q56" t="s">
        <v>280</v>
      </c>
      <c r="R56">
        <v>52</v>
      </c>
      <c r="S56" s="672" t="b">
        <f t="shared" si="0"/>
        <v>0</v>
      </c>
      <c r="T56" t="s">
        <v>27</v>
      </c>
    </row>
    <row r="57" spans="1:20" hidden="1">
      <c r="A57" t="s">
        <v>618</v>
      </c>
      <c r="B57" t="s">
        <v>1407</v>
      </c>
      <c r="C57">
        <v>1</v>
      </c>
      <c r="D57">
        <v>1</v>
      </c>
      <c r="E57">
        <v>3</v>
      </c>
      <c r="F57" s="8">
        <v>1</v>
      </c>
      <c r="G57" t="s">
        <v>268</v>
      </c>
      <c r="H57" s="672">
        <v>0</v>
      </c>
      <c r="I57">
        <v>17880000</v>
      </c>
      <c r="J57">
        <v>17880000</v>
      </c>
      <c r="K57">
        <v>0</v>
      </c>
      <c r="L57">
        <v>0</v>
      </c>
      <c r="M57" t="s">
        <v>276</v>
      </c>
      <c r="N57" t="s">
        <v>277</v>
      </c>
      <c r="O57" t="s">
        <v>284</v>
      </c>
      <c r="P57" t="s">
        <v>278</v>
      </c>
      <c r="Q57" t="s">
        <v>280</v>
      </c>
      <c r="R57">
        <v>53</v>
      </c>
      <c r="S57" s="672" t="b">
        <f t="shared" si="0"/>
        <v>0</v>
      </c>
      <c r="T57" t="s">
        <v>27</v>
      </c>
    </row>
    <row r="58" spans="1:20" hidden="1">
      <c r="A58" t="s">
        <v>618</v>
      </c>
      <c r="B58" t="s">
        <v>1408</v>
      </c>
      <c r="C58">
        <v>1</v>
      </c>
      <c r="D58">
        <v>1</v>
      </c>
      <c r="E58">
        <v>10</v>
      </c>
      <c r="F58" s="8">
        <v>1</v>
      </c>
      <c r="G58" t="s">
        <v>268</v>
      </c>
      <c r="H58" s="672">
        <v>0</v>
      </c>
      <c r="I58">
        <v>10000000</v>
      </c>
      <c r="J58">
        <v>10000000</v>
      </c>
      <c r="K58">
        <v>0</v>
      </c>
      <c r="L58">
        <v>0</v>
      </c>
      <c r="M58" t="s">
        <v>276</v>
      </c>
      <c r="N58" t="s">
        <v>277</v>
      </c>
      <c r="O58" t="s">
        <v>284</v>
      </c>
      <c r="P58" t="s">
        <v>278</v>
      </c>
      <c r="Q58" t="s">
        <v>280</v>
      </c>
      <c r="R58">
        <v>54</v>
      </c>
      <c r="S58" s="672" t="b">
        <f t="shared" si="0"/>
        <v>0</v>
      </c>
      <c r="T58" t="s">
        <v>27</v>
      </c>
    </row>
    <row r="59" spans="1:20" hidden="1">
      <c r="A59" t="s">
        <v>618</v>
      </c>
      <c r="B59" t="s">
        <v>1409</v>
      </c>
      <c r="C59">
        <v>1</v>
      </c>
      <c r="D59">
        <v>1</v>
      </c>
      <c r="E59">
        <v>11</v>
      </c>
      <c r="F59" s="8">
        <v>1</v>
      </c>
      <c r="G59" t="s">
        <v>268</v>
      </c>
      <c r="H59" s="672">
        <v>0</v>
      </c>
      <c r="I59">
        <v>38280000</v>
      </c>
      <c r="J59">
        <v>38280000</v>
      </c>
      <c r="K59">
        <v>0</v>
      </c>
      <c r="L59">
        <v>0</v>
      </c>
      <c r="M59" t="s">
        <v>276</v>
      </c>
      <c r="N59" t="s">
        <v>277</v>
      </c>
      <c r="O59" t="s">
        <v>284</v>
      </c>
      <c r="P59" t="s">
        <v>278</v>
      </c>
      <c r="Q59" t="s">
        <v>280</v>
      </c>
      <c r="R59">
        <v>55</v>
      </c>
      <c r="S59" s="672" t="b">
        <f t="shared" si="0"/>
        <v>0</v>
      </c>
      <c r="T59" t="s">
        <v>27</v>
      </c>
    </row>
    <row r="60" spans="1:20" hidden="1">
      <c r="A60" t="s">
        <v>618</v>
      </c>
      <c r="B60" t="s">
        <v>1410</v>
      </c>
      <c r="C60">
        <v>1</v>
      </c>
      <c r="D60">
        <v>1</v>
      </c>
      <c r="E60">
        <v>11</v>
      </c>
      <c r="F60" s="8">
        <v>1</v>
      </c>
      <c r="G60" t="s">
        <v>268</v>
      </c>
      <c r="H60" s="672">
        <v>0</v>
      </c>
      <c r="I60">
        <v>39600000</v>
      </c>
      <c r="J60">
        <v>39600000</v>
      </c>
      <c r="K60">
        <v>0</v>
      </c>
      <c r="L60">
        <v>0</v>
      </c>
      <c r="M60" t="s">
        <v>276</v>
      </c>
      <c r="N60" t="s">
        <v>277</v>
      </c>
      <c r="O60" t="s">
        <v>284</v>
      </c>
      <c r="P60" t="s">
        <v>278</v>
      </c>
      <c r="Q60" t="s">
        <v>280</v>
      </c>
      <c r="R60">
        <v>56</v>
      </c>
      <c r="S60" s="672" t="b">
        <f t="shared" si="0"/>
        <v>0</v>
      </c>
      <c r="T60" t="s">
        <v>27</v>
      </c>
    </row>
    <row r="61" spans="1:20" hidden="1">
      <c r="A61" t="s">
        <v>618</v>
      </c>
      <c r="B61" t="s">
        <v>1411</v>
      </c>
      <c r="C61">
        <v>1</v>
      </c>
      <c r="D61">
        <v>1</v>
      </c>
      <c r="E61">
        <v>11</v>
      </c>
      <c r="F61" s="8">
        <v>1</v>
      </c>
      <c r="G61" t="s">
        <v>268</v>
      </c>
      <c r="H61" s="672">
        <v>0</v>
      </c>
      <c r="I61">
        <v>70620000</v>
      </c>
      <c r="J61">
        <v>70620000</v>
      </c>
      <c r="K61">
        <v>0</v>
      </c>
      <c r="L61">
        <v>0</v>
      </c>
      <c r="M61" t="s">
        <v>276</v>
      </c>
      <c r="N61" t="s">
        <v>277</v>
      </c>
      <c r="O61" t="s">
        <v>284</v>
      </c>
      <c r="P61" t="s">
        <v>278</v>
      </c>
      <c r="Q61" t="s">
        <v>280</v>
      </c>
      <c r="R61">
        <v>57</v>
      </c>
      <c r="S61" s="672" t="b">
        <f t="shared" si="0"/>
        <v>0</v>
      </c>
      <c r="T61" t="s">
        <v>27</v>
      </c>
    </row>
    <row r="62" spans="1:20">
      <c r="A62" s="274" t="s">
        <v>1777</v>
      </c>
      <c r="B62" t="s">
        <v>1412</v>
      </c>
      <c r="C62">
        <v>4</v>
      </c>
      <c r="D62">
        <v>4</v>
      </c>
      <c r="E62">
        <v>3</v>
      </c>
      <c r="F62" s="8">
        <v>1</v>
      </c>
      <c r="G62" t="s">
        <v>266</v>
      </c>
      <c r="H62" s="672">
        <v>0</v>
      </c>
      <c r="I62">
        <v>17000000</v>
      </c>
      <c r="J62">
        <v>17000000</v>
      </c>
      <c r="K62">
        <v>0</v>
      </c>
      <c r="L62">
        <v>0</v>
      </c>
      <c r="M62" t="s">
        <v>276</v>
      </c>
      <c r="N62" t="s">
        <v>277</v>
      </c>
      <c r="O62" t="s">
        <v>284</v>
      </c>
      <c r="P62" t="s">
        <v>278</v>
      </c>
      <c r="Q62" t="s">
        <v>280</v>
      </c>
      <c r="R62">
        <v>58</v>
      </c>
      <c r="S62" s="672" t="b">
        <f t="shared" si="0"/>
        <v>0</v>
      </c>
      <c r="T62" t="s">
        <v>27</v>
      </c>
    </row>
    <row r="63" spans="1:20" hidden="1">
      <c r="A63" t="s">
        <v>618</v>
      </c>
      <c r="B63" t="s">
        <v>1413</v>
      </c>
      <c r="C63">
        <v>2</v>
      </c>
      <c r="D63">
        <v>2</v>
      </c>
      <c r="E63">
        <v>4</v>
      </c>
      <c r="F63" s="8">
        <v>1</v>
      </c>
      <c r="G63" t="s">
        <v>268</v>
      </c>
      <c r="H63" s="672">
        <v>0</v>
      </c>
      <c r="I63">
        <v>20000000</v>
      </c>
      <c r="J63">
        <v>20000000</v>
      </c>
      <c r="K63">
        <v>0</v>
      </c>
      <c r="L63">
        <v>0</v>
      </c>
      <c r="M63" t="s">
        <v>276</v>
      </c>
      <c r="N63" t="s">
        <v>277</v>
      </c>
      <c r="O63" t="s">
        <v>284</v>
      </c>
      <c r="P63" t="s">
        <v>278</v>
      </c>
      <c r="Q63" t="s">
        <v>280</v>
      </c>
      <c r="R63">
        <v>59</v>
      </c>
      <c r="S63" s="672" t="b">
        <f t="shared" si="0"/>
        <v>0</v>
      </c>
      <c r="T63" t="s">
        <v>27</v>
      </c>
    </row>
    <row r="64" spans="1:20" hidden="1">
      <c r="A64" t="s">
        <v>618</v>
      </c>
      <c r="B64" t="s">
        <v>1414</v>
      </c>
      <c r="C64">
        <v>1</v>
      </c>
      <c r="D64">
        <v>1</v>
      </c>
      <c r="E64">
        <v>11</v>
      </c>
      <c r="F64" s="8">
        <v>1</v>
      </c>
      <c r="G64" t="s">
        <v>268</v>
      </c>
      <c r="H64" s="672">
        <v>0</v>
      </c>
      <c r="I64">
        <v>72820000</v>
      </c>
      <c r="J64">
        <v>72820000</v>
      </c>
      <c r="K64">
        <v>0</v>
      </c>
      <c r="L64">
        <v>0</v>
      </c>
      <c r="M64" t="s">
        <v>276</v>
      </c>
      <c r="N64" t="s">
        <v>277</v>
      </c>
      <c r="O64" t="s">
        <v>284</v>
      </c>
      <c r="P64" t="s">
        <v>278</v>
      </c>
      <c r="Q64" t="s">
        <v>280</v>
      </c>
      <c r="R64">
        <v>60</v>
      </c>
      <c r="S64" s="672" t="b">
        <f t="shared" si="0"/>
        <v>0</v>
      </c>
      <c r="T64" t="s">
        <v>27</v>
      </c>
    </row>
    <row r="65" spans="1:20" hidden="1">
      <c r="A65" t="s">
        <v>618</v>
      </c>
      <c r="B65" t="s">
        <v>1415</v>
      </c>
      <c r="C65">
        <v>1</v>
      </c>
      <c r="D65">
        <v>1</v>
      </c>
      <c r="E65">
        <v>3</v>
      </c>
      <c r="F65" s="8">
        <v>1</v>
      </c>
      <c r="G65" t="s">
        <v>268</v>
      </c>
      <c r="H65" s="672">
        <v>0</v>
      </c>
      <c r="I65">
        <v>16080000</v>
      </c>
      <c r="J65">
        <v>16080000</v>
      </c>
      <c r="K65">
        <v>0</v>
      </c>
      <c r="L65">
        <v>0</v>
      </c>
      <c r="M65" t="s">
        <v>276</v>
      </c>
      <c r="N65" t="s">
        <v>277</v>
      </c>
      <c r="O65" t="s">
        <v>284</v>
      </c>
      <c r="P65" t="s">
        <v>278</v>
      </c>
      <c r="Q65" t="s">
        <v>280</v>
      </c>
      <c r="R65">
        <v>61</v>
      </c>
      <c r="S65" s="672" t="b">
        <f t="shared" si="0"/>
        <v>0</v>
      </c>
      <c r="T65" t="s">
        <v>27</v>
      </c>
    </row>
    <row r="66" spans="1:20" hidden="1">
      <c r="A66" t="s">
        <v>618</v>
      </c>
      <c r="B66" t="s">
        <v>1416</v>
      </c>
      <c r="C66">
        <v>1</v>
      </c>
      <c r="D66">
        <v>1</v>
      </c>
      <c r="E66">
        <v>3</v>
      </c>
      <c r="F66" s="8">
        <v>1</v>
      </c>
      <c r="G66" t="s">
        <v>268</v>
      </c>
      <c r="H66" s="672">
        <v>0</v>
      </c>
      <c r="I66">
        <v>12060000</v>
      </c>
      <c r="J66">
        <v>12060000</v>
      </c>
      <c r="K66">
        <v>0</v>
      </c>
      <c r="L66">
        <v>0</v>
      </c>
      <c r="M66" t="s">
        <v>276</v>
      </c>
      <c r="N66" t="s">
        <v>277</v>
      </c>
      <c r="O66" t="s">
        <v>284</v>
      </c>
      <c r="P66" t="s">
        <v>278</v>
      </c>
      <c r="Q66" t="s">
        <v>280</v>
      </c>
      <c r="R66">
        <v>62</v>
      </c>
      <c r="S66" s="672" t="b">
        <f t="shared" si="0"/>
        <v>0</v>
      </c>
      <c r="T66" t="s">
        <v>27</v>
      </c>
    </row>
    <row r="67" spans="1:20" hidden="1">
      <c r="A67" t="s">
        <v>618</v>
      </c>
      <c r="B67" t="s">
        <v>1417</v>
      </c>
      <c r="C67">
        <v>1</v>
      </c>
      <c r="D67">
        <v>1</v>
      </c>
      <c r="E67">
        <v>3</v>
      </c>
      <c r="F67" s="8">
        <v>1</v>
      </c>
      <c r="G67" t="s">
        <v>268</v>
      </c>
      <c r="H67" s="672">
        <v>0</v>
      </c>
      <c r="I67">
        <v>13320000</v>
      </c>
      <c r="J67">
        <v>13320000</v>
      </c>
      <c r="K67">
        <v>0</v>
      </c>
      <c r="L67">
        <v>0</v>
      </c>
      <c r="M67" t="s">
        <v>276</v>
      </c>
      <c r="N67" t="s">
        <v>277</v>
      </c>
      <c r="O67" t="s">
        <v>284</v>
      </c>
      <c r="P67" t="s">
        <v>278</v>
      </c>
      <c r="Q67" t="s">
        <v>280</v>
      </c>
      <c r="R67">
        <v>63</v>
      </c>
      <c r="S67" s="672" t="b">
        <f t="shared" ref="S67:S128" si="1">+R67=R66</f>
        <v>0</v>
      </c>
      <c r="T67" t="s">
        <v>27</v>
      </c>
    </row>
    <row r="68" spans="1:20" hidden="1">
      <c r="A68" t="s">
        <v>618</v>
      </c>
      <c r="B68" t="s">
        <v>1418</v>
      </c>
      <c r="C68">
        <v>1</v>
      </c>
      <c r="D68">
        <v>1</v>
      </c>
      <c r="E68">
        <v>11</v>
      </c>
      <c r="F68" s="8">
        <v>1</v>
      </c>
      <c r="G68" t="s">
        <v>268</v>
      </c>
      <c r="H68" s="672">
        <v>0</v>
      </c>
      <c r="I68">
        <v>71500000</v>
      </c>
      <c r="J68">
        <v>71500000</v>
      </c>
      <c r="K68">
        <v>0</v>
      </c>
      <c r="L68">
        <v>0</v>
      </c>
      <c r="M68" t="s">
        <v>276</v>
      </c>
      <c r="N68" t="s">
        <v>277</v>
      </c>
      <c r="O68" t="s">
        <v>284</v>
      </c>
      <c r="P68" t="s">
        <v>278</v>
      </c>
      <c r="Q68" t="s">
        <v>280</v>
      </c>
      <c r="R68">
        <v>64</v>
      </c>
      <c r="S68" s="672" t="b">
        <f t="shared" si="1"/>
        <v>0</v>
      </c>
      <c r="T68" t="s">
        <v>27</v>
      </c>
    </row>
    <row r="69" spans="1:20" hidden="1">
      <c r="A69" t="s">
        <v>618</v>
      </c>
      <c r="B69" t="s">
        <v>1419</v>
      </c>
      <c r="C69">
        <v>1</v>
      </c>
      <c r="D69">
        <v>1</v>
      </c>
      <c r="E69">
        <v>11</v>
      </c>
      <c r="F69" s="8">
        <v>1</v>
      </c>
      <c r="G69" t="s">
        <v>268</v>
      </c>
      <c r="H69" s="672">
        <v>0</v>
      </c>
      <c r="I69">
        <v>72820000</v>
      </c>
      <c r="J69">
        <v>72820000</v>
      </c>
      <c r="K69">
        <v>0</v>
      </c>
      <c r="L69">
        <v>0</v>
      </c>
      <c r="M69" t="s">
        <v>276</v>
      </c>
      <c r="N69" t="s">
        <v>277</v>
      </c>
      <c r="O69" t="s">
        <v>284</v>
      </c>
      <c r="P69" t="s">
        <v>278</v>
      </c>
      <c r="Q69" t="s">
        <v>280</v>
      </c>
      <c r="R69">
        <v>65</v>
      </c>
      <c r="S69" s="672" t="b">
        <f t="shared" si="1"/>
        <v>0</v>
      </c>
      <c r="T69" t="s">
        <v>27</v>
      </c>
    </row>
    <row r="70" spans="1:20" hidden="1">
      <c r="A70" t="s">
        <v>618</v>
      </c>
      <c r="B70" t="s">
        <v>1420</v>
      </c>
      <c r="C70">
        <v>1</v>
      </c>
      <c r="D70">
        <v>1</v>
      </c>
      <c r="E70">
        <v>3</v>
      </c>
      <c r="F70" s="8">
        <v>1</v>
      </c>
      <c r="G70" t="s">
        <v>268</v>
      </c>
      <c r="H70" s="672">
        <v>0</v>
      </c>
      <c r="I70">
        <v>12060000</v>
      </c>
      <c r="J70">
        <v>12060000</v>
      </c>
      <c r="K70">
        <v>0</v>
      </c>
      <c r="L70">
        <v>0</v>
      </c>
      <c r="M70" t="s">
        <v>276</v>
      </c>
      <c r="N70" t="s">
        <v>277</v>
      </c>
      <c r="O70" t="s">
        <v>284</v>
      </c>
      <c r="P70" t="s">
        <v>278</v>
      </c>
      <c r="Q70" t="s">
        <v>280</v>
      </c>
      <c r="R70">
        <v>66</v>
      </c>
      <c r="S70" s="672" t="b">
        <f t="shared" si="1"/>
        <v>0</v>
      </c>
      <c r="T70" t="s">
        <v>27</v>
      </c>
    </row>
    <row r="71" spans="1:20" hidden="1">
      <c r="A71" t="s">
        <v>618</v>
      </c>
      <c r="B71" t="s">
        <v>1421</v>
      </c>
      <c r="C71">
        <v>1</v>
      </c>
      <c r="D71">
        <v>1</v>
      </c>
      <c r="E71">
        <v>11</v>
      </c>
      <c r="F71" s="8">
        <v>1</v>
      </c>
      <c r="G71" t="s">
        <v>268</v>
      </c>
      <c r="H71" s="672">
        <v>0</v>
      </c>
      <c r="I71">
        <v>49500000</v>
      </c>
      <c r="J71">
        <v>49500000</v>
      </c>
      <c r="K71">
        <v>0</v>
      </c>
      <c r="L71">
        <v>0</v>
      </c>
      <c r="M71" t="s">
        <v>276</v>
      </c>
      <c r="N71" t="s">
        <v>277</v>
      </c>
      <c r="O71" t="s">
        <v>284</v>
      </c>
      <c r="P71" t="s">
        <v>278</v>
      </c>
      <c r="Q71" t="s">
        <v>280</v>
      </c>
      <c r="R71">
        <v>67</v>
      </c>
      <c r="S71" s="672" t="b">
        <f t="shared" si="1"/>
        <v>0</v>
      </c>
      <c r="T71" t="s">
        <v>27</v>
      </c>
    </row>
    <row r="72" spans="1:20" hidden="1">
      <c r="A72" t="s">
        <v>618</v>
      </c>
      <c r="B72" t="s">
        <v>1422</v>
      </c>
      <c r="C72">
        <v>1</v>
      </c>
      <c r="D72">
        <v>1</v>
      </c>
      <c r="E72">
        <v>11</v>
      </c>
      <c r="F72" s="8">
        <v>1</v>
      </c>
      <c r="G72" t="s">
        <v>268</v>
      </c>
      <c r="H72" s="672">
        <v>0</v>
      </c>
      <c r="I72">
        <v>65560000</v>
      </c>
      <c r="J72">
        <v>65560000</v>
      </c>
      <c r="K72">
        <v>0</v>
      </c>
      <c r="L72">
        <v>0</v>
      </c>
      <c r="M72" t="s">
        <v>276</v>
      </c>
      <c r="N72" t="s">
        <v>277</v>
      </c>
      <c r="O72" t="s">
        <v>284</v>
      </c>
      <c r="P72" t="s">
        <v>278</v>
      </c>
      <c r="Q72" t="s">
        <v>280</v>
      </c>
      <c r="R72">
        <v>68</v>
      </c>
      <c r="S72" s="672" t="b">
        <f t="shared" si="1"/>
        <v>0</v>
      </c>
      <c r="T72" t="s">
        <v>27</v>
      </c>
    </row>
    <row r="73" spans="1:20" hidden="1">
      <c r="A73" t="s">
        <v>670</v>
      </c>
      <c r="B73" t="s">
        <v>1423</v>
      </c>
      <c r="C73">
        <v>3</v>
      </c>
      <c r="D73">
        <v>3</v>
      </c>
      <c r="E73">
        <v>4</v>
      </c>
      <c r="F73" s="8">
        <v>1</v>
      </c>
      <c r="G73" t="s">
        <v>268</v>
      </c>
      <c r="H73" s="672">
        <v>0</v>
      </c>
      <c r="I73">
        <v>10575000</v>
      </c>
      <c r="J73">
        <v>10575000</v>
      </c>
      <c r="K73">
        <v>0</v>
      </c>
      <c r="L73">
        <v>0</v>
      </c>
      <c r="M73" t="s">
        <v>276</v>
      </c>
      <c r="N73" t="s">
        <v>277</v>
      </c>
      <c r="O73" t="s">
        <v>284</v>
      </c>
      <c r="P73" t="s">
        <v>278</v>
      </c>
      <c r="Q73" t="s">
        <v>280</v>
      </c>
      <c r="R73">
        <v>69</v>
      </c>
      <c r="S73" s="672" t="b">
        <f t="shared" si="1"/>
        <v>0</v>
      </c>
      <c r="T73" t="s">
        <v>27</v>
      </c>
    </row>
    <row r="74" spans="1:20" hidden="1">
      <c r="A74" t="s">
        <v>672</v>
      </c>
      <c r="B74" t="s">
        <v>1424</v>
      </c>
      <c r="C74">
        <v>3</v>
      </c>
      <c r="D74">
        <v>3</v>
      </c>
      <c r="E74">
        <v>1</v>
      </c>
      <c r="F74" s="8">
        <v>1</v>
      </c>
      <c r="G74" t="s">
        <v>264</v>
      </c>
      <c r="H74" s="672">
        <v>0</v>
      </c>
      <c r="I74">
        <v>40000000</v>
      </c>
      <c r="J74">
        <v>40000000</v>
      </c>
      <c r="K74">
        <v>0</v>
      </c>
      <c r="L74">
        <v>0</v>
      </c>
      <c r="M74" t="s">
        <v>276</v>
      </c>
      <c r="N74" t="s">
        <v>277</v>
      </c>
      <c r="O74" t="s">
        <v>284</v>
      </c>
      <c r="P74" t="s">
        <v>278</v>
      </c>
      <c r="Q74" t="s">
        <v>280</v>
      </c>
      <c r="R74">
        <v>70</v>
      </c>
      <c r="S74" s="672" t="b">
        <f t="shared" si="1"/>
        <v>0</v>
      </c>
      <c r="T74" t="s">
        <v>27</v>
      </c>
    </row>
    <row r="75" spans="1:20" hidden="1">
      <c r="A75" t="s">
        <v>618</v>
      </c>
      <c r="B75" t="s">
        <v>1425</v>
      </c>
      <c r="C75">
        <v>1</v>
      </c>
      <c r="D75">
        <v>1</v>
      </c>
      <c r="E75">
        <v>11</v>
      </c>
      <c r="F75" s="8">
        <v>1</v>
      </c>
      <c r="G75" t="s">
        <v>268</v>
      </c>
      <c r="H75" s="672">
        <v>0</v>
      </c>
      <c r="I75">
        <v>73645000</v>
      </c>
      <c r="J75">
        <v>73645000</v>
      </c>
      <c r="K75">
        <v>0</v>
      </c>
      <c r="L75">
        <v>0</v>
      </c>
      <c r="M75" t="s">
        <v>276</v>
      </c>
      <c r="N75" t="s">
        <v>277</v>
      </c>
      <c r="O75" t="s">
        <v>284</v>
      </c>
      <c r="P75" t="s">
        <v>278</v>
      </c>
      <c r="Q75" t="s">
        <v>280</v>
      </c>
      <c r="R75">
        <v>71</v>
      </c>
      <c r="S75" s="672" t="b">
        <f t="shared" si="1"/>
        <v>0</v>
      </c>
      <c r="T75" t="s">
        <v>27</v>
      </c>
    </row>
    <row r="76" spans="1:20" hidden="1">
      <c r="A76" t="s">
        <v>618</v>
      </c>
      <c r="B76" t="s">
        <v>1426</v>
      </c>
      <c r="C76">
        <v>2</v>
      </c>
      <c r="D76">
        <v>2</v>
      </c>
      <c r="E76">
        <v>9</v>
      </c>
      <c r="F76" s="8">
        <v>1</v>
      </c>
      <c r="G76" t="s">
        <v>268</v>
      </c>
      <c r="H76" s="672">
        <v>0</v>
      </c>
      <c r="I76">
        <v>37800000</v>
      </c>
      <c r="J76">
        <v>37800000</v>
      </c>
      <c r="K76">
        <v>0</v>
      </c>
      <c r="L76">
        <v>0</v>
      </c>
      <c r="M76" t="s">
        <v>276</v>
      </c>
      <c r="N76" t="s">
        <v>277</v>
      </c>
      <c r="O76" t="s">
        <v>284</v>
      </c>
      <c r="P76" t="s">
        <v>278</v>
      </c>
      <c r="Q76" t="s">
        <v>280</v>
      </c>
      <c r="R76">
        <v>72</v>
      </c>
      <c r="S76" s="672" t="b">
        <f t="shared" si="1"/>
        <v>0</v>
      </c>
      <c r="T76" t="s">
        <v>27</v>
      </c>
    </row>
    <row r="77" spans="1:20" hidden="1">
      <c r="A77" t="s">
        <v>618</v>
      </c>
      <c r="B77" t="s">
        <v>1427</v>
      </c>
      <c r="C77">
        <v>1</v>
      </c>
      <c r="D77">
        <v>1</v>
      </c>
      <c r="E77">
        <v>11</v>
      </c>
      <c r="F77" s="8">
        <v>1</v>
      </c>
      <c r="G77" t="s">
        <v>268</v>
      </c>
      <c r="H77" s="672">
        <v>0</v>
      </c>
      <c r="I77">
        <v>65560000</v>
      </c>
      <c r="J77">
        <v>65560000</v>
      </c>
      <c r="K77">
        <v>0</v>
      </c>
      <c r="L77">
        <v>0</v>
      </c>
      <c r="M77" t="s">
        <v>276</v>
      </c>
      <c r="N77" t="s">
        <v>277</v>
      </c>
      <c r="O77" t="s">
        <v>284</v>
      </c>
      <c r="P77" t="s">
        <v>278</v>
      </c>
      <c r="Q77" t="s">
        <v>280</v>
      </c>
      <c r="R77">
        <v>73</v>
      </c>
      <c r="S77" s="672" t="b">
        <f t="shared" si="1"/>
        <v>0</v>
      </c>
      <c r="T77" t="s">
        <v>27</v>
      </c>
    </row>
    <row r="78" spans="1:20" hidden="1">
      <c r="A78" t="s">
        <v>618</v>
      </c>
      <c r="B78" t="s">
        <v>1428</v>
      </c>
      <c r="C78">
        <v>1</v>
      </c>
      <c r="D78">
        <v>1</v>
      </c>
      <c r="E78">
        <v>11</v>
      </c>
      <c r="F78" s="8">
        <v>1</v>
      </c>
      <c r="G78" t="s">
        <v>268</v>
      </c>
      <c r="H78" s="672">
        <v>0</v>
      </c>
      <c r="I78">
        <v>72820000</v>
      </c>
      <c r="J78">
        <v>72820000</v>
      </c>
      <c r="K78">
        <v>0</v>
      </c>
      <c r="L78">
        <v>0</v>
      </c>
      <c r="M78" t="s">
        <v>276</v>
      </c>
      <c r="N78" t="s">
        <v>277</v>
      </c>
      <c r="O78" t="s">
        <v>284</v>
      </c>
      <c r="P78" t="s">
        <v>278</v>
      </c>
      <c r="Q78" t="s">
        <v>280</v>
      </c>
      <c r="R78">
        <v>74</v>
      </c>
      <c r="S78" s="672" t="b">
        <f t="shared" si="1"/>
        <v>0</v>
      </c>
      <c r="T78" t="s">
        <v>27</v>
      </c>
    </row>
    <row r="79" spans="1:20" hidden="1">
      <c r="A79" t="s">
        <v>618</v>
      </c>
      <c r="B79" t="s">
        <v>1429</v>
      </c>
      <c r="C79">
        <v>1</v>
      </c>
      <c r="D79">
        <v>1</v>
      </c>
      <c r="E79">
        <v>11</v>
      </c>
      <c r="F79" s="8">
        <v>1</v>
      </c>
      <c r="G79" t="s">
        <v>268</v>
      </c>
      <c r="H79" s="672">
        <v>0</v>
      </c>
      <c r="I79">
        <v>60060000</v>
      </c>
      <c r="J79">
        <v>60060000</v>
      </c>
      <c r="K79">
        <v>0</v>
      </c>
      <c r="L79">
        <v>0</v>
      </c>
      <c r="M79" t="s">
        <v>276</v>
      </c>
      <c r="N79" t="s">
        <v>277</v>
      </c>
      <c r="O79" t="s">
        <v>284</v>
      </c>
      <c r="P79" t="s">
        <v>278</v>
      </c>
      <c r="Q79" t="s">
        <v>280</v>
      </c>
      <c r="R79">
        <v>75</v>
      </c>
      <c r="S79" s="672" t="b">
        <f t="shared" si="1"/>
        <v>0</v>
      </c>
      <c r="T79" t="s">
        <v>27</v>
      </c>
    </row>
    <row r="80" spans="1:20" hidden="1">
      <c r="A80" t="s">
        <v>618</v>
      </c>
      <c r="B80" t="s">
        <v>1430</v>
      </c>
      <c r="C80">
        <v>1</v>
      </c>
      <c r="D80">
        <v>1</v>
      </c>
      <c r="E80">
        <v>3</v>
      </c>
      <c r="F80" s="8">
        <v>1</v>
      </c>
      <c r="G80" t="s">
        <v>268</v>
      </c>
      <c r="H80" s="672">
        <v>0</v>
      </c>
      <c r="I80">
        <v>6420000</v>
      </c>
      <c r="J80">
        <v>6420000</v>
      </c>
      <c r="K80">
        <v>0</v>
      </c>
      <c r="L80">
        <v>0</v>
      </c>
      <c r="M80" t="s">
        <v>276</v>
      </c>
      <c r="N80" t="s">
        <v>277</v>
      </c>
      <c r="O80" t="s">
        <v>284</v>
      </c>
      <c r="P80" t="s">
        <v>278</v>
      </c>
      <c r="Q80" t="s">
        <v>280</v>
      </c>
      <c r="R80">
        <v>76</v>
      </c>
      <c r="S80" s="672" t="b">
        <f t="shared" si="1"/>
        <v>0</v>
      </c>
      <c r="T80" t="s">
        <v>27</v>
      </c>
    </row>
    <row r="81" spans="1:20" hidden="1">
      <c r="A81" t="s">
        <v>618</v>
      </c>
      <c r="B81" t="s">
        <v>1431</v>
      </c>
      <c r="C81">
        <v>1</v>
      </c>
      <c r="D81">
        <v>1</v>
      </c>
      <c r="E81">
        <v>11</v>
      </c>
      <c r="F81" s="8">
        <v>1</v>
      </c>
      <c r="G81" t="s">
        <v>268</v>
      </c>
      <c r="H81" s="672">
        <v>0</v>
      </c>
      <c r="I81">
        <v>42900000</v>
      </c>
      <c r="J81">
        <v>42900000</v>
      </c>
      <c r="K81">
        <v>0</v>
      </c>
      <c r="L81">
        <v>0</v>
      </c>
      <c r="M81" t="s">
        <v>276</v>
      </c>
      <c r="N81" t="s">
        <v>277</v>
      </c>
      <c r="O81" t="s">
        <v>284</v>
      </c>
      <c r="P81" t="s">
        <v>278</v>
      </c>
      <c r="Q81" t="s">
        <v>280</v>
      </c>
      <c r="R81">
        <v>77</v>
      </c>
      <c r="S81" s="672" t="b">
        <f t="shared" si="1"/>
        <v>0</v>
      </c>
      <c r="T81" t="s">
        <v>27</v>
      </c>
    </row>
    <row r="82" spans="1:20" hidden="1">
      <c r="A82" t="s">
        <v>618</v>
      </c>
      <c r="B82" t="s">
        <v>1432</v>
      </c>
      <c r="C82">
        <v>1</v>
      </c>
      <c r="D82">
        <v>1</v>
      </c>
      <c r="E82">
        <v>3</v>
      </c>
      <c r="F82" s="8">
        <v>1</v>
      </c>
      <c r="G82" t="s">
        <v>268</v>
      </c>
      <c r="H82" s="672">
        <v>0</v>
      </c>
      <c r="I82">
        <v>16080000</v>
      </c>
      <c r="J82">
        <v>16080000</v>
      </c>
      <c r="K82">
        <v>0</v>
      </c>
      <c r="L82">
        <v>0</v>
      </c>
      <c r="M82" t="s">
        <v>276</v>
      </c>
      <c r="N82" t="s">
        <v>277</v>
      </c>
      <c r="O82" t="s">
        <v>284</v>
      </c>
      <c r="P82" t="s">
        <v>278</v>
      </c>
      <c r="Q82" t="s">
        <v>280</v>
      </c>
      <c r="R82">
        <v>78</v>
      </c>
      <c r="S82" s="672" t="b">
        <f t="shared" si="1"/>
        <v>0</v>
      </c>
      <c r="T82" t="s">
        <v>27</v>
      </c>
    </row>
    <row r="83" spans="1:20" hidden="1">
      <c r="A83">
        <v>81141504</v>
      </c>
      <c r="B83" t="s">
        <v>1433</v>
      </c>
      <c r="C83">
        <v>5</v>
      </c>
      <c r="D83">
        <v>5</v>
      </c>
      <c r="E83">
        <v>3</v>
      </c>
      <c r="F83" s="8">
        <v>1</v>
      </c>
      <c r="G83" t="s">
        <v>266</v>
      </c>
      <c r="H83" s="672">
        <v>0</v>
      </c>
      <c r="I83">
        <v>7000000</v>
      </c>
      <c r="J83">
        <v>7000000</v>
      </c>
      <c r="K83">
        <v>0</v>
      </c>
      <c r="L83">
        <v>0</v>
      </c>
      <c r="M83" t="s">
        <v>276</v>
      </c>
      <c r="N83" t="s">
        <v>277</v>
      </c>
      <c r="O83" t="s">
        <v>284</v>
      </c>
      <c r="P83" t="s">
        <v>278</v>
      </c>
      <c r="Q83" t="s">
        <v>280</v>
      </c>
      <c r="R83">
        <v>79</v>
      </c>
      <c r="S83" s="672" t="b">
        <f t="shared" si="1"/>
        <v>0</v>
      </c>
      <c r="T83" t="s">
        <v>27</v>
      </c>
    </row>
    <row r="84" spans="1:20" hidden="1">
      <c r="A84" t="s">
        <v>618</v>
      </c>
      <c r="B84" t="s">
        <v>1434</v>
      </c>
      <c r="C84">
        <v>1</v>
      </c>
      <c r="D84">
        <v>1</v>
      </c>
      <c r="E84">
        <v>11</v>
      </c>
      <c r="F84" s="8">
        <v>1</v>
      </c>
      <c r="G84" t="s">
        <v>268</v>
      </c>
      <c r="H84" s="672">
        <v>0</v>
      </c>
      <c r="I84">
        <v>65560000</v>
      </c>
      <c r="J84">
        <v>65560000</v>
      </c>
      <c r="K84">
        <v>0</v>
      </c>
      <c r="L84">
        <v>0</v>
      </c>
      <c r="M84" t="s">
        <v>276</v>
      </c>
      <c r="N84" t="s">
        <v>277</v>
      </c>
      <c r="O84" t="s">
        <v>284</v>
      </c>
      <c r="P84" t="s">
        <v>278</v>
      </c>
      <c r="Q84" t="s">
        <v>280</v>
      </c>
      <c r="R84">
        <v>80</v>
      </c>
      <c r="S84" s="672" t="b">
        <f t="shared" si="1"/>
        <v>0</v>
      </c>
      <c r="T84" t="s">
        <v>27</v>
      </c>
    </row>
    <row r="85" spans="1:20" hidden="1">
      <c r="A85" t="s">
        <v>618</v>
      </c>
      <c r="B85" t="s">
        <v>1435</v>
      </c>
      <c r="C85">
        <v>1</v>
      </c>
      <c r="D85">
        <v>1</v>
      </c>
      <c r="E85">
        <v>11</v>
      </c>
      <c r="F85" s="8">
        <v>1</v>
      </c>
      <c r="G85" t="s">
        <v>268</v>
      </c>
      <c r="H85" s="672">
        <v>0</v>
      </c>
      <c r="I85">
        <v>27500000</v>
      </c>
      <c r="J85">
        <v>27500000</v>
      </c>
      <c r="K85">
        <v>0</v>
      </c>
      <c r="L85">
        <v>0</v>
      </c>
      <c r="M85" t="s">
        <v>276</v>
      </c>
      <c r="N85" t="s">
        <v>277</v>
      </c>
      <c r="O85" t="s">
        <v>284</v>
      </c>
      <c r="P85" t="s">
        <v>278</v>
      </c>
      <c r="Q85" t="s">
        <v>280</v>
      </c>
      <c r="R85">
        <v>81</v>
      </c>
      <c r="S85" s="672" t="b">
        <f t="shared" si="1"/>
        <v>0</v>
      </c>
      <c r="T85" t="s">
        <v>27</v>
      </c>
    </row>
    <row r="86" spans="1:20" hidden="1">
      <c r="A86" t="s">
        <v>618</v>
      </c>
      <c r="B86" t="s">
        <v>1436</v>
      </c>
      <c r="C86">
        <v>1</v>
      </c>
      <c r="D86">
        <v>1</v>
      </c>
      <c r="E86">
        <v>11</v>
      </c>
      <c r="F86" s="8">
        <v>1</v>
      </c>
      <c r="G86" t="s">
        <v>268</v>
      </c>
      <c r="H86" s="672">
        <v>0</v>
      </c>
      <c r="I86">
        <v>42020000</v>
      </c>
      <c r="J86">
        <v>42020000</v>
      </c>
      <c r="K86">
        <v>0</v>
      </c>
      <c r="L86">
        <v>0</v>
      </c>
      <c r="M86" t="s">
        <v>276</v>
      </c>
      <c r="N86" t="s">
        <v>277</v>
      </c>
      <c r="O86" t="s">
        <v>284</v>
      </c>
      <c r="P86" t="s">
        <v>278</v>
      </c>
      <c r="Q86" t="s">
        <v>280</v>
      </c>
      <c r="R86">
        <v>82</v>
      </c>
      <c r="S86" s="672" t="b">
        <f t="shared" si="1"/>
        <v>0</v>
      </c>
      <c r="T86" t="s">
        <v>27</v>
      </c>
    </row>
    <row r="87" spans="1:20" hidden="1">
      <c r="A87" t="s">
        <v>618</v>
      </c>
      <c r="B87" t="s">
        <v>1437</v>
      </c>
      <c r="C87">
        <v>1</v>
      </c>
      <c r="D87">
        <v>1</v>
      </c>
      <c r="E87">
        <v>11</v>
      </c>
      <c r="F87" s="8">
        <v>1</v>
      </c>
      <c r="G87" t="s">
        <v>268</v>
      </c>
      <c r="H87" s="672">
        <v>0</v>
      </c>
      <c r="I87">
        <v>50600000</v>
      </c>
      <c r="J87">
        <v>50600000</v>
      </c>
      <c r="K87">
        <v>0</v>
      </c>
      <c r="L87">
        <v>0</v>
      </c>
      <c r="M87" t="s">
        <v>276</v>
      </c>
      <c r="N87" t="s">
        <v>277</v>
      </c>
      <c r="O87" t="s">
        <v>284</v>
      </c>
      <c r="P87" t="s">
        <v>278</v>
      </c>
      <c r="Q87" t="s">
        <v>280</v>
      </c>
      <c r="R87">
        <v>83</v>
      </c>
      <c r="S87" s="672" t="b">
        <f t="shared" si="1"/>
        <v>0</v>
      </c>
      <c r="T87" t="s">
        <v>27</v>
      </c>
    </row>
    <row r="88" spans="1:20" hidden="1">
      <c r="A88">
        <v>90151501</v>
      </c>
      <c r="B88" t="s">
        <v>1438</v>
      </c>
      <c r="C88">
        <v>8</v>
      </c>
      <c r="D88">
        <v>8</v>
      </c>
      <c r="E88">
        <v>10</v>
      </c>
      <c r="F88" s="8">
        <v>1</v>
      </c>
      <c r="G88" t="s">
        <v>257</v>
      </c>
      <c r="H88" s="672">
        <v>0</v>
      </c>
      <c r="I88">
        <v>2000000000</v>
      </c>
      <c r="J88">
        <v>2000000000</v>
      </c>
      <c r="K88">
        <v>0</v>
      </c>
      <c r="L88">
        <v>0</v>
      </c>
      <c r="M88" t="s">
        <v>276</v>
      </c>
      <c r="N88" t="s">
        <v>277</v>
      </c>
      <c r="O88" t="s">
        <v>284</v>
      </c>
      <c r="P88" t="s">
        <v>278</v>
      </c>
      <c r="Q88" t="s">
        <v>280</v>
      </c>
      <c r="R88">
        <v>84</v>
      </c>
      <c r="S88" s="672" t="b">
        <f t="shared" si="1"/>
        <v>0</v>
      </c>
      <c r="T88" t="s">
        <v>27</v>
      </c>
    </row>
    <row r="89" spans="1:20" hidden="1">
      <c r="A89" t="s">
        <v>618</v>
      </c>
      <c r="B89" t="s">
        <v>1439</v>
      </c>
      <c r="C89">
        <v>1</v>
      </c>
      <c r="D89">
        <v>1</v>
      </c>
      <c r="E89">
        <v>11</v>
      </c>
      <c r="F89" s="8">
        <v>1</v>
      </c>
      <c r="G89" t="s">
        <v>268</v>
      </c>
      <c r="H89" s="672">
        <v>0</v>
      </c>
      <c r="I89">
        <v>51040000</v>
      </c>
      <c r="J89">
        <v>51040000</v>
      </c>
      <c r="K89">
        <v>0</v>
      </c>
      <c r="L89">
        <v>0</v>
      </c>
      <c r="M89" t="s">
        <v>276</v>
      </c>
      <c r="N89" t="s">
        <v>277</v>
      </c>
      <c r="O89" t="s">
        <v>284</v>
      </c>
      <c r="P89" t="s">
        <v>278</v>
      </c>
      <c r="Q89" t="s">
        <v>280</v>
      </c>
      <c r="R89">
        <v>85</v>
      </c>
      <c r="S89" s="672" t="b">
        <f t="shared" si="1"/>
        <v>0</v>
      </c>
      <c r="T89" t="s">
        <v>27</v>
      </c>
    </row>
    <row r="90" spans="1:20" hidden="1">
      <c r="A90" t="s">
        <v>618</v>
      </c>
      <c r="B90" t="s">
        <v>1440</v>
      </c>
      <c r="C90">
        <v>1</v>
      </c>
      <c r="D90">
        <v>1</v>
      </c>
      <c r="E90">
        <v>11</v>
      </c>
      <c r="F90" s="8">
        <v>1</v>
      </c>
      <c r="G90" t="s">
        <v>268</v>
      </c>
      <c r="H90" s="672">
        <v>0</v>
      </c>
      <c r="I90">
        <v>72820000</v>
      </c>
      <c r="J90">
        <v>72820000</v>
      </c>
      <c r="K90">
        <v>0</v>
      </c>
      <c r="L90">
        <v>0</v>
      </c>
      <c r="M90" t="s">
        <v>276</v>
      </c>
      <c r="N90" t="s">
        <v>277</v>
      </c>
      <c r="O90" t="s">
        <v>284</v>
      </c>
      <c r="P90" t="s">
        <v>278</v>
      </c>
      <c r="Q90" t="s">
        <v>280</v>
      </c>
      <c r="R90">
        <v>86</v>
      </c>
      <c r="S90" s="672" t="b">
        <f t="shared" si="1"/>
        <v>0</v>
      </c>
      <c r="T90" t="s">
        <v>27</v>
      </c>
    </row>
    <row r="91" spans="1:20" hidden="1">
      <c r="A91" t="s">
        <v>618</v>
      </c>
      <c r="B91" t="s">
        <v>1441</v>
      </c>
      <c r="C91">
        <v>2</v>
      </c>
      <c r="D91">
        <v>2</v>
      </c>
      <c r="E91">
        <v>2</v>
      </c>
      <c r="F91" s="8">
        <v>1</v>
      </c>
      <c r="G91" t="s">
        <v>268</v>
      </c>
      <c r="H91" s="672">
        <v>0</v>
      </c>
      <c r="I91">
        <v>12000000</v>
      </c>
      <c r="J91">
        <v>12000000</v>
      </c>
      <c r="K91">
        <v>0</v>
      </c>
      <c r="L91">
        <v>0</v>
      </c>
      <c r="M91" t="s">
        <v>276</v>
      </c>
      <c r="N91" t="s">
        <v>277</v>
      </c>
      <c r="O91" t="s">
        <v>284</v>
      </c>
      <c r="P91" t="s">
        <v>278</v>
      </c>
      <c r="Q91" t="s">
        <v>280</v>
      </c>
      <c r="R91">
        <v>87</v>
      </c>
      <c r="S91" s="672" t="b">
        <f t="shared" si="1"/>
        <v>0</v>
      </c>
      <c r="T91" t="s">
        <v>27</v>
      </c>
    </row>
    <row r="92" spans="1:20" hidden="1">
      <c r="A92" t="s">
        <v>618</v>
      </c>
      <c r="B92" t="s">
        <v>1442</v>
      </c>
      <c r="C92">
        <v>2</v>
      </c>
      <c r="D92">
        <v>2</v>
      </c>
      <c r="E92">
        <v>4</v>
      </c>
      <c r="F92" s="8">
        <v>1</v>
      </c>
      <c r="G92" t="s">
        <v>268</v>
      </c>
      <c r="H92" s="672">
        <v>0</v>
      </c>
      <c r="I92">
        <v>20000000</v>
      </c>
      <c r="J92">
        <v>20000000</v>
      </c>
      <c r="K92">
        <v>0</v>
      </c>
      <c r="L92">
        <v>0</v>
      </c>
      <c r="M92" t="s">
        <v>276</v>
      </c>
      <c r="N92" t="s">
        <v>277</v>
      </c>
      <c r="O92" t="s">
        <v>284</v>
      </c>
      <c r="P92" t="s">
        <v>278</v>
      </c>
      <c r="Q92" t="s">
        <v>280</v>
      </c>
      <c r="R92">
        <v>88</v>
      </c>
      <c r="S92" s="672" t="b">
        <f t="shared" si="1"/>
        <v>0</v>
      </c>
      <c r="T92" t="s">
        <v>27</v>
      </c>
    </row>
    <row r="93" spans="1:20" hidden="1">
      <c r="A93" t="s">
        <v>690</v>
      </c>
      <c r="B93" t="s">
        <v>1443</v>
      </c>
      <c r="C93">
        <v>2</v>
      </c>
      <c r="D93">
        <v>2</v>
      </c>
      <c r="E93">
        <v>10</v>
      </c>
      <c r="F93" s="8">
        <v>1</v>
      </c>
      <c r="G93" t="s">
        <v>270</v>
      </c>
      <c r="H93" s="672">
        <v>0</v>
      </c>
      <c r="I93">
        <v>25000000</v>
      </c>
      <c r="J93">
        <v>25000000</v>
      </c>
      <c r="K93">
        <v>0</v>
      </c>
      <c r="L93">
        <v>0</v>
      </c>
      <c r="M93" t="s">
        <v>276</v>
      </c>
      <c r="N93" t="s">
        <v>277</v>
      </c>
      <c r="O93" t="s">
        <v>284</v>
      </c>
      <c r="P93" t="s">
        <v>278</v>
      </c>
      <c r="Q93" t="s">
        <v>280</v>
      </c>
      <c r="R93">
        <v>89</v>
      </c>
      <c r="S93" s="672" t="b">
        <f t="shared" si="1"/>
        <v>0</v>
      </c>
      <c r="T93" t="s">
        <v>27</v>
      </c>
    </row>
    <row r="94" spans="1:20" hidden="1">
      <c r="A94" t="s">
        <v>618</v>
      </c>
      <c r="B94" t="s">
        <v>1444</v>
      </c>
      <c r="C94">
        <v>2</v>
      </c>
      <c r="D94">
        <v>2</v>
      </c>
      <c r="E94">
        <v>9</v>
      </c>
      <c r="F94" s="8">
        <v>1</v>
      </c>
      <c r="G94" t="s">
        <v>268</v>
      </c>
      <c r="H94" s="672">
        <v>0</v>
      </c>
      <c r="I94">
        <v>49500000</v>
      </c>
      <c r="J94">
        <v>49500000</v>
      </c>
      <c r="K94">
        <v>0</v>
      </c>
      <c r="L94">
        <v>0</v>
      </c>
      <c r="M94" t="s">
        <v>276</v>
      </c>
      <c r="N94" t="s">
        <v>277</v>
      </c>
      <c r="O94" t="s">
        <v>284</v>
      </c>
      <c r="P94" t="s">
        <v>278</v>
      </c>
      <c r="Q94" t="s">
        <v>280</v>
      </c>
      <c r="R94">
        <v>90</v>
      </c>
      <c r="S94" s="672" t="b">
        <f t="shared" si="1"/>
        <v>0</v>
      </c>
      <c r="T94" t="s">
        <v>27</v>
      </c>
    </row>
    <row r="95" spans="1:20" hidden="1">
      <c r="A95" t="s">
        <v>618</v>
      </c>
      <c r="B95" t="s">
        <v>1445</v>
      </c>
      <c r="C95">
        <v>1</v>
      </c>
      <c r="D95">
        <v>1</v>
      </c>
      <c r="E95">
        <v>11</v>
      </c>
      <c r="F95" s="8">
        <v>1</v>
      </c>
      <c r="G95" t="s">
        <v>268</v>
      </c>
      <c r="H95" s="672">
        <v>0</v>
      </c>
      <c r="I95">
        <v>66000000</v>
      </c>
      <c r="J95">
        <v>66000000</v>
      </c>
      <c r="K95">
        <v>0</v>
      </c>
      <c r="L95">
        <v>0</v>
      </c>
      <c r="M95" t="s">
        <v>276</v>
      </c>
      <c r="N95" t="s">
        <v>277</v>
      </c>
      <c r="O95" t="s">
        <v>284</v>
      </c>
      <c r="P95" t="s">
        <v>278</v>
      </c>
      <c r="Q95" t="s">
        <v>280</v>
      </c>
      <c r="R95">
        <v>91</v>
      </c>
      <c r="S95" s="672" t="b">
        <f t="shared" si="1"/>
        <v>0</v>
      </c>
      <c r="T95" t="s">
        <v>27</v>
      </c>
    </row>
    <row r="96" spans="1:20" hidden="1">
      <c r="A96" t="s">
        <v>618</v>
      </c>
      <c r="B96" t="s">
        <v>1446</v>
      </c>
      <c r="C96">
        <v>1</v>
      </c>
      <c r="D96">
        <v>1</v>
      </c>
      <c r="E96">
        <v>11</v>
      </c>
      <c r="F96" s="8">
        <v>1</v>
      </c>
      <c r="G96" t="s">
        <v>268</v>
      </c>
      <c r="H96" s="672">
        <v>0</v>
      </c>
      <c r="I96">
        <v>55000000</v>
      </c>
      <c r="J96">
        <v>55000000</v>
      </c>
      <c r="K96">
        <v>0</v>
      </c>
      <c r="L96">
        <v>0</v>
      </c>
      <c r="M96" t="s">
        <v>276</v>
      </c>
      <c r="N96" t="s">
        <v>277</v>
      </c>
      <c r="O96" t="s">
        <v>284</v>
      </c>
      <c r="P96" t="s">
        <v>278</v>
      </c>
      <c r="Q96" t="s">
        <v>280</v>
      </c>
      <c r="R96">
        <v>92</v>
      </c>
      <c r="S96" s="672" t="b">
        <f t="shared" si="1"/>
        <v>0</v>
      </c>
      <c r="T96" t="s">
        <v>27</v>
      </c>
    </row>
    <row r="97" spans="1:20" hidden="1">
      <c r="A97" t="s">
        <v>618</v>
      </c>
      <c r="B97" t="s">
        <v>1447</v>
      </c>
      <c r="C97">
        <v>1</v>
      </c>
      <c r="D97">
        <v>1</v>
      </c>
      <c r="E97">
        <v>4</v>
      </c>
      <c r="F97" s="8">
        <v>1</v>
      </c>
      <c r="G97" t="s">
        <v>268</v>
      </c>
      <c r="H97" s="672">
        <v>0</v>
      </c>
      <c r="I97">
        <v>20000000</v>
      </c>
      <c r="J97">
        <v>20000000</v>
      </c>
      <c r="K97">
        <v>0</v>
      </c>
      <c r="L97">
        <v>0</v>
      </c>
      <c r="M97" t="s">
        <v>276</v>
      </c>
      <c r="N97" t="s">
        <v>277</v>
      </c>
      <c r="O97" t="s">
        <v>284</v>
      </c>
      <c r="P97" t="s">
        <v>278</v>
      </c>
      <c r="Q97" t="s">
        <v>280</v>
      </c>
      <c r="R97">
        <v>93</v>
      </c>
      <c r="S97" s="672" t="b">
        <f t="shared" si="1"/>
        <v>0</v>
      </c>
      <c r="T97" t="s">
        <v>27</v>
      </c>
    </row>
    <row r="98" spans="1:20" s="709" customFormat="1" hidden="1">
      <c r="A98" s="709" t="s">
        <v>608</v>
      </c>
      <c r="B98" s="709" t="s">
        <v>1448</v>
      </c>
      <c r="C98" s="709">
        <v>3</v>
      </c>
      <c r="D98" s="709">
        <v>3</v>
      </c>
      <c r="E98" s="709">
        <v>8</v>
      </c>
      <c r="F98" s="711">
        <v>1</v>
      </c>
      <c r="G98" s="709" t="s">
        <v>257</v>
      </c>
      <c r="H98" s="709">
        <v>0</v>
      </c>
      <c r="I98" s="709">
        <f>447000000+63000000</f>
        <v>510000000</v>
      </c>
      <c r="J98" s="709">
        <f>447000000+63000000</f>
        <v>510000000</v>
      </c>
      <c r="K98" s="709">
        <v>0</v>
      </c>
      <c r="L98" s="709">
        <v>0</v>
      </c>
      <c r="M98" s="709" t="s">
        <v>276</v>
      </c>
      <c r="N98" s="709" t="s">
        <v>277</v>
      </c>
      <c r="O98" s="709" t="s">
        <v>284</v>
      </c>
      <c r="P98" s="709" t="s">
        <v>278</v>
      </c>
      <c r="Q98" s="709" t="s">
        <v>280</v>
      </c>
      <c r="R98" s="709">
        <v>94</v>
      </c>
      <c r="S98" s="709" t="e">
        <f>+R98=#REF!</f>
        <v>#REF!</v>
      </c>
      <c r="T98" s="709" t="s">
        <v>27</v>
      </c>
    </row>
    <row r="99" spans="1:20" hidden="1">
      <c r="A99" t="s">
        <v>618</v>
      </c>
      <c r="B99" t="s">
        <v>1449</v>
      </c>
      <c r="C99">
        <v>1</v>
      </c>
      <c r="D99">
        <v>1</v>
      </c>
      <c r="E99">
        <v>10</v>
      </c>
      <c r="F99" s="8">
        <v>1</v>
      </c>
      <c r="G99" t="s">
        <v>268</v>
      </c>
      <c r="H99" s="672">
        <v>0</v>
      </c>
      <c r="I99">
        <v>22400000</v>
      </c>
      <c r="J99">
        <v>22400000</v>
      </c>
      <c r="K99">
        <v>0</v>
      </c>
      <c r="L99">
        <v>0</v>
      </c>
      <c r="M99" t="s">
        <v>276</v>
      </c>
      <c r="N99" t="s">
        <v>277</v>
      </c>
      <c r="O99" t="s">
        <v>284</v>
      </c>
      <c r="P99" t="s">
        <v>278</v>
      </c>
      <c r="Q99" t="s">
        <v>280</v>
      </c>
      <c r="R99">
        <v>95</v>
      </c>
      <c r="S99" s="672" t="b">
        <f t="shared" si="1"/>
        <v>0</v>
      </c>
      <c r="T99" t="s">
        <v>27</v>
      </c>
    </row>
    <row r="100" spans="1:20" hidden="1">
      <c r="A100" t="s">
        <v>618</v>
      </c>
      <c r="B100" t="s">
        <v>1450</v>
      </c>
      <c r="C100">
        <v>1</v>
      </c>
      <c r="D100">
        <v>1</v>
      </c>
      <c r="E100">
        <v>6</v>
      </c>
      <c r="F100" s="8">
        <v>1</v>
      </c>
      <c r="G100" t="s">
        <v>268</v>
      </c>
      <c r="H100" s="672">
        <v>0</v>
      </c>
      <c r="I100">
        <v>8000000</v>
      </c>
      <c r="J100">
        <v>8000000</v>
      </c>
      <c r="K100">
        <v>0</v>
      </c>
      <c r="L100">
        <v>0</v>
      </c>
      <c r="M100" t="s">
        <v>276</v>
      </c>
      <c r="N100" t="s">
        <v>277</v>
      </c>
      <c r="O100" t="s">
        <v>284</v>
      </c>
      <c r="P100" t="s">
        <v>278</v>
      </c>
      <c r="Q100" t="s">
        <v>280</v>
      </c>
      <c r="R100">
        <v>96</v>
      </c>
      <c r="S100" s="672" t="b">
        <f t="shared" si="1"/>
        <v>0</v>
      </c>
      <c r="T100" t="s">
        <v>27</v>
      </c>
    </row>
    <row r="101" spans="1:20" hidden="1">
      <c r="A101" t="s">
        <v>618</v>
      </c>
      <c r="B101" t="s">
        <v>1451</v>
      </c>
      <c r="C101">
        <v>1</v>
      </c>
      <c r="D101">
        <v>1</v>
      </c>
      <c r="E101">
        <v>3</v>
      </c>
      <c r="F101" s="8">
        <v>1</v>
      </c>
      <c r="G101" t="s">
        <v>268</v>
      </c>
      <c r="H101" s="672">
        <v>0</v>
      </c>
      <c r="I101">
        <v>17880000</v>
      </c>
      <c r="J101">
        <v>17880000</v>
      </c>
      <c r="K101">
        <v>0</v>
      </c>
      <c r="L101">
        <v>0</v>
      </c>
      <c r="M101" t="s">
        <v>276</v>
      </c>
      <c r="N101" t="s">
        <v>277</v>
      </c>
      <c r="O101" t="s">
        <v>284</v>
      </c>
      <c r="P101" t="s">
        <v>278</v>
      </c>
      <c r="Q101" t="s">
        <v>280</v>
      </c>
      <c r="R101">
        <v>97</v>
      </c>
      <c r="S101" s="672" t="b">
        <f t="shared" si="1"/>
        <v>0</v>
      </c>
      <c r="T101" t="s">
        <v>27</v>
      </c>
    </row>
    <row r="102" spans="1:20" hidden="1">
      <c r="A102">
        <v>56112101</v>
      </c>
      <c r="B102" t="s">
        <v>1452</v>
      </c>
      <c r="C102">
        <v>2</v>
      </c>
      <c r="D102">
        <v>2</v>
      </c>
      <c r="E102">
        <v>4</v>
      </c>
      <c r="F102" s="8">
        <v>1</v>
      </c>
      <c r="G102" t="s">
        <v>264</v>
      </c>
      <c r="H102" s="672">
        <v>0</v>
      </c>
      <c r="I102">
        <v>40000000</v>
      </c>
      <c r="J102">
        <v>40000000</v>
      </c>
      <c r="K102">
        <v>0</v>
      </c>
      <c r="L102">
        <v>0</v>
      </c>
      <c r="M102" t="s">
        <v>276</v>
      </c>
      <c r="N102" t="s">
        <v>277</v>
      </c>
      <c r="O102" t="s">
        <v>284</v>
      </c>
      <c r="P102" t="s">
        <v>278</v>
      </c>
      <c r="Q102" t="s">
        <v>280</v>
      </c>
      <c r="R102">
        <v>98</v>
      </c>
      <c r="S102" s="672" t="b">
        <f t="shared" si="1"/>
        <v>0</v>
      </c>
      <c r="T102" t="s">
        <v>27</v>
      </c>
    </row>
    <row r="103" spans="1:20" hidden="1">
      <c r="A103" t="s">
        <v>615</v>
      </c>
      <c r="B103" t="s">
        <v>1453</v>
      </c>
      <c r="C103">
        <v>3</v>
      </c>
      <c r="D103">
        <v>3</v>
      </c>
      <c r="E103">
        <v>6</v>
      </c>
      <c r="F103" s="8">
        <v>1</v>
      </c>
      <c r="G103" t="s">
        <v>264</v>
      </c>
      <c r="H103" s="672">
        <v>0</v>
      </c>
      <c r="I103">
        <v>25000000</v>
      </c>
      <c r="J103">
        <v>25000000</v>
      </c>
      <c r="K103">
        <v>0</v>
      </c>
      <c r="L103">
        <v>0</v>
      </c>
      <c r="M103" t="s">
        <v>276</v>
      </c>
      <c r="N103" t="s">
        <v>277</v>
      </c>
      <c r="O103" t="s">
        <v>284</v>
      </c>
      <c r="P103" t="s">
        <v>278</v>
      </c>
      <c r="Q103" t="s">
        <v>280</v>
      </c>
      <c r="R103">
        <v>99</v>
      </c>
      <c r="S103" s="672" t="b">
        <f t="shared" si="1"/>
        <v>0</v>
      </c>
      <c r="T103" t="s">
        <v>27</v>
      </c>
    </row>
    <row r="104" spans="1:20" hidden="1">
      <c r="A104" t="s">
        <v>618</v>
      </c>
      <c r="B104" t="s">
        <v>1454</v>
      </c>
      <c r="C104">
        <v>1</v>
      </c>
      <c r="D104">
        <v>1</v>
      </c>
      <c r="E104">
        <v>10</v>
      </c>
      <c r="F104" s="8">
        <v>1</v>
      </c>
      <c r="G104" t="s">
        <v>268</v>
      </c>
      <c r="H104" s="672">
        <v>0</v>
      </c>
      <c r="I104">
        <v>15000000</v>
      </c>
      <c r="J104">
        <v>15000000</v>
      </c>
      <c r="K104">
        <v>0</v>
      </c>
      <c r="L104">
        <v>0</v>
      </c>
      <c r="M104" t="s">
        <v>276</v>
      </c>
      <c r="N104" t="s">
        <v>277</v>
      </c>
      <c r="O104" t="s">
        <v>284</v>
      </c>
      <c r="P104" t="s">
        <v>278</v>
      </c>
      <c r="Q104" t="s">
        <v>280</v>
      </c>
      <c r="R104">
        <v>100</v>
      </c>
      <c r="S104" s="672" t="b">
        <f t="shared" si="1"/>
        <v>0</v>
      </c>
      <c r="T104" t="s">
        <v>27</v>
      </c>
    </row>
    <row r="105" spans="1:20" hidden="1">
      <c r="A105" t="s">
        <v>690</v>
      </c>
      <c r="B105" t="s">
        <v>1455</v>
      </c>
      <c r="C105">
        <v>2</v>
      </c>
      <c r="D105">
        <v>2</v>
      </c>
      <c r="E105">
        <v>10</v>
      </c>
      <c r="F105" s="8">
        <v>1</v>
      </c>
      <c r="G105" t="s">
        <v>270</v>
      </c>
      <c r="H105" s="672">
        <v>0</v>
      </c>
      <c r="I105">
        <v>10000000</v>
      </c>
      <c r="J105">
        <v>10000000</v>
      </c>
      <c r="K105">
        <v>0</v>
      </c>
      <c r="L105">
        <v>0</v>
      </c>
      <c r="M105" t="s">
        <v>276</v>
      </c>
      <c r="N105" t="s">
        <v>277</v>
      </c>
      <c r="O105" t="s">
        <v>284</v>
      </c>
      <c r="P105" t="s">
        <v>278</v>
      </c>
      <c r="Q105" t="s">
        <v>280</v>
      </c>
      <c r="R105">
        <v>101</v>
      </c>
      <c r="S105" s="672" t="b">
        <f t="shared" si="1"/>
        <v>0</v>
      </c>
      <c r="T105" t="s">
        <v>27</v>
      </c>
    </row>
    <row r="106" spans="1:20" hidden="1">
      <c r="A106" t="s">
        <v>618</v>
      </c>
      <c r="B106" t="s">
        <v>1456</v>
      </c>
      <c r="C106">
        <v>5</v>
      </c>
      <c r="D106">
        <v>5</v>
      </c>
      <c r="E106">
        <v>3</v>
      </c>
      <c r="F106" s="8">
        <v>1</v>
      </c>
      <c r="G106" t="s">
        <v>268</v>
      </c>
      <c r="H106" s="672">
        <v>0</v>
      </c>
      <c r="I106">
        <v>8400000</v>
      </c>
      <c r="J106">
        <v>8400000</v>
      </c>
      <c r="K106">
        <v>0</v>
      </c>
      <c r="L106">
        <v>0</v>
      </c>
      <c r="M106" t="s">
        <v>276</v>
      </c>
      <c r="N106" t="s">
        <v>277</v>
      </c>
      <c r="O106" t="s">
        <v>284</v>
      </c>
      <c r="P106" t="s">
        <v>278</v>
      </c>
      <c r="Q106" t="s">
        <v>280</v>
      </c>
      <c r="R106">
        <v>102</v>
      </c>
      <c r="S106" s="672" t="b">
        <f t="shared" si="1"/>
        <v>0</v>
      </c>
      <c r="T106" t="s">
        <v>27</v>
      </c>
    </row>
    <row r="107" spans="1:20" hidden="1">
      <c r="A107" t="s">
        <v>618</v>
      </c>
      <c r="B107" t="s">
        <v>1457</v>
      </c>
      <c r="C107">
        <v>5</v>
      </c>
      <c r="D107">
        <v>5</v>
      </c>
      <c r="E107">
        <v>3</v>
      </c>
      <c r="F107" s="8">
        <v>1</v>
      </c>
      <c r="G107" t="s">
        <v>268</v>
      </c>
      <c r="H107" s="672">
        <v>0</v>
      </c>
      <c r="I107">
        <v>8400000</v>
      </c>
      <c r="J107">
        <v>8400000</v>
      </c>
      <c r="K107">
        <v>0</v>
      </c>
      <c r="L107">
        <v>0</v>
      </c>
      <c r="M107" t="s">
        <v>276</v>
      </c>
      <c r="N107" t="s">
        <v>277</v>
      </c>
      <c r="O107" t="s">
        <v>284</v>
      </c>
      <c r="P107" t="s">
        <v>278</v>
      </c>
      <c r="Q107" t="s">
        <v>280</v>
      </c>
      <c r="R107">
        <v>103</v>
      </c>
      <c r="S107" s="672" t="b">
        <f t="shared" si="1"/>
        <v>0</v>
      </c>
      <c r="T107" t="s">
        <v>27</v>
      </c>
    </row>
    <row r="108" spans="1:20" hidden="1">
      <c r="A108" t="s">
        <v>618</v>
      </c>
      <c r="B108" t="s">
        <v>1458</v>
      </c>
      <c r="C108">
        <v>5</v>
      </c>
      <c r="D108">
        <v>5</v>
      </c>
      <c r="E108">
        <v>3</v>
      </c>
      <c r="F108" s="8">
        <v>1</v>
      </c>
      <c r="G108" t="s">
        <v>268</v>
      </c>
      <c r="H108" s="672">
        <v>0</v>
      </c>
      <c r="I108">
        <v>8400000</v>
      </c>
      <c r="J108">
        <v>8400000</v>
      </c>
      <c r="K108">
        <v>0</v>
      </c>
      <c r="L108">
        <v>0</v>
      </c>
      <c r="M108" t="s">
        <v>276</v>
      </c>
      <c r="N108" t="s">
        <v>277</v>
      </c>
      <c r="O108" t="s">
        <v>284</v>
      </c>
      <c r="P108" t="s">
        <v>278</v>
      </c>
      <c r="Q108" t="s">
        <v>280</v>
      </c>
      <c r="R108">
        <v>104</v>
      </c>
      <c r="S108" s="672" t="b">
        <f t="shared" si="1"/>
        <v>0</v>
      </c>
      <c r="T108" t="s">
        <v>27</v>
      </c>
    </row>
    <row r="109" spans="1:20" hidden="1">
      <c r="A109">
        <v>78101801</v>
      </c>
      <c r="B109" t="s">
        <v>1459</v>
      </c>
      <c r="C109">
        <v>2</v>
      </c>
      <c r="D109">
        <v>2</v>
      </c>
      <c r="E109">
        <v>11</v>
      </c>
      <c r="F109" s="8">
        <v>1</v>
      </c>
      <c r="G109" t="s">
        <v>266</v>
      </c>
      <c r="H109" s="672">
        <v>0</v>
      </c>
      <c r="I109">
        <v>8000000</v>
      </c>
      <c r="J109">
        <v>8000000</v>
      </c>
      <c r="K109">
        <v>0</v>
      </c>
      <c r="L109">
        <v>0</v>
      </c>
      <c r="M109" t="s">
        <v>276</v>
      </c>
      <c r="N109" t="s">
        <v>277</v>
      </c>
      <c r="O109" t="s">
        <v>284</v>
      </c>
      <c r="P109" t="s">
        <v>278</v>
      </c>
      <c r="Q109" t="s">
        <v>280</v>
      </c>
      <c r="R109">
        <v>105</v>
      </c>
      <c r="S109" s="672" t="b">
        <f t="shared" si="1"/>
        <v>0</v>
      </c>
      <c r="T109" t="s">
        <v>27</v>
      </c>
    </row>
    <row r="110" spans="1:20" hidden="1">
      <c r="A110" t="s">
        <v>618</v>
      </c>
      <c r="B110" t="s">
        <v>1460</v>
      </c>
      <c r="C110">
        <v>2</v>
      </c>
      <c r="D110">
        <v>2</v>
      </c>
      <c r="E110">
        <v>4</v>
      </c>
      <c r="F110" s="8">
        <v>1</v>
      </c>
      <c r="G110" t="s">
        <v>268</v>
      </c>
      <c r="H110" s="672">
        <v>0</v>
      </c>
      <c r="I110">
        <v>40000000</v>
      </c>
      <c r="J110">
        <v>40000000</v>
      </c>
      <c r="K110">
        <v>0</v>
      </c>
      <c r="L110">
        <v>0</v>
      </c>
      <c r="M110" t="s">
        <v>276</v>
      </c>
      <c r="N110" t="s">
        <v>277</v>
      </c>
      <c r="O110" t="s">
        <v>284</v>
      </c>
      <c r="P110" t="s">
        <v>278</v>
      </c>
      <c r="Q110" t="s">
        <v>280</v>
      </c>
      <c r="R110">
        <v>106</v>
      </c>
      <c r="S110" s="672" t="b">
        <f t="shared" si="1"/>
        <v>0</v>
      </c>
      <c r="T110" t="s">
        <v>27</v>
      </c>
    </row>
    <row r="111" spans="1:20" hidden="1">
      <c r="A111" t="s">
        <v>705</v>
      </c>
      <c r="B111" t="s">
        <v>1461</v>
      </c>
      <c r="C111">
        <v>3</v>
      </c>
      <c r="D111">
        <v>3</v>
      </c>
      <c r="E111">
        <v>7</v>
      </c>
      <c r="F111" s="8">
        <v>1</v>
      </c>
      <c r="G111" t="s">
        <v>257</v>
      </c>
      <c r="H111" s="672">
        <v>0</v>
      </c>
      <c r="I111">
        <v>30000000</v>
      </c>
      <c r="J111">
        <v>30000000</v>
      </c>
      <c r="K111">
        <v>0</v>
      </c>
      <c r="L111">
        <v>0</v>
      </c>
      <c r="M111" t="s">
        <v>276</v>
      </c>
      <c r="N111" t="s">
        <v>277</v>
      </c>
      <c r="O111" t="s">
        <v>284</v>
      </c>
      <c r="P111" t="s">
        <v>278</v>
      </c>
      <c r="Q111" t="s">
        <v>280</v>
      </c>
      <c r="R111">
        <v>107</v>
      </c>
      <c r="S111" s="672" t="b">
        <f t="shared" si="1"/>
        <v>0</v>
      </c>
      <c r="T111" t="s">
        <v>27</v>
      </c>
    </row>
    <row r="112" spans="1:20" hidden="1">
      <c r="A112" t="s">
        <v>618</v>
      </c>
      <c r="B112" t="s">
        <v>1462</v>
      </c>
      <c r="C112">
        <v>1</v>
      </c>
      <c r="D112">
        <v>1</v>
      </c>
      <c r="E112">
        <v>10</v>
      </c>
      <c r="F112" s="8">
        <v>1</v>
      </c>
      <c r="G112" t="s">
        <v>268</v>
      </c>
      <c r="H112" s="672">
        <v>0</v>
      </c>
      <c r="I112">
        <v>15000000</v>
      </c>
      <c r="J112">
        <v>15000000</v>
      </c>
      <c r="K112">
        <v>0</v>
      </c>
      <c r="L112">
        <v>0</v>
      </c>
      <c r="M112" t="s">
        <v>276</v>
      </c>
      <c r="N112" t="s">
        <v>277</v>
      </c>
      <c r="O112" t="s">
        <v>284</v>
      </c>
      <c r="P112" t="s">
        <v>278</v>
      </c>
      <c r="Q112" t="s">
        <v>280</v>
      </c>
      <c r="R112">
        <v>108</v>
      </c>
      <c r="S112" s="672" t="b">
        <f t="shared" si="1"/>
        <v>0</v>
      </c>
      <c r="T112" t="s">
        <v>27</v>
      </c>
    </row>
    <row r="113" spans="1:20" hidden="1">
      <c r="A113" t="s">
        <v>618</v>
      </c>
      <c r="B113" t="s">
        <v>1463</v>
      </c>
      <c r="C113">
        <v>1</v>
      </c>
      <c r="D113">
        <v>1</v>
      </c>
      <c r="E113">
        <v>11</v>
      </c>
      <c r="F113" s="8">
        <v>1</v>
      </c>
      <c r="G113" t="s">
        <v>268</v>
      </c>
      <c r="H113" s="672">
        <v>0</v>
      </c>
      <c r="I113">
        <v>88000000</v>
      </c>
      <c r="J113">
        <v>88000000</v>
      </c>
      <c r="K113">
        <v>0</v>
      </c>
      <c r="L113">
        <v>0</v>
      </c>
      <c r="M113" t="s">
        <v>276</v>
      </c>
      <c r="N113" t="s">
        <v>277</v>
      </c>
      <c r="O113" t="s">
        <v>284</v>
      </c>
      <c r="P113" t="s">
        <v>278</v>
      </c>
      <c r="Q113" t="s">
        <v>280</v>
      </c>
      <c r="R113">
        <v>109</v>
      </c>
      <c r="S113" s="672" t="b">
        <f t="shared" si="1"/>
        <v>0</v>
      </c>
      <c r="T113" t="s">
        <v>27</v>
      </c>
    </row>
    <row r="114" spans="1:20" hidden="1">
      <c r="A114" t="s">
        <v>618</v>
      </c>
      <c r="B114" t="s">
        <v>1464</v>
      </c>
      <c r="C114">
        <v>1</v>
      </c>
      <c r="D114">
        <v>1</v>
      </c>
      <c r="E114">
        <v>11</v>
      </c>
      <c r="F114" s="8">
        <v>1</v>
      </c>
      <c r="G114" t="s">
        <v>268</v>
      </c>
      <c r="H114" s="672">
        <v>0</v>
      </c>
      <c r="I114">
        <v>72820176</v>
      </c>
      <c r="J114">
        <v>72820176</v>
      </c>
      <c r="K114">
        <v>0</v>
      </c>
      <c r="L114">
        <v>0</v>
      </c>
      <c r="M114" t="s">
        <v>276</v>
      </c>
      <c r="N114" t="s">
        <v>277</v>
      </c>
      <c r="O114" t="s">
        <v>284</v>
      </c>
      <c r="P114" t="s">
        <v>278</v>
      </c>
      <c r="Q114" t="s">
        <v>280</v>
      </c>
      <c r="R114">
        <v>110</v>
      </c>
      <c r="S114" s="672" t="b">
        <f t="shared" si="1"/>
        <v>0</v>
      </c>
      <c r="T114" t="s">
        <v>27</v>
      </c>
    </row>
    <row r="115" spans="1:20" hidden="1">
      <c r="A115" t="s">
        <v>618</v>
      </c>
      <c r="B115" t="s">
        <v>1465</v>
      </c>
      <c r="C115">
        <v>1</v>
      </c>
      <c r="D115">
        <v>1</v>
      </c>
      <c r="E115">
        <v>11</v>
      </c>
      <c r="F115" s="8">
        <v>1</v>
      </c>
      <c r="G115" t="s">
        <v>268</v>
      </c>
      <c r="H115" s="672">
        <v>0</v>
      </c>
      <c r="I115">
        <v>77000000</v>
      </c>
      <c r="J115">
        <v>77000000</v>
      </c>
      <c r="K115">
        <v>0</v>
      </c>
      <c r="L115">
        <v>0</v>
      </c>
      <c r="M115" t="s">
        <v>276</v>
      </c>
      <c r="N115" t="s">
        <v>277</v>
      </c>
      <c r="O115" t="s">
        <v>284</v>
      </c>
      <c r="P115" t="s">
        <v>278</v>
      </c>
      <c r="Q115" t="s">
        <v>280</v>
      </c>
      <c r="R115">
        <v>111</v>
      </c>
      <c r="S115" s="672" t="b">
        <f t="shared" si="1"/>
        <v>0</v>
      </c>
      <c r="T115" t="s">
        <v>27</v>
      </c>
    </row>
    <row r="116" spans="1:20" hidden="1">
      <c r="A116" t="s">
        <v>716</v>
      </c>
      <c r="B116" t="s">
        <v>1466</v>
      </c>
      <c r="C116">
        <v>1</v>
      </c>
      <c r="D116">
        <v>1</v>
      </c>
      <c r="E116">
        <v>10</v>
      </c>
      <c r="F116" s="8">
        <v>1</v>
      </c>
      <c r="G116" t="s">
        <v>268</v>
      </c>
      <c r="H116" s="672">
        <v>0</v>
      </c>
      <c r="I116">
        <v>9000000</v>
      </c>
      <c r="J116">
        <v>9000000</v>
      </c>
      <c r="K116">
        <v>0</v>
      </c>
      <c r="L116">
        <v>0</v>
      </c>
      <c r="M116" t="s">
        <v>276</v>
      </c>
      <c r="N116" t="s">
        <v>277</v>
      </c>
      <c r="O116" t="s">
        <v>284</v>
      </c>
      <c r="P116" t="s">
        <v>278</v>
      </c>
      <c r="Q116" t="s">
        <v>280</v>
      </c>
      <c r="R116">
        <v>112</v>
      </c>
      <c r="S116" s="672" t="b">
        <f t="shared" si="1"/>
        <v>0</v>
      </c>
      <c r="T116" t="s">
        <v>27</v>
      </c>
    </row>
    <row r="117" spans="1:20" hidden="1">
      <c r="A117">
        <v>80111600</v>
      </c>
      <c r="B117" t="s">
        <v>1467</v>
      </c>
      <c r="C117">
        <v>1</v>
      </c>
      <c r="D117">
        <v>1</v>
      </c>
      <c r="E117">
        <v>11</v>
      </c>
      <c r="F117" s="8">
        <v>1</v>
      </c>
      <c r="G117" t="s">
        <v>268</v>
      </c>
      <c r="H117" s="672">
        <v>0</v>
      </c>
      <c r="I117">
        <v>68200000</v>
      </c>
      <c r="J117">
        <v>68200000</v>
      </c>
      <c r="K117">
        <v>0</v>
      </c>
      <c r="L117">
        <v>0</v>
      </c>
      <c r="M117" t="s">
        <v>276</v>
      </c>
      <c r="N117" t="s">
        <v>277</v>
      </c>
      <c r="O117" t="s">
        <v>285</v>
      </c>
      <c r="P117" t="s">
        <v>278</v>
      </c>
      <c r="Q117" t="s">
        <v>281</v>
      </c>
      <c r="R117">
        <v>113</v>
      </c>
      <c r="S117" s="672" t="b">
        <f t="shared" si="1"/>
        <v>0</v>
      </c>
      <c r="T117" t="s">
        <v>178</v>
      </c>
    </row>
    <row r="118" spans="1:20" hidden="1">
      <c r="A118">
        <v>80111600</v>
      </c>
      <c r="B118" t="s">
        <v>1468</v>
      </c>
      <c r="C118">
        <v>1</v>
      </c>
      <c r="D118">
        <v>1</v>
      </c>
      <c r="E118">
        <v>11</v>
      </c>
      <c r="F118" s="8">
        <v>1</v>
      </c>
      <c r="G118" t="s">
        <v>268</v>
      </c>
      <c r="H118" s="672">
        <v>0</v>
      </c>
      <c r="I118">
        <v>36190000</v>
      </c>
      <c r="J118">
        <v>36190000</v>
      </c>
      <c r="K118">
        <v>0</v>
      </c>
      <c r="L118">
        <v>0</v>
      </c>
      <c r="M118" t="s">
        <v>276</v>
      </c>
      <c r="N118" t="s">
        <v>277</v>
      </c>
      <c r="O118" t="s">
        <v>1040</v>
      </c>
      <c r="P118" t="s">
        <v>278</v>
      </c>
      <c r="Q118" t="s">
        <v>279</v>
      </c>
      <c r="R118">
        <v>114</v>
      </c>
      <c r="S118" s="672" t="b">
        <f t="shared" si="1"/>
        <v>0</v>
      </c>
      <c r="T118" t="s">
        <v>178</v>
      </c>
    </row>
    <row r="119" spans="1:20" hidden="1">
      <c r="A119">
        <v>80111600</v>
      </c>
      <c r="B119" t="s">
        <v>1469</v>
      </c>
      <c r="C119">
        <v>1</v>
      </c>
      <c r="D119">
        <v>1</v>
      </c>
      <c r="E119">
        <v>11</v>
      </c>
      <c r="F119" s="8">
        <v>1</v>
      </c>
      <c r="G119" t="s">
        <v>268</v>
      </c>
      <c r="H119" s="672">
        <v>0</v>
      </c>
      <c r="I119">
        <v>94820000</v>
      </c>
      <c r="J119">
        <v>94820000</v>
      </c>
      <c r="K119">
        <v>0</v>
      </c>
      <c r="L119">
        <v>0</v>
      </c>
      <c r="M119" t="s">
        <v>276</v>
      </c>
      <c r="N119" t="s">
        <v>277</v>
      </c>
      <c r="O119" t="s">
        <v>1040</v>
      </c>
      <c r="P119" t="s">
        <v>278</v>
      </c>
      <c r="Q119" t="s">
        <v>279</v>
      </c>
      <c r="R119">
        <v>115</v>
      </c>
      <c r="S119" s="672" t="b">
        <f t="shared" si="1"/>
        <v>0</v>
      </c>
      <c r="T119" t="s">
        <v>178</v>
      </c>
    </row>
    <row r="120" spans="1:20" s="709" customFormat="1" hidden="1">
      <c r="A120" s="709">
        <v>80111600</v>
      </c>
      <c r="B120" s="709" t="s">
        <v>1470</v>
      </c>
      <c r="C120" s="709">
        <v>3</v>
      </c>
      <c r="D120" s="709">
        <v>3</v>
      </c>
      <c r="E120" s="709">
        <v>8</v>
      </c>
      <c r="F120" s="711">
        <v>1</v>
      </c>
      <c r="G120" s="709" t="s">
        <v>268</v>
      </c>
      <c r="H120" s="709">
        <v>0</v>
      </c>
      <c r="I120" s="709">
        <f>29600000+6180000</f>
        <v>35780000</v>
      </c>
      <c r="J120" s="709">
        <f>29600000+6180000</f>
        <v>35780000</v>
      </c>
      <c r="K120" s="709">
        <v>0</v>
      </c>
      <c r="L120" s="709">
        <v>0</v>
      </c>
      <c r="M120" s="709" t="s">
        <v>276</v>
      </c>
      <c r="N120" s="709" t="s">
        <v>277</v>
      </c>
      <c r="O120" s="709" t="s">
        <v>285</v>
      </c>
      <c r="P120" s="709" t="s">
        <v>278</v>
      </c>
      <c r="Q120" s="709" t="s">
        <v>281</v>
      </c>
      <c r="R120" s="709">
        <v>116</v>
      </c>
      <c r="S120" s="709" t="e">
        <f>+R120=#REF!</f>
        <v>#REF!</v>
      </c>
      <c r="T120" s="709" t="s">
        <v>178</v>
      </c>
    </row>
    <row r="121" spans="1:20" hidden="1">
      <c r="A121">
        <v>80111600</v>
      </c>
      <c r="B121" t="s">
        <v>1471</v>
      </c>
      <c r="C121">
        <v>1</v>
      </c>
      <c r="D121">
        <v>1</v>
      </c>
      <c r="E121">
        <v>11</v>
      </c>
      <c r="F121" s="8">
        <v>1</v>
      </c>
      <c r="G121" t="s">
        <v>268</v>
      </c>
      <c r="H121" s="672">
        <v>0</v>
      </c>
      <c r="I121">
        <v>60060000</v>
      </c>
      <c r="J121">
        <v>60060000</v>
      </c>
      <c r="K121">
        <v>0</v>
      </c>
      <c r="L121">
        <v>0</v>
      </c>
      <c r="M121" t="s">
        <v>276</v>
      </c>
      <c r="N121" t="s">
        <v>277</v>
      </c>
      <c r="O121" t="s">
        <v>283</v>
      </c>
      <c r="P121" t="s">
        <v>278</v>
      </c>
      <c r="Q121" t="s">
        <v>279</v>
      </c>
      <c r="R121">
        <v>117</v>
      </c>
      <c r="S121" s="672" t="b">
        <f t="shared" si="1"/>
        <v>0</v>
      </c>
      <c r="T121" t="s">
        <v>178</v>
      </c>
    </row>
    <row r="122" spans="1:20" hidden="1">
      <c r="A122">
        <v>80111600</v>
      </c>
      <c r="B122" t="s">
        <v>1472</v>
      </c>
      <c r="C122">
        <v>1</v>
      </c>
      <c r="D122">
        <v>1</v>
      </c>
      <c r="E122">
        <v>11</v>
      </c>
      <c r="F122" s="8">
        <v>1</v>
      </c>
      <c r="G122" t="s">
        <v>268</v>
      </c>
      <c r="H122" s="672">
        <v>0</v>
      </c>
      <c r="I122">
        <v>38280000</v>
      </c>
      <c r="J122">
        <v>38280000</v>
      </c>
      <c r="K122">
        <v>0</v>
      </c>
      <c r="L122">
        <v>0</v>
      </c>
      <c r="M122" t="s">
        <v>276</v>
      </c>
      <c r="N122" t="s">
        <v>277</v>
      </c>
      <c r="O122" t="s">
        <v>283</v>
      </c>
      <c r="P122" t="s">
        <v>278</v>
      </c>
      <c r="Q122" t="s">
        <v>279</v>
      </c>
      <c r="R122">
        <v>118</v>
      </c>
      <c r="S122" s="672" t="b">
        <f t="shared" si="1"/>
        <v>0</v>
      </c>
      <c r="T122" t="s">
        <v>178</v>
      </c>
    </row>
    <row r="123" spans="1:20" hidden="1">
      <c r="A123">
        <v>80111600</v>
      </c>
      <c r="B123" t="s">
        <v>1473</v>
      </c>
      <c r="C123">
        <v>1</v>
      </c>
      <c r="D123">
        <v>1</v>
      </c>
      <c r="E123">
        <v>11</v>
      </c>
      <c r="F123" s="8">
        <v>1</v>
      </c>
      <c r="G123" t="s">
        <v>268</v>
      </c>
      <c r="H123" s="672">
        <v>0</v>
      </c>
      <c r="I123">
        <v>74800000</v>
      </c>
      <c r="J123">
        <v>74800000</v>
      </c>
      <c r="K123">
        <v>0</v>
      </c>
      <c r="L123">
        <v>0</v>
      </c>
      <c r="M123" t="s">
        <v>276</v>
      </c>
      <c r="N123" t="s">
        <v>277</v>
      </c>
      <c r="O123" t="s">
        <v>283</v>
      </c>
      <c r="P123" t="s">
        <v>278</v>
      </c>
      <c r="Q123" t="s">
        <v>279</v>
      </c>
      <c r="R123">
        <v>119</v>
      </c>
      <c r="S123" s="672" t="b">
        <f t="shared" si="1"/>
        <v>0</v>
      </c>
      <c r="T123" t="s">
        <v>178</v>
      </c>
    </row>
    <row r="124" spans="1:20" hidden="1">
      <c r="A124">
        <v>80111600</v>
      </c>
      <c r="B124" t="s">
        <v>1474</v>
      </c>
      <c r="C124">
        <v>1</v>
      </c>
      <c r="D124">
        <v>1</v>
      </c>
      <c r="E124">
        <v>11</v>
      </c>
      <c r="F124" s="8">
        <v>1</v>
      </c>
      <c r="G124" t="s">
        <v>268</v>
      </c>
      <c r="H124" s="672">
        <v>0</v>
      </c>
      <c r="I124">
        <v>29700000</v>
      </c>
      <c r="J124">
        <v>29700000</v>
      </c>
      <c r="K124">
        <v>0</v>
      </c>
      <c r="L124">
        <v>0</v>
      </c>
      <c r="M124" t="s">
        <v>276</v>
      </c>
      <c r="N124" t="s">
        <v>277</v>
      </c>
      <c r="O124" t="s">
        <v>285</v>
      </c>
      <c r="P124" t="s">
        <v>278</v>
      </c>
      <c r="Q124" t="s">
        <v>281</v>
      </c>
      <c r="R124">
        <v>120</v>
      </c>
      <c r="S124" s="672" t="b">
        <f t="shared" si="1"/>
        <v>0</v>
      </c>
      <c r="T124" t="s">
        <v>178</v>
      </c>
    </row>
    <row r="125" spans="1:20" hidden="1">
      <c r="A125">
        <v>80111600</v>
      </c>
      <c r="B125" t="s">
        <v>1475</v>
      </c>
      <c r="C125">
        <v>1</v>
      </c>
      <c r="D125">
        <v>1</v>
      </c>
      <c r="E125">
        <v>11</v>
      </c>
      <c r="F125" s="8">
        <v>1</v>
      </c>
      <c r="G125" t="s">
        <v>268</v>
      </c>
      <c r="H125" s="672">
        <v>0</v>
      </c>
      <c r="I125">
        <v>55000000</v>
      </c>
      <c r="J125">
        <v>55000000</v>
      </c>
      <c r="K125">
        <v>0</v>
      </c>
      <c r="L125">
        <v>0</v>
      </c>
      <c r="M125" t="s">
        <v>276</v>
      </c>
      <c r="N125" t="s">
        <v>277</v>
      </c>
      <c r="O125" t="s">
        <v>283</v>
      </c>
      <c r="P125" t="s">
        <v>278</v>
      </c>
      <c r="Q125" t="s">
        <v>279</v>
      </c>
      <c r="R125">
        <v>121</v>
      </c>
      <c r="S125" s="672" t="b">
        <f t="shared" si="1"/>
        <v>0</v>
      </c>
      <c r="T125" t="s">
        <v>178</v>
      </c>
    </row>
    <row r="126" spans="1:20" hidden="1">
      <c r="A126">
        <v>80111600</v>
      </c>
      <c r="B126" t="s">
        <v>1476</v>
      </c>
      <c r="C126">
        <v>1</v>
      </c>
      <c r="D126">
        <v>1</v>
      </c>
      <c r="E126">
        <v>11</v>
      </c>
      <c r="F126" s="8">
        <v>1</v>
      </c>
      <c r="G126" t="s">
        <v>268</v>
      </c>
      <c r="H126" s="672">
        <v>0</v>
      </c>
      <c r="I126">
        <v>40700000</v>
      </c>
      <c r="J126">
        <v>40700000</v>
      </c>
      <c r="K126">
        <v>0</v>
      </c>
      <c r="L126">
        <v>0</v>
      </c>
      <c r="M126" t="s">
        <v>276</v>
      </c>
      <c r="N126" t="s">
        <v>277</v>
      </c>
      <c r="O126" t="s">
        <v>285</v>
      </c>
      <c r="P126" t="s">
        <v>278</v>
      </c>
      <c r="Q126" t="s">
        <v>281</v>
      </c>
      <c r="R126">
        <v>122</v>
      </c>
      <c r="S126" s="672" t="b">
        <f t="shared" si="1"/>
        <v>0</v>
      </c>
      <c r="T126" t="s">
        <v>178</v>
      </c>
    </row>
    <row r="127" spans="1:20" hidden="1">
      <c r="A127">
        <v>80111600</v>
      </c>
      <c r="B127" t="s">
        <v>1477</v>
      </c>
      <c r="C127">
        <v>1</v>
      </c>
      <c r="D127">
        <v>1</v>
      </c>
      <c r="E127">
        <v>11</v>
      </c>
      <c r="F127" s="8">
        <v>1</v>
      </c>
      <c r="G127" t="s">
        <v>268</v>
      </c>
      <c r="H127" s="672">
        <v>0</v>
      </c>
      <c r="I127">
        <v>45320000</v>
      </c>
      <c r="J127">
        <v>45320000</v>
      </c>
      <c r="K127">
        <v>0</v>
      </c>
      <c r="L127">
        <v>0</v>
      </c>
      <c r="M127" t="s">
        <v>276</v>
      </c>
      <c r="N127" t="s">
        <v>277</v>
      </c>
      <c r="O127" t="s">
        <v>283</v>
      </c>
      <c r="P127" t="s">
        <v>278</v>
      </c>
      <c r="Q127" t="s">
        <v>279</v>
      </c>
      <c r="R127">
        <v>123</v>
      </c>
      <c r="S127" s="672" t="b">
        <f t="shared" si="1"/>
        <v>0</v>
      </c>
      <c r="T127" t="s">
        <v>178</v>
      </c>
    </row>
    <row r="128" spans="1:20" hidden="1">
      <c r="A128">
        <v>80111600</v>
      </c>
      <c r="B128" t="s">
        <v>1478</v>
      </c>
      <c r="C128">
        <v>1</v>
      </c>
      <c r="D128">
        <v>1</v>
      </c>
      <c r="E128">
        <v>11</v>
      </c>
      <c r="F128" s="8">
        <v>1</v>
      </c>
      <c r="G128" t="s">
        <v>268</v>
      </c>
      <c r="H128" s="672">
        <v>0</v>
      </c>
      <c r="I128">
        <v>40700000</v>
      </c>
      <c r="J128">
        <v>40700000</v>
      </c>
      <c r="K128">
        <v>0</v>
      </c>
      <c r="L128">
        <v>0</v>
      </c>
      <c r="M128" t="s">
        <v>276</v>
      </c>
      <c r="N128" t="s">
        <v>277</v>
      </c>
      <c r="O128" t="s">
        <v>283</v>
      </c>
      <c r="P128" t="s">
        <v>278</v>
      </c>
      <c r="Q128" t="s">
        <v>279</v>
      </c>
      <c r="R128">
        <v>124</v>
      </c>
      <c r="S128" s="672" t="b">
        <f t="shared" si="1"/>
        <v>0</v>
      </c>
      <c r="T128" t="s">
        <v>178</v>
      </c>
    </row>
    <row r="129" spans="1:20" hidden="1">
      <c r="A129" t="s">
        <v>690</v>
      </c>
      <c r="B129" t="s">
        <v>1479</v>
      </c>
      <c r="C129">
        <v>2</v>
      </c>
      <c r="D129">
        <v>2</v>
      </c>
      <c r="E129">
        <v>10</v>
      </c>
      <c r="F129" s="8">
        <v>1</v>
      </c>
      <c r="G129" t="s">
        <v>270</v>
      </c>
      <c r="H129" s="672">
        <v>0</v>
      </c>
      <c r="I129">
        <v>170000000</v>
      </c>
      <c r="J129">
        <v>170000000</v>
      </c>
      <c r="K129">
        <v>0</v>
      </c>
      <c r="L129">
        <v>0</v>
      </c>
      <c r="M129" t="s">
        <v>276</v>
      </c>
      <c r="N129" t="s">
        <v>277</v>
      </c>
      <c r="O129" t="s">
        <v>283</v>
      </c>
      <c r="P129" t="s">
        <v>278</v>
      </c>
      <c r="Q129" t="s">
        <v>279</v>
      </c>
      <c r="R129">
        <v>125</v>
      </c>
      <c r="S129" s="672" t="b">
        <f t="shared" ref="S129:S192" si="2">+R129=R128</f>
        <v>0</v>
      </c>
      <c r="T129" t="s">
        <v>178</v>
      </c>
    </row>
    <row r="130" spans="1:20" hidden="1">
      <c r="A130">
        <v>80111600</v>
      </c>
      <c r="B130" t="s">
        <v>1480</v>
      </c>
      <c r="C130">
        <v>1</v>
      </c>
      <c r="D130">
        <v>1</v>
      </c>
      <c r="E130">
        <v>11</v>
      </c>
      <c r="F130" s="8">
        <v>1</v>
      </c>
      <c r="G130" t="s">
        <v>268</v>
      </c>
      <c r="H130" s="672">
        <v>0</v>
      </c>
      <c r="I130">
        <v>30800000</v>
      </c>
      <c r="J130">
        <v>30800000</v>
      </c>
      <c r="K130">
        <v>0</v>
      </c>
      <c r="L130">
        <v>0</v>
      </c>
      <c r="M130" t="s">
        <v>276</v>
      </c>
      <c r="N130" t="s">
        <v>277</v>
      </c>
      <c r="O130" t="s">
        <v>283</v>
      </c>
      <c r="P130" t="s">
        <v>278</v>
      </c>
      <c r="Q130" t="s">
        <v>279</v>
      </c>
      <c r="R130">
        <v>126</v>
      </c>
      <c r="S130" s="672" t="b">
        <f t="shared" si="2"/>
        <v>0</v>
      </c>
      <c r="T130" t="s">
        <v>178</v>
      </c>
    </row>
    <row r="131" spans="1:20" hidden="1">
      <c r="A131">
        <v>80111600</v>
      </c>
      <c r="B131" t="s">
        <v>1481</v>
      </c>
      <c r="C131">
        <v>1</v>
      </c>
      <c r="D131">
        <v>1</v>
      </c>
      <c r="E131">
        <v>11</v>
      </c>
      <c r="F131" s="8">
        <v>1</v>
      </c>
      <c r="G131" t="s">
        <v>268</v>
      </c>
      <c r="H131" s="672">
        <v>0</v>
      </c>
      <c r="I131">
        <v>40700000</v>
      </c>
      <c r="J131">
        <v>40700000</v>
      </c>
      <c r="K131">
        <v>0</v>
      </c>
      <c r="L131">
        <v>0</v>
      </c>
      <c r="M131" t="s">
        <v>276</v>
      </c>
      <c r="N131" t="s">
        <v>277</v>
      </c>
      <c r="O131" t="s">
        <v>283</v>
      </c>
      <c r="P131" t="s">
        <v>278</v>
      </c>
      <c r="Q131" t="s">
        <v>279</v>
      </c>
      <c r="R131">
        <v>127</v>
      </c>
      <c r="S131" s="672" t="b">
        <f t="shared" si="2"/>
        <v>0</v>
      </c>
      <c r="T131" t="s">
        <v>178</v>
      </c>
    </row>
    <row r="132" spans="1:20" hidden="1">
      <c r="A132">
        <v>80111600</v>
      </c>
      <c r="B132" t="s">
        <v>1482</v>
      </c>
      <c r="C132">
        <v>1</v>
      </c>
      <c r="D132">
        <v>1</v>
      </c>
      <c r="E132">
        <v>11</v>
      </c>
      <c r="F132" s="8">
        <v>1</v>
      </c>
      <c r="G132" t="s">
        <v>268</v>
      </c>
      <c r="H132" s="672">
        <v>0</v>
      </c>
      <c r="I132">
        <v>29480000</v>
      </c>
      <c r="J132">
        <v>29480000</v>
      </c>
      <c r="K132">
        <v>0</v>
      </c>
      <c r="L132">
        <v>0</v>
      </c>
      <c r="M132" t="s">
        <v>276</v>
      </c>
      <c r="N132" t="s">
        <v>277</v>
      </c>
      <c r="O132" t="s">
        <v>283</v>
      </c>
      <c r="P132" t="s">
        <v>278</v>
      </c>
      <c r="Q132" t="s">
        <v>279</v>
      </c>
      <c r="R132">
        <v>128</v>
      </c>
      <c r="S132" s="672" t="b">
        <f t="shared" si="2"/>
        <v>0</v>
      </c>
      <c r="T132" t="s">
        <v>178</v>
      </c>
    </row>
    <row r="133" spans="1:20" hidden="1">
      <c r="A133">
        <v>80111600</v>
      </c>
      <c r="B133" t="s">
        <v>1483</v>
      </c>
      <c r="C133">
        <v>1</v>
      </c>
      <c r="D133">
        <v>1</v>
      </c>
      <c r="E133">
        <v>3</v>
      </c>
      <c r="F133" s="8">
        <v>1</v>
      </c>
      <c r="G133" t="s">
        <v>268</v>
      </c>
      <c r="H133" s="672">
        <v>0</v>
      </c>
      <c r="I133">
        <v>14640000</v>
      </c>
      <c r="J133">
        <v>14640000</v>
      </c>
      <c r="K133">
        <v>0</v>
      </c>
      <c r="L133">
        <v>0</v>
      </c>
      <c r="M133" t="s">
        <v>276</v>
      </c>
      <c r="N133" t="s">
        <v>277</v>
      </c>
      <c r="O133" t="s">
        <v>285</v>
      </c>
      <c r="P133" t="s">
        <v>278</v>
      </c>
      <c r="Q133" t="s">
        <v>281</v>
      </c>
      <c r="R133">
        <v>129</v>
      </c>
      <c r="S133" s="672" t="b">
        <f t="shared" si="2"/>
        <v>0</v>
      </c>
      <c r="T133" t="s">
        <v>178</v>
      </c>
    </row>
    <row r="134" spans="1:20" hidden="1">
      <c r="A134">
        <v>80111600</v>
      </c>
      <c r="B134" t="s">
        <v>1484</v>
      </c>
      <c r="C134">
        <v>3</v>
      </c>
      <c r="D134">
        <v>3</v>
      </c>
      <c r="E134">
        <v>8</v>
      </c>
      <c r="F134" s="8">
        <v>1</v>
      </c>
      <c r="G134" t="s">
        <v>268</v>
      </c>
      <c r="H134" s="672">
        <v>0</v>
      </c>
      <c r="I134">
        <v>39040000</v>
      </c>
      <c r="J134">
        <v>39040000</v>
      </c>
      <c r="K134">
        <v>0</v>
      </c>
      <c r="L134">
        <v>0</v>
      </c>
      <c r="M134" t="s">
        <v>276</v>
      </c>
      <c r="N134" t="s">
        <v>277</v>
      </c>
      <c r="O134" t="s">
        <v>285</v>
      </c>
      <c r="P134" t="s">
        <v>278</v>
      </c>
      <c r="Q134" t="s">
        <v>281</v>
      </c>
      <c r="R134">
        <v>130</v>
      </c>
      <c r="S134" s="672" t="b">
        <f t="shared" si="2"/>
        <v>0</v>
      </c>
      <c r="T134" t="s">
        <v>178</v>
      </c>
    </row>
    <row r="135" spans="1:20" hidden="1">
      <c r="A135">
        <v>80111600</v>
      </c>
      <c r="B135" t="s">
        <v>1485</v>
      </c>
      <c r="C135">
        <v>1</v>
      </c>
      <c r="D135">
        <v>1</v>
      </c>
      <c r="E135">
        <v>11</v>
      </c>
      <c r="F135" s="8">
        <v>1</v>
      </c>
      <c r="G135" t="s">
        <v>268</v>
      </c>
      <c r="H135" s="672">
        <v>0</v>
      </c>
      <c r="I135">
        <v>62370000</v>
      </c>
      <c r="J135">
        <v>62370000</v>
      </c>
      <c r="K135">
        <v>0</v>
      </c>
      <c r="L135">
        <v>0</v>
      </c>
      <c r="M135" t="s">
        <v>276</v>
      </c>
      <c r="N135" t="s">
        <v>277</v>
      </c>
      <c r="O135" t="s">
        <v>283</v>
      </c>
      <c r="P135" t="s">
        <v>278</v>
      </c>
      <c r="Q135" t="s">
        <v>279</v>
      </c>
      <c r="R135">
        <v>131</v>
      </c>
      <c r="S135" s="672" t="b">
        <f t="shared" si="2"/>
        <v>0</v>
      </c>
      <c r="T135" t="s">
        <v>178</v>
      </c>
    </row>
    <row r="136" spans="1:20" hidden="1">
      <c r="A136" t="s">
        <v>610</v>
      </c>
      <c r="B136" t="s">
        <v>1486</v>
      </c>
      <c r="C136">
        <v>3</v>
      </c>
      <c r="D136">
        <v>3</v>
      </c>
      <c r="E136">
        <v>10</v>
      </c>
      <c r="F136" s="8">
        <v>1</v>
      </c>
      <c r="G136" t="s">
        <v>265</v>
      </c>
      <c r="H136" s="672">
        <v>0</v>
      </c>
      <c r="I136">
        <v>6000000</v>
      </c>
      <c r="J136">
        <v>6000000</v>
      </c>
      <c r="K136">
        <v>0</v>
      </c>
      <c r="L136">
        <v>0</v>
      </c>
      <c r="M136" t="s">
        <v>276</v>
      </c>
      <c r="N136" t="s">
        <v>277</v>
      </c>
      <c r="O136" t="s">
        <v>285</v>
      </c>
      <c r="P136" t="s">
        <v>278</v>
      </c>
      <c r="Q136" t="s">
        <v>281</v>
      </c>
      <c r="R136">
        <v>132</v>
      </c>
      <c r="S136" s="672" t="b">
        <f t="shared" si="2"/>
        <v>0</v>
      </c>
      <c r="T136" t="s">
        <v>178</v>
      </c>
    </row>
    <row r="137" spans="1:20" hidden="1">
      <c r="A137">
        <v>80111600</v>
      </c>
      <c r="B137" t="s">
        <v>1487</v>
      </c>
      <c r="C137">
        <v>1</v>
      </c>
      <c r="D137">
        <v>1</v>
      </c>
      <c r="E137">
        <v>11</v>
      </c>
      <c r="F137" s="8">
        <v>1</v>
      </c>
      <c r="G137" t="s">
        <v>268</v>
      </c>
      <c r="H137" s="672">
        <v>0</v>
      </c>
      <c r="I137">
        <v>94820000</v>
      </c>
      <c r="J137">
        <v>94820000</v>
      </c>
      <c r="K137">
        <v>0</v>
      </c>
      <c r="L137">
        <v>0</v>
      </c>
      <c r="M137" t="s">
        <v>276</v>
      </c>
      <c r="N137" t="s">
        <v>277</v>
      </c>
      <c r="O137" t="s">
        <v>283</v>
      </c>
      <c r="P137" t="s">
        <v>278</v>
      </c>
      <c r="Q137" t="s">
        <v>279</v>
      </c>
      <c r="R137">
        <v>133</v>
      </c>
      <c r="S137" s="672" t="b">
        <f t="shared" si="2"/>
        <v>0</v>
      </c>
      <c r="T137" t="s">
        <v>178</v>
      </c>
    </row>
    <row r="138" spans="1:20" hidden="1">
      <c r="A138">
        <v>80111600</v>
      </c>
      <c r="B138" t="s">
        <v>1488</v>
      </c>
      <c r="C138">
        <v>1</v>
      </c>
      <c r="D138">
        <v>1</v>
      </c>
      <c r="E138">
        <v>11</v>
      </c>
      <c r="F138" s="8">
        <v>1</v>
      </c>
      <c r="G138" t="s">
        <v>268</v>
      </c>
      <c r="H138" s="672">
        <v>0</v>
      </c>
      <c r="I138">
        <v>77000000</v>
      </c>
      <c r="J138">
        <v>77000000</v>
      </c>
      <c r="K138">
        <v>0</v>
      </c>
      <c r="L138">
        <v>0</v>
      </c>
      <c r="M138" t="s">
        <v>276</v>
      </c>
      <c r="N138" t="s">
        <v>277</v>
      </c>
      <c r="O138" t="s">
        <v>285</v>
      </c>
      <c r="P138" t="s">
        <v>278</v>
      </c>
      <c r="Q138" t="s">
        <v>281</v>
      </c>
      <c r="R138">
        <v>134</v>
      </c>
      <c r="S138" s="672" t="b">
        <f t="shared" si="2"/>
        <v>0</v>
      </c>
      <c r="T138" t="s">
        <v>178</v>
      </c>
    </row>
    <row r="139" spans="1:20" hidden="1">
      <c r="A139">
        <v>80111600</v>
      </c>
      <c r="B139" t="s">
        <v>1489</v>
      </c>
      <c r="C139">
        <v>1</v>
      </c>
      <c r="D139">
        <v>1</v>
      </c>
      <c r="E139">
        <v>10</v>
      </c>
      <c r="F139" s="8">
        <v>1</v>
      </c>
      <c r="G139" t="s">
        <v>268</v>
      </c>
      <c r="H139" s="672">
        <v>0</v>
      </c>
      <c r="I139">
        <v>46500000</v>
      </c>
      <c r="J139">
        <v>46500000</v>
      </c>
      <c r="K139">
        <v>0</v>
      </c>
      <c r="L139">
        <v>0</v>
      </c>
      <c r="M139" t="s">
        <v>276</v>
      </c>
      <c r="N139" t="s">
        <v>277</v>
      </c>
      <c r="O139" t="s">
        <v>283</v>
      </c>
      <c r="P139" t="s">
        <v>278</v>
      </c>
      <c r="Q139" t="s">
        <v>279</v>
      </c>
      <c r="R139">
        <v>135</v>
      </c>
      <c r="S139" s="672" t="b">
        <f t="shared" si="2"/>
        <v>0</v>
      </c>
      <c r="T139" t="s">
        <v>178</v>
      </c>
    </row>
    <row r="140" spans="1:20" hidden="1">
      <c r="A140" t="s">
        <v>739</v>
      </c>
      <c r="B140" t="s">
        <v>1490</v>
      </c>
      <c r="C140">
        <v>1</v>
      </c>
      <c r="D140">
        <v>1</v>
      </c>
      <c r="E140">
        <v>1</v>
      </c>
      <c r="F140" s="8">
        <v>1</v>
      </c>
      <c r="G140" t="s">
        <v>265</v>
      </c>
      <c r="H140" s="672">
        <v>0</v>
      </c>
      <c r="I140">
        <v>50000000</v>
      </c>
      <c r="J140">
        <v>50000000</v>
      </c>
      <c r="K140">
        <v>0</v>
      </c>
      <c r="L140">
        <v>0</v>
      </c>
      <c r="M140" t="s">
        <v>276</v>
      </c>
      <c r="N140" t="s">
        <v>277</v>
      </c>
      <c r="O140" t="s">
        <v>285</v>
      </c>
      <c r="P140" t="s">
        <v>278</v>
      </c>
      <c r="Q140" t="s">
        <v>281</v>
      </c>
      <c r="R140">
        <v>136</v>
      </c>
      <c r="S140" s="672" t="b">
        <f t="shared" si="2"/>
        <v>0</v>
      </c>
      <c r="T140" t="s">
        <v>178</v>
      </c>
    </row>
    <row r="141" spans="1:20" hidden="1">
      <c r="A141">
        <v>80111600</v>
      </c>
      <c r="B141" t="s">
        <v>1491</v>
      </c>
      <c r="C141">
        <v>1</v>
      </c>
      <c r="D141">
        <v>1</v>
      </c>
      <c r="E141">
        <v>7</v>
      </c>
      <c r="F141" s="8">
        <v>1</v>
      </c>
      <c r="G141" t="s">
        <v>268</v>
      </c>
      <c r="H141" s="672">
        <v>0</v>
      </c>
      <c r="I141">
        <v>32480000</v>
      </c>
      <c r="J141">
        <v>32480000</v>
      </c>
      <c r="K141">
        <v>0</v>
      </c>
      <c r="L141">
        <v>0</v>
      </c>
      <c r="M141" t="s">
        <v>276</v>
      </c>
      <c r="N141" t="s">
        <v>277</v>
      </c>
      <c r="O141" t="s">
        <v>285</v>
      </c>
      <c r="P141" t="s">
        <v>278</v>
      </c>
      <c r="Q141" t="s">
        <v>281</v>
      </c>
      <c r="R141">
        <v>137</v>
      </c>
      <c r="S141" s="672" t="b">
        <f t="shared" si="2"/>
        <v>0</v>
      </c>
      <c r="T141" t="s">
        <v>178</v>
      </c>
    </row>
    <row r="142" spans="1:20" hidden="1">
      <c r="A142">
        <v>80111600</v>
      </c>
      <c r="B142" t="s">
        <v>1492</v>
      </c>
      <c r="C142">
        <v>1</v>
      </c>
      <c r="D142">
        <v>1</v>
      </c>
      <c r="E142">
        <v>3</v>
      </c>
      <c r="F142" s="8">
        <v>1</v>
      </c>
      <c r="G142" t="s">
        <v>268</v>
      </c>
      <c r="H142" s="672">
        <v>0</v>
      </c>
      <c r="I142">
        <v>15720000</v>
      </c>
      <c r="J142">
        <v>15720000</v>
      </c>
      <c r="K142">
        <v>0</v>
      </c>
      <c r="L142">
        <v>0</v>
      </c>
      <c r="M142" t="s">
        <v>276</v>
      </c>
      <c r="N142" t="s">
        <v>277</v>
      </c>
      <c r="O142" t="s">
        <v>285</v>
      </c>
      <c r="P142" t="s">
        <v>278</v>
      </c>
      <c r="Q142" t="s">
        <v>281</v>
      </c>
      <c r="R142">
        <v>138</v>
      </c>
      <c r="S142" s="672" t="b">
        <f t="shared" si="2"/>
        <v>0</v>
      </c>
      <c r="T142" t="s">
        <v>178</v>
      </c>
    </row>
    <row r="143" spans="1:20" hidden="1">
      <c r="A143">
        <v>80111600</v>
      </c>
      <c r="B143" t="s">
        <v>1493</v>
      </c>
      <c r="C143">
        <v>3</v>
      </c>
      <c r="D143">
        <v>3</v>
      </c>
      <c r="E143">
        <v>8</v>
      </c>
      <c r="F143" s="8">
        <v>1</v>
      </c>
      <c r="G143" t="s">
        <v>268</v>
      </c>
      <c r="H143" s="672">
        <v>0</v>
      </c>
      <c r="I143">
        <v>41920000</v>
      </c>
      <c r="J143">
        <v>41920000</v>
      </c>
      <c r="K143">
        <v>0</v>
      </c>
      <c r="L143">
        <v>0</v>
      </c>
      <c r="M143" t="s">
        <v>276</v>
      </c>
      <c r="N143" t="s">
        <v>277</v>
      </c>
      <c r="O143" t="s">
        <v>285</v>
      </c>
      <c r="P143" t="s">
        <v>278</v>
      </c>
      <c r="Q143" t="s">
        <v>281</v>
      </c>
      <c r="R143">
        <v>139</v>
      </c>
      <c r="S143" s="672" t="b">
        <f t="shared" si="2"/>
        <v>0</v>
      </c>
      <c r="T143" t="s">
        <v>178</v>
      </c>
    </row>
    <row r="144" spans="1:20" hidden="1">
      <c r="A144">
        <v>80111600</v>
      </c>
      <c r="B144" t="s">
        <v>1494</v>
      </c>
      <c r="C144">
        <v>1</v>
      </c>
      <c r="D144">
        <v>1</v>
      </c>
      <c r="E144">
        <v>11</v>
      </c>
      <c r="F144" s="8">
        <v>1</v>
      </c>
      <c r="G144" t="s">
        <v>268</v>
      </c>
      <c r="H144" s="672">
        <v>0</v>
      </c>
      <c r="I144">
        <v>56650000</v>
      </c>
      <c r="J144">
        <v>56650000</v>
      </c>
      <c r="K144">
        <v>0</v>
      </c>
      <c r="L144">
        <v>0</v>
      </c>
      <c r="M144" t="s">
        <v>276</v>
      </c>
      <c r="N144" t="s">
        <v>277</v>
      </c>
      <c r="O144" t="s">
        <v>283</v>
      </c>
      <c r="P144" t="s">
        <v>278</v>
      </c>
      <c r="Q144" t="s">
        <v>279</v>
      </c>
      <c r="R144">
        <v>140</v>
      </c>
      <c r="S144" s="672" t="b">
        <f t="shared" si="2"/>
        <v>0</v>
      </c>
      <c r="T144" t="s">
        <v>178</v>
      </c>
    </row>
    <row r="145" spans="1:20" hidden="1">
      <c r="A145">
        <v>80111600</v>
      </c>
      <c r="B145" t="s">
        <v>1495</v>
      </c>
      <c r="C145">
        <v>1</v>
      </c>
      <c r="D145">
        <v>1</v>
      </c>
      <c r="E145">
        <v>11</v>
      </c>
      <c r="F145" s="8">
        <v>1</v>
      </c>
      <c r="G145" t="s">
        <v>268</v>
      </c>
      <c r="H145" s="672">
        <v>0</v>
      </c>
      <c r="I145">
        <v>71390000</v>
      </c>
      <c r="J145">
        <v>71390000</v>
      </c>
      <c r="K145">
        <v>0</v>
      </c>
      <c r="L145">
        <v>0</v>
      </c>
      <c r="M145" t="s">
        <v>276</v>
      </c>
      <c r="N145" t="s">
        <v>277</v>
      </c>
      <c r="O145" t="s">
        <v>283</v>
      </c>
      <c r="P145" t="s">
        <v>278</v>
      </c>
      <c r="Q145" t="s">
        <v>279</v>
      </c>
      <c r="R145">
        <v>141</v>
      </c>
      <c r="S145" s="672" t="b">
        <f t="shared" si="2"/>
        <v>0</v>
      </c>
      <c r="T145" t="s">
        <v>178</v>
      </c>
    </row>
    <row r="146" spans="1:20" hidden="1">
      <c r="A146">
        <v>80111600</v>
      </c>
      <c r="B146" t="s">
        <v>1496</v>
      </c>
      <c r="C146">
        <v>1</v>
      </c>
      <c r="D146">
        <v>1</v>
      </c>
      <c r="E146">
        <v>11</v>
      </c>
      <c r="F146" s="8">
        <v>1</v>
      </c>
      <c r="G146" t="s">
        <v>268</v>
      </c>
      <c r="H146" s="672">
        <v>0</v>
      </c>
      <c r="I146">
        <v>33990000</v>
      </c>
      <c r="J146">
        <v>33990000</v>
      </c>
      <c r="K146">
        <v>0</v>
      </c>
      <c r="L146">
        <v>0</v>
      </c>
      <c r="M146" t="s">
        <v>276</v>
      </c>
      <c r="N146" t="s">
        <v>277</v>
      </c>
      <c r="O146" t="s">
        <v>283</v>
      </c>
      <c r="P146" t="s">
        <v>278</v>
      </c>
      <c r="Q146" t="s">
        <v>279</v>
      </c>
      <c r="R146">
        <v>142</v>
      </c>
      <c r="S146" s="672" t="b">
        <f t="shared" si="2"/>
        <v>0</v>
      </c>
      <c r="T146" t="s">
        <v>178</v>
      </c>
    </row>
    <row r="147" spans="1:20" hidden="1">
      <c r="A147">
        <v>80111600</v>
      </c>
      <c r="B147" t="s">
        <v>1497</v>
      </c>
      <c r="C147">
        <v>1</v>
      </c>
      <c r="D147">
        <v>1</v>
      </c>
      <c r="E147">
        <v>11</v>
      </c>
      <c r="F147" s="8">
        <v>1</v>
      </c>
      <c r="G147" t="s">
        <v>268</v>
      </c>
      <c r="H147" s="672">
        <v>0</v>
      </c>
      <c r="I147">
        <v>31020000</v>
      </c>
      <c r="J147">
        <v>31020000</v>
      </c>
      <c r="K147">
        <v>0</v>
      </c>
      <c r="L147">
        <v>0</v>
      </c>
      <c r="M147" t="s">
        <v>276</v>
      </c>
      <c r="N147" t="s">
        <v>277</v>
      </c>
      <c r="O147" t="s">
        <v>285</v>
      </c>
      <c r="P147" t="s">
        <v>278</v>
      </c>
      <c r="Q147" t="s">
        <v>281</v>
      </c>
      <c r="R147">
        <v>143</v>
      </c>
      <c r="S147" s="672" t="b">
        <f t="shared" si="2"/>
        <v>0</v>
      </c>
      <c r="T147" t="s">
        <v>178</v>
      </c>
    </row>
    <row r="148" spans="1:20" hidden="1">
      <c r="A148">
        <v>80111600</v>
      </c>
      <c r="B148" t="s">
        <v>1498</v>
      </c>
      <c r="C148">
        <v>1</v>
      </c>
      <c r="D148">
        <v>1</v>
      </c>
      <c r="E148">
        <v>11</v>
      </c>
      <c r="F148" s="8">
        <v>1</v>
      </c>
      <c r="G148" t="s">
        <v>268</v>
      </c>
      <c r="H148" s="672">
        <v>0</v>
      </c>
      <c r="I148">
        <v>60060000</v>
      </c>
      <c r="J148">
        <v>60060000</v>
      </c>
      <c r="K148">
        <v>0</v>
      </c>
      <c r="L148">
        <v>0</v>
      </c>
      <c r="M148" t="s">
        <v>276</v>
      </c>
      <c r="N148" t="s">
        <v>277</v>
      </c>
      <c r="O148" t="s">
        <v>283</v>
      </c>
      <c r="P148" t="s">
        <v>278</v>
      </c>
      <c r="Q148" t="s">
        <v>279</v>
      </c>
      <c r="R148">
        <v>144</v>
      </c>
      <c r="S148" s="672" t="b">
        <f t="shared" si="2"/>
        <v>0</v>
      </c>
      <c r="T148" t="s">
        <v>178</v>
      </c>
    </row>
    <row r="149" spans="1:20" hidden="1">
      <c r="A149">
        <v>80111600</v>
      </c>
      <c r="B149" t="s">
        <v>1499</v>
      </c>
      <c r="C149">
        <v>1</v>
      </c>
      <c r="D149">
        <v>1</v>
      </c>
      <c r="E149">
        <v>11</v>
      </c>
      <c r="F149" s="8">
        <v>1</v>
      </c>
      <c r="G149" t="s">
        <v>268</v>
      </c>
      <c r="H149" s="672">
        <v>0</v>
      </c>
      <c r="I149">
        <v>60060000</v>
      </c>
      <c r="J149">
        <v>60060000</v>
      </c>
      <c r="K149">
        <v>0</v>
      </c>
      <c r="L149">
        <v>0</v>
      </c>
      <c r="M149" t="s">
        <v>276</v>
      </c>
      <c r="N149" t="s">
        <v>277</v>
      </c>
      <c r="O149" t="s">
        <v>283</v>
      </c>
      <c r="P149" t="s">
        <v>278</v>
      </c>
      <c r="Q149" t="s">
        <v>279</v>
      </c>
      <c r="R149">
        <v>145</v>
      </c>
      <c r="S149" s="672" t="b">
        <f t="shared" si="2"/>
        <v>0</v>
      </c>
      <c r="T149" t="s">
        <v>178</v>
      </c>
    </row>
    <row r="150" spans="1:20" hidden="1">
      <c r="A150">
        <v>80111600</v>
      </c>
      <c r="B150" t="s">
        <v>1500</v>
      </c>
      <c r="C150">
        <v>1</v>
      </c>
      <c r="D150">
        <v>1</v>
      </c>
      <c r="E150">
        <v>11</v>
      </c>
      <c r="F150" s="8">
        <v>1</v>
      </c>
      <c r="G150" t="s">
        <v>268</v>
      </c>
      <c r="H150" s="672">
        <v>0</v>
      </c>
      <c r="I150">
        <v>58960000</v>
      </c>
      <c r="J150">
        <v>58960000</v>
      </c>
      <c r="K150">
        <v>0</v>
      </c>
      <c r="L150">
        <v>0</v>
      </c>
      <c r="M150" t="s">
        <v>276</v>
      </c>
      <c r="N150" t="s">
        <v>277</v>
      </c>
      <c r="O150" t="s">
        <v>285</v>
      </c>
      <c r="P150" t="s">
        <v>278</v>
      </c>
      <c r="Q150" t="s">
        <v>281</v>
      </c>
      <c r="R150">
        <v>146</v>
      </c>
      <c r="S150" s="672" t="b">
        <f t="shared" si="2"/>
        <v>0</v>
      </c>
      <c r="T150" t="s">
        <v>178</v>
      </c>
    </row>
    <row r="151" spans="1:20" hidden="1">
      <c r="A151">
        <v>80111600</v>
      </c>
      <c r="B151" t="s">
        <v>1501</v>
      </c>
      <c r="C151">
        <v>1</v>
      </c>
      <c r="D151">
        <v>1</v>
      </c>
      <c r="E151">
        <v>11</v>
      </c>
      <c r="F151" s="8">
        <v>1</v>
      </c>
      <c r="G151" t="s">
        <v>268</v>
      </c>
      <c r="H151" s="672">
        <v>0</v>
      </c>
      <c r="I151">
        <v>25542000</v>
      </c>
      <c r="J151">
        <v>25542000</v>
      </c>
      <c r="K151">
        <v>0</v>
      </c>
      <c r="L151">
        <v>0</v>
      </c>
      <c r="M151" t="s">
        <v>276</v>
      </c>
      <c r="N151" t="s">
        <v>277</v>
      </c>
      <c r="O151" t="s">
        <v>283</v>
      </c>
      <c r="P151" t="s">
        <v>278</v>
      </c>
      <c r="Q151" t="s">
        <v>279</v>
      </c>
      <c r="R151">
        <v>147</v>
      </c>
      <c r="S151" s="672" t="b">
        <f t="shared" si="2"/>
        <v>0</v>
      </c>
      <c r="T151" t="s">
        <v>178</v>
      </c>
    </row>
    <row r="152" spans="1:20" hidden="1">
      <c r="A152">
        <v>80111600</v>
      </c>
      <c r="B152" t="s">
        <v>1502</v>
      </c>
      <c r="C152">
        <v>1</v>
      </c>
      <c r="D152">
        <v>1</v>
      </c>
      <c r="E152">
        <v>11</v>
      </c>
      <c r="F152" s="8">
        <v>1</v>
      </c>
      <c r="G152" t="s">
        <v>268</v>
      </c>
      <c r="H152" s="672">
        <v>0</v>
      </c>
      <c r="I152">
        <v>31570000</v>
      </c>
      <c r="J152">
        <v>31570000</v>
      </c>
      <c r="K152">
        <v>0</v>
      </c>
      <c r="L152">
        <v>0</v>
      </c>
      <c r="M152" t="s">
        <v>276</v>
      </c>
      <c r="N152" t="s">
        <v>277</v>
      </c>
      <c r="O152" t="s">
        <v>283</v>
      </c>
      <c r="P152" t="s">
        <v>278</v>
      </c>
      <c r="Q152" t="s">
        <v>279</v>
      </c>
      <c r="R152">
        <v>148</v>
      </c>
      <c r="S152" s="672" t="b">
        <f t="shared" si="2"/>
        <v>0</v>
      </c>
      <c r="T152" t="s">
        <v>178</v>
      </c>
    </row>
    <row r="153" spans="1:20" hidden="1">
      <c r="A153">
        <v>80111600</v>
      </c>
      <c r="B153" t="s">
        <v>1503</v>
      </c>
      <c r="C153">
        <v>1</v>
      </c>
      <c r="D153">
        <v>1</v>
      </c>
      <c r="E153">
        <v>11</v>
      </c>
      <c r="F153" s="8">
        <v>1</v>
      </c>
      <c r="G153" t="s">
        <v>268</v>
      </c>
      <c r="H153" s="672">
        <v>0</v>
      </c>
      <c r="I153">
        <v>88330000</v>
      </c>
      <c r="J153">
        <v>88330000</v>
      </c>
      <c r="K153">
        <v>0</v>
      </c>
      <c r="L153">
        <v>0</v>
      </c>
      <c r="M153" t="s">
        <v>276</v>
      </c>
      <c r="N153" t="s">
        <v>277</v>
      </c>
      <c r="O153" t="s">
        <v>283</v>
      </c>
      <c r="P153" t="s">
        <v>278</v>
      </c>
      <c r="Q153" t="s">
        <v>279</v>
      </c>
      <c r="R153">
        <v>149</v>
      </c>
      <c r="S153" s="672" t="b">
        <f t="shared" si="2"/>
        <v>0</v>
      </c>
      <c r="T153" t="s">
        <v>178</v>
      </c>
    </row>
    <row r="154" spans="1:20" hidden="1">
      <c r="A154">
        <v>80111600</v>
      </c>
      <c r="B154" t="s">
        <v>1504</v>
      </c>
      <c r="C154">
        <v>1</v>
      </c>
      <c r="D154">
        <v>1</v>
      </c>
      <c r="E154">
        <v>11</v>
      </c>
      <c r="F154" s="8">
        <v>1</v>
      </c>
      <c r="G154" t="s">
        <v>268</v>
      </c>
      <c r="H154" s="672">
        <v>0</v>
      </c>
      <c r="I154">
        <v>38280000</v>
      </c>
      <c r="J154">
        <v>38280000</v>
      </c>
      <c r="K154">
        <v>0</v>
      </c>
      <c r="L154">
        <v>0</v>
      </c>
      <c r="M154" t="s">
        <v>276</v>
      </c>
      <c r="N154" t="s">
        <v>277</v>
      </c>
      <c r="O154" t="s">
        <v>283</v>
      </c>
      <c r="P154" t="s">
        <v>278</v>
      </c>
      <c r="Q154" t="s">
        <v>279</v>
      </c>
      <c r="R154">
        <v>150</v>
      </c>
      <c r="S154" s="672" t="b">
        <f t="shared" si="2"/>
        <v>0</v>
      </c>
      <c r="T154" t="s">
        <v>178</v>
      </c>
    </row>
    <row r="155" spans="1:20" hidden="1">
      <c r="A155">
        <v>82121700</v>
      </c>
      <c r="B155" t="s">
        <v>1505</v>
      </c>
      <c r="C155">
        <v>5</v>
      </c>
      <c r="D155">
        <v>5</v>
      </c>
      <c r="E155">
        <v>7</v>
      </c>
      <c r="F155" s="8">
        <v>1</v>
      </c>
      <c r="G155" t="s">
        <v>266</v>
      </c>
      <c r="H155" s="672">
        <v>0</v>
      </c>
      <c r="I155">
        <v>15000000</v>
      </c>
      <c r="J155">
        <v>15000000</v>
      </c>
      <c r="K155">
        <v>0</v>
      </c>
      <c r="L155">
        <v>0</v>
      </c>
      <c r="M155" t="s">
        <v>276</v>
      </c>
      <c r="N155" t="s">
        <v>277</v>
      </c>
      <c r="O155" t="s">
        <v>283</v>
      </c>
      <c r="P155" t="s">
        <v>278</v>
      </c>
      <c r="Q155" t="s">
        <v>279</v>
      </c>
      <c r="R155">
        <v>151</v>
      </c>
      <c r="S155" s="672" t="b">
        <f t="shared" si="2"/>
        <v>0</v>
      </c>
      <c r="T155" t="s">
        <v>178</v>
      </c>
    </row>
    <row r="156" spans="1:20" hidden="1">
      <c r="A156">
        <v>80111600</v>
      </c>
      <c r="B156" t="s">
        <v>1506</v>
      </c>
      <c r="C156">
        <v>1</v>
      </c>
      <c r="D156">
        <v>1</v>
      </c>
      <c r="E156">
        <v>11</v>
      </c>
      <c r="F156" s="8">
        <v>1</v>
      </c>
      <c r="G156" t="s">
        <v>268</v>
      </c>
      <c r="H156" s="672">
        <v>0</v>
      </c>
      <c r="I156">
        <v>74800000</v>
      </c>
      <c r="J156">
        <v>74800000</v>
      </c>
      <c r="K156">
        <v>0</v>
      </c>
      <c r="L156">
        <v>0</v>
      </c>
      <c r="M156" t="s">
        <v>276</v>
      </c>
      <c r="N156" t="s">
        <v>277</v>
      </c>
      <c r="O156" t="s">
        <v>283</v>
      </c>
      <c r="P156" t="s">
        <v>278</v>
      </c>
      <c r="Q156" t="s">
        <v>279</v>
      </c>
      <c r="R156">
        <v>152</v>
      </c>
      <c r="S156" s="672" t="b">
        <f t="shared" si="2"/>
        <v>0</v>
      </c>
      <c r="T156" t="s">
        <v>178</v>
      </c>
    </row>
    <row r="157" spans="1:20" hidden="1">
      <c r="A157">
        <v>80111600</v>
      </c>
      <c r="B157" t="s">
        <v>1507</v>
      </c>
      <c r="C157">
        <v>1</v>
      </c>
      <c r="D157">
        <v>1</v>
      </c>
      <c r="E157">
        <v>11</v>
      </c>
      <c r="F157" s="8">
        <v>1</v>
      </c>
      <c r="G157" t="s">
        <v>268</v>
      </c>
      <c r="H157" s="672">
        <v>0</v>
      </c>
      <c r="I157">
        <v>41030000</v>
      </c>
      <c r="J157">
        <v>41030000</v>
      </c>
      <c r="K157">
        <v>0</v>
      </c>
      <c r="L157">
        <v>0</v>
      </c>
      <c r="M157" t="s">
        <v>276</v>
      </c>
      <c r="N157" t="s">
        <v>277</v>
      </c>
      <c r="O157" t="s">
        <v>283</v>
      </c>
      <c r="P157" t="s">
        <v>278</v>
      </c>
      <c r="Q157" t="s">
        <v>279</v>
      </c>
      <c r="R157">
        <v>153</v>
      </c>
      <c r="S157" s="672" t="b">
        <f t="shared" si="2"/>
        <v>0</v>
      </c>
      <c r="T157" t="s">
        <v>178</v>
      </c>
    </row>
    <row r="158" spans="1:20" hidden="1">
      <c r="A158">
        <v>80111600</v>
      </c>
      <c r="B158" t="s">
        <v>1508</v>
      </c>
      <c r="C158">
        <v>1</v>
      </c>
      <c r="D158">
        <v>1</v>
      </c>
      <c r="E158">
        <v>11</v>
      </c>
      <c r="F158" s="8">
        <v>1</v>
      </c>
      <c r="G158" t="s">
        <v>268</v>
      </c>
      <c r="H158" s="672">
        <v>0</v>
      </c>
      <c r="I158">
        <v>40700000</v>
      </c>
      <c r="J158">
        <v>40700000</v>
      </c>
      <c r="K158">
        <v>0</v>
      </c>
      <c r="L158">
        <v>0</v>
      </c>
      <c r="M158" t="s">
        <v>276</v>
      </c>
      <c r="N158" t="s">
        <v>277</v>
      </c>
      <c r="O158" t="s">
        <v>283</v>
      </c>
      <c r="P158" t="s">
        <v>278</v>
      </c>
      <c r="Q158" t="s">
        <v>279</v>
      </c>
      <c r="R158">
        <v>154</v>
      </c>
      <c r="S158" s="672" t="b">
        <f t="shared" si="2"/>
        <v>0</v>
      </c>
      <c r="T158" t="s">
        <v>178</v>
      </c>
    </row>
    <row r="159" spans="1:20" hidden="1">
      <c r="A159">
        <v>80111600</v>
      </c>
      <c r="B159" t="s">
        <v>1509</v>
      </c>
      <c r="C159">
        <v>1</v>
      </c>
      <c r="D159">
        <v>1</v>
      </c>
      <c r="E159">
        <v>11</v>
      </c>
      <c r="F159" s="8">
        <v>1</v>
      </c>
      <c r="G159" t="s">
        <v>268</v>
      </c>
      <c r="H159" s="672">
        <v>0</v>
      </c>
      <c r="I159">
        <v>55000000</v>
      </c>
      <c r="J159">
        <v>55000000</v>
      </c>
      <c r="K159">
        <v>0</v>
      </c>
      <c r="L159">
        <v>0</v>
      </c>
      <c r="M159" t="s">
        <v>276</v>
      </c>
      <c r="N159" t="s">
        <v>277</v>
      </c>
      <c r="O159" t="s">
        <v>283</v>
      </c>
      <c r="P159" t="s">
        <v>278</v>
      </c>
      <c r="Q159" t="s">
        <v>279</v>
      </c>
      <c r="R159">
        <v>155</v>
      </c>
      <c r="S159" s="672" t="b">
        <f t="shared" si="2"/>
        <v>0</v>
      </c>
      <c r="T159" t="s">
        <v>178</v>
      </c>
    </row>
    <row r="160" spans="1:20" hidden="1">
      <c r="A160">
        <v>80111600</v>
      </c>
      <c r="B160" t="s">
        <v>1510</v>
      </c>
      <c r="C160">
        <v>1</v>
      </c>
      <c r="D160">
        <v>1</v>
      </c>
      <c r="E160">
        <v>11</v>
      </c>
      <c r="F160" s="8">
        <v>1</v>
      </c>
      <c r="G160" t="s">
        <v>268</v>
      </c>
      <c r="H160" s="672">
        <v>0</v>
      </c>
      <c r="I160">
        <v>55220000</v>
      </c>
      <c r="J160">
        <v>55220000</v>
      </c>
      <c r="K160">
        <v>0</v>
      </c>
      <c r="L160">
        <v>0</v>
      </c>
      <c r="M160" t="s">
        <v>276</v>
      </c>
      <c r="N160" t="s">
        <v>277</v>
      </c>
      <c r="O160" t="s">
        <v>283</v>
      </c>
      <c r="P160" t="s">
        <v>278</v>
      </c>
      <c r="Q160" t="s">
        <v>279</v>
      </c>
      <c r="R160">
        <v>156</v>
      </c>
      <c r="S160" s="672" t="b">
        <f t="shared" si="2"/>
        <v>0</v>
      </c>
      <c r="T160" t="s">
        <v>178</v>
      </c>
    </row>
    <row r="161" spans="1:20" hidden="1">
      <c r="A161">
        <v>80111600</v>
      </c>
      <c r="B161" t="s">
        <v>1511</v>
      </c>
      <c r="C161">
        <v>1</v>
      </c>
      <c r="D161">
        <v>1</v>
      </c>
      <c r="E161">
        <v>11</v>
      </c>
      <c r="F161" s="8">
        <v>1</v>
      </c>
      <c r="G161" t="s">
        <v>268</v>
      </c>
      <c r="H161" s="672">
        <v>0</v>
      </c>
      <c r="I161">
        <v>38280000</v>
      </c>
      <c r="J161">
        <v>38280000</v>
      </c>
      <c r="K161">
        <v>0</v>
      </c>
      <c r="L161">
        <v>0</v>
      </c>
      <c r="M161" t="s">
        <v>276</v>
      </c>
      <c r="N161" t="s">
        <v>277</v>
      </c>
      <c r="O161" t="s">
        <v>283</v>
      </c>
      <c r="P161" t="s">
        <v>278</v>
      </c>
      <c r="Q161" t="s">
        <v>279</v>
      </c>
      <c r="R161">
        <v>157</v>
      </c>
      <c r="S161" s="672" t="b">
        <f t="shared" si="2"/>
        <v>0</v>
      </c>
      <c r="T161" t="s">
        <v>178</v>
      </c>
    </row>
    <row r="162" spans="1:20">
      <c r="A162">
        <v>80111600</v>
      </c>
      <c r="B162" t="s">
        <v>1512</v>
      </c>
      <c r="C162">
        <v>1</v>
      </c>
      <c r="D162">
        <v>1</v>
      </c>
      <c r="E162">
        <v>11</v>
      </c>
      <c r="F162" s="8">
        <v>1</v>
      </c>
      <c r="G162" t="s">
        <v>268</v>
      </c>
      <c r="H162" s="672">
        <v>0</v>
      </c>
      <c r="I162">
        <v>40700000</v>
      </c>
      <c r="J162">
        <v>40700000</v>
      </c>
      <c r="K162">
        <v>0</v>
      </c>
      <c r="L162">
        <v>0</v>
      </c>
      <c r="M162" t="s">
        <v>276</v>
      </c>
      <c r="N162" t="s">
        <v>277</v>
      </c>
      <c r="O162" t="s">
        <v>283</v>
      </c>
      <c r="P162" t="s">
        <v>278</v>
      </c>
      <c r="Q162" t="s">
        <v>279</v>
      </c>
      <c r="R162">
        <v>158</v>
      </c>
      <c r="S162" s="672" t="b">
        <f t="shared" si="2"/>
        <v>0</v>
      </c>
      <c r="T162" t="s">
        <v>178</v>
      </c>
    </row>
    <row r="163" spans="1:20" hidden="1">
      <c r="A163">
        <v>80111600</v>
      </c>
      <c r="B163" t="s">
        <v>1513</v>
      </c>
      <c r="C163">
        <v>1</v>
      </c>
      <c r="D163">
        <v>1</v>
      </c>
      <c r="E163">
        <v>11</v>
      </c>
      <c r="F163" s="8">
        <v>1</v>
      </c>
      <c r="G163" t="s">
        <v>268</v>
      </c>
      <c r="H163" s="672">
        <v>0</v>
      </c>
      <c r="I163">
        <v>49500000</v>
      </c>
      <c r="J163">
        <v>49500000</v>
      </c>
      <c r="K163">
        <v>0</v>
      </c>
      <c r="L163">
        <v>0</v>
      </c>
      <c r="M163" t="s">
        <v>276</v>
      </c>
      <c r="N163" t="s">
        <v>277</v>
      </c>
      <c r="O163" t="s">
        <v>283</v>
      </c>
      <c r="P163" t="s">
        <v>278</v>
      </c>
      <c r="Q163" t="s">
        <v>279</v>
      </c>
      <c r="R163">
        <v>159</v>
      </c>
      <c r="S163" s="672" t="b">
        <f t="shared" si="2"/>
        <v>0</v>
      </c>
      <c r="T163" t="s">
        <v>178</v>
      </c>
    </row>
    <row r="164" spans="1:20" hidden="1">
      <c r="A164">
        <v>80111600</v>
      </c>
      <c r="B164" t="s">
        <v>1514</v>
      </c>
      <c r="C164">
        <v>1</v>
      </c>
      <c r="D164">
        <v>1</v>
      </c>
      <c r="E164">
        <v>11</v>
      </c>
      <c r="F164" s="8">
        <v>1</v>
      </c>
      <c r="G164" t="s">
        <v>268</v>
      </c>
      <c r="H164" s="672">
        <v>0</v>
      </c>
      <c r="I164">
        <v>66000000</v>
      </c>
      <c r="J164">
        <v>66000000</v>
      </c>
      <c r="K164">
        <v>0</v>
      </c>
      <c r="L164">
        <v>0</v>
      </c>
      <c r="M164" t="s">
        <v>276</v>
      </c>
      <c r="N164" t="s">
        <v>277</v>
      </c>
      <c r="O164" t="s">
        <v>285</v>
      </c>
      <c r="P164" t="s">
        <v>278</v>
      </c>
      <c r="Q164" t="s">
        <v>281</v>
      </c>
      <c r="R164">
        <v>160</v>
      </c>
      <c r="S164" s="672" t="b">
        <f t="shared" si="2"/>
        <v>0</v>
      </c>
      <c r="T164" t="s">
        <v>178</v>
      </c>
    </row>
    <row r="165" spans="1:20" hidden="1">
      <c r="A165">
        <v>80111600</v>
      </c>
      <c r="B165" t="s">
        <v>1515</v>
      </c>
      <c r="C165">
        <v>1</v>
      </c>
      <c r="D165">
        <v>1</v>
      </c>
      <c r="E165">
        <v>2</v>
      </c>
      <c r="F165" s="8">
        <v>1</v>
      </c>
      <c r="G165" t="s">
        <v>268</v>
      </c>
      <c r="H165" s="672">
        <v>0</v>
      </c>
      <c r="I165">
        <v>12000000</v>
      </c>
      <c r="J165">
        <v>12000000</v>
      </c>
      <c r="K165">
        <v>0</v>
      </c>
      <c r="L165">
        <v>0</v>
      </c>
      <c r="M165" t="s">
        <v>276</v>
      </c>
      <c r="N165" t="s">
        <v>277</v>
      </c>
      <c r="O165" t="s">
        <v>285</v>
      </c>
      <c r="P165" t="s">
        <v>278</v>
      </c>
      <c r="Q165" t="s">
        <v>281</v>
      </c>
      <c r="R165">
        <v>161</v>
      </c>
      <c r="S165" s="672" t="b">
        <f t="shared" si="2"/>
        <v>0</v>
      </c>
      <c r="T165" t="s">
        <v>178</v>
      </c>
    </row>
    <row r="166" spans="1:20" hidden="1">
      <c r="A166">
        <v>80111600</v>
      </c>
      <c r="B166" t="s">
        <v>1516</v>
      </c>
      <c r="C166">
        <v>1</v>
      </c>
      <c r="D166">
        <v>1</v>
      </c>
      <c r="E166">
        <v>11</v>
      </c>
      <c r="F166" s="8">
        <v>1</v>
      </c>
      <c r="G166" t="s">
        <v>268</v>
      </c>
      <c r="H166" s="672">
        <v>0</v>
      </c>
      <c r="I166">
        <v>33990000</v>
      </c>
      <c r="J166">
        <v>33990000</v>
      </c>
      <c r="K166">
        <v>0</v>
      </c>
      <c r="L166">
        <v>0</v>
      </c>
      <c r="M166" t="s">
        <v>276</v>
      </c>
      <c r="N166" t="s">
        <v>277</v>
      </c>
      <c r="O166" t="s">
        <v>283</v>
      </c>
      <c r="P166" t="s">
        <v>278</v>
      </c>
      <c r="Q166" t="s">
        <v>279</v>
      </c>
      <c r="R166">
        <v>162</v>
      </c>
      <c r="S166" s="672" t="b">
        <f t="shared" si="2"/>
        <v>0</v>
      </c>
      <c r="T166" t="s">
        <v>178</v>
      </c>
    </row>
    <row r="167" spans="1:20" hidden="1">
      <c r="A167">
        <v>80111600</v>
      </c>
      <c r="B167" t="s">
        <v>1517</v>
      </c>
      <c r="C167">
        <v>1</v>
      </c>
      <c r="D167">
        <v>1</v>
      </c>
      <c r="E167">
        <v>2</v>
      </c>
      <c r="F167" s="8">
        <v>1</v>
      </c>
      <c r="G167" t="s">
        <v>268</v>
      </c>
      <c r="H167" s="672">
        <v>0</v>
      </c>
      <c r="I167">
        <v>12000000</v>
      </c>
      <c r="J167">
        <v>12000000</v>
      </c>
      <c r="K167">
        <v>0</v>
      </c>
      <c r="L167">
        <v>0</v>
      </c>
      <c r="M167" t="s">
        <v>276</v>
      </c>
      <c r="N167" t="s">
        <v>277</v>
      </c>
      <c r="O167" t="s">
        <v>285</v>
      </c>
      <c r="P167" t="s">
        <v>278</v>
      </c>
      <c r="Q167" t="s">
        <v>281</v>
      </c>
      <c r="R167">
        <v>163</v>
      </c>
      <c r="S167" s="672" t="b">
        <f t="shared" si="2"/>
        <v>0</v>
      </c>
      <c r="T167" t="s">
        <v>178</v>
      </c>
    </row>
    <row r="168" spans="1:20" hidden="1">
      <c r="A168">
        <v>80111600</v>
      </c>
      <c r="B168" t="s">
        <v>1518</v>
      </c>
      <c r="C168">
        <v>1</v>
      </c>
      <c r="D168">
        <v>1</v>
      </c>
      <c r="E168">
        <v>11</v>
      </c>
      <c r="F168" s="8">
        <v>1</v>
      </c>
      <c r="G168" t="s">
        <v>268</v>
      </c>
      <c r="H168" s="672">
        <v>0</v>
      </c>
      <c r="I168">
        <v>47300000</v>
      </c>
      <c r="J168">
        <v>47300000</v>
      </c>
      <c r="K168">
        <v>0</v>
      </c>
      <c r="L168">
        <v>0</v>
      </c>
      <c r="M168" t="s">
        <v>276</v>
      </c>
      <c r="N168" t="s">
        <v>277</v>
      </c>
      <c r="O168" t="s">
        <v>285</v>
      </c>
      <c r="P168" t="s">
        <v>278</v>
      </c>
      <c r="Q168" t="s">
        <v>281</v>
      </c>
      <c r="R168">
        <v>164</v>
      </c>
      <c r="S168" s="672" t="b">
        <f t="shared" si="2"/>
        <v>0</v>
      </c>
      <c r="T168" t="s">
        <v>178</v>
      </c>
    </row>
    <row r="169" spans="1:20" hidden="1">
      <c r="A169">
        <v>80111600</v>
      </c>
      <c r="B169" t="s">
        <v>1519</v>
      </c>
      <c r="C169">
        <v>1</v>
      </c>
      <c r="D169">
        <v>1</v>
      </c>
      <c r="E169">
        <v>11</v>
      </c>
      <c r="F169" s="8">
        <v>1</v>
      </c>
      <c r="G169" t="s">
        <v>268</v>
      </c>
      <c r="H169" s="672">
        <v>0</v>
      </c>
      <c r="I169">
        <v>25520000</v>
      </c>
      <c r="J169">
        <v>25520000</v>
      </c>
      <c r="K169">
        <v>0</v>
      </c>
      <c r="L169">
        <v>0</v>
      </c>
      <c r="M169" t="s">
        <v>276</v>
      </c>
      <c r="N169" t="s">
        <v>277</v>
      </c>
      <c r="O169" t="s">
        <v>285</v>
      </c>
      <c r="P169" t="s">
        <v>278</v>
      </c>
      <c r="Q169" t="s">
        <v>281</v>
      </c>
      <c r="R169">
        <v>165</v>
      </c>
      <c r="S169" s="672" t="b">
        <f t="shared" si="2"/>
        <v>0</v>
      </c>
      <c r="T169" t="s">
        <v>178</v>
      </c>
    </row>
    <row r="170" spans="1:20" hidden="1">
      <c r="A170">
        <v>80111600</v>
      </c>
      <c r="B170" t="s">
        <v>1520</v>
      </c>
      <c r="C170">
        <v>1</v>
      </c>
      <c r="D170">
        <v>1</v>
      </c>
      <c r="E170">
        <v>11</v>
      </c>
      <c r="F170" s="8">
        <v>1</v>
      </c>
      <c r="G170" t="s">
        <v>268</v>
      </c>
      <c r="H170" s="672">
        <v>0</v>
      </c>
      <c r="I170">
        <v>93500000</v>
      </c>
      <c r="J170">
        <v>93500000</v>
      </c>
      <c r="K170">
        <v>0</v>
      </c>
      <c r="L170">
        <v>0</v>
      </c>
      <c r="M170" t="s">
        <v>276</v>
      </c>
      <c r="N170" t="s">
        <v>277</v>
      </c>
      <c r="O170" t="s">
        <v>285</v>
      </c>
      <c r="P170" t="s">
        <v>278</v>
      </c>
      <c r="Q170" t="s">
        <v>281</v>
      </c>
      <c r="R170">
        <v>166</v>
      </c>
      <c r="S170" s="672" t="b">
        <f t="shared" si="2"/>
        <v>0</v>
      </c>
      <c r="T170" t="s">
        <v>178</v>
      </c>
    </row>
    <row r="171" spans="1:20" hidden="1">
      <c r="A171" t="s">
        <v>672</v>
      </c>
      <c r="B171" t="s">
        <v>1521</v>
      </c>
      <c r="C171">
        <v>2</v>
      </c>
      <c r="D171">
        <v>2</v>
      </c>
      <c r="E171">
        <v>1</v>
      </c>
      <c r="F171" s="8">
        <v>1</v>
      </c>
      <c r="G171" t="s">
        <v>270</v>
      </c>
      <c r="H171" s="672">
        <v>0</v>
      </c>
      <c r="I171">
        <v>50000000</v>
      </c>
      <c r="J171">
        <v>50000000</v>
      </c>
      <c r="K171">
        <v>0</v>
      </c>
      <c r="L171">
        <v>0</v>
      </c>
      <c r="M171" t="s">
        <v>276</v>
      </c>
      <c r="N171" t="s">
        <v>277</v>
      </c>
      <c r="O171" t="s">
        <v>285</v>
      </c>
      <c r="P171" t="s">
        <v>278</v>
      </c>
      <c r="Q171" t="s">
        <v>281</v>
      </c>
      <c r="R171">
        <v>167</v>
      </c>
      <c r="S171" s="672" t="b">
        <f t="shared" si="2"/>
        <v>0</v>
      </c>
      <c r="T171" t="s">
        <v>178</v>
      </c>
    </row>
    <row r="172" spans="1:20" hidden="1">
      <c r="A172">
        <v>80111600</v>
      </c>
      <c r="B172" t="s">
        <v>1522</v>
      </c>
      <c r="C172">
        <v>1</v>
      </c>
      <c r="D172">
        <v>1</v>
      </c>
      <c r="E172">
        <v>11</v>
      </c>
      <c r="F172" s="8">
        <v>1</v>
      </c>
      <c r="G172" t="s">
        <v>268</v>
      </c>
      <c r="H172" s="672">
        <v>0</v>
      </c>
      <c r="I172">
        <v>94820000</v>
      </c>
      <c r="J172">
        <v>94820000</v>
      </c>
      <c r="K172">
        <v>0</v>
      </c>
      <c r="L172">
        <v>0</v>
      </c>
      <c r="M172" t="s">
        <v>276</v>
      </c>
      <c r="N172" t="s">
        <v>277</v>
      </c>
      <c r="O172" t="s">
        <v>1040</v>
      </c>
      <c r="P172" t="s">
        <v>278</v>
      </c>
      <c r="Q172" t="s">
        <v>279</v>
      </c>
      <c r="R172">
        <v>168</v>
      </c>
      <c r="S172" s="672" t="b">
        <f t="shared" si="2"/>
        <v>0</v>
      </c>
      <c r="T172" t="s">
        <v>178</v>
      </c>
    </row>
    <row r="173" spans="1:20" hidden="1">
      <c r="A173">
        <v>80111600</v>
      </c>
      <c r="B173" t="s">
        <v>1523</v>
      </c>
      <c r="C173">
        <v>1</v>
      </c>
      <c r="D173">
        <v>1</v>
      </c>
      <c r="E173">
        <v>11</v>
      </c>
      <c r="F173" s="8">
        <v>1</v>
      </c>
      <c r="G173" t="s">
        <v>268</v>
      </c>
      <c r="H173" s="672">
        <v>0</v>
      </c>
      <c r="I173">
        <v>29700000</v>
      </c>
      <c r="J173">
        <v>29700000</v>
      </c>
      <c r="K173">
        <v>0</v>
      </c>
      <c r="L173">
        <v>0</v>
      </c>
      <c r="M173" t="s">
        <v>276</v>
      </c>
      <c r="N173" t="s">
        <v>277</v>
      </c>
      <c r="O173" t="s">
        <v>285</v>
      </c>
      <c r="P173" t="s">
        <v>278</v>
      </c>
      <c r="Q173" t="s">
        <v>281</v>
      </c>
      <c r="R173">
        <v>169</v>
      </c>
      <c r="S173" s="672" t="b">
        <f t="shared" si="2"/>
        <v>0</v>
      </c>
      <c r="T173" t="s">
        <v>178</v>
      </c>
    </row>
    <row r="174" spans="1:20" hidden="1">
      <c r="A174">
        <v>80111600</v>
      </c>
      <c r="B174" t="s">
        <v>1524</v>
      </c>
      <c r="C174">
        <v>1</v>
      </c>
      <c r="D174">
        <v>1</v>
      </c>
      <c r="E174">
        <v>2</v>
      </c>
      <c r="F174" s="8">
        <v>1</v>
      </c>
      <c r="G174" t="s">
        <v>268</v>
      </c>
      <c r="H174" s="672">
        <v>0</v>
      </c>
      <c r="I174">
        <v>18540000</v>
      </c>
      <c r="J174">
        <v>18540000</v>
      </c>
      <c r="K174">
        <v>0</v>
      </c>
      <c r="L174">
        <v>0</v>
      </c>
      <c r="M174" t="s">
        <v>276</v>
      </c>
      <c r="N174" t="s">
        <v>277</v>
      </c>
      <c r="O174" t="s">
        <v>285</v>
      </c>
      <c r="P174" t="s">
        <v>278</v>
      </c>
      <c r="Q174" t="s">
        <v>281</v>
      </c>
      <c r="R174">
        <v>170</v>
      </c>
      <c r="S174" s="672" t="b">
        <f t="shared" si="2"/>
        <v>0</v>
      </c>
      <c r="T174" t="s">
        <v>178</v>
      </c>
    </row>
    <row r="175" spans="1:20" hidden="1">
      <c r="A175">
        <v>80111600</v>
      </c>
      <c r="B175" t="s">
        <v>1525</v>
      </c>
      <c r="C175">
        <v>1</v>
      </c>
      <c r="D175">
        <v>1</v>
      </c>
      <c r="E175">
        <v>11</v>
      </c>
      <c r="F175" s="8">
        <v>1</v>
      </c>
      <c r="G175" t="s">
        <v>268</v>
      </c>
      <c r="H175" s="672">
        <v>0</v>
      </c>
      <c r="I175">
        <v>33990000</v>
      </c>
      <c r="J175">
        <v>33990000</v>
      </c>
      <c r="K175">
        <v>0</v>
      </c>
      <c r="L175">
        <v>0</v>
      </c>
      <c r="M175" t="s">
        <v>276</v>
      </c>
      <c r="N175" t="s">
        <v>277</v>
      </c>
      <c r="O175" t="s">
        <v>283</v>
      </c>
      <c r="P175" t="s">
        <v>278</v>
      </c>
      <c r="Q175" t="s">
        <v>279</v>
      </c>
      <c r="R175">
        <v>171</v>
      </c>
      <c r="S175" s="672" t="b">
        <f t="shared" si="2"/>
        <v>0</v>
      </c>
      <c r="T175" t="s">
        <v>178</v>
      </c>
    </row>
    <row r="176" spans="1:20" hidden="1">
      <c r="A176">
        <v>80111600</v>
      </c>
      <c r="B176" t="s">
        <v>1526</v>
      </c>
      <c r="C176">
        <v>1</v>
      </c>
      <c r="D176">
        <v>1</v>
      </c>
      <c r="E176">
        <v>11</v>
      </c>
      <c r="F176" s="8">
        <v>1</v>
      </c>
      <c r="G176" t="s">
        <v>268</v>
      </c>
      <c r="H176" s="672">
        <v>0</v>
      </c>
      <c r="I176">
        <v>44000000</v>
      </c>
      <c r="J176">
        <v>44000000</v>
      </c>
      <c r="K176">
        <v>0</v>
      </c>
      <c r="L176">
        <v>0</v>
      </c>
      <c r="M176" t="s">
        <v>276</v>
      </c>
      <c r="N176" t="s">
        <v>277</v>
      </c>
      <c r="O176" t="s">
        <v>283</v>
      </c>
      <c r="P176" t="s">
        <v>278</v>
      </c>
      <c r="Q176" t="s">
        <v>279</v>
      </c>
      <c r="R176">
        <v>172</v>
      </c>
      <c r="S176" s="672" t="b">
        <f t="shared" si="2"/>
        <v>0</v>
      </c>
      <c r="T176" t="s">
        <v>178</v>
      </c>
    </row>
    <row r="177" spans="1:20" hidden="1">
      <c r="A177">
        <v>80111600</v>
      </c>
      <c r="B177" t="s">
        <v>1527</v>
      </c>
      <c r="C177">
        <v>1</v>
      </c>
      <c r="D177">
        <v>1</v>
      </c>
      <c r="E177">
        <v>11</v>
      </c>
      <c r="F177" s="8">
        <v>1</v>
      </c>
      <c r="G177" t="s">
        <v>268</v>
      </c>
      <c r="H177" s="672">
        <v>0</v>
      </c>
      <c r="I177">
        <v>62480000</v>
      </c>
      <c r="J177">
        <v>62480000</v>
      </c>
      <c r="K177">
        <v>0</v>
      </c>
      <c r="L177">
        <v>0</v>
      </c>
      <c r="M177" t="s">
        <v>276</v>
      </c>
      <c r="N177" t="s">
        <v>277</v>
      </c>
      <c r="O177" t="s">
        <v>285</v>
      </c>
      <c r="P177" t="s">
        <v>278</v>
      </c>
      <c r="Q177" t="s">
        <v>281</v>
      </c>
      <c r="R177">
        <v>173</v>
      </c>
      <c r="S177" s="672" t="b">
        <f t="shared" si="2"/>
        <v>0</v>
      </c>
      <c r="T177" t="s">
        <v>178</v>
      </c>
    </row>
    <row r="178" spans="1:20" hidden="1">
      <c r="A178">
        <v>80111600</v>
      </c>
      <c r="B178" t="s">
        <v>1528</v>
      </c>
      <c r="C178">
        <v>1</v>
      </c>
      <c r="D178">
        <v>1</v>
      </c>
      <c r="E178">
        <v>11</v>
      </c>
      <c r="F178" s="8">
        <v>1</v>
      </c>
      <c r="G178" t="s">
        <v>268</v>
      </c>
      <c r="H178" s="672">
        <v>0</v>
      </c>
      <c r="I178">
        <v>38280000</v>
      </c>
      <c r="J178">
        <v>38280000</v>
      </c>
      <c r="K178">
        <v>0</v>
      </c>
      <c r="L178">
        <v>0</v>
      </c>
      <c r="M178" t="s">
        <v>276</v>
      </c>
      <c r="N178" t="s">
        <v>277</v>
      </c>
      <c r="O178" t="s">
        <v>283</v>
      </c>
      <c r="P178" t="s">
        <v>278</v>
      </c>
      <c r="Q178" t="s">
        <v>279</v>
      </c>
      <c r="R178">
        <v>174</v>
      </c>
      <c r="S178" s="672" t="b">
        <f t="shared" si="2"/>
        <v>0</v>
      </c>
      <c r="T178" t="s">
        <v>178</v>
      </c>
    </row>
    <row r="179" spans="1:20" hidden="1">
      <c r="A179">
        <v>80111600</v>
      </c>
      <c r="B179" t="s">
        <v>1529</v>
      </c>
      <c r="C179">
        <v>1</v>
      </c>
      <c r="D179">
        <v>1</v>
      </c>
      <c r="E179">
        <v>11</v>
      </c>
      <c r="F179" s="8">
        <v>1</v>
      </c>
      <c r="G179" t="s">
        <v>268</v>
      </c>
      <c r="H179" s="672">
        <v>0</v>
      </c>
      <c r="I179">
        <v>56100000</v>
      </c>
      <c r="J179">
        <v>56100000</v>
      </c>
      <c r="K179">
        <v>0</v>
      </c>
      <c r="L179">
        <v>0</v>
      </c>
      <c r="M179" t="s">
        <v>276</v>
      </c>
      <c r="N179" t="s">
        <v>277</v>
      </c>
      <c r="O179" t="s">
        <v>285</v>
      </c>
      <c r="P179" t="s">
        <v>278</v>
      </c>
      <c r="Q179" t="s">
        <v>281</v>
      </c>
      <c r="R179">
        <v>175</v>
      </c>
      <c r="S179" s="672" t="b">
        <f t="shared" si="2"/>
        <v>0</v>
      </c>
      <c r="T179" t="s">
        <v>178</v>
      </c>
    </row>
    <row r="180" spans="1:20" hidden="1">
      <c r="A180">
        <v>81141504</v>
      </c>
      <c r="B180" t="s">
        <v>1530</v>
      </c>
      <c r="C180">
        <v>1</v>
      </c>
      <c r="D180">
        <v>1</v>
      </c>
      <c r="E180">
        <v>3</v>
      </c>
      <c r="F180" s="8">
        <v>1</v>
      </c>
      <c r="G180" t="s">
        <v>266</v>
      </c>
      <c r="H180" s="672">
        <v>0</v>
      </c>
      <c r="I180">
        <v>5718016</v>
      </c>
      <c r="J180">
        <v>5718016</v>
      </c>
      <c r="K180">
        <v>0</v>
      </c>
      <c r="L180">
        <v>0</v>
      </c>
      <c r="M180" t="s">
        <v>276</v>
      </c>
      <c r="N180" t="s">
        <v>277</v>
      </c>
      <c r="O180" t="s">
        <v>285</v>
      </c>
      <c r="P180" t="s">
        <v>278</v>
      </c>
      <c r="Q180" t="s">
        <v>281</v>
      </c>
      <c r="R180">
        <v>176</v>
      </c>
      <c r="S180" s="672" t="b">
        <f t="shared" si="2"/>
        <v>0</v>
      </c>
      <c r="T180" t="s">
        <v>178</v>
      </c>
    </row>
    <row r="181" spans="1:20" hidden="1">
      <c r="A181">
        <v>80111600</v>
      </c>
      <c r="B181" t="s">
        <v>1531</v>
      </c>
      <c r="C181">
        <v>1</v>
      </c>
      <c r="D181">
        <v>1</v>
      </c>
      <c r="E181">
        <v>11</v>
      </c>
      <c r="F181" s="8">
        <v>1</v>
      </c>
      <c r="G181" t="s">
        <v>268</v>
      </c>
      <c r="H181" s="672">
        <v>0</v>
      </c>
      <c r="I181">
        <v>57640000</v>
      </c>
      <c r="J181">
        <v>57640000</v>
      </c>
      <c r="K181">
        <v>0</v>
      </c>
      <c r="L181">
        <v>0</v>
      </c>
      <c r="M181" t="s">
        <v>276</v>
      </c>
      <c r="N181" t="s">
        <v>277</v>
      </c>
      <c r="O181" t="s">
        <v>285</v>
      </c>
      <c r="P181" t="s">
        <v>278</v>
      </c>
      <c r="Q181" t="s">
        <v>281</v>
      </c>
      <c r="R181">
        <v>177</v>
      </c>
      <c r="S181" s="672" t="b">
        <f t="shared" si="2"/>
        <v>0</v>
      </c>
      <c r="T181" t="s">
        <v>178</v>
      </c>
    </row>
    <row r="182" spans="1:20" hidden="1">
      <c r="A182" t="s">
        <v>778</v>
      </c>
      <c r="B182" t="s">
        <v>1532</v>
      </c>
      <c r="C182">
        <v>6</v>
      </c>
      <c r="D182">
        <v>6</v>
      </c>
      <c r="E182">
        <v>2</v>
      </c>
      <c r="F182" s="8">
        <v>1</v>
      </c>
      <c r="G182" t="s">
        <v>264</v>
      </c>
      <c r="H182" s="672">
        <v>0</v>
      </c>
      <c r="I182">
        <v>113341984</v>
      </c>
      <c r="J182">
        <v>113341984</v>
      </c>
      <c r="K182">
        <v>0</v>
      </c>
      <c r="L182">
        <v>0</v>
      </c>
      <c r="M182" t="s">
        <v>276</v>
      </c>
      <c r="N182" t="s">
        <v>277</v>
      </c>
      <c r="O182" t="s">
        <v>283</v>
      </c>
      <c r="P182" t="s">
        <v>278</v>
      </c>
      <c r="Q182" t="s">
        <v>279</v>
      </c>
      <c r="R182">
        <v>178</v>
      </c>
      <c r="S182" s="672" t="b">
        <f t="shared" si="2"/>
        <v>0</v>
      </c>
      <c r="T182" t="s">
        <v>178</v>
      </c>
    </row>
    <row r="183" spans="1:20" hidden="1">
      <c r="A183">
        <v>80111600</v>
      </c>
      <c r="B183" t="s">
        <v>1533</v>
      </c>
      <c r="C183">
        <v>1</v>
      </c>
      <c r="D183">
        <v>1</v>
      </c>
      <c r="E183">
        <v>11</v>
      </c>
      <c r="F183" s="8">
        <v>1</v>
      </c>
      <c r="G183" t="s">
        <v>268</v>
      </c>
      <c r="H183" s="672">
        <v>0</v>
      </c>
      <c r="I183">
        <v>36300000</v>
      </c>
      <c r="J183">
        <v>36300000</v>
      </c>
      <c r="K183">
        <v>0</v>
      </c>
      <c r="L183">
        <v>0</v>
      </c>
      <c r="M183" t="s">
        <v>276</v>
      </c>
      <c r="N183" t="s">
        <v>277</v>
      </c>
      <c r="O183" t="s">
        <v>285</v>
      </c>
      <c r="P183" t="s">
        <v>278</v>
      </c>
      <c r="Q183" t="s">
        <v>281</v>
      </c>
      <c r="R183">
        <v>179</v>
      </c>
      <c r="S183" s="672" t="b">
        <f t="shared" si="2"/>
        <v>0</v>
      </c>
      <c r="T183" t="s">
        <v>178</v>
      </c>
    </row>
    <row r="184" spans="1:20" hidden="1">
      <c r="A184">
        <v>80111600</v>
      </c>
      <c r="B184" t="s">
        <v>1534</v>
      </c>
      <c r="C184">
        <v>1</v>
      </c>
      <c r="D184">
        <v>1</v>
      </c>
      <c r="E184">
        <v>11</v>
      </c>
      <c r="F184" s="8">
        <v>1</v>
      </c>
      <c r="G184" t="s">
        <v>268</v>
      </c>
      <c r="H184" s="672">
        <v>0</v>
      </c>
      <c r="I184">
        <v>40700000</v>
      </c>
      <c r="J184">
        <v>40700000</v>
      </c>
      <c r="K184">
        <v>0</v>
      </c>
      <c r="L184">
        <v>0</v>
      </c>
      <c r="M184" t="s">
        <v>276</v>
      </c>
      <c r="N184" t="s">
        <v>277</v>
      </c>
      <c r="O184" t="s">
        <v>283</v>
      </c>
      <c r="P184" t="s">
        <v>278</v>
      </c>
      <c r="Q184" t="s">
        <v>279</v>
      </c>
      <c r="R184">
        <v>180</v>
      </c>
      <c r="S184" s="672" t="b">
        <f t="shared" si="2"/>
        <v>0</v>
      </c>
      <c r="T184" t="s">
        <v>178</v>
      </c>
    </row>
    <row r="185" spans="1:20" hidden="1">
      <c r="A185">
        <v>80111600</v>
      </c>
      <c r="B185" t="s">
        <v>1535</v>
      </c>
      <c r="C185">
        <v>1</v>
      </c>
      <c r="D185">
        <v>1</v>
      </c>
      <c r="E185">
        <v>11</v>
      </c>
      <c r="F185" s="8">
        <v>1</v>
      </c>
      <c r="G185" t="s">
        <v>268</v>
      </c>
      <c r="H185" s="672">
        <v>0</v>
      </c>
      <c r="I185">
        <v>40700000</v>
      </c>
      <c r="J185">
        <v>40700000</v>
      </c>
      <c r="K185">
        <v>0</v>
      </c>
      <c r="L185">
        <v>0</v>
      </c>
      <c r="M185" t="s">
        <v>276</v>
      </c>
      <c r="N185" t="s">
        <v>277</v>
      </c>
      <c r="O185" t="s">
        <v>283</v>
      </c>
      <c r="P185" t="s">
        <v>278</v>
      </c>
      <c r="Q185" t="s">
        <v>279</v>
      </c>
      <c r="R185">
        <v>181</v>
      </c>
      <c r="S185" s="672" t="b">
        <f t="shared" si="2"/>
        <v>0</v>
      </c>
      <c r="T185" t="s">
        <v>178</v>
      </c>
    </row>
    <row r="186" spans="1:20" hidden="1">
      <c r="A186">
        <v>80111600</v>
      </c>
      <c r="B186" t="s">
        <v>1536</v>
      </c>
      <c r="C186">
        <v>1</v>
      </c>
      <c r="D186">
        <v>1</v>
      </c>
      <c r="E186">
        <v>11</v>
      </c>
      <c r="F186" s="8">
        <v>1</v>
      </c>
      <c r="G186" t="s">
        <v>268</v>
      </c>
      <c r="H186" s="672">
        <v>0</v>
      </c>
      <c r="I186">
        <v>47520000</v>
      </c>
      <c r="J186">
        <v>47520000</v>
      </c>
      <c r="K186">
        <v>0</v>
      </c>
      <c r="L186">
        <v>0</v>
      </c>
      <c r="M186" t="s">
        <v>276</v>
      </c>
      <c r="N186" t="s">
        <v>277</v>
      </c>
      <c r="O186" t="s">
        <v>285</v>
      </c>
      <c r="P186" t="s">
        <v>278</v>
      </c>
      <c r="Q186" t="s">
        <v>281</v>
      </c>
      <c r="R186">
        <v>182</v>
      </c>
      <c r="S186" s="672" t="b">
        <f t="shared" si="2"/>
        <v>0</v>
      </c>
      <c r="T186" t="s">
        <v>178</v>
      </c>
    </row>
    <row r="187" spans="1:20" hidden="1">
      <c r="A187">
        <v>80111600</v>
      </c>
      <c r="B187" t="s">
        <v>1537</v>
      </c>
      <c r="C187">
        <v>1</v>
      </c>
      <c r="D187">
        <v>1</v>
      </c>
      <c r="E187">
        <v>11</v>
      </c>
      <c r="F187" s="8">
        <v>1</v>
      </c>
      <c r="G187" t="s">
        <v>268</v>
      </c>
      <c r="H187" s="672">
        <v>0</v>
      </c>
      <c r="I187">
        <v>25520000</v>
      </c>
      <c r="J187">
        <v>25520000</v>
      </c>
      <c r="K187">
        <v>0</v>
      </c>
      <c r="L187">
        <v>0</v>
      </c>
      <c r="M187" t="s">
        <v>276</v>
      </c>
      <c r="N187" t="s">
        <v>277</v>
      </c>
      <c r="O187" t="s">
        <v>285</v>
      </c>
      <c r="P187" t="s">
        <v>278</v>
      </c>
      <c r="Q187" t="s">
        <v>281</v>
      </c>
      <c r="R187">
        <v>183</v>
      </c>
      <c r="S187" s="672" t="b">
        <f t="shared" si="2"/>
        <v>0</v>
      </c>
      <c r="T187" t="s">
        <v>178</v>
      </c>
    </row>
    <row r="188" spans="1:20" hidden="1">
      <c r="A188">
        <v>80111600</v>
      </c>
      <c r="B188" t="s">
        <v>1538</v>
      </c>
      <c r="C188">
        <v>1</v>
      </c>
      <c r="D188">
        <v>1</v>
      </c>
      <c r="E188">
        <v>11</v>
      </c>
      <c r="F188" s="8">
        <v>1</v>
      </c>
      <c r="G188" t="s">
        <v>268</v>
      </c>
      <c r="H188" s="672">
        <v>0</v>
      </c>
      <c r="I188">
        <v>46200000</v>
      </c>
      <c r="J188">
        <v>46200000</v>
      </c>
      <c r="K188">
        <v>0</v>
      </c>
      <c r="L188">
        <v>0</v>
      </c>
      <c r="M188" t="s">
        <v>276</v>
      </c>
      <c r="N188" t="s">
        <v>277</v>
      </c>
      <c r="O188" t="s">
        <v>285</v>
      </c>
      <c r="P188" t="s">
        <v>278</v>
      </c>
      <c r="Q188" t="s">
        <v>281</v>
      </c>
      <c r="R188">
        <v>184</v>
      </c>
      <c r="S188" s="672" t="b">
        <f t="shared" si="2"/>
        <v>0</v>
      </c>
      <c r="T188" t="s">
        <v>178</v>
      </c>
    </row>
    <row r="189" spans="1:20" hidden="1">
      <c r="A189">
        <v>80111600</v>
      </c>
      <c r="B189" t="s">
        <v>1539</v>
      </c>
      <c r="C189">
        <v>1</v>
      </c>
      <c r="D189">
        <v>1</v>
      </c>
      <c r="E189">
        <v>11</v>
      </c>
      <c r="F189" s="8">
        <v>1</v>
      </c>
      <c r="G189" t="s">
        <v>268</v>
      </c>
      <c r="H189" s="672">
        <v>0</v>
      </c>
      <c r="I189">
        <v>25520000</v>
      </c>
      <c r="J189">
        <v>25520000</v>
      </c>
      <c r="K189">
        <v>0</v>
      </c>
      <c r="L189">
        <v>0</v>
      </c>
      <c r="M189" t="s">
        <v>276</v>
      </c>
      <c r="N189" t="s">
        <v>277</v>
      </c>
      <c r="O189" t="s">
        <v>285</v>
      </c>
      <c r="P189" t="s">
        <v>278</v>
      </c>
      <c r="Q189" t="s">
        <v>281</v>
      </c>
      <c r="R189">
        <v>185</v>
      </c>
      <c r="S189" s="672" t="b">
        <f t="shared" si="2"/>
        <v>0</v>
      </c>
      <c r="T189" t="s">
        <v>178</v>
      </c>
    </row>
    <row r="190" spans="1:20" hidden="1">
      <c r="A190">
        <v>80111600</v>
      </c>
      <c r="B190" t="s">
        <v>1540</v>
      </c>
      <c r="C190">
        <v>1</v>
      </c>
      <c r="D190">
        <v>1</v>
      </c>
      <c r="E190">
        <v>11</v>
      </c>
      <c r="F190" s="8">
        <v>1</v>
      </c>
      <c r="G190" t="s">
        <v>268</v>
      </c>
      <c r="H190" s="672">
        <v>0</v>
      </c>
      <c r="I190">
        <v>31570000</v>
      </c>
      <c r="J190">
        <v>31570000</v>
      </c>
      <c r="K190">
        <v>0</v>
      </c>
      <c r="L190">
        <v>0</v>
      </c>
      <c r="M190" t="s">
        <v>276</v>
      </c>
      <c r="N190" t="s">
        <v>277</v>
      </c>
      <c r="O190" t="s">
        <v>283</v>
      </c>
      <c r="P190" t="s">
        <v>278</v>
      </c>
      <c r="Q190" t="s">
        <v>279</v>
      </c>
      <c r="R190">
        <v>186</v>
      </c>
      <c r="S190" s="672" t="b">
        <f t="shared" si="2"/>
        <v>0</v>
      </c>
      <c r="T190" t="s">
        <v>178</v>
      </c>
    </row>
    <row r="191" spans="1:20" hidden="1">
      <c r="A191">
        <v>80111600</v>
      </c>
      <c r="B191" t="s">
        <v>1541</v>
      </c>
      <c r="C191">
        <v>2</v>
      </c>
      <c r="D191">
        <v>2</v>
      </c>
      <c r="E191">
        <v>9</v>
      </c>
      <c r="F191" s="8">
        <v>1</v>
      </c>
      <c r="G191" t="s">
        <v>268</v>
      </c>
      <c r="H191" s="672">
        <v>0</v>
      </c>
      <c r="I191">
        <v>45000000</v>
      </c>
      <c r="J191">
        <v>45000000</v>
      </c>
      <c r="K191">
        <v>0</v>
      </c>
      <c r="L191">
        <v>0</v>
      </c>
      <c r="M191" t="s">
        <v>276</v>
      </c>
      <c r="N191" t="s">
        <v>277</v>
      </c>
      <c r="O191" t="s">
        <v>285</v>
      </c>
      <c r="P191" t="s">
        <v>278</v>
      </c>
      <c r="Q191" t="s">
        <v>281</v>
      </c>
      <c r="R191">
        <v>187</v>
      </c>
      <c r="S191" s="672" t="b">
        <f t="shared" si="2"/>
        <v>0</v>
      </c>
      <c r="T191" t="s">
        <v>178</v>
      </c>
    </row>
    <row r="192" spans="1:20" hidden="1">
      <c r="A192">
        <v>80111600</v>
      </c>
      <c r="B192" t="s">
        <v>1542</v>
      </c>
      <c r="C192">
        <v>2</v>
      </c>
      <c r="D192">
        <v>2</v>
      </c>
      <c r="E192">
        <v>10</v>
      </c>
      <c r="F192" s="8">
        <v>1</v>
      </c>
      <c r="G192" t="s">
        <v>268</v>
      </c>
      <c r="H192" s="672">
        <v>0</v>
      </c>
      <c r="I192">
        <v>56000000</v>
      </c>
      <c r="J192">
        <v>56000000</v>
      </c>
      <c r="K192">
        <v>0</v>
      </c>
      <c r="L192">
        <v>0</v>
      </c>
      <c r="M192" t="s">
        <v>276</v>
      </c>
      <c r="N192" t="s">
        <v>277</v>
      </c>
      <c r="O192" t="s">
        <v>285</v>
      </c>
      <c r="P192" t="s">
        <v>278</v>
      </c>
      <c r="Q192" t="s">
        <v>281</v>
      </c>
      <c r="R192">
        <v>188</v>
      </c>
      <c r="S192" s="672" t="b">
        <f t="shared" si="2"/>
        <v>0</v>
      </c>
      <c r="T192" t="s">
        <v>178</v>
      </c>
    </row>
    <row r="193" spans="1:20" hidden="1">
      <c r="A193">
        <v>80111600</v>
      </c>
      <c r="B193" t="s">
        <v>1543</v>
      </c>
      <c r="C193">
        <v>1</v>
      </c>
      <c r="D193">
        <v>1</v>
      </c>
      <c r="E193">
        <v>11</v>
      </c>
      <c r="F193" s="8">
        <v>1</v>
      </c>
      <c r="G193" t="s">
        <v>268</v>
      </c>
      <c r="H193" s="672">
        <v>0</v>
      </c>
      <c r="I193">
        <v>33990000</v>
      </c>
      <c r="J193">
        <v>33990000</v>
      </c>
      <c r="K193">
        <v>0</v>
      </c>
      <c r="L193">
        <v>0</v>
      </c>
      <c r="M193" t="s">
        <v>276</v>
      </c>
      <c r="N193" t="s">
        <v>277</v>
      </c>
      <c r="O193" t="s">
        <v>283</v>
      </c>
      <c r="P193" t="s">
        <v>278</v>
      </c>
      <c r="Q193" t="s">
        <v>279</v>
      </c>
      <c r="R193">
        <v>189</v>
      </c>
      <c r="S193" s="672" t="b">
        <f t="shared" ref="S193:S253" si="3">+R193=R192</f>
        <v>0</v>
      </c>
      <c r="T193" t="s">
        <v>178</v>
      </c>
    </row>
    <row r="194" spans="1:20" hidden="1">
      <c r="A194">
        <v>80111600</v>
      </c>
      <c r="B194" t="s">
        <v>1544</v>
      </c>
      <c r="C194">
        <v>2</v>
      </c>
      <c r="D194">
        <v>2</v>
      </c>
      <c r="E194">
        <v>9</v>
      </c>
      <c r="F194" s="8">
        <v>1</v>
      </c>
      <c r="G194" t="s">
        <v>268</v>
      </c>
      <c r="H194" s="672">
        <v>0</v>
      </c>
      <c r="I194">
        <v>33300000</v>
      </c>
      <c r="J194">
        <v>33300000</v>
      </c>
      <c r="K194">
        <v>0</v>
      </c>
      <c r="L194">
        <v>0</v>
      </c>
      <c r="M194" t="s">
        <v>276</v>
      </c>
      <c r="N194" t="s">
        <v>277</v>
      </c>
      <c r="O194" t="s">
        <v>283</v>
      </c>
      <c r="P194" t="s">
        <v>278</v>
      </c>
      <c r="Q194" t="s">
        <v>279</v>
      </c>
      <c r="R194">
        <v>190</v>
      </c>
      <c r="S194" s="672" t="b">
        <f t="shared" si="3"/>
        <v>0</v>
      </c>
      <c r="T194" t="s">
        <v>178</v>
      </c>
    </row>
    <row r="195" spans="1:20" hidden="1">
      <c r="A195">
        <v>80111600</v>
      </c>
      <c r="B195" t="s">
        <v>1545</v>
      </c>
      <c r="C195">
        <v>1</v>
      </c>
      <c r="D195">
        <v>1</v>
      </c>
      <c r="E195">
        <v>11</v>
      </c>
      <c r="F195" s="8">
        <v>1</v>
      </c>
      <c r="G195" t="s">
        <v>268</v>
      </c>
      <c r="H195" s="672">
        <v>0</v>
      </c>
      <c r="I195">
        <v>57200000</v>
      </c>
      <c r="J195">
        <v>57200000</v>
      </c>
      <c r="K195">
        <v>0</v>
      </c>
      <c r="L195">
        <v>0</v>
      </c>
      <c r="M195" t="s">
        <v>276</v>
      </c>
      <c r="N195" t="s">
        <v>277</v>
      </c>
      <c r="O195" t="s">
        <v>285</v>
      </c>
      <c r="P195" t="s">
        <v>278</v>
      </c>
      <c r="Q195" t="s">
        <v>281</v>
      </c>
      <c r="R195">
        <v>191</v>
      </c>
      <c r="S195" s="672" t="b">
        <f t="shared" si="3"/>
        <v>0</v>
      </c>
      <c r="T195" t="s">
        <v>178</v>
      </c>
    </row>
    <row r="196" spans="1:20" hidden="1">
      <c r="A196">
        <v>80111600</v>
      </c>
      <c r="B196" t="s">
        <v>1546</v>
      </c>
      <c r="C196">
        <v>1</v>
      </c>
      <c r="D196">
        <v>1</v>
      </c>
      <c r="E196">
        <v>11</v>
      </c>
      <c r="F196" s="8">
        <v>1</v>
      </c>
      <c r="G196" t="s">
        <v>268</v>
      </c>
      <c r="H196" s="672">
        <v>0</v>
      </c>
      <c r="I196">
        <v>38729000</v>
      </c>
      <c r="J196">
        <v>38729000</v>
      </c>
      <c r="K196">
        <v>0</v>
      </c>
      <c r="L196">
        <v>0</v>
      </c>
      <c r="M196" t="s">
        <v>276</v>
      </c>
      <c r="N196" t="s">
        <v>277</v>
      </c>
      <c r="O196" t="s">
        <v>283</v>
      </c>
      <c r="P196" t="s">
        <v>278</v>
      </c>
      <c r="Q196" t="s">
        <v>279</v>
      </c>
      <c r="R196">
        <v>192</v>
      </c>
      <c r="S196" s="672" t="b">
        <f t="shared" si="3"/>
        <v>0</v>
      </c>
      <c r="T196" t="s">
        <v>178</v>
      </c>
    </row>
    <row r="197" spans="1:20" hidden="1">
      <c r="A197">
        <v>80111600</v>
      </c>
      <c r="B197" t="s">
        <v>1547</v>
      </c>
      <c r="C197">
        <v>1</v>
      </c>
      <c r="D197">
        <v>1</v>
      </c>
      <c r="E197">
        <v>1</v>
      </c>
      <c r="F197" s="8">
        <v>1</v>
      </c>
      <c r="G197" t="s">
        <v>268</v>
      </c>
      <c r="H197" s="672">
        <v>0</v>
      </c>
      <c r="I197">
        <v>1971000</v>
      </c>
      <c r="J197">
        <v>1971000</v>
      </c>
      <c r="K197">
        <v>0</v>
      </c>
      <c r="L197">
        <v>0</v>
      </c>
      <c r="M197" t="s">
        <v>276</v>
      </c>
      <c r="N197" t="s">
        <v>277</v>
      </c>
      <c r="O197" t="s">
        <v>283</v>
      </c>
      <c r="P197" t="s">
        <v>278</v>
      </c>
      <c r="Q197" t="s">
        <v>279</v>
      </c>
      <c r="R197">
        <v>193</v>
      </c>
      <c r="S197" s="672" t="b">
        <f t="shared" si="3"/>
        <v>0</v>
      </c>
      <c r="T197" t="s">
        <v>178</v>
      </c>
    </row>
    <row r="198" spans="1:20" hidden="1">
      <c r="A198">
        <v>80111600</v>
      </c>
      <c r="B198" t="s">
        <v>1548</v>
      </c>
      <c r="C198">
        <v>1</v>
      </c>
      <c r="D198">
        <v>1</v>
      </c>
      <c r="E198">
        <v>11</v>
      </c>
      <c r="F198" s="8">
        <v>1</v>
      </c>
      <c r="G198" t="s">
        <v>268</v>
      </c>
      <c r="H198" s="672">
        <v>0</v>
      </c>
      <c r="I198">
        <v>70290000</v>
      </c>
      <c r="J198">
        <v>70290000</v>
      </c>
      <c r="K198">
        <v>0</v>
      </c>
      <c r="L198">
        <v>0</v>
      </c>
      <c r="M198" t="s">
        <v>276</v>
      </c>
      <c r="N198" t="s">
        <v>277</v>
      </c>
      <c r="O198" t="s">
        <v>283</v>
      </c>
      <c r="P198" t="s">
        <v>278</v>
      </c>
      <c r="Q198" t="s">
        <v>279</v>
      </c>
      <c r="R198">
        <v>194</v>
      </c>
      <c r="S198" s="672" t="b">
        <f t="shared" si="3"/>
        <v>0</v>
      </c>
      <c r="T198" t="s">
        <v>178</v>
      </c>
    </row>
    <row r="199" spans="1:20" s="709" customFormat="1" hidden="1">
      <c r="A199" s="709">
        <v>84131501</v>
      </c>
      <c r="B199" s="709" t="s">
        <v>1549</v>
      </c>
      <c r="C199" s="709">
        <v>5</v>
      </c>
      <c r="D199" s="709">
        <v>5</v>
      </c>
      <c r="E199" s="709">
        <v>8</v>
      </c>
      <c r="F199" s="711">
        <v>1</v>
      </c>
      <c r="G199" s="709" t="s">
        <v>257</v>
      </c>
      <c r="H199" s="709">
        <v>0</v>
      </c>
      <c r="I199" s="709">
        <v>270000000</v>
      </c>
      <c r="J199" s="709">
        <v>270000000</v>
      </c>
      <c r="K199" s="709">
        <v>0</v>
      </c>
      <c r="L199" s="709">
        <v>0</v>
      </c>
      <c r="M199" s="709" t="s">
        <v>276</v>
      </c>
      <c r="N199" s="709" t="s">
        <v>277</v>
      </c>
      <c r="O199" s="709" t="s">
        <v>283</v>
      </c>
      <c r="P199" s="709" t="s">
        <v>278</v>
      </c>
      <c r="Q199" s="709" t="s">
        <v>279</v>
      </c>
      <c r="R199" s="709">
        <v>195</v>
      </c>
      <c r="S199" s="709" t="b">
        <f t="shared" si="3"/>
        <v>0</v>
      </c>
      <c r="T199" s="709" t="s">
        <v>178</v>
      </c>
    </row>
    <row r="200" spans="1:20" hidden="1">
      <c r="A200">
        <v>80111600</v>
      </c>
      <c r="B200" t="s">
        <v>1550</v>
      </c>
      <c r="C200">
        <v>1</v>
      </c>
      <c r="D200">
        <v>1</v>
      </c>
      <c r="E200">
        <v>11</v>
      </c>
      <c r="F200" s="8">
        <v>1</v>
      </c>
      <c r="G200" t="s">
        <v>268</v>
      </c>
      <c r="H200" s="672">
        <v>0</v>
      </c>
      <c r="I200">
        <v>38280000</v>
      </c>
      <c r="J200">
        <v>38280000</v>
      </c>
      <c r="K200">
        <v>0</v>
      </c>
      <c r="L200">
        <v>0</v>
      </c>
      <c r="M200" t="s">
        <v>276</v>
      </c>
      <c r="N200" t="s">
        <v>277</v>
      </c>
      <c r="O200" t="s">
        <v>283</v>
      </c>
      <c r="P200" t="s">
        <v>278</v>
      </c>
      <c r="Q200" t="s">
        <v>279</v>
      </c>
      <c r="R200">
        <v>196</v>
      </c>
      <c r="S200" s="672" t="e">
        <f>+R200=#REF!</f>
        <v>#REF!</v>
      </c>
      <c r="T200" t="s">
        <v>178</v>
      </c>
    </row>
    <row r="201" spans="1:20" hidden="1">
      <c r="A201" t="s">
        <v>705</v>
      </c>
      <c r="B201" t="s">
        <v>1551</v>
      </c>
      <c r="C201">
        <v>3</v>
      </c>
      <c r="D201">
        <v>3</v>
      </c>
      <c r="E201">
        <v>7</v>
      </c>
      <c r="F201" s="8">
        <v>1</v>
      </c>
      <c r="G201" t="s">
        <v>257</v>
      </c>
      <c r="H201" s="672">
        <v>0</v>
      </c>
      <c r="I201">
        <v>493789594</v>
      </c>
      <c r="J201">
        <v>493789594</v>
      </c>
      <c r="K201">
        <v>0</v>
      </c>
      <c r="L201">
        <v>0</v>
      </c>
      <c r="M201" t="s">
        <v>276</v>
      </c>
      <c r="N201" t="s">
        <v>277</v>
      </c>
      <c r="O201" t="s">
        <v>283</v>
      </c>
      <c r="P201" t="s">
        <v>278</v>
      </c>
      <c r="Q201" t="s">
        <v>279</v>
      </c>
      <c r="R201">
        <v>197</v>
      </c>
      <c r="S201" s="672" t="b">
        <f t="shared" si="3"/>
        <v>0</v>
      </c>
      <c r="T201" t="s">
        <v>178</v>
      </c>
    </row>
    <row r="202" spans="1:20" hidden="1">
      <c r="A202" t="s">
        <v>705</v>
      </c>
      <c r="B202" t="s">
        <v>1552</v>
      </c>
      <c r="C202">
        <v>1</v>
      </c>
      <c r="D202">
        <v>1</v>
      </c>
      <c r="E202">
        <f>30*3+15</f>
        <v>105</v>
      </c>
      <c r="F202" s="708">
        <v>0</v>
      </c>
      <c r="G202" t="s">
        <v>257</v>
      </c>
      <c r="H202" s="672">
        <v>0</v>
      </c>
      <c r="I202">
        <v>206210406</v>
      </c>
      <c r="J202">
        <v>206210406</v>
      </c>
      <c r="K202">
        <v>0</v>
      </c>
      <c r="L202">
        <v>0</v>
      </c>
      <c r="M202" t="s">
        <v>276</v>
      </c>
      <c r="N202" t="s">
        <v>277</v>
      </c>
      <c r="O202" t="s">
        <v>283</v>
      </c>
      <c r="P202" t="s">
        <v>278</v>
      </c>
      <c r="Q202" t="s">
        <v>279</v>
      </c>
      <c r="R202">
        <v>198</v>
      </c>
      <c r="S202" s="672" t="b">
        <f t="shared" si="3"/>
        <v>0</v>
      </c>
      <c r="T202" t="s">
        <v>178</v>
      </c>
    </row>
    <row r="203" spans="1:20" hidden="1">
      <c r="A203">
        <v>80111600</v>
      </c>
      <c r="B203" t="s">
        <v>1553</v>
      </c>
      <c r="C203">
        <v>1</v>
      </c>
      <c r="D203">
        <v>1</v>
      </c>
      <c r="E203">
        <v>11</v>
      </c>
      <c r="F203" s="8">
        <v>1</v>
      </c>
      <c r="G203" t="s">
        <v>268</v>
      </c>
      <c r="H203" s="672">
        <v>0</v>
      </c>
      <c r="I203">
        <v>33550000</v>
      </c>
      <c r="J203">
        <v>33550000</v>
      </c>
      <c r="K203">
        <v>0</v>
      </c>
      <c r="L203">
        <v>0</v>
      </c>
      <c r="M203" t="s">
        <v>276</v>
      </c>
      <c r="N203" t="s">
        <v>277</v>
      </c>
      <c r="O203" t="s">
        <v>283</v>
      </c>
      <c r="P203" t="s">
        <v>278</v>
      </c>
      <c r="Q203" t="s">
        <v>279</v>
      </c>
      <c r="R203">
        <v>199</v>
      </c>
      <c r="S203" s="672" t="b">
        <f t="shared" si="3"/>
        <v>0</v>
      </c>
      <c r="T203" t="s">
        <v>178</v>
      </c>
    </row>
    <row r="204" spans="1:20" hidden="1">
      <c r="A204" t="s">
        <v>796</v>
      </c>
      <c r="B204" t="s">
        <v>1554</v>
      </c>
      <c r="C204">
        <v>6</v>
      </c>
      <c r="D204">
        <v>6</v>
      </c>
      <c r="E204">
        <v>6</v>
      </c>
      <c r="F204" s="8">
        <v>1</v>
      </c>
      <c r="G204" t="s">
        <v>257</v>
      </c>
      <c r="H204" s="672">
        <v>0</v>
      </c>
      <c r="I204">
        <v>200000000</v>
      </c>
      <c r="J204">
        <v>200000000</v>
      </c>
      <c r="K204">
        <v>0</v>
      </c>
      <c r="L204">
        <v>0</v>
      </c>
      <c r="M204" t="s">
        <v>276</v>
      </c>
      <c r="N204" t="s">
        <v>277</v>
      </c>
      <c r="O204" t="s">
        <v>283</v>
      </c>
      <c r="P204" t="s">
        <v>278</v>
      </c>
      <c r="Q204" t="s">
        <v>279</v>
      </c>
      <c r="R204">
        <v>200</v>
      </c>
      <c r="S204" s="672" t="b">
        <f t="shared" si="3"/>
        <v>0</v>
      </c>
      <c r="T204" t="s">
        <v>178</v>
      </c>
    </row>
    <row r="205" spans="1:20" hidden="1">
      <c r="A205" t="s">
        <v>798</v>
      </c>
      <c r="B205" t="s">
        <v>1555</v>
      </c>
      <c r="C205">
        <v>3</v>
      </c>
      <c r="D205">
        <v>3</v>
      </c>
      <c r="E205">
        <v>1</v>
      </c>
      <c r="F205" s="8">
        <v>1</v>
      </c>
      <c r="G205" t="s">
        <v>265</v>
      </c>
      <c r="H205" s="672">
        <v>0</v>
      </c>
      <c r="I205">
        <v>120000000</v>
      </c>
      <c r="J205">
        <v>120000000</v>
      </c>
      <c r="K205">
        <v>0</v>
      </c>
      <c r="L205">
        <v>0</v>
      </c>
      <c r="M205" t="s">
        <v>276</v>
      </c>
      <c r="N205" t="s">
        <v>277</v>
      </c>
      <c r="O205" t="s">
        <v>283</v>
      </c>
      <c r="P205" t="s">
        <v>278</v>
      </c>
      <c r="Q205" t="s">
        <v>279</v>
      </c>
      <c r="R205">
        <v>201</v>
      </c>
      <c r="S205" s="672" t="b">
        <f t="shared" si="3"/>
        <v>0</v>
      </c>
      <c r="T205" t="s">
        <v>178</v>
      </c>
    </row>
    <row r="206" spans="1:20" hidden="1">
      <c r="A206" t="s">
        <v>799</v>
      </c>
      <c r="B206" t="s">
        <v>1556</v>
      </c>
      <c r="C206">
        <v>3</v>
      </c>
      <c r="D206">
        <v>3</v>
      </c>
      <c r="E206">
        <v>7</v>
      </c>
      <c r="F206" s="8">
        <v>1</v>
      </c>
      <c r="G206" t="s">
        <v>270</v>
      </c>
      <c r="H206" s="672">
        <v>0</v>
      </c>
      <c r="I206">
        <v>38000000</v>
      </c>
      <c r="J206">
        <v>38000000</v>
      </c>
      <c r="K206">
        <v>0</v>
      </c>
      <c r="L206">
        <v>0</v>
      </c>
      <c r="M206" t="s">
        <v>276</v>
      </c>
      <c r="N206" t="s">
        <v>277</v>
      </c>
      <c r="O206" t="s">
        <v>283</v>
      </c>
      <c r="P206" t="s">
        <v>278</v>
      </c>
      <c r="Q206" t="s">
        <v>279</v>
      </c>
      <c r="R206">
        <v>202</v>
      </c>
      <c r="S206" s="672" t="b">
        <f t="shared" si="3"/>
        <v>0</v>
      </c>
      <c r="T206" t="s">
        <v>178</v>
      </c>
    </row>
    <row r="207" spans="1:20" hidden="1">
      <c r="A207" t="s">
        <v>799</v>
      </c>
      <c r="B207" t="s">
        <v>1557</v>
      </c>
      <c r="C207">
        <v>1</v>
      </c>
      <c r="D207">
        <v>1</v>
      </c>
      <c r="E207">
        <v>3</v>
      </c>
      <c r="F207" s="8">
        <v>1</v>
      </c>
      <c r="G207" t="s">
        <v>266</v>
      </c>
      <c r="H207" s="672">
        <v>0</v>
      </c>
      <c r="I207">
        <v>22000000</v>
      </c>
      <c r="J207">
        <v>22000000</v>
      </c>
      <c r="K207">
        <v>0</v>
      </c>
      <c r="L207">
        <v>0</v>
      </c>
      <c r="M207" t="s">
        <v>276</v>
      </c>
      <c r="N207" t="s">
        <v>277</v>
      </c>
      <c r="O207" t="s">
        <v>283</v>
      </c>
      <c r="P207" t="s">
        <v>278</v>
      </c>
      <c r="Q207" t="s">
        <v>279</v>
      </c>
      <c r="R207">
        <v>203</v>
      </c>
      <c r="S207" s="672" t="b">
        <f t="shared" si="3"/>
        <v>0</v>
      </c>
      <c r="T207" t="s">
        <v>178</v>
      </c>
    </row>
    <row r="208" spans="1:20" hidden="1">
      <c r="A208" t="s">
        <v>802</v>
      </c>
      <c r="B208" t="s">
        <v>1558</v>
      </c>
      <c r="C208">
        <v>2</v>
      </c>
      <c r="D208">
        <v>2</v>
      </c>
      <c r="E208">
        <v>10</v>
      </c>
      <c r="F208" s="8">
        <v>1</v>
      </c>
      <c r="G208" t="s">
        <v>264</v>
      </c>
      <c r="H208" s="672">
        <v>0</v>
      </c>
      <c r="I208">
        <v>50000000</v>
      </c>
      <c r="J208">
        <v>50000000</v>
      </c>
      <c r="K208">
        <v>0</v>
      </c>
      <c r="L208">
        <v>0</v>
      </c>
      <c r="M208" t="s">
        <v>276</v>
      </c>
      <c r="N208" t="s">
        <v>277</v>
      </c>
      <c r="O208" t="s">
        <v>283</v>
      </c>
      <c r="P208" t="s">
        <v>278</v>
      </c>
      <c r="Q208" t="s">
        <v>279</v>
      </c>
      <c r="R208">
        <v>204</v>
      </c>
      <c r="S208" s="672" t="b">
        <f t="shared" si="3"/>
        <v>0</v>
      </c>
      <c r="T208" t="s">
        <v>178</v>
      </c>
    </row>
    <row r="209" spans="1:20" hidden="1">
      <c r="A209" t="s">
        <v>804</v>
      </c>
      <c r="B209" t="s">
        <v>1559</v>
      </c>
      <c r="C209">
        <v>3</v>
      </c>
      <c r="D209">
        <v>3</v>
      </c>
      <c r="E209">
        <v>1</v>
      </c>
      <c r="F209" s="8">
        <v>1</v>
      </c>
      <c r="G209" t="s">
        <v>264</v>
      </c>
      <c r="H209" s="672">
        <v>0</v>
      </c>
      <c r="I209">
        <v>40000000</v>
      </c>
      <c r="J209">
        <v>40000000</v>
      </c>
      <c r="K209">
        <v>0</v>
      </c>
      <c r="L209">
        <v>0</v>
      </c>
      <c r="M209" t="s">
        <v>276</v>
      </c>
      <c r="N209" t="s">
        <v>277</v>
      </c>
      <c r="O209" t="s">
        <v>283</v>
      </c>
      <c r="P209" t="s">
        <v>278</v>
      </c>
      <c r="Q209" t="s">
        <v>279</v>
      </c>
      <c r="R209">
        <v>205</v>
      </c>
      <c r="S209" s="672" t="b">
        <f t="shared" si="3"/>
        <v>0</v>
      </c>
      <c r="T209" t="s">
        <v>178</v>
      </c>
    </row>
    <row r="210" spans="1:20" hidden="1">
      <c r="A210">
        <v>80111600</v>
      </c>
      <c r="B210" t="s">
        <v>1560</v>
      </c>
      <c r="C210">
        <v>1</v>
      </c>
      <c r="D210">
        <v>1</v>
      </c>
      <c r="E210">
        <v>11</v>
      </c>
      <c r="F210" s="8">
        <v>1</v>
      </c>
      <c r="G210" t="s">
        <v>268</v>
      </c>
      <c r="H210" s="672">
        <v>0</v>
      </c>
      <c r="I210">
        <v>82500000</v>
      </c>
      <c r="J210">
        <v>82500000</v>
      </c>
      <c r="K210">
        <v>0</v>
      </c>
      <c r="L210">
        <v>0</v>
      </c>
      <c r="M210" t="s">
        <v>276</v>
      </c>
      <c r="N210" t="s">
        <v>277</v>
      </c>
      <c r="O210" t="s">
        <v>283</v>
      </c>
      <c r="P210" t="s">
        <v>278</v>
      </c>
      <c r="Q210" t="s">
        <v>279</v>
      </c>
      <c r="R210">
        <v>206</v>
      </c>
      <c r="S210" s="672" t="b">
        <f t="shared" si="3"/>
        <v>0</v>
      </c>
      <c r="T210" t="s">
        <v>178</v>
      </c>
    </row>
    <row r="211" spans="1:20" hidden="1">
      <c r="A211">
        <v>80111600</v>
      </c>
      <c r="B211" t="s">
        <v>1561</v>
      </c>
      <c r="C211">
        <v>5</v>
      </c>
      <c r="D211">
        <v>5</v>
      </c>
      <c r="E211">
        <v>11</v>
      </c>
      <c r="F211" s="8">
        <v>1</v>
      </c>
      <c r="G211" t="s">
        <v>268</v>
      </c>
      <c r="H211" s="672">
        <v>0</v>
      </c>
      <c r="I211">
        <v>49500000</v>
      </c>
      <c r="J211">
        <v>49500000</v>
      </c>
      <c r="K211">
        <v>0</v>
      </c>
      <c r="L211">
        <v>0</v>
      </c>
      <c r="M211" t="s">
        <v>276</v>
      </c>
      <c r="N211" t="s">
        <v>277</v>
      </c>
      <c r="O211" t="s">
        <v>285</v>
      </c>
      <c r="P211" t="s">
        <v>278</v>
      </c>
      <c r="Q211" t="s">
        <v>281</v>
      </c>
      <c r="R211">
        <v>207</v>
      </c>
      <c r="S211" s="672" t="b">
        <f t="shared" si="3"/>
        <v>0</v>
      </c>
      <c r="T211" t="s">
        <v>179</v>
      </c>
    </row>
    <row r="212" spans="1:20" hidden="1">
      <c r="A212">
        <v>80111600</v>
      </c>
      <c r="B212" t="s">
        <v>1562</v>
      </c>
      <c r="C212">
        <v>1</v>
      </c>
      <c r="D212">
        <v>1</v>
      </c>
      <c r="E212">
        <v>5</v>
      </c>
      <c r="F212" s="8">
        <v>1</v>
      </c>
      <c r="G212" t="s">
        <v>268</v>
      </c>
      <c r="H212" s="672">
        <v>0</v>
      </c>
      <c r="I212">
        <v>19000000</v>
      </c>
      <c r="J212">
        <v>19000000</v>
      </c>
      <c r="K212">
        <v>0</v>
      </c>
      <c r="L212">
        <v>0</v>
      </c>
      <c r="M212" t="s">
        <v>276</v>
      </c>
      <c r="N212" t="s">
        <v>277</v>
      </c>
      <c r="O212" t="s">
        <v>285</v>
      </c>
      <c r="P212" t="s">
        <v>278</v>
      </c>
      <c r="Q212" t="s">
        <v>281</v>
      </c>
      <c r="R212">
        <v>208</v>
      </c>
      <c r="S212" s="672" t="b">
        <f t="shared" si="3"/>
        <v>0</v>
      </c>
      <c r="T212" t="s">
        <v>179</v>
      </c>
    </row>
    <row r="213" spans="1:20" hidden="1">
      <c r="A213">
        <v>80111600</v>
      </c>
      <c r="B213" t="s">
        <v>1563</v>
      </c>
      <c r="C213">
        <v>1</v>
      </c>
      <c r="D213">
        <v>1</v>
      </c>
      <c r="E213">
        <v>5</v>
      </c>
      <c r="F213" s="8">
        <v>1</v>
      </c>
      <c r="G213" t="s">
        <v>268</v>
      </c>
      <c r="H213" s="672">
        <v>0</v>
      </c>
      <c r="I213">
        <v>37600000</v>
      </c>
      <c r="J213">
        <v>37600000</v>
      </c>
      <c r="K213">
        <v>0</v>
      </c>
      <c r="L213">
        <v>0</v>
      </c>
      <c r="M213" t="s">
        <v>276</v>
      </c>
      <c r="N213" t="s">
        <v>277</v>
      </c>
      <c r="O213" t="s">
        <v>285</v>
      </c>
      <c r="P213" t="s">
        <v>278</v>
      </c>
      <c r="Q213" t="s">
        <v>281</v>
      </c>
      <c r="R213">
        <v>209</v>
      </c>
      <c r="S213" s="672" t="b">
        <f t="shared" si="3"/>
        <v>0</v>
      </c>
      <c r="T213" t="s">
        <v>179</v>
      </c>
    </row>
    <row r="214" spans="1:20" hidden="1">
      <c r="A214">
        <v>80111600</v>
      </c>
      <c r="B214" t="s">
        <v>1564</v>
      </c>
      <c r="C214">
        <v>4</v>
      </c>
      <c r="D214">
        <v>4</v>
      </c>
      <c r="E214">
        <v>5</v>
      </c>
      <c r="F214" s="8">
        <v>1</v>
      </c>
      <c r="G214" t="s">
        <v>268</v>
      </c>
      <c r="H214" s="672">
        <v>0</v>
      </c>
      <c r="I214">
        <v>37600000</v>
      </c>
      <c r="J214">
        <v>37600000</v>
      </c>
      <c r="K214">
        <v>0</v>
      </c>
      <c r="L214">
        <v>0</v>
      </c>
      <c r="M214" t="s">
        <v>276</v>
      </c>
      <c r="N214" t="s">
        <v>277</v>
      </c>
      <c r="O214" t="s">
        <v>285</v>
      </c>
      <c r="P214" t="s">
        <v>278</v>
      </c>
      <c r="Q214" t="s">
        <v>281</v>
      </c>
      <c r="R214">
        <v>210</v>
      </c>
      <c r="S214" s="672" t="b">
        <f t="shared" si="3"/>
        <v>0</v>
      </c>
      <c r="T214" t="s">
        <v>179</v>
      </c>
    </row>
    <row r="215" spans="1:20" hidden="1">
      <c r="A215">
        <v>80111600</v>
      </c>
      <c r="B215" t="s">
        <v>1565</v>
      </c>
      <c r="C215">
        <v>1</v>
      </c>
      <c r="D215">
        <v>1</v>
      </c>
      <c r="E215">
        <v>3</v>
      </c>
      <c r="F215" s="8">
        <v>1</v>
      </c>
      <c r="G215" t="s">
        <v>268</v>
      </c>
      <c r="H215" s="672">
        <v>0</v>
      </c>
      <c r="I215">
        <v>12360000</v>
      </c>
      <c r="J215">
        <v>12360000</v>
      </c>
      <c r="K215">
        <v>0</v>
      </c>
      <c r="L215">
        <v>0</v>
      </c>
      <c r="M215" t="s">
        <v>276</v>
      </c>
      <c r="N215" t="s">
        <v>277</v>
      </c>
      <c r="O215" t="s">
        <v>285</v>
      </c>
      <c r="P215" t="s">
        <v>278</v>
      </c>
      <c r="Q215" t="s">
        <v>281</v>
      </c>
      <c r="R215">
        <v>211</v>
      </c>
      <c r="S215" s="672" t="b">
        <f t="shared" si="3"/>
        <v>0</v>
      </c>
      <c r="T215" t="s">
        <v>179</v>
      </c>
    </row>
    <row r="216" spans="1:20" hidden="1">
      <c r="A216">
        <v>80111600</v>
      </c>
      <c r="B216" t="s">
        <v>1566</v>
      </c>
      <c r="C216">
        <v>1</v>
      </c>
      <c r="D216">
        <v>1</v>
      </c>
      <c r="E216">
        <v>11</v>
      </c>
      <c r="F216" s="8">
        <v>1</v>
      </c>
      <c r="G216" t="s">
        <v>268</v>
      </c>
      <c r="H216" s="672">
        <v>0</v>
      </c>
      <c r="I216">
        <v>112200000</v>
      </c>
      <c r="J216">
        <v>112200000</v>
      </c>
      <c r="K216">
        <v>0</v>
      </c>
      <c r="L216">
        <v>0</v>
      </c>
      <c r="M216" t="s">
        <v>276</v>
      </c>
      <c r="N216" t="s">
        <v>277</v>
      </c>
      <c r="O216" t="s">
        <v>285</v>
      </c>
      <c r="P216" t="s">
        <v>278</v>
      </c>
      <c r="Q216" t="s">
        <v>281</v>
      </c>
      <c r="R216">
        <v>212</v>
      </c>
      <c r="S216" s="672" t="b">
        <f t="shared" si="3"/>
        <v>0</v>
      </c>
      <c r="T216" t="s">
        <v>179</v>
      </c>
    </row>
    <row r="217" spans="1:20" hidden="1">
      <c r="A217">
        <v>80111600</v>
      </c>
      <c r="B217" t="s">
        <v>1567</v>
      </c>
      <c r="C217">
        <v>1</v>
      </c>
      <c r="D217">
        <v>1</v>
      </c>
      <c r="E217">
        <v>11</v>
      </c>
      <c r="F217" s="8">
        <v>1</v>
      </c>
      <c r="G217" t="s">
        <v>268</v>
      </c>
      <c r="H217" s="672">
        <v>0</v>
      </c>
      <c r="I217">
        <v>66000000</v>
      </c>
      <c r="J217">
        <v>66000000</v>
      </c>
      <c r="K217">
        <v>0</v>
      </c>
      <c r="L217">
        <v>0</v>
      </c>
      <c r="M217" t="s">
        <v>276</v>
      </c>
      <c r="N217" t="s">
        <v>277</v>
      </c>
      <c r="O217" t="s">
        <v>285</v>
      </c>
      <c r="P217" t="s">
        <v>278</v>
      </c>
      <c r="Q217" t="s">
        <v>281</v>
      </c>
      <c r="R217">
        <v>213</v>
      </c>
      <c r="S217" s="672" t="b">
        <f t="shared" si="3"/>
        <v>0</v>
      </c>
      <c r="T217" t="s">
        <v>179</v>
      </c>
    </row>
    <row r="218" spans="1:20" hidden="1">
      <c r="A218">
        <v>80111600</v>
      </c>
      <c r="B218" t="s">
        <v>1568</v>
      </c>
      <c r="C218">
        <v>1</v>
      </c>
      <c r="D218">
        <v>1</v>
      </c>
      <c r="E218">
        <v>10</v>
      </c>
      <c r="F218" s="8">
        <v>1</v>
      </c>
      <c r="G218" t="s">
        <v>268</v>
      </c>
      <c r="H218" s="672">
        <v>0</v>
      </c>
      <c r="I218">
        <v>47010000</v>
      </c>
      <c r="J218">
        <v>47010000</v>
      </c>
      <c r="K218">
        <v>0</v>
      </c>
      <c r="L218">
        <v>0</v>
      </c>
      <c r="M218" t="s">
        <v>276</v>
      </c>
      <c r="N218" t="s">
        <v>277</v>
      </c>
      <c r="O218" t="s">
        <v>285</v>
      </c>
      <c r="P218" t="s">
        <v>278</v>
      </c>
      <c r="Q218" t="s">
        <v>281</v>
      </c>
      <c r="R218">
        <v>214</v>
      </c>
      <c r="S218" s="672" t="b">
        <f t="shared" si="3"/>
        <v>0</v>
      </c>
      <c r="T218" t="s">
        <v>179</v>
      </c>
    </row>
    <row r="219" spans="1:20" hidden="1">
      <c r="A219">
        <v>80111600</v>
      </c>
      <c r="B219" t="s">
        <v>1569</v>
      </c>
      <c r="C219">
        <v>1</v>
      </c>
      <c r="D219">
        <v>1</v>
      </c>
      <c r="E219">
        <v>8</v>
      </c>
      <c r="F219" s="8">
        <v>1</v>
      </c>
      <c r="G219" t="s">
        <v>268</v>
      </c>
      <c r="H219" s="672">
        <v>0</v>
      </c>
      <c r="I219">
        <v>32000000</v>
      </c>
      <c r="J219">
        <v>32000000</v>
      </c>
      <c r="K219">
        <v>0</v>
      </c>
      <c r="L219">
        <v>0</v>
      </c>
      <c r="M219" t="s">
        <v>276</v>
      </c>
      <c r="N219" t="s">
        <v>277</v>
      </c>
      <c r="O219" t="s">
        <v>285</v>
      </c>
      <c r="P219" t="s">
        <v>278</v>
      </c>
      <c r="Q219" t="s">
        <v>281</v>
      </c>
      <c r="R219">
        <v>215</v>
      </c>
      <c r="S219" s="672" t="b">
        <f t="shared" si="3"/>
        <v>0</v>
      </c>
      <c r="T219" t="s">
        <v>179</v>
      </c>
    </row>
    <row r="220" spans="1:20" hidden="1">
      <c r="A220">
        <v>80111600</v>
      </c>
      <c r="B220" t="s">
        <v>1570</v>
      </c>
      <c r="C220">
        <v>1</v>
      </c>
      <c r="D220">
        <v>1</v>
      </c>
      <c r="E220">
        <v>8</v>
      </c>
      <c r="F220" s="8">
        <v>1</v>
      </c>
      <c r="G220" t="s">
        <v>268</v>
      </c>
      <c r="H220" s="672">
        <v>0</v>
      </c>
      <c r="I220">
        <v>40640000</v>
      </c>
      <c r="J220">
        <v>40640000</v>
      </c>
      <c r="K220">
        <v>0</v>
      </c>
      <c r="L220">
        <v>0</v>
      </c>
      <c r="M220" t="s">
        <v>276</v>
      </c>
      <c r="N220" t="s">
        <v>277</v>
      </c>
      <c r="O220" t="s">
        <v>285</v>
      </c>
      <c r="P220" t="s">
        <v>278</v>
      </c>
      <c r="Q220" t="s">
        <v>281</v>
      </c>
      <c r="R220">
        <v>216</v>
      </c>
      <c r="S220" s="672" t="b">
        <f t="shared" si="3"/>
        <v>0</v>
      </c>
      <c r="T220" t="s">
        <v>179</v>
      </c>
    </row>
    <row r="221" spans="1:20" hidden="1">
      <c r="A221">
        <v>80111600</v>
      </c>
      <c r="B221" t="s">
        <v>1571</v>
      </c>
      <c r="C221">
        <v>1</v>
      </c>
      <c r="D221">
        <v>1</v>
      </c>
      <c r="E221">
        <v>6</v>
      </c>
      <c r="F221" s="8">
        <v>1</v>
      </c>
      <c r="G221" t="s">
        <v>268</v>
      </c>
      <c r="H221" s="672">
        <v>0</v>
      </c>
      <c r="I221">
        <v>30480000</v>
      </c>
      <c r="J221">
        <v>30480000</v>
      </c>
      <c r="K221">
        <v>0</v>
      </c>
      <c r="L221">
        <v>0</v>
      </c>
      <c r="M221" t="s">
        <v>276</v>
      </c>
      <c r="N221" t="s">
        <v>277</v>
      </c>
      <c r="O221" t="s">
        <v>285</v>
      </c>
      <c r="P221" t="s">
        <v>278</v>
      </c>
      <c r="Q221" t="s">
        <v>281</v>
      </c>
      <c r="R221">
        <v>217</v>
      </c>
      <c r="S221" s="672" t="b">
        <f t="shared" si="3"/>
        <v>0</v>
      </c>
      <c r="T221" t="s">
        <v>179</v>
      </c>
    </row>
    <row r="222" spans="1:20" hidden="1">
      <c r="A222">
        <v>80111600</v>
      </c>
      <c r="B222" t="s">
        <v>1572</v>
      </c>
      <c r="C222">
        <v>1</v>
      </c>
      <c r="D222">
        <v>1</v>
      </c>
      <c r="E222">
        <v>8</v>
      </c>
      <c r="F222" s="8">
        <v>1</v>
      </c>
      <c r="G222" t="s">
        <v>268</v>
      </c>
      <c r="H222" s="672">
        <v>0</v>
      </c>
      <c r="I222">
        <v>40640000</v>
      </c>
      <c r="J222">
        <v>40640000</v>
      </c>
      <c r="K222">
        <v>0</v>
      </c>
      <c r="L222">
        <v>0</v>
      </c>
      <c r="M222" t="s">
        <v>276</v>
      </c>
      <c r="N222" t="s">
        <v>277</v>
      </c>
      <c r="O222" t="s">
        <v>285</v>
      </c>
      <c r="P222" t="s">
        <v>278</v>
      </c>
      <c r="Q222" t="s">
        <v>281</v>
      </c>
      <c r="R222">
        <v>218</v>
      </c>
      <c r="S222" s="672" t="b">
        <f t="shared" si="3"/>
        <v>0</v>
      </c>
      <c r="T222" t="s">
        <v>179</v>
      </c>
    </row>
    <row r="223" spans="1:20" hidden="1">
      <c r="A223">
        <v>80111600</v>
      </c>
      <c r="B223" t="s">
        <v>1573</v>
      </c>
      <c r="C223">
        <v>1</v>
      </c>
      <c r="D223">
        <v>1</v>
      </c>
      <c r="E223">
        <v>8</v>
      </c>
      <c r="F223" s="8">
        <v>1</v>
      </c>
      <c r="G223" t="s">
        <v>268</v>
      </c>
      <c r="H223" s="672">
        <v>0</v>
      </c>
      <c r="I223">
        <v>20000000</v>
      </c>
      <c r="J223">
        <v>20000000</v>
      </c>
      <c r="K223">
        <v>0</v>
      </c>
      <c r="L223">
        <v>0</v>
      </c>
      <c r="M223" t="s">
        <v>276</v>
      </c>
      <c r="N223" t="s">
        <v>277</v>
      </c>
      <c r="O223" t="s">
        <v>285</v>
      </c>
      <c r="P223" t="s">
        <v>278</v>
      </c>
      <c r="Q223" t="s">
        <v>281</v>
      </c>
      <c r="R223">
        <v>219</v>
      </c>
      <c r="S223" s="672" t="b">
        <f t="shared" si="3"/>
        <v>0</v>
      </c>
      <c r="T223" t="s">
        <v>179</v>
      </c>
    </row>
    <row r="224" spans="1:20" hidden="1">
      <c r="A224">
        <v>80111600</v>
      </c>
      <c r="B224" t="s">
        <v>1574</v>
      </c>
      <c r="C224">
        <v>1</v>
      </c>
      <c r="D224">
        <v>1</v>
      </c>
      <c r="E224">
        <v>11</v>
      </c>
      <c r="F224" s="8">
        <v>1</v>
      </c>
      <c r="G224" t="s">
        <v>268</v>
      </c>
      <c r="H224" s="672">
        <v>0</v>
      </c>
      <c r="I224">
        <v>66000000</v>
      </c>
      <c r="J224">
        <v>66000000</v>
      </c>
      <c r="K224">
        <v>0</v>
      </c>
      <c r="L224">
        <v>0</v>
      </c>
      <c r="M224" t="s">
        <v>276</v>
      </c>
      <c r="N224" t="s">
        <v>277</v>
      </c>
      <c r="O224" t="s">
        <v>285</v>
      </c>
      <c r="P224" t="s">
        <v>278</v>
      </c>
      <c r="Q224" t="s">
        <v>281</v>
      </c>
      <c r="R224">
        <v>220</v>
      </c>
      <c r="S224" s="672" t="b">
        <f t="shared" si="3"/>
        <v>0</v>
      </c>
      <c r="T224" t="s">
        <v>179</v>
      </c>
    </row>
    <row r="225" spans="1:20" hidden="1">
      <c r="A225">
        <v>80111600</v>
      </c>
      <c r="B225" t="s">
        <v>1575</v>
      </c>
      <c r="C225">
        <v>1</v>
      </c>
      <c r="D225">
        <v>1</v>
      </c>
      <c r="E225">
        <v>9</v>
      </c>
      <c r="F225" s="8">
        <v>1</v>
      </c>
      <c r="G225" t="s">
        <v>268</v>
      </c>
      <c r="H225" s="672">
        <v>0</v>
      </c>
      <c r="I225">
        <v>46800000</v>
      </c>
      <c r="J225">
        <v>46800000</v>
      </c>
      <c r="K225">
        <v>0</v>
      </c>
      <c r="L225">
        <v>0</v>
      </c>
      <c r="M225" t="s">
        <v>276</v>
      </c>
      <c r="N225" t="s">
        <v>277</v>
      </c>
      <c r="O225" t="s">
        <v>285</v>
      </c>
      <c r="P225" t="s">
        <v>278</v>
      </c>
      <c r="Q225" t="s">
        <v>281</v>
      </c>
      <c r="R225">
        <v>221</v>
      </c>
      <c r="S225" s="672" t="b">
        <f t="shared" si="3"/>
        <v>0</v>
      </c>
      <c r="T225" t="s">
        <v>179</v>
      </c>
    </row>
    <row r="226" spans="1:20" hidden="1">
      <c r="A226">
        <v>80111600</v>
      </c>
      <c r="B226" t="s">
        <v>1576</v>
      </c>
      <c r="C226">
        <v>1</v>
      </c>
      <c r="D226">
        <v>1</v>
      </c>
      <c r="E226">
        <v>11</v>
      </c>
      <c r="F226" s="8">
        <v>1</v>
      </c>
      <c r="G226" t="s">
        <v>268</v>
      </c>
      <c r="H226" s="672">
        <v>0</v>
      </c>
      <c r="I226">
        <v>49500000</v>
      </c>
      <c r="J226">
        <v>49500000</v>
      </c>
      <c r="K226">
        <v>0</v>
      </c>
      <c r="L226">
        <v>0</v>
      </c>
      <c r="M226" t="s">
        <v>276</v>
      </c>
      <c r="N226" t="s">
        <v>277</v>
      </c>
      <c r="O226" t="s">
        <v>285</v>
      </c>
      <c r="P226" t="s">
        <v>278</v>
      </c>
      <c r="Q226" t="s">
        <v>281</v>
      </c>
      <c r="R226">
        <v>222</v>
      </c>
      <c r="S226" s="672" t="b">
        <f t="shared" si="3"/>
        <v>0</v>
      </c>
      <c r="T226" t="s">
        <v>179</v>
      </c>
    </row>
    <row r="227" spans="1:20" hidden="1">
      <c r="A227">
        <v>80111600</v>
      </c>
      <c r="B227" t="s">
        <v>1577</v>
      </c>
      <c r="C227">
        <v>1</v>
      </c>
      <c r="D227">
        <v>1</v>
      </c>
      <c r="E227">
        <v>11</v>
      </c>
      <c r="F227" s="8">
        <v>1</v>
      </c>
      <c r="G227" t="s">
        <v>268</v>
      </c>
      <c r="H227" s="672">
        <v>0</v>
      </c>
      <c r="I227">
        <v>55000000</v>
      </c>
      <c r="J227">
        <v>55000000</v>
      </c>
      <c r="K227">
        <v>0</v>
      </c>
      <c r="L227">
        <v>0</v>
      </c>
      <c r="M227" t="s">
        <v>276</v>
      </c>
      <c r="N227" t="s">
        <v>277</v>
      </c>
      <c r="O227" t="s">
        <v>285</v>
      </c>
      <c r="P227" t="s">
        <v>278</v>
      </c>
      <c r="Q227" t="s">
        <v>281</v>
      </c>
      <c r="R227">
        <v>223</v>
      </c>
      <c r="S227" s="672" t="b">
        <f t="shared" si="3"/>
        <v>0</v>
      </c>
      <c r="T227" t="s">
        <v>179</v>
      </c>
    </row>
    <row r="228" spans="1:20" hidden="1">
      <c r="A228">
        <v>80111600</v>
      </c>
      <c r="B228" t="s">
        <v>1578</v>
      </c>
      <c r="C228">
        <v>1</v>
      </c>
      <c r="D228">
        <v>1</v>
      </c>
      <c r="E228">
        <v>3</v>
      </c>
      <c r="F228" s="8">
        <v>1</v>
      </c>
      <c r="G228" t="s">
        <v>268</v>
      </c>
      <c r="H228" s="672">
        <v>0</v>
      </c>
      <c r="I228">
        <v>11100000</v>
      </c>
      <c r="J228">
        <v>11100000</v>
      </c>
      <c r="K228">
        <v>0</v>
      </c>
      <c r="L228">
        <v>0</v>
      </c>
      <c r="M228" t="s">
        <v>276</v>
      </c>
      <c r="N228" t="s">
        <v>277</v>
      </c>
      <c r="O228" t="s">
        <v>285</v>
      </c>
      <c r="P228" t="s">
        <v>278</v>
      </c>
      <c r="Q228" t="s">
        <v>281</v>
      </c>
      <c r="R228">
        <v>224</v>
      </c>
      <c r="S228" s="672" t="b">
        <f t="shared" si="3"/>
        <v>0</v>
      </c>
      <c r="T228" t="s">
        <v>179</v>
      </c>
    </row>
    <row r="229" spans="1:20" hidden="1">
      <c r="A229">
        <v>80111600</v>
      </c>
      <c r="B229" t="s">
        <v>1579</v>
      </c>
      <c r="C229">
        <v>1</v>
      </c>
      <c r="D229">
        <v>1</v>
      </c>
      <c r="E229">
        <v>11</v>
      </c>
      <c r="F229" s="8">
        <v>1</v>
      </c>
      <c r="G229" t="s">
        <v>268</v>
      </c>
      <c r="H229" s="672">
        <v>0</v>
      </c>
      <c r="I229">
        <v>60940000</v>
      </c>
      <c r="J229">
        <v>60940000</v>
      </c>
      <c r="K229">
        <v>0</v>
      </c>
      <c r="L229">
        <v>0</v>
      </c>
      <c r="M229" t="s">
        <v>276</v>
      </c>
      <c r="N229" t="s">
        <v>277</v>
      </c>
      <c r="O229" t="s">
        <v>285</v>
      </c>
      <c r="P229" t="s">
        <v>278</v>
      </c>
      <c r="Q229" t="s">
        <v>281</v>
      </c>
      <c r="R229">
        <v>225</v>
      </c>
      <c r="S229" s="672" t="b">
        <f t="shared" si="3"/>
        <v>0</v>
      </c>
      <c r="T229" t="s">
        <v>179</v>
      </c>
    </row>
    <row r="230" spans="1:20" hidden="1">
      <c r="A230">
        <v>80111600</v>
      </c>
      <c r="B230" t="s">
        <v>1580</v>
      </c>
      <c r="C230">
        <v>1</v>
      </c>
      <c r="D230">
        <v>1</v>
      </c>
      <c r="E230">
        <v>11</v>
      </c>
      <c r="F230" s="8">
        <v>1</v>
      </c>
      <c r="G230" t="s">
        <v>268</v>
      </c>
      <c r="H230" s="672">
        <v>0</v>
      </c>
      <c r="I230">
        <v>88000000</v>
      </c>
      <c r="J230">
        <v>88000000</v>
      </c>
      <c r="K230">
        <v>0</v>
      </c>
      <c r="L230">
        <v>0</v>
      </c>
      <c r="M230" t="s">
        <v>276</v>
      </c>
      <c r="N230" t="s">
        <v>277</v>
      </c>
      <c r="O230" t="s">
        <v>285</v>
      </c>
      <c r="P230" t="s">
        <v>278</v>
      </c>
      <c r="Q230" t="s">
        <v>281</v>
      </c>
      <c r="R230">
        <v>226</v>
      </c>
      <c r="S230" s="672" t="b">
        <f t="shared" si="3"/>
        <v>0</v>
      </c>
      <c r="T230" t="s">
        <v>179</v>
      </c>
    </row>
    <row r="231" spans="1:20" hidden="1">
      <c r="A231">
        <v>80111600</v>
      </c>
      <c r="B231" t="s">
        <v>1581</v>
      </c>
      <c r="C231">
        <v>1</v>
      </c>
      <c r="D231">
        <v>1</v>
      </c>
      <c r="E231">
        <v>4</v>
      </c>
      <c r="F231" s="8">
        <v>1</v>
      </c>
      <c r="G231" t="s">
        <v>268</v>
      </c>
      <c r="H231" s="672">
        <v>0</v>
      </c>
      <c r="I231">
        <v>22000000</v>
      </c>
      <c r="J231">
        <v>22000000</v>
      </c>
      <c r="K231">
        <v>0</v>
      </c>
      <c r="L231">
        <v>0</v>
      </c>
      <c r="M231" t="s">
        <v>276</v>
      </c>
      <c r="N231" t="s">
        <v>277</v>
      </c>
      <c r="O231" t="s">
        <v>285</v>
      </c>
      <c r="P231" t="s">
        <v>278</v>
      </c>
      <c r="Q231" t="s">
        <v>281</v>
      </c>
      <c r="R231">
        <v>227</v>
      </c>
      <c r="S231" s="672" t="b">
        <f t="shared" si="3"/>
        <v>0</v>
      </c>
      <c r="T231" t="s">
        <v>179</v>
      </c>
    </row>
    <row r="232" spans="1:20" hidden="1">
      <c r="A232">
        <v>80111600</v>
      </c>
      <c r="B232" t="s">
        <v>1582</v>
      </c>
      <c r="C232">
        <v>3</v>
      </c>
      <c r="D232">
        <v>3</v>
      </c>
      <c r="E232">
        <v>8</v>
      </c>
      <c r="F232" s="8">
        <v>1</v>
      </c>
      <c r="G232" t="s">
        <v>268</v>
      </c>
      <c r="H232" s="672">
        <v>0</v>
      </c>
      <c r="I232">
        <v>60550000</v>
      </c>
      <c r="J232">
        <v>60550000</v>
      </c>
      <c r="K232">
        <v>0</v>
      </c>
      <c r="L232">
        <v>0</v>
      </c>
      <c r="M232" t="s">
        <v>276</v>
      </c>
      <c r="N232" t="s">
        <v>277</v>
      </c>
      <c r="O232" t="s">
        <v>285</v>
      </c>
      <c r="P232" t="s">
        <v>278</v>
      </c>
      <c r="Q232" t="s">
        <v>281</v>
      </c>
      <c r="R232">
        <v>228</v>
      </c>
      <c r="S232" s="672" t="b">
        <f t="shared" si="3"/>
        <v>0</v>
      </c>
      <c r="T232" t="s">
        <v>179</v>
      </c>
    </row>
    <row r="233" spans="1:20" hidden="1">
      <c r="A233">
        <v>80111601</v>
      </c>
      <c r="B233" t="s">
        <v>1583</v>
      </c>
      <c r="C233">
        <v>2</v>
      </c>
      <c r="D233">
        <v>2</v>
      </c>
      <c r="E233">
        <v>5</v>
      </c>
      <c r="F233" s="8">
        <v>1</v>
      </c>
      <c r="G233" t="s">
        <v>268</v>
      </c>
      <c r="H233" s="672">
        <v>0</v>
      </c>
      <c r="I233">
        <v>16900000</v>
      </c>
      <c r="J233">
        <v>16900000</v>
      </c>
      <c r="K233">
        <v>0</v>
      </c>
      <c r="L233">
        <v>0</v>
      </c>
      <c r="M233" t="s">
        <v>276</v>
      </c>
      <c r="N233" t="s">
        <v>277</v>
      </c>
      <c r="O233" t="s">
        <v>285</v>
      </c>
      <c r="P233" t="s">
        <v>278</v>
      </c>
      <c r="Q233" t="s">
        <v>281</v>
      </c>
      <c r="R233">
        <v>229</v>
      </c>
      <c r="S233" s="672" t="b">
        <f t="shared" si="3"/>
        <v>0</v>
      </c>
      <c r="T233" t="s">
        <v>179</v>
      </c>
    </row>
    <row r="234" spans="1:20" hidden="1">
      <c r="A234">
        <v>80111600</v>
      </c>
      <c r="B234" t="s">
        <v>1584</v>
      </c>
      <c r="C234">
        <v>1</v>
      </c>
      <c r="D234">
        <v>1</v>
      </c>
      <c r="E234">
        <v>4</v>
      </c>
      <c r="F234" s="8">
        <v>1</v>
      </c>
      <c r="G234" t="s">
        <v>268</v>
      </c>
      <c r="H234" s="672">
        <v>0</v>
      </c>
      <c r="I234">
        <v>22000000</v>
      </c>
      <c r="J234">
        <v>22000000</v>
      </c>
      <c r="K234">
        <v>0</v>
      </c>
      <c r="L234">
        <v>0</v>
      </c>
      <c r="M234" t="s">
        <v>276</v>
      </c>
      <c r="N234" t="s">
        <v>277</v>
      </c>
      <c r="O234" t="s">
        <v>285</v>
      </c>
      <c r="P234" t="s">
        <v>278</v>
      </c>
      <c r="Q234" t="s">
        <v>281</v>
      </c>
      <c r="R234">
        <v>230</v>
      </c>
      <c r="S234" s="672" t="b">
        <f t="shared" si="3"/>
        <v>0</v>
      </c>
      <c r="T234" t="s">
        <v>179</v>
      </c>
    </row>
    <row r="235" spans="1:20" hidden="1">
      <c r="A235">
        <v>80111600</v>
      </c>
      <c r="B235" t="s">
        <v>1585</v>
      </c>
      <c r="C235">
        <v>1</v>
      </c>
      <c r="D235">
        <v>1</v>
      </c>
      <c r="E235">
        <v>5</v>
      </c>
      <c r="F235" s="8">
        <v>1</v>
      </c>
      <c r="G235" t="s">
        <v>268</v>
      </c>
      <c r="H235" s="672">
        <v>0</v>
      </c>
      <c r="I235">
        <v>27500000</v>
      </c>
      <c r="J235">
        <v>27500000</v>
      </c>
      <c r="K235">
        <v>0</v>
      </c>
      <c r="L235">
        <v>0</v>
      </c>
      <c r="M235" t="s">
        <v>276</v>
      </c>
      <c r="N235" t="s">
        <v>277</v>
      </c>
      <c r="O235" t="s">
        <v>285</v>
      </c>
      <c r="P235" t="s">
        <v>278</v>
      </c>
      <c r="Q235" t="s">
        <v>281</v>
      </c>
      <c r="R235">
        <v>231</v>
      </c>
      <c r="S235" s="672" t="b">
        <f t="shared" si="3"/>
        <v>0</v>
      </c>
      <c r="T235" t="s">
        <v>179</v>
      </c>
    </row>
    <row r="236" spans="1:20" hidden="1">
      <c r="A236">
        <v>80111600</v>
      </c>
      <c r="B236" t="s">
        <v>1586</v>
      </c>
      <c r="C236">
        <v>1</v>
      </c>
      <c r="D236">
        <v>1</v>
      </c>
      <c r="E236">
        <v>11</v>
      </c>
      <c r="F236" s="8">
        <v>1</v>
      </c>
      <c r="G236" t="s">
        <v>268</v>
      </c>
      <c r="H236" s="672">
        <v>0</v>
      </c>
      <c r="I236">
        <v>112200000</v>
      </c>
      <c r="J236">
        <v>112200000</v>
      </c>
      <c r="K236">
        <v>0</v>
      </c>
      <c r="L236">
        <v>0</v>
      </c>
      <c r="M236" t="s">
        <v>276</v>
      </c>
      <c r="N236" t="s">
        <v>277</v>
      </c>
      <c r="O236" t="s">
        <v>285</v>
      </c>
      <c r="P236" t="s">
        <v>278</v>
      </c>
      <c r="Q236" t="s">
        <v>281</v>
      </c>
      <c r="R236">
        <v>232</v>
      </c>
      <c r="S236" s="672" t="b">
        <f t="shared" si="3"/>
        <v>0</v>
      </c>
      <c r="T236" t="s">
        <v>179</v>
      </c>
    </row>
    <row r="237" spans="1:20" hidden="1">
      <c r="A237">
        <v>80111600</v>
      </c>
      <c r="B237" t="s">
        <v>1587</v>
      </c>
      <c r="C237">
        <v>1</v>
      </c>
      <c r="D237">
        <v>1</v>
      </c>
      <c r="E237">
        <v>11</v>
      </c>
      <c r="F237" s="8">
        <v>1</v>
      </c>
      <c r="G237" t="s">
        <v>268</v>
      </c>
      <c r="H237" s="672">
        <v>0</v>
      </c>
      <c r="I237">
        <v>114840000</v>
      </c>
      <c r="J237">
        <v>114840000</v>
      </c>
      <c r="K237">
        <v>0</v>
      </c>
      <c r="L237">
        <v>0</v>
      </c>
      <c r="M237" t="s">
        <v>276</v>
      </c>
      <c r="N237" t="s">
        <v>277</v>
      </c>
      <c r="O237" t="s">
        <v>285</v>
      </c>
      <c r="P237" t="s">
        <v>278</v>
      </c>
      <c r="Q237" t="s">
        <v>281</v>
      </c>
      <c r="R237">
        <v>233</v>
      </c>
      <c r="S237" s="672" t="b">
        <f t="shared" si="3"/>
        <v>0</v>
      </c>
      <c r="T237" t="s">
        <v>179</v>
      </c>
    </row>
    <row r="238" spans="1:20" hidden="1">
      <c r="A238">
        <v>80111600</v>
      </c>
      <c r="B238" t="s">
        <v>1588</v>
      </c>
      <c r="C238">
        <v>1</v>
      </c>
      <c r="D238">
        <v>1</v>
      </c>
      <c r="E238">
        <v>11</v>
      </c>
      <c r="F238" s="8">
        <v>1</v>
      </c>
      <c r="G238" t="s">
        <v>268</v>
      </c>
      <c r="H238" s="672">
        <v>0</v>
      </c>
      <c r="I238">
        <v>112200000</v>
      </c>
      <c r="J238">
        <v>112200000</v>
      </c>
      <c r="K238">
        <v>0</v>
      </c>
      <c r="L238">
        <v>0</v>
      </c>
      <c r="M238" t="s">
        <v>276</v>
      </c>
      <c r="N238" t="s">
        <v>277</v>
      </c>
      <c r="O238" t="s">
        <v>285</v>
      </c>
      <c r="P238" t="s">
        <v>278</v>
      </c>
      <c r="Q238" t="s">
        <v>281</v>
      </c>
      <c r="R238">
        <v>234</v>
      </c>
      <c r="S238" s="672" t="b">
        <f t="shared" si="3"/>
        <v>0</v>
      </c>
      <c r="T238" t="s">
        <v>179</v>
      </c>
    </row>
    <row r="239" spans="1:20" hidden="1">
      <c r="A239">
        <v>80111600</v>
      </c>
      <c r="B239" t="s">
        <v>1589</v>
      </c>
      <c r="C239">
        <v>1</v>
      </c>
      <c r="D239">
        <v>1</v>
      </c>
      <c r="E239">
        <v>5</v>
      </c>
      <c r="F239" s="8">
        <v>1</v>
      </c>
      <c r="G239" t="s">
        <v>268</v>
      </c>
      <c r="H239" s="672">
        <v>0</v>
      </c>
      <c r="I239">
        <v>19000000</v>
      </c>
      <c r="J239">
        <v>19000000</v>
      </c>
      <c r="K239">
        <v>0</v>
      </c>
      <c r="L239">
        <v>0</v>
      </c>
      <c r="M239" t="s">
        <v>276</v>
      </c>
      <c r="N239" t="s">
        <v>277</v>
      </c>
      <c r="O239" t="s">
        <v>285</v>
      </c>
      <c r="P239" t="s">
        <v>278</v>
      </c>
      <c r="Q239" t="s">
        <v>281</v>
      </c>
      <c r="R239">
        <v>236</v>
      </c>
      <c r="S239" s="672" t="e">
        <f>+R239=#REF!</f>
        <v>#REF!</v>
      </c>
      <c r="T239" t="s">
        <v>179</v>
      </c>
    </row>
    <row r="240" spans="1:20" hidden="1">
      <c r="A240">
        <v>80111600</v>
      </c>
      <c r="B240" t="s">
        <v>1590</v>
      </c>
      <c r="C240">
        <v>1</v>
      </c>
      <c r="D240">
        <v>1</v>
      </c>
      <c r="E240">
        <v>3</v>
      </c>
      <c r="F240" s="8">
        <v>1</v>
      </c>
      <c r="G240" t="s">
        <v>268</v>
      </c>
      <c r="H240" s="672">
        <v>0</v>
      </c>
      <c r="I240">
        <v>12360000</v>
      </c>
      <c r="J240">
        <v>12360000</v>
      </c>
      <c r="K240">
        <v>0</v>
      </c>
      <c r="L240">
        <v>0</v>
      </c>
      <c r="M240" t="s">
        <v>276</v>
      </c>
      <c r="N240" t="s">
        <v>277</v>
      </c>
      <c r="O240" t="s">
        <v>285</v>
      </c>
      <c r="P240" t="s">
        <v>278</v>
      </c>
      <c r="Q240" t="s">
        <v>281</v>
      </c>
      <c r="R240">
        <v>237</v>
      </c>
      <c r="S240" s="672" t="b">
        <f t="shared" si="3"/>
        <v>0</v>
      </c>
      <c r="T240" t="s">
        <v>179</v>
      </c>
    </row>
    <row r="241" spans="1:20" hidden="1">
      <c r="A241">
        <v>80111600</v>
      </c>
      <c r="B241" t="s">
        <v>1591</v>
      </c>
      <c r="C241">
        <v>1</v>
      </c>
      <c r="D241">
        <v>1</v>
      </c>
      <c r="E241">
        <v>3</v>
      </c>
      <c r="F241" s="8">
        <v>1</v>
      </c>
      <c r="G241" t="s">
        <v>268</v>
      </c>
      <c r="H241" s="672">
        <v>0</v>
      </c>
      <c r="I241">
        <v>12360000</v>
      </c>
      <c r="J241">
        <v>12360000</v>
      </c>
      <c r="K241">
        <v>0</v>
      </c>
      <c r="L241">
        <v>0</v>
      </c>
      <c r="M241" t="s">
        <v>276</v>
      </c>
      <c r="N241" t="s">
        <v>277</v>
      </c>
      <c r="O241" t="s">
        <v>285</v>
      </c>
      <c r="P241" t="s">
        <v>278</v>
      </c>
      <c r="Q241" t="s">
        <v>281</v>
      </c>
      <c r="R241">
        <v>238</v>
      </c>
      <c r="S241" s="672" t="b">
        <f t="shared" si="3"/>
        <v>0</v>
      </c>
      <c r="T241" t="s">
        <v>179</v>
      </c>
    </row>
    <row r="242" spans="1:20" hidden="1">
      <c r="A242">
        <v>80111600</v>
      </c>
      <c r="B242" t="s">
        <v>1592</v>
      </c>
      <c r="C242">
        <v>1</v>
      </c>
      <c r="D242">
        <v>1</v>
      </c>
      <c r="E242">
        <v>3</v>
      </c>
      <c r="F242" s="8">
        <v>1</v>
      </c>
      <c r="G242" t="s">
        <v>268</v>
      </c>
      <c r="H242" s="672">
        <v>0</v>
      </c>
      <c r="I242">
        <v>11100000</v>
      </c>
      <c r="J242">
        <v>11100000</v>
      </c>
      <c r="K242">
        <v>0</v>
      </c>
      <c r="L242">
        <v>0</v>
      </c>
      <c r="M242" t="s">
        <v>276</v>
      </c>
      <c r="N242" t="s">
        <v>277</v>
      </c>
      <c r="O242" t="s">
        <v>285</v>
      </c>
      <c r="P242" t="s">
        <v>278</v>
      </c>
      <c r="Q242" t="s">
        <v>281</v>
      </c>
      <c r="R242">
        <v>239</v>
      </c>
      <c r="S242" s="672" t="b">
        <f t="shared" si="3"/>
        <v>0</v>
      </c>
      <c r="T242" t="s">
        <v>179</v>
      </c>
    </row>
    <row r="243" spans="1:20" hidden="1">
      <c r="A243">
        <v>80111600</v>
      </c>
      <c r="B243" t="s">
        <v>1593</v>
      </c>
      <c r="C243">
        <v>1</v>
      </c>
      <c r="D243">
        <v>1</v>
      </c>
      <c r="E243">
        <v>11</v>
      </c>
      <c r="F243" s="8">
        <v>1</v>
      </c>
      <c r="G243" t="s">
        <v>268</v>
      </c>
      <c r="H243" s="672">
        <v>0</v>
      </c>
      <c r="I243">
        <v>40700000</v>
      </c>
      <c r="J243">
        <v>40700000</v>
      </c>
      <c r="K243">
        <v>0</v>
      </c>
      <c r="L243">
        <v>0</v>
      </c>
      <c r="M243" t="s">
        <v>276</v>
      </c>
      <c r="N243" t="s">
        <v>277</v>
      </c>
      <c r="O243" t="s">
        <v>285</v>
      </c>
      <c r="P243" t="s">
        <v>278</v>
      </c>
      <c r="Q243" t="s">
        <v>281</v>
      </c>
      <c r="R243">
        <v>240</v>
      </c>
      <c r="S243" s="672" t="b">
        <f t="shared" si="3"/>
        <v>0</v>
      </c>
      <c r="T243" t="s">
        <v>179</v>
      </c>
    </row>
    <row r="244" spans="1:20" hidden="1">
      <c r="A244">
        <v>80111600</v>
      </c>
      <c r="B244" t="s">
        <v>1594</v>
      </c>
      <c r="C244">
        <v>1</v>
      </c>
      <c r="D244">
        <v>1</v>
      </c>
      <c r="E244">
        <v>11</v>
      </c>
      <c r="F244" s="8">
        <v>1</v>
      </c>
      <c r="G244" t="s">
        <v>268</v>
      </c>
      <c r="H244" s="672">
        <v>0</v>
      </c>
      <c r="I244">
        <v>60500000</v>
      </c>
      <c r="J244">
        <v>60500000</v>
      </c>
      <c r="K244">
        <v>0</v>
      </c>
      <c r="L244">
        <v>0</v>
      </c>
      <c r="M244" t="s">
        <v>276</v>
      </c>
      <c r="N244" t="s">
        <v>277</v>
      </c>
      <c r="O244" t="s">
        <v>285</v>
      </c>
      <c r="P244" t="s">
        <v>278</v>
      </c>
      <c r="Q244" t="s">
        <v>281</v>
      </c>
      <c r="R244">
        <v>241</v>
      </c>
      <c r="S244" s="672" t="b">
        <f t="shared" si="3"/>
        <v>0</v>
      </c>
      <c r="T244" t="s">
        <v>179</v>
      </c>
    </row>
    <row r="245" spans="1:20" hidden="1">
      <c r="A245">
        <v>80111600</v>
      </c>
      <c r="B245" t="s">
        <v>1595</v>
      </c>
      <c r="C245">
        <v>1</v>
      </c>
      <c r="D245">
        <v>1</v>
      </c>
      <c r="E245">
        <v>3</v>
      </c>
      <c r="F245" s="8">
        <v>1</v>
      </c>
      <c r="G245" t="s">
        <v>268</v>
      </c>
      <c r="H245" s="672">
        <v>0</v>
      </c>
      <c r="I245">
        <v>11100000</v>
      </c>
      <c r="J245">
        <v>11100000</v>
      </c>
      <c r="K245">
        <v>0</v>
      </c>
      <c r="L245">
        <v>0</v>
      </c>
      <c r="M245" t="s">
        <v>276</v>
      </c>
      <c r="N245" t="s">
        <v>277</v>
      </c>
      <c r="O245" t="s">
        <v>285</v>
      </c>
      <c r="P245" t="s">
        <v>278</v>
      </c>
      <c r="Q245" t="s">
        <v>281</v>
      </c>
      <c r="R245">
        <v>242</v>
      </c>
      <c r="S245" s="672" t="b">
        <f t="shared" si="3"/>
        <v>0</v>
      </c>
      <c r="T245" t="s">
        <v>179</v>
      </c>
    </row>
    <row r="246" spans="1:20" hidden="1">
      <c r="A246">
        <v>80111600</v>
      </c>
      <c r="B246" t="s">
        <v>1596</v>
      </c>
      <c r="C246">
        <v>1</v>
      </c>
      <c r="D246">
        <v>1</v>
      </c>
      <c r="E246">
        <v>3</v>
      </c>
      <c r="F246" s="8">
        <v>1</v>
      </c>
      <c r="G246" t="s">
        <v>268</v>
      </c>
      <c r="H246" s="672">
        <v>0</v>
      </c>
      <c r="I246">
        <v>11100000</v>
      </c>
      <c r="J246">
        <v>11100000</v>
      </c>
      <c r="K246">
        <v>0</v>
      </c>
      <c r="L246">
        <v>0</v>
      </c>
      <c r="M246" t="s">
        <v>276</v>
      </c>
      <c r="N246" t="s">
        <v>277</v>
      </c>
      <c r="O246" t="s">
        <v>285</v>
      </c>
      <c r="P246" t="s">
        <v>278</v>
      </c>
      <c r="Q246" t="s">
        <v>281</v>
      </c>
      <c r="R246">
        <v>243</v>
      </c>
      <c r="S246" s="672" t="b">
        <f t="shared" si="3"/>
        <v>0</v>
      </c>
      <c r="T246" t="s">
        <v>179</v>
      </c>
    </row>
    <row r="247" spans="1:20" hidden="1">
      <c r="A247">
        <v>80111600</v>
      </c>
      <c r="B247" t="s">
        <v>1597</v>
      </c>
      <c r="C247">
        <v>1</v>
      </c>
      <c r="D247">
        <v>1</v>
      </c>
      <c r="E247">
        <v>3</v>
      </c>
      <c r="F247" s="8">
        <v>1</v>
      </c>
      <c r="G247" t="s">
        <v>268</v>
      </c>
      <c r="H247" s="672">
        <v>0</v>
      </c>
      <c r="I247">
        <v>11100000</v>
      </c>
      <c r="J247">
        <v>11100000</v>
      </c>
      <c r="K247">
        <v>0</v>
      </c>
      <c r="L247">
        <v>0</v>
      </c>
      <c r="M247" t="s">
        <v>276</v>
      </c>
      <c r="N247" t="s">
        <v>277</v>
      </c>
      <c r="O247" t="s">
        <v>285</v>
      </c>
      <c r="P247" t="s">
        <v>278</v>
      </c>
      <c r="Q247" t="s">
        <v>281</v>
      </c>
      <c r="R247">
        <v>244</v>
      </c>
      <c r="S247" s="672" t="b">
        <f t="shared" si="3"/>
        <v>0</v>
      </c>
      <c r="T247" t="s">
        <v>179</v>
      </c>
    </row>
    <row r="248" spans="1:20" hidden="1">
      <c r="A248">
        <v>80111600</v>
      </c>
      <c r="B248" t="s">
        <v>1598</v>
      </c>
      <c r="C248">
        <v>1</v>
      </c>
      <c r="D248">
        <v>1</v>
      </c>
      <c r="E248">
        <v>11</v>
      </c>
      <c r="F248" s="8">
        <v>1</v>
      </c>
      <c r="G248" t="s">
        <v>268</v>
      </c>
      <c r="H248" s="672">
        <v>0</v>
      </c>
      <c r="I248">
        <v>27500000</v>
      </c>
      <c r="J248">
        <v>27500000</v>
      </c>
      <c r="K248">
        <v>0</v>
      </c>
      <c r="L248">
        <v>0</v>
      </c>
      <c r="M248" t="s">
        <v>276</v>
      </c>
      <c r="N248" t="s">
        <v>277</v>
      </c>
      <c r="O248" t="s">
        <v>285</v>
      </c>
      <c r="P248" t="s">
        <v>278</v>
      </c>
      <c r="Q248" t="s">
        <v>281</v>
      </c>
      <c r="R248">
        <v>245</v>
      </c>
      <c r="S248" s="672" t="b">
        <f t="shared" si="3"/>
        <v>0</v>
      </c>
      <c r="T248" t="s">
        <v>179</v>
      </c>
    </row>
    <row r="249" spans="1:20" hidden="1">
      <c r="A249">
        <v>80111600</v>
      </c>
      <c r="B249" t="s">
        <v>1599</v>
      </c>
      <c r="C249">
        <v>1</v>
      </c>
      <c r="D249">
        <v>1</v>
      </c>
      <c r="E249">
        <v>3</v>
      </c>
      <c r="F249" s="8">
        <v>1</v>
      </c>
      <c r="G249" t="s">
        <v>268</v>
      </c>
      <c r="H249" s="672">
        <v>0</v>
      </c>
      <c r="I249">
        <v>12360000</v>
      </c>
      <c r="J249">
        <v>12360000</v>
      </c>
      <c r="K249">
        <v>0</v>
      </c>
      <c r="L249">
        <v>0</v>
      </c>
      <c r="M249" t="s">
        <v>276</v>
      </c>
      <c r="N249" t="s">
        <v>277</v>
      </c>
      <c r="O249" t="s">
        <v>285</v>
      </c>
      <c r="P249" t="s">
        <v>278</v>
      </c>
      <c r="Q249" t="s">
        <v>281</v>
      </c>
      <c r="R249">
        <v>246</v>
      </c>
      <c r="S249" s="672" t="b">
        <f t="shared" si="3"/>
        <v>0</v>
      </c>
      <c r="T249" t="s">
        <v>179</v>
      </c>
    </row>
    <row r="250" spans="1:20" hidden="1">
      <c r="A250">
        <v>80111600</v>
      </c>
      <c r="B250" t="s">
        <v>1600</v>
      </c>
      <c r="C250">
        <v>1</v>
      </c>
      <c r="D250">
        <v>1</v>
      </c>
      <c r="E250">
        <v>3</v>
      </c>
      <c r="F250" s="8">
        <v>1</v>
      </c>
      <c r="G250" t="s">
        <v>268</v>
      </c>
      <c r="H250" s="672">
        <v>0</v>
      </c>
      <c r="I250">
        <v>22560000</v>
      </c>
      <c r="J250">
        <v>22560000</v>
      </c>
      <c r="K250">
        <v>0</v>
      </c>
      <c r="L250">
        <v>0</v>
      </c>
      <c r="M250" t="s">
        <v>276</v>
      </c>
      <c r="N250" t="s">
        <v>277</v>
      </c>
      <c r="O250" t="s">
        <v>285</v>
      </c>
      <c r="P250" t="s">
        <v>278</v>
      </c>
      <c r="Q250" t="s">
        <v>281</v>
      </c>
      <c r="R250">
        <v>247</v>
      </c>
      <c r="S250" s="672" t="b">
        <f t="shared" si="3"/>
        <v>0</v>
      </c>
      <c r="T250" t="s">
        <v>179</v>
      </c>
    </row>
    <row r="251" spans="1:20" hidden="1">
      <c r="A251">
        <v>80111600</v>
      </c>
      <c r="B251" t="s">
        <v>1601</v>
      </c>
      <c r="C251">
        <v>1</v>
      </c>
      <c r="D251">
        <v>1</v>
      </c>
      <c r="E251">
        <v>5</v>
      </c>
      <c r="F251" s="8">
        <v>1</v>
      </c>
      <c r="G251" t="s">
        <v>268</v>
      </c>
      <c r="H251" s="672">
        <v>0</v>
      </c>
      <c r="I251">
        <v>30000000</v>
      </c>
      <c r="J251">
        <v>30000000</v>
      </c>
      <c r="K251">
        <v>0</v>
      </c>
      <c r="L251">
        <v>0</v>
      </c>
      <c r="M251" t="s">
        <v>276</v>
      </c>
      <c r="N251" t="s">
        <v>277</v>
      </c>
      <c r="O251" t="s">
        <v>285</v>
      </c>
      <c r="P251" t="s">
        <v>278</v>
      </c>
      <c r="Q251" t="s">
        <v>281</v>
      </c>
      <c r="R251">
        <v>248</v>
      </c>
      <c r="S251" s="672" t="b">
        <f t="shared" si="3"/>
        <v>0</v>
      </c>
      <c r="T251" t="s">
        <v>179</v>
      </c>
    </row>
    <row r="252" spans="1:20" hidden="1">
      <c r="A252">
        <v>80111600</v>
      </c>
      <c r="B252" t="s">
        <v>1602</v>
      </c>
      <c r="C252">
        <v>4</v>
      </c>
      <c r="D252">
        <v>4</v>
      </c>
      <c r="E252">
        <v>5</v>
      </c>
      <c r="F252" s="8">
        <v>1</v>
      </c>
      <c r="G252" t="s">
        <v>268</v>
      </c>
      <c r="H252" s="672">
        <v>0</v>
      </c>
      <c r="I252">
        <v>30000000</v>
      </c>
      <c r="J252">
        <v>30000000</v>
      </c>
      <c r="K252">
        <v>0</v>
      </c>
      <c r="L252">
        <v>0</v>
      </c>
      <c r="M252" t="s">
        <v>276</v>
      </c>
      <c r="N252" t="s">
        <v>277</v>
      </c>
      <c r="O252" t="s">
        <v>285</v>
      </c>
      <c r="P252" t="s">
        <v>278</v>
      </c>
      <c r="Q252" t="s">
        <v>281</v>
      </c>
      <c r="R252">
        <v>249</v>
      </c>
      <c r="S252" s="672" t="b">
        <f t="shared" si="3"/>
        <v>0</v>
      </c>
      <c r="T252" t="s">
        <v>179</v>
      </c>
    </row>
    <row r="253" spans="1:20" hidden="1">
      <c r="A253">
        <v>80111600</v>
      </c>
      <c r="B253" t="s">
        <v>1603</v>
      </c>
      <c r="C253">
        <v>1</v>
      </c>
      <c r="D253">
        <v>1</v>
      </c>
      <c r="E253">
        <v>5</v>
      </c>
      <c r="F253" s="8">
        <v>1</v>
      </c>
      <c r="G253" t="s">
        <v>268</v>
      </c>
      <c r="H253" s="672">
        <v>0</v>
      </c>
      <c r="I253">
        <v>40000000</v>
      </c>
      <c r="J253">
        <v>40000000</v>
      </c>
      <c r="K253">
        <v>0</v>
      </c>
      <c r="L253">
        <v>0</v>
      </c>
      <c r="M253" t="s">
        <v>276</v>
      </c>
      <c r="N253" t="s">
        <v>277</v>
      </c>
      <c r="O253" t="s">
        <v>285</v>
      </c>
      <c r="P253" t="s">
        <v>278</v>
      </c>
      <c r="Q253" t="s">
        <v>281</v>
      </c>
      <c r="R253">
        <v>250</v>
      </c>
      <c r="S253" s="672" t="b">
        <f t="shared" si="3"/>
        <v>0</v>
      </c>
      <c r="T253" t="s">
        <v>179</v>
      </c>
    </row>
    <row r="254" spans="1:20" hidden="1">
      <c r="A254">
        <v>80111600</v>
      </c>
      <c r="B254" t="s">
        <v>1604</v>
      </c>
      <c r="C254">
        <v>4</v>
      </c>
      <c r="D254">
        <v>4</v>
      </c>
      <c r="E254">
        <v>5</v>
      </c>
      <c r="F254" s="8">
        <v>1</v>
      </c>
      <c r="G254" t="s">
        <v>268</v>
      </c>
      <c r="H254" s="672">
        <v>0</v>
      </c>
      <c r="I254">
        <v>40000000</v>
      </c>
      <c r="J254">
        <v>40000000</v>
      </c>
      <c r="K254">
        <v>0</v>
      </c>
      <c r="L254">
        <v>0</v>
      </c>
      <c r="M254" t="s">
        <v>276</v>
      </c>
      <c r="N254" t="s">
        <v>277</v>
      </c>
      <c r="O254" t="s">
        <v>285</v>
      </c>
      <c r="P254" t="s">
        <v>278</v>
      </c>
      <c r="Q254" t="s">
        <v>281</v>
      </c>
      <c r="R254">
        <v>260</v>
      </c>
      <c r="S254" s="672" t="b">
        <f t="shared" ref="S254:S311" si="4">+R254=R253</f>
        <v>0</v>
      </c>
      <c r="T254" t="s">
        <v>179</v>
      </c>
    </row>
    <row r="255" spans="1:20" hidden="1">
      <c r="A255">
        <v>80111600</v>
      </c>
      <c r="B255" t="s">
        <v>1605</v>
      </c>
      <c r="C255">
        <v>1</v>
      </c>
      <c r="D255">
        <v>1</v>
      </c>
      <c r="E255">
        <v>11</v>
      </c>
      <c r="F255" s="8">
        <v>1</v>
      </c>
      <c r="G255" t="s">
        <v>268</v>
      </c>
      <c r="H255" s="672">
        <v>0</v>
      </c>
      <c r="I255">
        <v>101200000</v>
      </c>
      <c r="J255">
        <v>101200000</v>
      </c>
      <c r="K255">
        <v>0</v>
      </c>
      <c r="L255">
        <v>0</v>
      </c>
      <c r="M255" t="s">
        <v>276</v>
      </c>
      <c r="N255" t="s">
        <v>277</v>
      </c>
      <c r="O255" t="s">
        <v>285</v>
      </c>
      <c r="P255" t="s">
        <v>278</v>
      </c>
      <c r="Q255" t="s">
        <v>281</v>
      </c>
      <c r="R255">
        <v>261</v>
      </c>
      <c r="S255" s="672" t="b">
        <f t="shared" si="4"/>
        <v>0</v>
      </c>
      <c r="T255" t="s">
        <v>179</v>
      </c>
    </row>
    <row r="256" spans="1:20" hidden="1">
      <c r="A256">
        <v>80111600</v>
      </c>
      <c r="B256" t="s">
        <v>1606</v>
      </c>
      <c r="C256">
        <v>1</v>
      </c>
      <c r="D256">
        <v>1</v>
      </c>
      <c r="E256">
        <v>11</v>
      </c>
      <c r="F256" s="8">
        <v>1</v>
      </c>
      <c r="G256" t="s">
        <v>268</v>
      </c>
      <c r="H256" s="672">
        <v>0</v>
      </c>
      <c r="I256">
        <v>51040000</v>
      </c>
      <c r="J256">
        <v>51040000</v>
      </c>
      <c r="K256">
        <v>0</v>
      </c>
      <c r="L256">
        <v>0</v>
      </c>
      <c r="M256" t="s">
        <v>276</v>
      </c>
      <c r="N256" t="s">
        <v>277</v>
      </c>
      <c r="O256" t="s">
        <v>285</v>
      </c>
      <c r="P256" t="s">
        <v>278</v>
      </c>
      <c r="Q256" t="s">
        <v>281</v>
      </c>
      <c r="R256">
        <v>262</v>
      </c>
      <c r="S256" s="672" t="b">
        <f t="shared" si="4"/>
        <v>0</v>
      </c>
      <c r="T256" t="s">
        <v>179</v>
      </c>
    </row>
    <row r="257" spans="1:20" hidden="1">
      <c r="A257">
        <v>80111600</v>
      </c>
      <c r="B257" t="s">
        <v>1607</v>
      </c>
      <c r="C257">
        <v>1</v>
      </c>
      <c r="D257">
        <v>1</v>
      </c>
      <c r="E257">
        <v>10</v>
      </c>
      <c r="F257" s="8">
        <v>1</v>
      </c>
      <c r="G257" t="s">
        <v>268</v>
      </c>
      <c r="H257" s="672">
        <v>0</v>
      </c>
      <c r="I257">
        <v>38000000</v>
      </c>
      <c r="J257">
        <v>38000000</v>
      </c>
      <c r="K257">
        <v>0</v>
      </c>
      <c r="L257">
        <v>0</v>
      </c>
      <c r="M257" t="s">
        <v>276</v>
      </c>
      <c r="N257" t="s">
        <v>277</v>
      </c>
      <c r="O257" t="s">
        <v>285</v>
      </c>
      <c r="P257" t="s">
        <v>278</v>
      </c>
      <c r="Q257" t="s">
        <v>281</v>
      </c>
      <c r="R257">
        <v>263</v>
      </c>
      <c r="S257" s="672" t="b">
        <f t="shared" si="4"/>
        <v>0</v>
      </c>
      <c r="T257" t="s">
        <v>179</v>
      </c>
    </row>
    <row r="258" spans="1:20" hidden="1">
      <c r="A258">
        <v>80111600</v>
      </c>
      <c r="B258" t="s">
        <v>1608</v>
      </c>
      <c r="C258">
        <v>1</v>
      </c>
      <c r="D258">
        <v>1</v>
      </c>
      <c r="E258">
        <v>11</v>
      </c>
      <c r="F258" s="8">
        <v>1</v>
      </c>
      <c r="G258" t="s">
        <v>268</v>
      </c>
      <c r="H258" s="672">
        <v>0</v>
      </c>
      <c r="I258">
        <v>41800000</v>
      </c>
      <c r="J258">
        <v>41800000</v>
      </c>
      <c r="K258">
        <v>0</v>
      </c>
      <c r="L258">
        <v>0</v>
      </c>
      <c r="M258" t="s">
        <v>276</v>
      </c>
      <c r="N258" t="s">
        <v>277</v>
      </c>
      <c r="O258" t="s">
        <v>285</v>
      </c>
      <c r="P258" t="s">
        <v>278</v>
      </c>
      <c r="Q258" t="s">
        <v>281</v>
      </c>
      <c r="R258">
        <v>264</v>
      </c>
      <c r="S258" s="672" t="b">
        <f t="shared" si="4"/>
        <v>0</v>
      </c>
      <c r="T258" t="s">
        <v>179</v>
      </c>
    </row>
    <row r="259" spans="1:20" hidden="1">
      <c r="A259">
        <v>80111600</v>
      </c>
      <c r="B259" t="s">
        <v>1609</v>
      </c>
      <c r="C259">
        <v>1</v>
      </c>
      <c r="D259">
        <v>1</v>
      </c>
      <c r="E259">
        <v>11</v>
      </c>
      <c r="F259" s="8">
        <v>1</v>
      </c>
      <c r="G259" t="s">
        <v>268</v>
      </c>
      <c r="H259" s="672">
        <v>0</v>
      </c>
      <c r="I259">
        <v>44660000</v>
      </c>
      <c r="J259">
        <v>44660000</v>
      </c>
      <c r="K259">
        <v>0</v>
      </c>
      <c r="L259">
        <v>0</v>
      </c>
      <c r="M259" t="s">
        <v>276</v>
      </c>
      <c r="N259" t="s">
        <v>277</v>
      </c>
      <c r="O259" t="s">
        <v>285</v>
      </c>
      <c r="P259" t="s">
        <v>278</v>
      </c>
      <c r="Q259" t="s">
        <v>281</v>
      </c>
      <c r="R259">
        <v>265</v>
      </c>
      <c r="S259" s="672" t="b">
        <f t="shared" si="4"/>
        <v>0</v>
      </c>
      <c r="T259" t="s">
        <v>179</v>
      </c>
    </row>
    <row r="260" spans="1:20" hidden="1">
      <c r="A260">
        <v>80111600</v>
      </c>
      <c r="B260" t="s">
        <v>1610</v>
      </c>
      <c r="C260">
        <v>1</v>
      </c>
      <c r="D260">
        <v>1</v>
      </c>
      <c r="E260">
        <v>11</v>
      </c>
      <c r="F260" s="8">
        <v>1</v>
      </c>
      <c r="G260" t="s">
        <v>268</v>
      </c>
      <c r="H260" s="672">
        <v>0</v>
      </c>
      <c r="I260">
        <v>77000000</v>
      </c>
      <c r="J260">
        <v>77000000</v>
      </c>
      <c r="K260">
        <v>0</v>
      </c>
      <c r="L260">
        <v>0</v>
      </c>
      <c r="M260" t="s">
        <v>276</v>
      </c>
      <c r="N260" t="s">
        <v>277</v>
      </c>
      <c r="O260" t="s">
        <v>285</v>
      </c>
      <c r="P260" t="s">
        <v>278</v>
      </c>
      <c r="Q260" t="s">
        <v>281</v>
      </c>
      <c r="R260">
        <v>266</v>
      </c>
      <c r="S260" s="672" t="b">
        <f t="shared" si="4"/>
        <v>0</v>
      </c>
      <c r="T260" t="s">
        <v>179</v>
      </c>
    </row>
    <row r="261" spans="1:20" hidden="1">
      <c r="A261">
        <v>80111600</v>
      </c>
      <c r="B261" t="s">
        <v>1611</v>
      </c>
      <c r="C261">
        <v>1</v>
      </c>
      <c r="D261">
        <v>1</v>
      </c>
      <c r="E261">
        <v>11</v>
      </c>
      <c r="F261" s="8">
        <v>1</v>
      </c>
      <c r="G261" t="s">
        <v>268</v>
      </c>
      <c r="H261" s="672">
        <v>0</v>
      </c>
      <c r="I261">
        <v>55000000</v>
      </c>
      <c r="J261">
        <v>55000000</v>
      </c>
      <c r="K261">
        <v>0</v>
      </c>
      <c r="L261">
        <v>0</v>
      </c>
      <c r="M261" t="s">
        <v>276</v>
      </c>
      <c r="N261" t="s">
        <v>277</v>
      </c>
      <c r="O261" t="s">
        <v>285</v>
      </c>
      <c r="P261" t="s">
        <v>278</v>
      </c>
      <c r="Q261" t="s">
        <v>281</v>
      </c>
      <c r="R261">
        <v>267</v>
      </c>
      <c r="S261" s="672" t="b">
        <f t="shared" si="4"/>
        <v>0</v>
      </c>
      <c r="T261" t="s">
        <v>179</v>
      </c>
    </row>
    <row r="262" spans="1:20" hidden="1">
      <c r="A262">
        <v>80111600</v>
      </c>
      <c r="B262" t="s">
        <v>1612</v>
      </c>
      <c r="C262">
        <v>1</v>
      </c>
      <c r="D262">
        <v>1</v>
      </c>
      <c r="E262">
        <v>11</v>
      </c>
      <c r="F262" s="8">
        <v>1</v>
      </c>
      <c r="G262" t="s">
        <v>268</v>
      </c>
      <c r="H262" s="672">
        <v>0</v>
      </c>
      <c r="I262">
        <v>62700000</v>
      </c>
      <c r="J262">
        <v>62700000</v>
      </c>
      <c r="K262">
        <v>0</v>
      </c>
      <c r="L262">
        <v>0</v>
      </c>
      <c r="M262" t="s">
        <v>276</v>
      </c>
      <c r="N262" t="s">
        <v>277</v>
      </c>
      <c r="O262" t="s">
        <v>285</v>
      </c>
      <c r="P262" t="s">
        <v>278</v>
      </c>
      <c r="Q262" t="s">
        <v>281</v>
      </c>
      <c r="R262">
        <v>268</v>
      </c>
      <c r="S262" s="672" t="b">
        <f t="shared" si="4"/>
        <v>0</v>
      </c>
      <c r="T262" t="s">
        <v>179</v>
      </c>
    </row>
    <row r="263" spans="1:20" hidden="1">
      <c r="A263">
        <v>80111600</v>
      </c>
      <c r="B263" t="s">
        <v>1613</v>
      </c>
      <c r="C263">
        <v>1</v>
      </c>
      <c r="D263">
        <v>1</v>
      </c>
      <c r="E263">
        <v>10</v>
      </c>
      <c r="F263" s="8">
        <v>1</v>
      </c>
      <c r="G263" t="s">
        <v>268</v>
      </c>
      <c r="H263" s="672">
        <v>0</v>
      </c>
      <c r="I263">
        <v>38000000</v>
      </c>
      <c r="J263">
        <v>38000000</v>
      </c>
      <c r="K263">
        <v>0</v>
      </c>
      <c r="L263">
        <v>0</v>
      </c>
      <c r="M263" t="s">
        <v>276</v>
      </c>
      <c r="N263" t="s">
        <v>277</v>
      </c>
      <c r="O263" t="s">
        <v>285</v>
      </c>
      <c r="P263" t="s">
        <v>278</v>
      </c>
      <c r="Q263" t="s">
        <v>281</v>
      </c>
      <c r="R263">
        <v>269</v>
      </c>
      <c r="S263" s="672" t="b">
        <f t="shared" si="4"/>
        <v>0</v>
      </c>
      <c r="T263" t="s">
        <v>179</v>
      </c>
    </row>
    <row r="264" spans="1:20" hidden="1">
      <c r="A264">
        <v>80111600</v>
      </c>
      <c r="B264" t="s">
        <v>1614</v>
      </c>
      <c r="C264">
        <v>1</v>
      </c>
      <c r="D264">
        <v>1</v>
      </c>
      <c r="E264">
        <v>3</v>
      </c>
      <c r="F264" s="8">
        <v>1</v>
      </c>
      <c r="G264" t="s">
        <v>268</v>
      </c>
      <c r="H264" s="672">
        <v>0</v>
      </c>
      <c r="I264">
        <v>11100000</v>
      </c>
      <c r="J264">
        <v>11100000</v>
      </c>
      <c r="K264">
        <v>0</v>
      </c>
      <c r="L264">
        <v>0</v>
      </c>
      <c r="M264" t="s">
        <v>276</v>
      </c>
      <c r="N264" t="s">
        <v>277</v>
      </c>
      <c r="O264" t="s">
        <v>285</v>
      </c>
      <c r="P264" t="s">
        <v>278</v>
      </c>
      <c r="Q264" t="s">
        <v>281</v>
      </c>
      <c r="R264">
        <v>270</v>
      </c>
      <c r="S264" s="672" t="b">
        <f t="shared" si="4"/>
        <v>0</v>
      </c>
      <c r="T264" t="s">
        <v>179</v>
      </c>
    </row>
    <row r="265" spans="1:20" hidden="1">
      <c r="A265">
        <v>80111600</v>
      </c>
      <c r="B265" t="s">
        <v>1615</v>
      </c>
      <c r="C265">
        <v>1</v>
      </c>
      <c r="D265">
        <v>1</v>
      </c>
      <c r="E265">
        <v>11</v>
      </c>
      <c r="F265" s="8">
        <v>1</v>
      </c>
      <c r="G265" t="s">
        <v>268</v>
      </c>
      <c r="H265" s="672">
        <v>0</v>
      </c>
      <c r="I265">
        <v>101200000</v>
      </c>
      <c r="J265">
        <v>101200000</v>
      </c>
      <c r="K265">
        <v>0</v>
      </c>
      <c r="L265">
        <v>0</v>
      </c>
      <c r="M265" t="s">
        <v>276</v>
      </c>
      <c r="N265" t="s">
        <v>277</v>
      </c>
      <c r="O265" t="s">
        <v>285</v>
      </c>
      <c r="P265" t="s">
        <v>278</v>
      </c>
      <c r="Q265" t="s">
        <v>281</v>
      </c>
      <c r="R265">
        <v>271</v>
      </c>
      <c r="S265" s="672" t="b">
        <f t="shared" si="4"/>
        <v>0</v>
      </c>
      <c r="T265" t="s">
        <v>179</v>
      </c>
    </row>
    <row r="266" spans="1:20" hidden="1">
      <c r="A266" t="s">
        <v>854</v>
      </c>
      <c r="B266" t="s">
        <v>1616</v>
      </c>
      <c r="C266">
        <v>1</v>
      </c>
      <c r="D266">
        <v>1</v>
      </c>
      <c r="E266">
        <v>11</v>
      </c>
      <c r="F266" s="8">
        <v>1</v>
      </c>
      <c r="G266" t="s">
        <v>268</v>
      </c>
      <c r="H266" s="672">
        <v>0</v>
      </c>
      <c r="I266">
        <v>32450000</v>
      </c>
      <c r="J266">
        <v>32450000</v>
      </c>
      <c r="K266">
        <v>0</v>
      </c>
      <c r="L266">
        <v>0</v>
      </c>
      <c r="M266" t="s">
        <v>276</v>
      </c>
      <c r="N266" t="s">
        <v>277</v>
      </c>
      <c r="O266" t="s">
        <v>573</v>
      </c>
      <c r="P266" t="s">
        <v>278</v>
      </c>
      <c r="Q266" t="s">
        <v>574</v>
      </c>
      <c r="R266">
        <v>272</v>
      </c>
      <c r="S266" s="672" t="b">
        <f t="shared" si="4"/>
        <v>0</v>
      </c>
      <c r="T266" t="s">
        <v>180</v>
      </c>
    </row>
    <row r="267" spans="1:20" hidden="1">
      <c r="A267" t="s">
        <v>854</v>
      </c>
      <c r="B267" t="s">
        <v>1617</v>
      </c>
      <c r="C267">
        <v>1</v>
      </c>
      <c r="D267">
        <v>1</v>
      </c>
      <c r="E267">
        <v>10</v>
      </c>
      <c r="F267" s="8">
        <v>1</v>
      </c>
      <c r="G267" t="s">
        <v>268</v>
      </c>
      <c r="H267" s="672">
        <v>0</v>
      </c>
      <c r="I267">
        <v>33200000</v>
      </c>
      <c r="J267">
        <v>33200000</v>
      </c>
      <c r="K267">
        <v>0</v>
      </c>
      <c r="L267">
        <v>0</v>
      </c>
      <c r="M267" t="s">
        <v>276</v>
      </c>
      <c r="N267" t="s">
        <v>277</v>
      </c>
      <c r="O267" t="s">
        <v>573</v>
      </c>
      <c r="P267" t="s">
        <v>278</v>
      </c>
      <c r="Q267" t="s">
        <v>574</v>
      </c>
      <c r="R267">
        <v>273</v>
      </c>
      <c r="S267" s="672" t="b">
        <f t="shared" si="4"/>
        <v>0</v>
      </c>
      <c r="T267" t="s">
        <v>180</v>
      </c>
    </row>
    <row r="268" spans="1:20" hidden="1">
      <c r="A268" t="s">
        <v>857</v>
      </c>
      <c r="B268" t="s">
        <v>1618</v>
      </c>
      <c r="C268">
        <v>1</v>
      </c>
      <c r="D268">
        <v>1</v>
      </c>
      <c r="E268">
        <v>10</v>
      </c>
      <c r="F268" s="8">
        <v>1</v>
      </c>
      <c r="G268" t="s">
        <v>268</v>
      </c>
      <c r="H268" s="672">
        <v>0</v>
      </c>
      <c r="I268">
        <v>66000000</v>
      </c>
      <c r="J268">
        <v>66000000</v>
      </c>
      <c r="K268">
        <v>0</v>
      </c>
      <c r="L268">
        <v>0</v>
      </c>
      <c r="M268" t="s">
        <v>276</v>
      </c>
      <c r="N268" t="s">
        <v>277</v>
      </c>
      <c r="O268" t="s">
        <v>573</v>
      </c>
      <c r="P268" t="s">
        <v>278</v>
      </c>
      <c r="Q268" t="s">
        <v>574</v>
      </c>
      <c r="R268">
        <v>274</v>
      </c>
      <c r="S268" s="672" t="b">
        <f t="shared" si="4"/>
        <v>0</v>
      </c>
      <c r="T268" t="s">
        <v>180</v>
      </c>
    </row>
    <row r="269" spans="1:20" hidden="1">
      <c r="A269" t="s">
        <v>857</v>
      </c>
      <c r="B269" t="s">
        <v>1619</v>
      </c>
      <c r="C269">
        <v>1</v>
      </c>
      <c r="D269">
        <v>1</v>
      </c>
      <c r="E269">
        <v>8</v>
      </c>
      <c r="F269" s="8">
        <v>1</v>
      </c>
      <c r="G269" t="s">
        <v>268</v>
      </c>
      <c r="H269" s="672">
        <v>0</v>
      </c>
      <c r="I269">
        <v>43040000</v>
      </c>
      <c r="J269">
        <v>43040000</v>
      </c>
      <c r="K269">
        <v>0</v>
      </c>
      <c r="L269">
        <v>0</v>
      </c>
      <c r="M269" t="s">
        <v>276</v>
      </c>
      <c r="N269" t="s">
        <v>277</v>
      </c>
      <c r="O269" t="s">
        <v>573</v>
      </c>
      <c r="P269" t="s">
        <v>278</v>
      </c>
      <c r="Q269" t="s">
        <v>574</v>
      </c>
      <c r="R269">
        <v>275</v>
      </c>
      <c r="S269" s="672" t="b">
        <f t="shared" si="4"/>
        <v>0</v>
      </c>
      <c r="T269" t="s">
        <v>180</v>
      </c>
    </row>
    <row r="270" spans="1:20" hidden="1">
      <c r="A270" t="s">
        <v>860</v>
      </c>
      <c r="B270" t="s">
        <v>1620</v>
      </c>
      <c r="C270">
        <v>1</v>
      </c>
      <c r="D270">
        <v>1</v>
      </c>
      <c r="E270">
        <v>8</v>
      </c>
      <c r="F270" s="8">
        <v>1</v>
      </c>
      <c r="G270" t="s">
        <v>268</v>
      </c>
      <c r="H270" s="672">
        <v>0</v>
      </c>
      <c r="I270">
        <v>38400000</v>
      </c>
      <c r="J270">
        <v>38400000</v>
      </c>
      <c r="K270">
        <v>0</v>
      </c>
      <c r="L270">
        <v>0</v>
      </c>
      <c r="M270" t="s">
        <v>276</v>
      </c>
      <c r="N270" t="s">
        <v>277</v>
      </c>
      <c r="O270" t="s">
        <v>573</v>
      </c>
      <c r="P270" t="s">
        <v>278</v>
      </c>
      <c r="Q270" t="s">
        <v>574</v>
      </c>
      <c r="R270">
        <v>276</v>
      </c>
      <c r="S270" s="672" t="b">
        <f t="shared" si="4"/>
        <v>0</v>
      </c>
      <c r="T270" t="s">
        <v>180</v>
      </c>
    </row>
    <row r="271" spans="1:20" hidden="1">
      <c r="A271" t="s">
        <v>857</v>
      </c>
      <c r="B271" t="s">
        <v>1621</v>
      </c>
      <c r="C271">
        <v>1</v>
      </c>
      <c r="D271">
        <v>1</v>
      </c>
      <c r="E271">
        <v>10</v>
      </c>
      <c r="F271" s="8">
        <v>1</v>
      </c>
      <c r="G271" t="s">
        <v>268</v>
      </c>
      <c r="H271" s="672">
        <v>0</v>
      </c>
      <c r="I271">
        <v>87500000</v>
      </c>
      <c r="J271">
        <v>87500000</v>
      </c>
      <c r="K271">
        <v>0</v>
      </c>
      <c r="L271">
        <v>0</v>
      </c>
      <c r="M271" t="s">
        <v>276</v>
      </c>
      <c r="N271" t="s">
        <v>277</v>
      </c>
      <c r="O271" t="s">
        <v>573</v>
      </c>
      <c r="P271" t="s">
        <v>278</v>
      </c>
      <c r="Q271" t="s">
        <v>574</v>
      </c>
      <c r="R271">
        <v>277</v>
      </c>
      <c r="S271" s="672" t="b">
        <f t="shared" si="4"/>
        <v>0</v>
      </c>
      <c r="T271" t="s">
        <v>180</v>
      </c>
    </row>
    <row r="272" spans="1:20" hidden="1">
      <c r="A272" t="s">
        <v>857</v>
      </c>
      <c r="B272" t="s">
        <v>1622</v>
      </c>
      <c r="C272">
        <v>1</v>
      </c>
      <c r="D272">
        <v>1</v>
      </c>
      <c r="E272">
        <v>8</v>
      </c>
      <c r="F272" s="8">
        <v>1</v>
      </c>
      <c r="G272" t="s">
        <v>268</v>
      </c>
      <c r="H272" s="672">
        <v>0</v>
      </c>
      <c r="I272">
        <v>32400000</v>
      </c>
      <c r="J272">
        <v>32400000</v>
      </c>
      <c r="K272">
        <v>0</v>
      </c>
      <c r="L272">
        <v>0</v>
      </c>
      <c r="M272" t="s">
        <v>276</v>
      </c>
      <c r="N272" t="s">
        <v>277</v>
      </c>
      <c r="O272" t="s">
        <v>573</v>
      </c>
      <c r="P272" t="s">
        <v>278</v>
      </c>
      <c r="Q272" t="s">
        <v>574</v>
      </c>
      <c r="R272">
        <v>278</v>
      </c>
      <c r="S272" s="672" t="b">
        <f t="shared" si="4"/>
        <v>0</v>
      </c>
      <c r="T272" t="s">
        <v>180</v>
      </c>
    </row>
    <row r="273" spans="1:20" hidden="1">
      <c r="A273" t="s">
        <v>857</v>
      </c>
      <c r="B273" t="s">
        <v>1623</v>
      </c>
      <c r="C273">
        <v>1</v>
      </c>
      <c r="D273">
        <v>1</v>
      </c>
      <c r="E273">
        <v>8</v>
      </c>
      <c r="F273" s="8">
        <v>1</v>
      </c>
      <c r="G273" t="s">
        <v>268</v>
      </c>
      <c r="H273" s="672">
        <v>0</v>
      </c>
      <c r="I273">
        <v>43040000</v>
      </c>
      <c r="J273">
        <v>43040000</v>
      </c>
      <c r="K273">
        <v>0</v>
      </c>
      <c r="L273">
        <v>0</v>
      </c>
      <c r="M273" t="s">
        <v>276</v>
      </c>
      <c r="N273" t="s">
        <v>277</v>
      </c>
      <c r="O273" t="s">
        <v>573</v>
      </c>
      <c r="P273" t="s">
        <v>278</v>
      </c>
      <c r="Q273" t="s">
        <v>574</v>
      </c>
      <c r="R273">
        <v>279</v>
      </c>
      <c r="S273" s="672" t="b">
        <f t="shared" si="4"/>
        <v>0</v>
      </c>
      <c r="T273" t="s">
        <v>180</v>
      </c>
    </row>
    <row r="274" spans="1:20" hidden="1">
      <c r="A274" t="s">
        <v>857</v>
      </c>
      <c r="B274" t="s">
        <v>1624</v>
      </c>
      <c r="C274">
        <v>1</v>
      </c>
      <c r="D274">
        <v>1</v>
      </c>
      <c r="E274">
        <v>8</v>
      </c>
      <c r="F274" s="8">
        <v>1</v>
      </c>
      <c r="G274" t="s">
        <v>268</v>
      </c>
      <c r="H274" s="672">
        <v>0</v>
      </c>
      <c r="I274">
        <v>43040000</v>
      </c>
      <c r="J274">
        <v>43040000</v>
      </c>
      <c r="K274">
        <v>0</v>
      </c>
      <c r="L274">
        <v>0</v>
      </c>
      <c r="M274" t="s">
        <v>276</v>
      </c>
      <c r="N274" t="s">
        <v>277</v>
      </c>
      <c r="O274" t="s">
        <v>573</v>
      </c>
      <c r="P274" t="s">
        <v>278</v>
      </c>
      <c r="Q274" t="s">
        <v>574</v>
      </c>
      <c r="R274">
        <v>280</v>
      </c>
      <c r="S274" s="672" t="b">
        <f t="shared" si="4"/>
        <v>0</v>
      </c>
      <c r="T274" t="s">
        <v>180</v>
      </c>
    </row>
    <row r="275" spans="1:20" hidden="1">
      <c r="A275" t="s">
        <v>857</v>
      </c>
      <c r="B275" t="s">
        <v>1625</v>
      </c>
      <c r="C275">
        <v>1</v>
      </c>
      <c r="D275">
        <v>1</v>
      </c>
      <c r="E275">
        <v>8</v>
      </c>
      <c r="F275" s="8">
        <v>1</v>
      </c>
      <c r="G275" t="s">
        <v>268</v>
      </c>
      <c r="H275" s="672">
        <v>0</v>
      </c>
      <c r="I275">
        <v>43040000</v>
      </c>
      <c r="J275">
        <v>43040000</v>
      </c>
      <c r="K275">
        <v>0</v>
      </c>
      <c r="L275">
        <v>0</v>
      </c>
      <c r="M275" t="s">
        <v>276</v>
      </c>
      <c r="N275" t="s">
        <v>277</v>
      </c>
      <c r="O275" t="s">
        <v>573</v>
      </c>
      <c r="P275" t="s">
        <v>278</v>
      </c>
      <c r="Q275" t="s">
        <v>574</v>
      </c>
      <c r="R275">
        <v>281</v>
      </c>
      <c r="S275" s="672" t="b">
        <f t="shared" si="4"/>
        <v>0</v>
      </c>
      <c r="T275" t="s">
        <v>180</v>
      </c>
    </row>
    <row r="276" spans="1:20" hidden="1">
      <c r="A276" t="s">
        <v>857</v>
      </c>
      <c r="B276" t="s">
        <v>1626</v>
      </c>
      <c r="C276">
        <v>1</v>
      </c>
      <c r="D276">
        <v>1</v>
      </c>
      <c r="E276">
        <v>8</v>
      </c>
      <c r="F276" s="8">
        <v>1</v>
      </c>
      <c r="G276" t="s">
        <v>268</v>
      </c>
      <c r="H276" s="672">
        <v>0</v>
      </c>
      <c r="I276">
        <v>43040000</v>
      </c>
      <c r="J276">
        <v>43040000</v>
      </c>
      <c r="K276">
        <v>0</v>
      </c>
      <c r="L276">
        <v>0</v>
      </c>
      <c r="M276" t="s">
        <v>276</v>
      </c>
      <c r="N276" t="s">
        <v>277</v>
      </c>
      <c r="O276" t="s">
        <v>573</v>
      </c>
      <c r="P276" t="s">
        <v>278</v>
      </c>
      <c r="Q276" t="s">
        <v>574</v>
      </c>
      <c r="R276">
        <v>282</v>
      </c>
      <c r="S276" s="672" t="b">
        <f t="shared" si="4"/>
        <v>0</v>
      </c>
      <c r="T276" t="s">
        <v>180</v>
      </c>
    </row>
    <row r="277" spans="1:20" hidden="1">
      <c r="A277" t="s">
        <v>857</v>
      </c>
      <c r="B277" t="s">
        <v>1627</v>
      </c>
      <c r="C277">
        <v>1</v>
      </c>
      <c r="D277">
        <v>1</v>
      </c>
      <c r="E277">
        <v>8</v>
      </c>
      <c r="F277" s="8">
        <v>1</v>
      </c>
      <c r="G277" t="s">
        <v>268</v>
      </c>
      <c r="H277" s="672">
        <v>0</v>
      </c>
      <c r="I277">
        <v>43040000</v>
      </c>
      <c r="J277">
        <v>43040000</v>
      </c>
      <c r="K277">
        <v>0</v>
      </c>
      <c r="L277">
        <v>0</v>
      </c>
      <c r="M277" t="s">
        <v>276</v>
      </c>
      <c r="N277" t="s">
        <v>277</v>
      </c>
      <c r="O277" t="s">
        <v>573</v>
      </c>
      <c r="P277" t="s">
        <v>278</v>
      </c>
      <c r="Q277" t="s">
        <v>574</v>
      </c>
      <c r="R277">
        <v>283</v>
      </c>
      <c r="S277" s="672" t="b">
        <f t="shared" si="4"/>
        <v>0</v>
      </c>
      <c r="T277" t="s">
        <v>180</v>
      </c>
    </row>
    <row r="278" spans="1:20" hidden="1">
      <c r="A278" t="s">
        <v>857</v>
      </c>
      <c r="B278" t="s">
        <v>1628</v>
      </c>
      <c r="C278">
        <v>1</v>
      </c>
      <c r="D278">
        <v>1</v>
      </c>
      <c r="E278">
        <v>8</v>
      </c>
      <c r="F278" s="8">
        <v>1</v>
      </c>
      <c r="G278" t="s">
        <v>268</v>
      </c>
      <c r="H278" s="672">
        <v>0</v>
      </c>
      <c r="I278">
        <v>43040000</v>
      </c>
      <c r="J278">
        <v>43040000</v>
      </c>
      <c r="K278">
        <v>0</v>
      </c>
      <c r="L278">
        <v>0</v>
      </c>
      <c r="M278" t="s">
        <v>276</v>
      </c>
      <c r="N278" t="s">
        <v>277</v>
      </c>
      <c r="O278" t="s">
        <v>573</v>
      </c>
      <c r="P278" t="s">
        <v>278</v>
      </c>
      <c r="Q278" t="s">
        <v>574</v>
      </c>
      <c r="R278">
        <v>284</v>
      </c>
      <c r="S278" s="672" t="b">
        <f t="shared" si="4"/>
        <v>0</v>
      </c>
      <c r="T278" t="s">
        <v>180</v>
      </c>
    </row>
    <row r="279" spans="1:20" hidden="1">
      <c r="A279" t="s">
        <v>857</v>
      </c>
      <c r="B279" t="s">
        <v>1629</v>
      </c>
      <c r="C279">
        <v>1</v>
      </c>
      <c r="D279">
        <v>1</v>
      </c>
      <c r="E279">
        <v>8</v>
      </c>
      <c r="F279" s="8">
        <v>1</v>
      </c>
      <c r="G279" t="s">
        <v>268</v>
      </c>
      <c r="H279" s="672">
        <v>0</v>
      </c>
      <c r="I279">
        <v>43040000</v>
      </c>
      <c r="J279">
        <v>43040000</v>
      </c>
      <c r="K279">
        <v>0</v>
      </c>
      <c r="L279">
        <v>0</v>
      </c>
      <c r="M279" t="s">
        <v>276</v>
      </c>
      <c r="N279" t="s">
        <v>277</v>
      </c>
      <c r="O279" t="s">
        <v>573</v>
      </c>
      <c r="P279" t="s">
        <v>278</v>
      </c>
      <c r="Q279" t="s">
        <v>574</v>
      </c>
      <c r="R279">
        <v>285</v>
      </c>
      <c r="S279" s="672" t="b">
        <f t="shared" si="4"/>
        <v>0</v>
      </c>
      <c r="T279" t="s">
        <v>180</v>
      </c>
    </row>
    <row r="280" spans="1:20" hidden="1">
      <c r="A280" t="s">
        <v>857</v>
      </c>
      <c r="B280" t="s">
        <v>1630</v>
      </c>
      <c r="C280">
        <v>1</v>
      </c>
      <c r="D280">
        <v>1</v>
      </c>
      <c r="E280">
        <v>8</v>
      </c>
      <c r="F280" s="8">
        <v>1</v>
      </c>
      <c r="G280" t="s">
        <v>268</v>
      </c>
      <c r="H280" s="672">
        <v>0</v>
      </c>
      <c r="I280">
        <v>47120000</v>
      </c>
      <c r="J280">
        <v>47120000</v>
      </c>
      <c r="K280">
        <v>0</v>
      </c>
      <c r="L280">
        <v>0</v>
      </c>
      <c r="M280" t="s">
        <v>276</v>
      </c>
      <c r="N280" t="s">
        <v>277</v>
      </c>
      <c r="O280" t="s">
        <v>573</v>
      </c>
      <c r="P280" t="s">
        <v>278</v>
      </c>
      <c r="Q280" t="s">
        <v>574</v>
      </c>
      <c r="R280">
        <v>286</v>
      </c>
      <c r="S280" s="672" t="b">
        <f t="shared" si="4"/>
        <v>0</v>
      </c>
      <c r="T280" t="s">
        <v>180</v>
      </c>
    </row>
    <row r="281" spans="1:20" hidden="1">
      <c r="A281" t="s">
        <v>857</v>
      </c>
      <c r="B281" t="s">
        <v>1631</v>
      </c>
      <c r="C281">
        <v>1</v>
      </c>
      <c r="D281">
        <v>1</v>
      </c>
      <c r="E281">
        <v>8</v>
      </c>
      <c r="F281" s="8">
        <v>1</v>
      </c>
      <c r="G281" t="s">
        <v>268</v>
      </c>
      <c r="H281" s="672">
        <v>0</v>
      </c>
      <c r="I281">
        <v>47120000</v>
      </c>
      <c r="J281">
        <v>47120000</v>
      </c>
      <c r="K281">
        <v>0</v>
      </c>
      <c r="L281">
        <v>0</v>
      </c>
      <c r="M281" t="s">
        <v>276</v>
      </c>
      <c r="N281" t="s">
        <v>277</v>
      </c>
      <c r="O281" t="s">
        <v>573</v>
      </c>
      <c r="P281" t="s">
        <v>278</v>
      </c>
      <c r="Q281" t="s">
        <v>574</v>
      </c>
      <c r="R281">
        <v>287</v>
      </c>
      <c r="S281" s="672" t="b">
        <f t="shared" si="4"/>
        <v>0</v>
      </c>
      <c r="T281" t="s">
        <v>180</v>
      </c>
    </row>
    <row r="282" spans="1:20" hidden="1">
      <c r="A282" t="s">
        <v>857</v>
      </c>
      <c r="B282" t="s">
        <v>1632</v>
      </c>
      <c r="C282">
        <v>1</v>
      </c>
      <c r="D282">
        <v>1</v>
      </c>
      <c r="E282">
        <v>10</v>
      </c>
      <c r="F282" s="8">
        <v>1</v>
      </c>
      <c r="G282" t="s">
        <v>268</v>
      </c>
      <c r="H282" s="672">
        <v>0</v>
      </c>
      <c r="I282">
        <v>87500000</v>
      </c>
      <c r="J282">
        <v>87500000</v>
      </c>
      <c r="K282">
        <v>0</v>
      </c>
      <c r="L282">
        <v>0</v>
      </c>
      <c r="M282" t="s">
        <v>276</v>
      </c>
      <c r="N282" t="s">
        <v>277</v>
      </c>
      <c r="O282" t="s">
        <v>573</v>
      </c>
      <c r="P282" t="s">
        <v>278</v>
      </c>
      <c r="Q282" t="s">
        <v>574</v>
      </c>
      <c r="R282">
        <v>288</v>
      </c>
      <c r="S282" s="672" t="b">
        <f t="shared" si="4"/>
        <v>0</v>
      </c>
      <c r="T282" t="s">
        <v>180</v>
      </c>
    </row>
    <row r="283" spans="1:20" hidden="1">
      <c r="A283" t="s">
        <v>857</v>
      </c>
      <c r="B283" t="s">
        <v>1633</v>
      </c>
      <c r="C283">
        <v>1</v>
      </c>
      <c r="D283">
        <v>1</v>
      </c>
      <c r="E283">
        <v>8</v>
      </c>
      <c r="F283" s="8">
        <v>1</v>
      </c>
      <c r="G283" t="s">
        <v>268</v>
      </c>
      <c r="H283" s="672">
        <v>0</v>
      </c>
      <c r="I283">
        <v>39200000</v>
      </c>
      <c r="J283">
        <v>39200000</v>
      </c>
      <c r="K283">
        <v>0</v>
      </c>
      <c r="L283">
        <v>0</v>
      </c>
      <c r="M283" t="s">
        <v>276</v>
      </c>
      <c r="N283" t="s">
        <v>277</v>
      </c>
      <c r="O283" t="s">
        <v>573</v>
      </c>
      <c r="P283" t="s">
        <v>278</v>
      </c>
      <c r="Q283" t="s">
        <v>574</v>
      </c>
      <c r="R283">
        <v>289</v>
      </c>
      <c r="S283" s="672" t="b">
        <f t="shared" si="4"/>
        <v>0</v>
      </c>
      <c r="T283" t="s">
        <v>180</v>
      </c>
    </row>
    <row r="284" spans="1:20" hidden="1">
      <c r="A284" t="s">
        <v>857</v>
      </c>
      <c r="B284" t="s">
        <v>1634</v>
      </c>
      <c r="C284">
        <v>2</v>
      </c>
      <c r="D284">
        <v>2</v>
      </c>
      <c r="E284">
        <v>8</v>
      </c>
      <c r="F284" s="8">
        <v>1</v>
      </c>
      <c r="G284" t="s">
        <v>268</v>
      </c>
      <c r="H284" s="672">
        <v>0</v>
      </c>
      <c r="I284">
        <v>39360000</v>
      </c>
      <c r="J284">
        <v>39360000</v>
      </c>
      <c r="K284">
        <v>0</v>
      </c>
      <c r="L284">
        <v>0</v>
      </c>
      <c r="M284" t="s">
        <v>276</v>
      </c>
      <c r="N284" t="s">
        <v>277</v>
      </c>
      <c r="O284" t="s">
        <v>573</v>
      </c>
      <c r="P284" t="s">
        <v>278</v>
      </c>
      <c r="Q284" t="s">
        <v>574</v>
      </c>
      <c r="R284">
        <v>290</v>
      </c>
      <c r="S284" s="672" t="b">
        <f t="shared" si="4"/>
        <v>0</v>
      </c>
      <c r="T284" t="s">
        <v>180</v>
      </c>
    </row>
    <row r="285" spans="1:20" hidden="1">
      <c r="A285" t="s">
        <v>857</v>
      </c>
      <c r="B285" t="s">
        <v>1635</v>
      </c>
      <c r="C285">
        <v>2</v>
      </c>
      <c r="D285">
        <v>2</v>
      </c>
      <c r="E285">
        <v>8</v>
      </c>
      <c r="F285" s="8">
        <v>1</v>
      </c>
      <c r="G285" t="s">
        <v>268</v>
      </c>
      <c r="H285" s="672">
        <v>0</v>
      </c>
      <c r="I285">
        <v>43040000</v>
      </c>
      <c r="J285">
        <v>43040000</v>
      </c>
      <c r="K285">
        <v>0</v>
      </c>
      <c r="L285">
        <v>0</v>
      </c>
      <c r="M285" t="s">
        <v>276</v>
      </c>
      <c r="N285" t="s">
        <v>277</v>
      </c>
      <c r="O285" t="s">
        <v>573</v>
      </c>
      <c r="P285" t="s">
        <v>278</v>
      </c>
      <c r="Q285" t="s">
        <v>574</v>
      </c>
      <c r="R285">
        <v>291</v>
      </c>
      <c r="S285" s="672" t="b">
        <f t="shared" si="4"/>
        <v>0</v>
      </c>
      <c r="T285" t="s">
        <v>180</v>
      </c>
    </row>
    <row r="286" spans="1:20" hidden="1">
      <c r="A286" t="s">
        <v>857</v>
      </c>
      <c r="B286" t="s">
        <v>1636</v>
      </c>
      <c r="C286">
        <v>2</v>
      </c>
      <c r="D286">
        <v>2</v>
      </c>
      <c r="E286">
        <v>10</v>
      </c>
      <c r="F286" s="8">
        <v>1</v>
      </c>
      <c r="G286" t="s">
        <v>268</v>
      </c>
      <c r="H286" s="672">
        <v>0</v>
      </c>
      <c r="I286">
        <v>66060000</v>
      </c>
      <c r="J286">
        <v>66060000</v>
      </c>
      <c r="K286">
        <v>0</v>
      </c>
      <c r="L286">
        <v>0</v>
      </c>
      <c r="M286" t="s">
        <v>276</v>
      </c>
      <c r="N286" t="s">
        <v>277</v>
      </c>
      <c r="O286" t="s">
        <v>573</v>
      </c>
      <c r="P286" t="s">
        <v>278</v>
      </c>
      <c r="Q286" t="s">
        <v>574</v>
      </c>
      <c r="R286">
        <v>292</v>
      </c>
      <c r="S286" s="672" t="b">
        <f t="shared" si="4"/>
        <v>0</v>
      </c>
      <c r="T286" t="s">
        <v>180</v>
      </c>
    </row>
    <row r="287" spans="1:20" hidden="1">
      <c r="A287" t="s">
        <v>857</v>
      </c>
      <c r="B287" t="s">
        <v>1637</v>
      </c>
      <c r="C287">
        <v>2</v>
      </c>
      <c r="D287">
        <v>2</v>
      </c>
      <c r="E287">
        <v>8</v>
      </c>
      <c r="F287" s="8">
        <v>1</v>
      </c>
      <c r="G287" t="s">
        <v>268</v>
      </c>
      <c r="H287" s="672">
        <v>0</v>
      </c>
      <c r="I287">
        <v>38400000</v>
      </c>
      <c r="J287">
        <v>38400000</v>
      </c>
      <c r="K287">
        <v>0</v>
      </c>
      <c r="L287">
        <v>0</v>
      </c>
      <c r="M287" t="s">
        <v>276</v>
      </c>
      <c r="N287" t="s">
        <v>277</v>
      </c>
      <c r="O287" t="s">
        <v>573</v>
      </c>
      <c r="P287" t="s">
        <v>278</v>
      </c>
      <c r="Q287" t="s">
        <v>574</v>
      </c>
      <c r="R287">
        <v>293</v>
      </c>
      <c r="S287" s="672" t="b">
        <f t="shared" si="4"/>
        <v>0</v>
      </c>
      <c r="T287" t="s">
        <v>180</v>
      </c>
    </row>
    <row r="288" spans="1:20" hidden="1">
      <c r="A288" t="s">
        <v>857</v>
      </c>
      <c r="B288" t="s">
        <v>1638</v>
      </c>
      <c r="C288">
        <v>2</v>
      </c>
      <c r="D288">
        <v>2</v>
      </c>
      <c r="E288">
        <v>8</v>
      </c>
      <c r="F288" s="8">
        <v>1</v>
      </c>
      <c r="G288" t="s">
        <v>268</v>
      </c>
      <c r="H288" s="672">
        <v>0</v>
      </c>
      <c r="I288">
        <v>38400000</v>
      </c>
      <c r="J288">
        <v>38400000</v>
      </c>
      <c r="K288">
        <v>0</v>
      </c>
      <c r="L288">
        <v>0</v>
      </c>
      <c r="M288" t="s">
        <v>276</v>
      </c>
      <c r="N288" t="s">
        <v>277</v>
      </c>
      <c r="O288" t="s">
        <v>573</v>
      </c>
      <c r="P288" t="s">
        <v>278</v>
      </c>
      <c r="Q288" t="s">
        <v>574</v>
      </c>
      <c r="R288">
        <v>294</v>
      </c>
      <c r="S288" s="672" t="b">
        <f t="shared" si="4"/>
        <v>0</v>
      </c>
      <c r="T288" t="s">
        <v>180</v>
      </c>
    </row>
    <row r="289" spans="1:20" hidden="1">
      <c r="A289" t="s">
        <v>857</v>
      </c>
      <c r="B289" t="s">
        <v>1639</v>
      </c>
      <c r="C289">
        <v>2</v>
      </c>
      <c r="D289">
        <v>2</v>
      </c>
      <c r="E289">
        <v>8</v>
      </c>
      <c r="F289" s="8">
        <v>1</v>
      </c>
      <c r="G289" t="s">
        <v>268</v>
      </c>
      <c r="H289" s="672">
        <v>0</v>
      </c>
      <c r="I289">
        <v>38400000</v>
      </c>
      <c r="J289">
        <v>38400000</v>
      </c>
      <c r="K289">
        <v>0</v>
      </c>
      <c r="L289">
        <v>0</v>
      </c>
      <c r="M289" t="s">
        <v>276</v>
      </c>
      <c r="N289" t="s">
        <v>277</v>
      </c>
      <c r="O289" t="s">
        <v>573</v>
      </c>
      <c r="P289" t="s">
        <v>278</v>
      </c>
      <c r="Q289" t="s">
        <v>574</v>
      </c>
      <c r="R289">
        <v>295</v>
      </c>
      <c r="S289" s="672" t="b">
        <f t="shared" si="4"/>
        <v>0</v>
      </c>
      <c r="T289" t="s">
        <v>180</v>
      </c>
    </row>
    <row r="290" spans="1:20" hidden="1">
      <c r="A290" t="s">
        <v>857</v>
      </c>
      <c r="B290" t="s">
        <v>1640</v>
      </c>
      <c r="C290">
        <v>2</v>
      </c>
      <c r="D290">
        <v>2</v>
      </c>
      <c r="E290">
        <v>8</v>
      </c>
      <c r="F290" s="8">
        <v>1</v>
      </c>
      <c r="G290" t="s">
        <v>268</v>
      </c>
      <c r="H290" s="672">
        <v>0</v>
      </c>
      <c r="I290">
        <v>38400000</v>
      </c>
      <c r="J290">
        <v>38400000</v>
      </c>
      <c r="K290">
        <v>0</v>
      </c>
      <c r="L290">
        <v>0</v>
      </c>
      <c r="M290" t="s">
        <v>276</v>
      </c>
      <c r="N290" t="s">
        <v>277</v>
      </c>
      <c r="O290" t="s">
        <v>573</v>
      </c>
      <c r="P290" t="s">
        <v>278</v>
      </c>
      <c r="Q290" t="s">
        <v>574</v>
      </c>
      <c r="R290">
        <v>296</v>
      </c>
      <c r="S290" s="672" t="b">
        <f t="shared" si="4"/>
        <v>0</v>
      </c>
      <c r="T290" t="s">
        <v>180</v>
      </c>
    </row>
    <row r="291" spans="1:20" hidden="1">
      <c r="A291" t="s">
        <v>857</v>
      </c>
      <c r="B291" t="s">
        <v>1641</v>
      </c>
      <c r="C291">
        <v>2</v>
      </c>
      <c r="D291">
        <v>2</v>
      </c>
      <c r="E291">
        <v>8</v>
      </c>
      <c r="F291" s="8">
        <v>1</v>
      </c>
      <c r="G291" t="s">
        <v>268</v>
      </c>
      <c r="H291" s="672">
        <v>0</v>
      </c>
      <c r="I291">
        <v>38400000</v>
      </c>
      <c r="J291">
        <v>38400000</v>
      </c>
      <c r="K291">
        <v>0</v>
      </c>
      <c r="L291">
        <v>0</v>
      </c>
      <c r="M291" t="s">
        <v>276</v>
      </c>
      <c r="N291" t="s">
        <v>277</v>
      </c>
      <c r="O291" t="s">
        <v>573</v>
      </c>
      <c r="P291" t="s">
        <v>278</v>
      </c>
      <c r="Q291" t="s">
        <v>574</v>
      </c>
      <c r="R291">
        <v>297</v>
      </c>
      <c r="S291" s="672" t="b">
        <f t="shared" si="4"/>
        <v>0</v>
      </c>
      <c r="T291" t="s">
        <v>180</v>
      </c>
    </row>
    <row r="292" spans="1:20" hidden="1">
      <c r="A292" t="s">
        <v>857</v>
      </c>
      <c r="B292" t="s">
        <v>1642</v>
      </c>
      <c r="C292">
        <v>2</v>
      </c>
      <c r="D292">
        <v>2</v>
      </c>
      <c r="E292">
        <v>10</v>
      </c>
      <c r="F292" s="8">
        <v>1</v>
      </c>
      <c r="G292" t="s">
        <v>268</v>
      </c>
      <c r="H292" s="672">
        <v>0</v>
      </c>
      <c r="I292">
        <v>66000000</v>
      </c>
      <c r="J292">
        <v>66000000</v>
      </c>
      <c r="K292">
        <v>0</v>
      </c>
      <c r="L292">
        <v>0</v>
      </c>
      <c r="M292" t="s">
        <v>276</v>
      </c>
      <c r="N292" t="s">
        <v>277</v>
      </c>
      <c r="O292" t="s">
        <v>573</v>
      </c>
      <c r="P292" t="s">
        <v>278</v>
      </c>
      <c r="Q292" t="s">
        <v>574</v>
      </c>
      <c r="R292">
        <v>298</v>
      </c>
      <c r="S292" s="672" t="b">
        <f t="shared" si="4"/>
        <v>0</v>
      </c>
      <c r="T292" t="s">
        <v>180</v>
      </c>
    </row>
    <row r="293" spans="1:20" hidden="1">
      <c r="A293" t="s">
        <v>857</v>
      </c>
      <c r="B293" t="s">
        <v>1643</v>
      </c>
      <c r="C293">
        <v>2</v>
      </c>
      <c r="D293">
        <v>2</v>
      </c>
      <c r="E293">
        <v>8</v>
      </c>
      <c r="F293" s="8">
        <v>1</v>
      </c>
      <c r="G293" t="s">
        <v>268</v>
      </c>
      <c r="H293" s="672">
        <v>0</v>
      </c>
      <c r="I293">
        <v>38400000</v>
      </c>
      <c r="J293">
        <v>38400000</v>
      </c>
      <c r="K293">
        <v>0</v>
      </c>
      <c r="L293">
        <v>0</v>
      </c>
      <c r="M293" t="s">
        <v>276</v>
      </c>
      <c r="N293" t="s">
        <v>277</v>
      </c>
      <c r="O293" t="s">
        <v>573</v>
      </c>
      <c r="P293" t="s">
        <v>278</v>
      </c>
      <c r="Q293" t="s">
        <v>574</v>
      </c>
      <c r="R293">
        <v>299</v>
      </c>
      <c r="S293" s="672" t="b">
        <f t="shared" si="4"/>
        <v>0</v>
      </c>
      <c r="T293" t="s">
        <v>180</v>
      </c>
    </row>
    <row r="294" spans="1:20" hidden="1">
      <c r="A294" t="s">
        <v>857</v>
      </c>
      <c r="B294" t="s">
        <v>1644</v>
      </c>
      <c r="C294">
        <v>2</v>
      </c>
      <c r="D294">
        <v>2</v>
      </c>
      <c r="E294">
        <v>8</v>
      </c>
      <c r="F294" s="8">
        <v>1</v>
      </c>
      <c r="G294" t="s">
        <v>268</v>
      </c>
      <c r="H294" s="672">
        <v>0</v>
      </c>
      <c r="I294">
        <v>38400000</v>
      </c>
      <c r="J294">
        <v>38400000</v>
      </c>
      <c r="K294">
        <v>0</v>
      </c>
      <c r="L294">
        <v>0</v>
      </c>
      <c r="M294" t="s">
        <v>276</v>
      </c>
      <c r="N294" t="s">
        <v>277</v>
      </c>
      <c r="O294" t="s">
        <v>573</v>
      </c>
      <c r="P294" t="s">
        <v>278</v>
      </c>
      <c r="Q294" t="s">
        <v>574</v>
      </c>
      <c r="R294">
        <v>300</v>
      </c>
      <c r="S294" s="672" t="b">
        <f t="shared" si="4"/>
        <v>0</v>
      </c>
      <c r="T294" t="s">
        <v>180</v>
      </c>
    </row>
    <row r="295" spans="1:20" hidden="1">
      <c r="A295" t="s">
        <v>857</v>
      </c>
      <c r="B295" t="s">
        <v>1645</v>
      </c>
      <c r="C295">
        <v>2</v>
      </c>
      <c r="D295">
        <v>2</v>
      </c>
      <c r="E295">
        <v>8</v>
      </c>
      <c r="F295" s="8">
        <v>1</v>
      </c>
      <c r="G295" t="s">
        <v>268</v>
      </c>
      <c r="H295" s="672">
        <v>0</v>
      </c>
      <c r="I295">
        <v>38400000</v>
      </c>
      <c r="J295">
        <v>38400000</v>
      </c>
      <c r="K295">
        <v>0</v>
      </c>
      <c r="L295">
        <v>0</v>
      </c>
      <c r="M295" t="s">
        <v>276</v>
      </c>
      <c r="N295" t="s">
        <v>277</v>
      </c>
      <c r="O295" t="s">
        <v>573</v>
      </c>
      <c r="P295" t="s">
        <v>278</v>
      </c>
      <c r="Q295" t="s">
        <v>574</v>
      </c>
      <c r="R295">
        <v>301</v>
      </c>
      <c r="S295" s="672" t="b">
        <f t="shared" si="4"/>
        <v>0</v>
      </c>
      <c r="T295" t="s">
        <v>180</v>
      </c>
    </row>
    <row r="296" spans="1:20" hidden="1">
      <c r="A296" t="s">
        <v>857</v>
      </c>
      <c r="B296" t="s">
        <v>1646</v>
      </c>
      <c r="C296">
        <v>2</v>
      </c>
      <c r="D296">
        <v>2</v>
      </c>
      <c r="E296">
        <v>10</v>
      </c>
      <c r="F296" s="8">
        <v>1</v>
      </c>
      <c r="G296" t="s">
        <v>268</v>
      </c>
      <c r="H296" s="672">
        <v>0</v>
      </c>
      <c r="I296">
        <v>60000000</v>
      </c>
      <c r="J296">
        <v>60000000</v>
      </c>
      <c r="K296">
        <v>0</v>
      </c>
      <c r="L296">
        <v>0</v>
      </c>
      <c r="M296" t="s">
        <v>276</v>
      </c>
      <c r="N296" t="s">
        <v>277</v>
      </c>
      <c r="O296" t="s">
        <v>573</v>
      </c>
      <c r="P296" t="s">
        <v>278</v>
      </c>
      <c r="Q296" t="s">
        <v>574</v>
      </c>
      <c r="R296">
        <v>302</v>
      </c>
      <c r="S296" s="672" t="b">
        <f t="shared" si="4"/>
        <v>0</v>
      </c>
      <c r="T296" t="s">
        <v>180</v>
      </c>
    </row>
    <row r="297" spans="1:20" hidden="1">
      <c r="A297" t="s">
        <v>857</v>
      </c>
      <c r="B297" t="s">
        <v>1647</v>
      </c>
      <c r="C297">
        <v>2</v>
      </c>
      <c r="D297">
        <v>2</v>
      </c>
      <c r="E297">
        <v>8</v>
      </c>
      <c r="F297" s="8">
        <v>1</v>
      </c>
      <c r="G297" t="s">
        <v>268</v>
      </c>
      <c r="H297" s="672">
        <v>0</v>
      </c>
      <c r="I297">
        <v>41600000</v>
      </c>
      <c r="J297">
        <v>41600000</v>
      </c>
      <c r="K297">
        <v>0</v>
      </c>
      <c r="L297">
        <v>0</v>
      </c>
      <c r="M297" t="s">
        <v>276</v>
      </c>
      <c r="N297" t="s">
        <v>277</v>
      </c>
      <c r="O297" t="s">
        <v>573</v>
      </c>
      <c r="P297" t="s">
        <v>278</v>
      </c>
      <c r="Q297" t="s">
        <v>574</v>
      </c>
      <c r="R297">
        <v>303</v>
      </c>
      <c r="S297" s="672" t="b">
        <f t="shared" si="4"/>
        <v>0</v>
      </c>
      <c r="T297" t="s">
        <v>180</v>
      </c>
    </row>
    <row r="298" spans="1:20" hidden="1">
      <c r="A298" t="s">
        <v>857</v>
      </c>
      <c r="B298" t="s">
        <v>1648</v>
      </c>
      <c r="C298">
        <v>2</v>
      </c>
      <c r="D298">
        <v>2</v>
      </c>
      <c r="E298">
        <v>8</v>
      </c>
      <c r="F298" s="8">
        <v>1</v>
      </c>
      <c r="G298" t="s">
        <v>268</v>
      </c>
      <c r="H298" s="672">
        <v>0</v>
      </c>
      <c r="I298">
        <v>41600000</v>
      </c>
      <c r="J298">
        <v>41600000</v>
      </c>
      <c r="K298">
        <v>0</v>
      </c>
      <c r="L298">
        <v>0</v>
      </c>
      <c r="M298" t="s">
        <v>276</v>
      </c>
      <c r="N298" t="s">
        <v>277</v>
      </c>
      <c r="O298" t="s">
        <v>573</v>
      </c>
      <c r="P298" t="s">
        <v>278</v>
      </c>
      <c r="Q298" t="s">
        <v>574</v>
      </c>
      <c r="R298">
        <v>304</v>
      </c>
      <c r="S298" s="672" t="b">
        <f t="shared" si="4"/>
        <v>0</v>
      </c>
      <c r="T298" t="s">
        <v>180</v>
      </c>
    </row>
    <row r="299" spans="1:20" hidden="1">
      <c r="A299" t="s">
        <v>857</v>
      </c>
      <c r="B299" t="s">
        <v>1649</v>
      </c>
      <c r="C299">
        <v>2</v>
      </c>
      <c r="D299">
        <v>2</v>
      </c>
      <c r="E299">
        <v>8</v>
      </c>
      <c r="F299" s="8">
        <v>1</v>
      </c>
      <c r="G299" t="s">
        <v>268</v>
      </c>
      <c r="H299" s="672">
        <v>0</v>
      </c>
      <c r="I299">
        <v>41600000</v>
      </c>
      <c r="J299">
        <v>41600000</v>
      </c>
      <c r="K299">
        <v>0</v>
      </c>
      <c r="L299">
        <v>0</v>
      </c>
      <c r="M299" t="s">
        <v>276</v>
      </c>
      <c r="N299" t="s">
        <v>277</v>
      </c>
      <c r="O299" t="s">
        <v>573</v>
      </c>
      <c r="P299" t="s">
        <v>278</v>
      </c>
      <c r="Q299" t="s">
        <v>574</v>
      </c>
      <c r="R299">
        <v>305</v>
      </c>
      <c r="S299" s="672" t="b">
        <f t="shared" si="4"/>
        <v>0</v>
      </c>
      <c r="T299" t="s">
        <v>180</v>
      </c>
    </row>
    <row r="300" spans="1:20" hidden="1">
      <c r="A300" t="s">
        <v>857</v>
      </c>
      <c r="B300" t="s">
        <v>1650</v>
      </c>
      <c r="C300">
        <v>2</v>
      </c>
      <c r="D300">
        <v>2</v>
      </c>
      <c r="E300">
        <v>10</v>
      </c>
      <c r="F300" s="8">
        <v>1</v>
      </c>
      <c r="G300" t="s">
        <v>268</v>
      </c>
      <c r="H300" s="672">
        <v>0</v>
      </c>
      <c r="I300">
        <v>57000000</v>
      </c>
      <c r="J300">
        <v>57000000</v>
      </c>
      <c r="K300">
        <v>0</v>
      </c>
      <c r="L300">
        <v>0</v>
      </c>
      <c r="M300" t="s">
        <v>276</v>
      </c>
      <c r="N300" t="s">
        <v>277</v>
      </c>
      <c r="O300" t="s">
        <v>573</v>
      </c>
      <c r="P300" t="s">
        <v>278</v>
      </c>
      <c r="Q300" t="s">
        <v>574</v>
      </c>
      <c r="R300">
        <v>306</v>
      </c>
      <c r="S300" s="672" t="b">
        <f t="shared" si="4"/>
        <v>0</v>
      </c>
      <c r="T300" t="s">
        <v>180</v>
      </c>
    </row>
    <row r="301" spans="1:20" hidden="1">
      <c r="A301" t="s">
        <v>857</v>
      </c>
      <c r="B301" t="s">
        <v>1651</v>
      </c>
      <c r="C301">
        <v>2</v>
      </c>
      <c r="D301">
        <v>2</v>
      </c>
      <c r="E301">
        <v>10</v>
      </c>
      <c r="F301" s="8">
        <v>1</v>
      </c>
      <c r="G301" t="s">
        <v>268</v>
      </c>
      <c r="H301" s="672">
        <v>0</v>
      </c>
      <c r="I301">
        <v>66000000</v>
      </c>
      <c r="J301">
        <v>66000000</v>
      </c>
      <c r="K301">
        <v>0</v>
      </c>
      <c r="L301">
        <v>0</v>
      </c>
      <c r="M301" t="s">
        <v>276</v>
      </c>
      <c r="N301" t="s">
        <v>277</v>
      </c>
      <c r="O301" t="s">
        <v>573</v>
      </c>
      <c r="P301" t="s">
        <v>278</v>
      </c>
      <c r="Q301" t="s">
        <v>574</v>
      </c>
      <c r="R301">
        <v>307</v>
      </c>
      <c r="S301" s="672" t="b">
        <f t="shared" si="4"/>
        <v>0</v>
      </c>
      <c r="T301" t="s">
        <v>180</v>
      </c>
    </row>
    <row r="302" spans="1:20" hidden="1">
      <c r="A302" t="s">
        <v>878</v>
      </c>
      <c r="B302" t="s">
        <v>1652</v>
      </c>
      <c r="C302">
        <v>2</v>
      </c>
      <c r="D302">
        <v>2</v>
      </c>
      <c r="E302">
        <v>8</v>
      </c>
      <c r="F302" s="8">
        <v>1</v>
      </c>
      <c r="G302" t="s">
        <v>268</v>
      </c>
      <c r="H302" s="672">
        <v>0</v>
      </c>
      <c r="I302">
        <v>52800000</v>
      </c>
      <c r="J302">
        <v>52800000</v>
      </c>
      <c r="K302">
        <v>0</v>
      </c>
      <c r="L302">
        <v>0</v>
      </c>
      <c r="M302" t="s">
        <v>276</v>
      </c>
      <c r="N302" t="s">
        <v>277</v>
      </c>
      <c r="O302" t="s">
        <v>573</v>
      </c>
      <c r="P302" t="s">
        <v>278</v>
      </c>
      <c r="Q302" t="s">
        <v>574</v>
      </c>
      <c r="R302">
        <v>308</v>
      </c>
      <c r="S302" s="672" t="b">
        <f t="shared" si="4"/>
        <v>0</v>
      </c>
      <c r="T302" t="s">
        <v>180</v>
      </c>
    </row>
    <row r="303" spans="1:20" hidden="1">
      <c r="A303" t="s">
        <v>878</v>
      </c>
      <c r="B303" t="s">
        <v>1653</v>
      </c>
      <c r="C303">
        <v>2</v>
      </c>
      <c r="D303">
        <v>2</v>
      </c>
      <c r="E303">
        <v>8</v>
      </c>
      <c r="F303" s="8">
        <v>1</v>
      </c>
      <c r="G303" t="s">
        <v>268</v>
      </c>
      <c r="H303" s="672">
        <v>0</v>
      </c>
      <c r="I303">
        <v>38720000</v>
      </c>
      <c r="J303">
        <v>38720000</v>
      </c>
      <c r="K303">
        <v>0</v>
      </c>
      <c r="L303">
        <v>0</v>
      </c>
      <c r="M303" t="s">
        <v>276</v>
      </c>
      <c r="N303" t="s">
        <v>277</v>
      </c>
      <c r="O303" t="s">
        <v>573</v>
      </c>
      <c r="P303" t="s">
        <v>278</v>
      </c>
      <c r="Q303" t="s">
        <v>574</v>
      </c>
      <c r="R303">
        <v>309</v>
      </c>
      <c r="S303" s="672" t="b">
        <f t="shared" si="4"/>
        <v>0</v>
      </c>
      <c r="T303" t="s">
        <v>180</v>
      </c>
    </row>
    <row r="304" spans="1:20" hidden="1">
      <c r="A304" t="s">
        <v>857</v>
      </c>
      <c r="B304" t="s">
        <v>1654</v>
      </c>
      <c r="C304">
        <v>1</v>
      </c>
      <c r="D304">
        <v>1</v>
      </c>
      <c r="E304">
        <v>11</v>
      </c>
      <c r="F304" s="8">
        <v>1</v>
      </c>
      <c r="G304" t="s">
        <v>268</v>
      </c>
      <c r="H304" s="672">
        <v>0</v>
      </c>
      <c r="I304">
        <v>51810000</v>
      </c>
      <c r="J304">
        <v>51810000</v>
      </c>
      <c r="K304">
        <v>0</v>
      </c>
      <c r="L304">
        <v>0</v>
      </c>
      <c r="M304" t="s">
        <v>276</v>
      </c>
      <c r="N304" t="s">
        <v>277</v>
      </c>
      <c r="O304" t="s">
        <v>573</v>
      </c>
      <c r="P304" t="s">
        <v>278</v>
      </c>
      <c r="Q304" t="s">
        <v>574</v>
      </c>
      <c r="R304">
        <v>310</v>
      </c>
      <c r="S304" s="672" t="b">
        <f t="shared" si="4"/>
        <v>0</v>
      </c>
      <c r="T304" t="s">
        <v>180</v>
      </c>
    </row>
    <row r="305" spans="1:20" hidden="1">
      <c r="A305" t="s">
        <v>880</v>
      </c>
      <c r="B305" t="s">
        <v>1655</v>
      </c>
      <c r="C305">
        <v>5</v>
      </c>
      <c r="D305">
        <v>5</v>
      </c>
      <c r="E305">
        <v>4</v>
      </c>
      <c r="F305" s="8">
        <v>1</v>
      </c>
      <c r="G305" t="s">
        <v>264</v>
      </c>
      <c r="H305" s="672">
        <v>0</v>
      </c>
      <c r="I305">
        <v>100000000</v>
      </c>
      <c r="J305">
        <v>100000000</v>
      </c>
      <c r="K305">
        <v>0</v>
      </c>
      <c r="L305">
        <v>0</v>
      </c>
      <c r="M305" t="s">
        <v>276</v>
      </c>
      <c r="N305" t="s">
        <v>277</v>
      </c>
      <c r="O305" t="s">
        <v>573</v>
      </c>
      <c r="P305" t="s">
        <v>278</v>
      </c>
      <c r="Q305" t="s">
        <v>574</v>
      </c>
      <c r="R305">
        <v>311</v>
      </c>
      <c r="S305" s="672" t="b">
        <f t="shared" si="4"/>
        <v>0</v>
      </c>
      <c r="T305" t="s">
        <v>180</v>
      </c>
    </row>
    <row r="306" spans="1:20" hidden="1">
      <c r="A306" t="s">
        <v>880</v>
      </c>
      <c r="B306" t="s">
        <v>1656</v>
      </c>
      <c r="C306">
        <v>5</v>
      </c>
      <c r="D306">
        <v>5</v>
      </c>
      <c r="E306">
        <v>3</v>
      </c>
      <c r="F306" s="8">
        <v>1</v>
      </c>
      <c r="G306" t="s">
        <v>257</v>
      </c>
      <c r="H306" s="672">
        <v>0</v>
      </c>
      <c r="I306">
        <v>248000000</v>
      </c>
      <c r="J306">
        <v>248000000</v>
      </c>
      <c r="K306">
        <v>0</v>
      </c>
      <c r="L306">
        <v>0</v>
      </c>
      <c r="M306" t="s">
        <v>276</v>
      </c>
      <c r="N306" t="s">
        <v>277</v>
      </c>
      <c r="O306" t="s">
        <v>573</v>
      </c>
      <c r="P306" t="s">
        <v>278</v>
      </c>
      <c r="Q306" t="s">
        <v>574</v>
      </c>
      <c r="R306">
        <v>312</v>
      </c>
      <c r="S306" s="672" t="b">
        <f t="shared" si="4"/>
        <v>0</v>
      </c>
      <c r="T306" t="s">
        <v>180</v>
      </c>
    </row>
    <row r="307" spans="1:20" hidden="1">
      <c r="A307" t="s">
        <v>883</v>
      </c>
      <c r="B307" t="s">
        <v>1657</v>
      </c>
      <c r="C307">
        <v>5</v>
      </c>
      <c r="D307">
        <v>5</v>
      </c>
      <c r="E307">
        <v>4</v>
      </c>
      <c r="F307" s="8">
        <v>1</v>
      </c>
      <c r="G307" t="s">
        <v>268</v>
      </c>
      <c r="H307" s="672">
        <v>0</v>
      </c>
      <c r="I307">
        <v>22000000</v>
      </c>
      <c r="J307">
        <v>22000000</v>
      </c>
      <c r="K307">
        <v>0</v>
      </c>
      <c r="L307">
        <v>0</v>
      </c>
      <c r="M307" t="s">
        <v>276</v>
      </c>
      <c r="N307" t="s">
        <v>277</v>
      </c>
      <c r="O307" t="s">
        <v>573</v>
      </c>
      <c r="P307" t="s">
        <v>278</v>
      </c>
      <c r="Q307" t="s">
        <v>574</v>
      </c>
      <c r="R307">
        <v>313</v>
      </c>
      <c r="S307" s="672" t="b">
        <f t="shared" si="4"/>
        <v>0</v>
      </c>
      <c r="T307" t="s">
        <v>180</v>
      </c>
    </row>
    <row r="308" spans="1:20" hidden="1">
      <c r="A308" t="s">
        <v>880</v>
      </c>
      <c r="B308" t="s">
        <v>1658</v>
      </c>
      <c r="C308">
        <v>5</v>
      </c>
      <c r="D308">
        <v>5</v>
      </c>
      <c r="E308">
        <v>2</v>
      </c>
      <c r="F308" s="8">
        <v>1</v>
      </c>
      <c r="G308" t="s">
        <v>261</v>
      </c>
      <c r="H308" s="672">
        <v>0</v>
      </c>
      <c r="I308">
        <v>60000000</v>
      </c>
      <c r="J308">
        <v>60000000</v>
      </c>
      <c r="K308">
        <v>0</v>
      </c>
      <c r="L308">
        <v>0</v>
      </c>
      <c r="M308" t="s">
        <v>276</v>
      </c>
      <c r="N308" t="s">
        <v>277</v>
      </c>
      <c r="O308" t="s">
        <v>573</v>
      </c>
      <c r="P308" t="s">
        <v>278</v>
      </c>
      <c r="Q308" t="s">
        <v>574</v>
      </c>
      <c r="R308">
        <v>314</v>
      </c>
      <c r="S308" s="672" t="b">
        <f t="shared" si="4"/>
        <v>0</v>
      </c>
      <c r="T308" t="s">
        <v>180</v>
      </c>
    </row>
    <row r="309" spans="1:20">
      <c r="A309" t="s">
        <v>886</v>
      </c>
      <c r="B309" t="s">
        <v>1659</v>
      </c>
      <c r="C309">
        <v>3</v>
      </c>
      <c r="D309">
        <v>3</v>
      </c>
      <c r="E309">
        <v>4</v>
      </c>
      <c r="F309" s="8">
        <v>1</v>
      </c>
      <c r="G309" t="s">
        <v>257</v>
      </c>
      <c r="H309" s="672">
        <v>0</v>
      </c>
      <c r="I309">
        <v>714166680</v>
      </c>
      <c r="J309">
        <v>714166680</v>
      </c>
      <c r="K309">
        <v>0</v>
      </c>
      <c r="L309">
        <v>0</v>
      </c>
      <c r="M309" t="s">
        <v>276</v>
      </c>
      <c r="N309" t="s">
        <v>277</v>
      </c>
      <c r="O309" t="s">
        <v>573</v>
      </c>
      <c r="P309" t="s">
        <v>278</v>
      </c>
      <c r="Q309" t="s">
        <v>574</v>
      </c>
      <c r="R309">
        <v>315</v>
      </c>
      <c r="S309" s="672" t="b">
        <f t="shared" si="4"/>
        <v>0</v>
      </c>
      <c r="T309" t="s">
        <v>180</v>
      </c>
    </row>
    <row r="310" spans="1:20">
      <c r="A310" t="s">
        <v>889</v>
      </c>
      <c r="B310" t="s">
        <v>1660</v>
      </c>
      <c r="C310">
        <v>3</v>
      </c>
      <c r="D310">
        <v>3</v>
      </c>
      <c r="E310">
        <v>5</v>
      </c>
      <c r="F310" s="8">
        <v>1</v>
      </c>
      <c r="G310" t="s">
        <v>261</v>
      </c>
      <c r="H310" s="672">
        <v>0</v>
      </c>
      <c r="I310">
        <v>142833320</v>
      </c>
      <c r="J310">
        <v>142833320</v>
      </c>
      <c r="K310">
        <v>0</v>
      </c>
      <c r="L310">
        <v>0</v>
      </c>
      <c r="M310" t="s">
        <v>276</v>
      </c>
      <c r="N310" t="s">
        <v>277</v>
      </c>
      <c r="O310" t="s">
        <v>573</v>
      </c>
      <c r="P310" t="s">
        <v>278</v>
      </c>
      <c r="Q310" t="s">
        <v>574</v>
      </c>
      <c r="R310">
        <v>316</v>
      </c>
      <c r="S310" s="672" t="b">
        <f t="shared" si="4"/>
        <v>0</v>
      </c>
      <c r="T310" t="s">
        <v>180</v>
      </c>
    </row>
    <row r="311" spans="1:20" s="709" customFormat="1" hidden="1">
      <c r="A311" s="709" t="s">
        <v>891</v>
      </c>
      <c r="B311" s="709" t="s">
        <v>1661</v>
      </c>
      <c r="C311" s="709">
        <v>4</v>
      </c>
      <c r="D311" s="709">
        <v>4</v>
      </c>
      <c r="E311" s="709">
        <v>10</v>
      </c>
      <c r="F311" s="711">
        <v>1</v>
      </c>
      <c r="G311" s="709" t="s">
        <v>257</v>
      </c>
      <c r="H311" s="709">
        <v>0</v>
      </c>
      <c r="I311" s="709">
        <v>5146153868</v>
      </c>
      <c r="J311" s="709">
        <v>5146153868</v>
      </c>
      <c r="K311" s="709">
        <v>0</v>
      </c>
      <c r="L311" s="709">
        <v>0</v>
      </c>
      <c r="M311" s="709" t="s">
        <v>276</v>
      </c>
      <c r="N311" s="709" t="s">
        <v>277</v>
      </c>
      <c r="O311" s="709" t="s">
        <v>573</v>
      </c>
      <c r="P311" s="709" t="s">
        <v>278</v>
      </c>
      <c r="Q311" s="709" t="s">
        <v>574</v>
      </c>
      <c r="R311" s="709">
        <v>317</v>
      </c>
      <c r="S311" s="709" t="b">
        <f t="shared" si="4"/>
        <v>0</v>
      </c>
      <c r="T311" s="709" t="s">
        <v>180</v>
      </c>
    </row>
    <row r="312" spans="1:20" hidden="1">
      <c r="A312" t="s">
        <v>891</v>
      </c>
      <c r="B312" t="s">
        <v>1662</v>
      </c>
      <c r="C312">
        <v>1</v>
      </c>
      <c r="D312">
        <v>1</v>
      </c>
      <c r="E312">
        <v>3</v>
      </c>
      <c r="F312" s="8">
        <v>1</v>
      </c>
      <c r="G312" t="s">
        <v>268</v>
      </c>
      <c r="H312" s="672">
        <v>0</v>
      </c>
      <c r="I312">
        <v>15846132</v>
      </c>
      <c r="J312">
        <v>15846132</v>
      </c>
      <c r="K312">
        <v>0</v>
      </c>
      <c r="L312">
        <v>0</v>
      </c>
      <c r="M312" t="s">
        <v>276</v>
      </c>
      <c r="N312" t="s">
        <v>277</v>
      </c>
      <c r="O312" t="s">
        <v>573</v>
      </c>
      <c r="P312" t="s">
        <v>278</v>
      </c>
      <c r="Q312" t="s">
        <v>574</v>
      </c>
      <c r="R312">
        <v>318</v>
      </c>
      <c r="S312" s="672" t="e">
        <f>+R312=#REF!</f>
        <v>#REF!</v>
      </c>
      <c r="T312" t="s">
        <v>180</v>
      </c>
    </row>
    <row r="313" spans="1:20" hidden="1">
      <c r="A313" t="s">
        <v>895</v>
      </c>
      <c r="B313" t="s">
        <v>1663</v>
      </c>
      <c r="C313">
        <v>4</v>
      </c>
      <c r="D313">
        <v>4</v>
      </c>
      <c r="E313">
        <v>11</v>
      </c>
      <c r="F313" s="8">
        <v>1</v>
      </c>
      <c r="G313" t="s">
        <v>261</v>
      </c>
      <c r="H313" s="672">
        <v>0</v>
      </c>
      <c r="I313">
        <v>832000000</v>
      </c>
      <c r="J313">
        <v>832000000</v>
      </c>
      <c r="K313">
        <v>0</v>
      </c>
      <c r="L313">
        <v>0</v>
      </c>
      <c r="M313" t="s">
        <v>276</v>
      </c>
      <c r="N313" t="s">
        <v>277</v>
      </c>
      <c r="O313" t="s">
        <v>573</v>
      </c>
      <c r="P313" t="s">
        <v>278</v>
      </c>
      <c r="Q313" t="s">
        <v>574</v>
      </c>
      <c r="R313">
        <v>319</v>
      </c>
      <c r="S313" s="672" t="b">
        <f t="shared" ref="S313:S374" si="5">+R313=R312</f>
        <v>0</v>
      </c>
      <c r="T313" t="s">
        <v>180</v>
      </c>
    </row>
    <row r="314" spans="1:20" hidden="1">
      <c r="A314" t="s">
        <v>886</v>
      </c>
      <c r="B314" t="s">
        <v>1664</v>
      </c>
      <c r="C314">
        <v>5</v>
      </c>
      <c r="D314">
        <v>5</v>
      </c>
      <c r="E314">
        <v>8</v>
      </c>
      <c r="F314" s="8">
        <v>1</v>
      </c>
      <c r="G314" t="s">
        <v>257</v>
      </c>
      <c r="H314" s="672">
        <v>0</v>
      </c>
      <c r="I314">
        <v>417804600</v>
      </c>
      <c r="J314">
        <v>417804600</v>
      </c>
      <c r="K314">
        <v>0</v>
      </c>
      <c r="L314">
        <v>0</v>
      </c>
      <c r="M314" t="s">
        <v>276</v>
      </c>
      <c r="N314" t="s">
        <v>277</v>
      </c>
      <c r="O314" t="s">
        <v>573</v>
      </c>
      <c r="P314" t="s">
        <v>278</v>
      </c>
      <c r="Q314" t="s">
        <v>574</v>
      </c>
      <c r="R314">
        <v>320</v>
      </c>
      <c r="S314" s="672" t="b">
        <f t="shared" si="5"/>
        <v>0</v>
      </c>
      <c r="T314" t="s">
        <v>180</v>
      </c>
    </row>
    <row r="315" spans="1:20" hidden="1">
      <c r="A315" t="s">
        <v>899</v>
      </c>
      <c r="B315" t="s">
        <v>1665</v>
      </c>
      <c r="C315">
        <v>5</v>
      </c>
      <c r="D315">
        <v>5</v>
      </c>
      <c r="E315">
        <v>9</v>
      </c>
      <c r="F315" s="8">
        <v>1</v>
      </c>
      <c r="G315" t="s">
        <v>261</v>
      </c>
      <c r="H315" s="672">
        <v>0</v>
      </c>
      <c r="I315">
        <v>76195399</v>
      </c>
      <c r="J315">
        <v>76195399</v>
      </c>
      <c r="K315">
        <v>0</v>
      </c>
      <c r="L315">
        <v>0</v>
      </c>
      <c r="M315" t="s">
        <v>276</v>
      </c>
      <c r="N315" t="s">
        <v>277</v>
      </c>
      <c r="O315" t="s">
        <v>573</v>
      </c>
      <c r="P315" t="s">
        <v>278</v>
      </c>
      <c r="Q315" t="s">
        <v>574</v>
      </c>
      <c r="R315">
        <v>321</v>
      </c>
      <c r="S315" s="672" t="b">
        <f t="shared" si="5"/>
        <v>0</v>
      </c>
      <c r="T315" t="s">
        <v>180</v>
      </c>
    </row>
    <row r="316" spans="1:20" hidden="1">
      <c r="A316" t="s">
        <v>880</v>
      </c>
      <c r="B316" t="s">
        <v>1666</v>
      </c>
      <c r="C316">
        <v>6</v>
      </c>
      <c r="D316">
        <v>6</v>
      </c>
      <c r="E316">
        <v>6</v>
      </c>
      <c r="F316" s="8">
        <v>1</v>
      </c>
      <c r="G316" t="s">
        <v>257</v>
      </c>
      <c r="H316" s="672">
        <v>0</v>
      </c>
      <c r="I316">
        <v>330900000</v>
      </c>
      <c r="J316">
        <v>330900000</v>
      </c>
      <c r="K316">
        <v>0</v>
      </c>
      <c r="L316">
        <v>0</v>
      </c>
      <c r="M316" t="s">
        <v>276</v>
      </c>
      <c r="N316" t="s">
        <v>277</v>
      </c>
      <c r="O316" t="s">
        <v>573</v>
      </c>
      <c r="P316" t="s">
        <v>278</v>
      </c>
      <c r="Q316" t="s">
        <v>574</v>
      </c>
      <c r="R316">
        <v>322</v>
      </c>
      <c r="S316" s="672" t="b">
        <f t="shared" si="5"/>
        <v>0</v>
      </c>
      <c r="T316" t="s">
        <v>180</v>
      </c>
    </row>
    <row r="317" spans="1:20" hidden="1">
      <c r="A317" t="s">
        <v>895</v>
      </c>
      <c r="B317" t="s">
        <v>1667</v>
      </c>
      <c r="C317">
        <v>6</v>
      </c>
      <c r="D317">
        <v>6</v>
      </c>
      <c r="E317">
        <v>7</v>
      </c>
      <c r="F317" s="8">
        <v>1</v>
      </c>
      <c r="G317" t="s">
        <v>261</v>
      </c>
      <c r="H317" s="672">
        <v>0</v>
      </c>
      <c r="I317">
        <v>66100000</v>
      </c>
      <c r="J317">
        <v>66100000</v>
      </c>
      <c r="K317">
        <v>0</v>
      </c>
      <c r="L317">
        <v>0</v>
      </c>
      <c r="M317" t="s">
        <v>276</v>
      </c>
      <c r="N317" t="s">
        <v>277</v>
      </c>
      <c r="O317" t="s">
        <v>573</v>
      </c>
      <c r="P317" t="s">
        <v>278</v>
      </c>
      <c r="Q317" t="s">
        <v>574</v>
      </c>
      <c r="R317">
        <v>323</v>
      </c>
      <c r="S317" s="672" t="b">
        <f t="shared" si="5"/>
        <v>0</v>
      </c>
      <c r="T317" t="s">
        <v>180</v>
      </c>
    </row>
    <row r="318" spans="1:20" hidden="1">
      <c r="A318" t="s">
        <v>905</v>
      </c>
      <c r="B318" t="s">
        <v>1668</v>
      </c>
      <c r="C318">
        <v>2</v>
      </c>
      <c r="D318">
        <v>2</v>
      </c>
      <c r="E318">
        <v>4</v>
      </c>
      <c r="F318" s="8">
        <v>1</v>
      </c>
      <c r="G318" t="s">
        <v>261</v>
      </c>
      <c r="H318" s="672">
        <v>0</v>
      </c>
      <c r="I318">
        <v>100000000</v>
      </c>
      <c r="J318">
        <v>100000000</v>
      </c>
      <c r="K318">
        <v>0</v>
      </c>
      <c r="L318">
        <v>0</v>
      </c>
      <c r="M318" t="s">
        <v>276</v>
      </c>
      <c r="N318" t="s">
        <v>277</v>
      </c>
      <c r="O318" t="s">
        <v>573</v>
      </c>
      <c r="P318" t="s">
        <v>278</v>
      </c>
      <c r="Q318" t="s">
        <v>574</v>
      </c>
      <c r="R318">
        <v>324</v>
      </c>
      <c r="S318" s="672" t="b">
        <f t="shared" si="5"/>
        <v>0</v>
      </c>
      <c r="T318" t="s">
        <v>180</v>
      </c>
    </row>
    <row r="319" spans="1:20" hidden="1">
      <c r="A319" t="s">
        <v>907</v>
      </c>
      <c r="B319" t="s">
        <v>1669</v>
      </c>
      <c r="C319">
        <v>4</v>
      </c>
      <c r="D319">
        <v>4</v>
      </c>
      <c r="E319">
        <v>5</v>
      </c>
      <c r="F319" s="8">
        <v>1</v>
      </c>
      <c r="G319" t="s">
        <v>261</v>
      </c>
      <c r="H319" s="672">
        <v>0</v>
      </c>
      <c r="I319">
        <v>350000000</v>
      </c>
      <c r="J319">
        <v>350000000</v>
      </c>
      <c r="K319">
        <v>0</v>
      </c>
      <c r="L319">
        <v>0</v>
      </c>
      <c r="M319" t="s">
        <v>276</v>
      </c>
      <c r="N319" t="s">
        <v>277</v>
      </c>
      <c r="O319" t="s">
        <v>573</v>
      </c>
      <c r="P319" t="s">
        <v>278</v>
      </c>
      <c r="Q319" t="s">
        <v>574</v>
      </c>
      <c r="R319">
        <v>325</v>
      </c>
      <c r="S319" s="672" t="b">
        <f t="shared" si="5"/>
        <v>0</v>
      </c>
      <c r="T319" t="s">
        <v>180</v>
      </c>
    </row>
    <row r="320" spans="1:20" hidden="1">
      <c r="A320" t="s">
        <v>899</v>
      </c>
      <c r="B320" t="s">
        <v>1670</v>
      </c>
      <c r="C320">
        <v>5</v>
      </c>
      <c r="D320">
        <v>5</v>
      </c>
      <c r="E320">
        <v>7</v>
      </c>
      <c r="F320" s="8">
        <v>1</v>
      </c>
      <c r="G320" t="s">
        <v>257</v>
      </c>
      <c r="H320" s="672">
        <v>0</v>
      </c>
      <c r="I320">
        <v>600000000</v>
      </c>
      <c r="J320">
        <v>600000000</v>
      </c>
      <c r="K320">
        <v>0</v>
      </c>
      <c r="L320">
        <v>0</v>
      </c>
      <c r="M320" t="s">
        <v>276</v>
      </c>
      <c r="N320" t="s">
        <v>277</v>
      </c>
      <c r="O320" t="s">
        <v>573</v>
      </c>
      <c r="P320" t="s">
        <v>278</v>
      </c>
      <c r="Q320" t="s">
        <v>574</v>
      </c>
      <c r="R320">
        <v>326</v>
      </c>
      <c r="S320" s="672" t="b">
        <f t="shared" si="5"/>
        <v>0</v>
      </c>
      <c r="T320" t="s">
        <v>180</v>
      </c>
    </row>
    <row r="321" spans="1:20" hidden="1">
      <c r="A321" t="s">
        <v>895</v>
      </c>
      <c r="B321" t="s">
        <v>1671</v>
      </c>
      <c r="C321">
        <v>5</v>
      </c>
      <c r="D321">
        <v>5</v>
      </c>
      <c r="E321">
        <v>8</v>
      </c>
      <c r="F321" s="8">
        <v>1</v>
      </c>
      <c r="G321" t="s">
        <v>261</v>
      </c>
      <c r="H321" s="672">
        <v>0</v>
      </c>
      <c r="I321">
        <v>160000000</v>
      </c>
      <c r="J321">
        <v>160000000</v>
      </c>
      <c r="K321">
        <v>0</v>
      </c>
      <c r="L321">
        <v>0</v>
      </c>
      <c r="M321" t="s">
        <v>276</v>
      </c>
      <c r="N321" t="s">
        <v>277</v>
      </c>
      <c r="O321" t="s">
        <v>573</v>
      </c>
      <c r="P321" t="s">
        <v>278</v>
      </c>
      <c r="Q321" t="s">
        <v>574</v>
      </c>
      <c r="R321">
        <v>327</v>
      </c>
      <c r="S321" s="672" t="b">
        <f t="shared" si="5"/>
        <v>0</v>
      </c>
      <c r="T321" t="s">
        <v>180</v>
      </c>
    </row>
    <row r="322" spans="1:20" hidden="1">
      <c r="A322" t="s">
        <v>911</v>
      </c>
      <c r="B322" t="s">
        <v>1672</v>
      </c>
      <c r="C322">
        <v>2</v>
      </c>
      <c r="D322">
        <v>2</v>
      </c>
      <c r="E322">
        <v>9</v>
      </c>
      <c r="F322" s="8">
        <v>1</v>
      </c>
      <c r="G322" t="s">
        <v>265</v>
      </c>
      <c r="H322" s="672">
        <v>0</v>
      </c>
      <c r="I322">
        <v>30000000</v>
      </c>
      <c r="J322">
        <v>30000000</v>
      </c>
      <c r="K322">
        <v>0</v>
      </c>
      <c r="L322">
        <v>0</v>
      </c>
      <c r="M322" t="s">
        <v>276</v>
      </c>
      <c r="N322" t="s">
        <v>277</v>
      </c>
      <c r="O322" t="s">
        <v>573</v>
      </c>
      <c r="P322" t="s">
        <v>278</v>
      </c>
      <c r="Q322" t="s">
        <v>574</v>
      </c>
      <c r="R322">
        <v>328</v>
      </c>
      <c r="S322" s="672" t="b">
        <f t="shared" si="5"/>
        <v>0</v>
      </c>
      <c r="T322" t="s">
        <v>180</v>
      </c>
    </row>
    <row r="323" spans="1:20" hidden="1">
      <c r="A323" t="s">
        <v>913</v>
      </c>
      <c r="B323" t="s">
        <v>1673</v>
      </c>
      <c r="C323">
        <v>2</v>
      </c>
      <c r="D323">
        <v>2</v>
      </c>
      <c r="E323">
        <v>9</v>
      </c>
      <c r="F323" s="8">
        <v>1</v>
      </c>
      <c r="G323" t="s">
        <v>265</v>
      </c>
      <c r="H323" s="672">
        <v>0</v>
      </c>
      <c r="I323">
        <v>170048947</v>
      </c>
      <c r="J323">
        <v>170048947</v>
      </c>
      <c r="K323">
        <v>0</v>
      </c>
      <c r="L323">
        <v>0</v>
      </c>
      <c r="M323" t="s">
        <v>276</v>
      </c>
      <c r="N323" t="s">
        <v>277</v>
      </c>
      <c r="O323" t="s">
        <v>573</v>
      </c>
      <c r="P323" t="s">
        <v>278</v>
      </c>
      <c r="Q323" t="s">
        <v>574</v>
      </c>
      <c r="R323">
        <v>329</v>
      </c>
      <c r="S323" s="672" t="b">
        <f t="shared" si="5"/>
        <v>0</v>
      </c>
      <c r="T323" t="s">
        <v>180</v>
      </c>
    </row>
    <row r="324" spans="1:20" hidden="1">
      <c r="A324" t="s">
        <v>914</v>
      </c>
      <c r="B324" t="s">
        <v>1674</v>
      </c>
      <c r="C324">
        <v>1</v>
      </c>
      <c r="D324">
        <v>1</v>
      </c>
      <c r="E324">
        <v>11</v>
      </c>
      <c r="F324" s="8">
        <v>1</v>
      </c>
      <c r="G324" t="s">
        <v>268</v>
      </c>
      <c r="H324" s="672">
        <v>0</v>
      </c>
      <c r="I324">
        <v>35640000</v>
      </c>
      <c r="J324">
        <v>35640000</v>
      </c>
      <c r="K324">
        <v>0</v>
      </c>
      <c r="L324">
        <v>0</v>
      </c>
      <c r="M324" t="s">
        <v>276</v>
      </c>
      <c r="N324" t="s">
        <v>277</v>
      </c>
      <c r="O324" t="s">
        <v>573</v>
      </c>
      <c r="P324" t="s">
        <v>278</v>
      </c>
      <c r="Q324" t="s">
        <v>574</v>
      </c>
      <c r="R324">
        <v>330</v>
      </c>
      <c r="S324" s="672" t="b">
        <f t="shared" si="5"/>
        <v>0</v>
      </c>
      <c r="T324" t="s">
        <v>180</v>
      </c>
    </row>
    <row r="325" spans="1:20" hidden="1">
      <c r="A325" t="s">
        <v>916</v>
      </c>
      <c r="B325" t="s">
        <v>1675</v>
      </c>
      <c r="C325">
        <v>1</v>
      </c>
      <c r="D325">
        <v>1</v>
      </c>
      <c r="E325">
        <v>11</v>
      </c>
      <c r="F325" s="8">
        <v>1</v>
      </c>
      <c r="G325" t="s">
        <v>268</v>
      </c>
      <c r="H325" s="672">
        <v>0</v>
      </c>
      <c r="I325">
        <v>32120000</v>
      </c>
      <c r="J325">
        <v>32120000</v>
      </c>
      <c r="K325">
        <v>0</v>
      </c>
      <c r="L325">
        <v>0</v>
      </c>
      <c r="M325" t="s">
        <v>276</v>
      </c>
      <c r="N325" t="s">
        <v>277</v>
      </c>
      <c r="O325" t="s">
        <v>573</v>
      </c>
      <c r="P325" t="s">
        <v>278</v>
      </c>
      <c r="Q325" t="s">
        <v>574</v>
      </c>
      <c r="R325">
        <v>331</v>
      </c>
      <c r="S325" s="672" t="b">
        <f t="shared" si="5"/>
        <v>0</v>
      </c>
      <c r="T325" t="s">
        <v>180</v>
      </c>
    </row>
    <row r="326" spans="1:20" hidden="1">
      <c r="A326" t="s">
        <v>918</v>
      </c>
      <c r="B326" t="s">
        <v>1676</v>
      </c>
      <c r="C326">
        <v>1</v>
      </c>
      <c r="D326">
        <v>1</v>
      </c>
      <c r="E326">
        <v>11</v>
      </c>
      <c r="F326" s="8">
        <v>1</v>
      </c>
      <c r="G326" t="s">
        <v>268</v>
      </c>
      <c r="H326" s="672">
        <v>0</v>
      </c>
      <c r="I326">
        <v>28930000</v>
      </c>
      <c r="J326">
        <v>28930000</v>
      </c>
      <c r="K326">
        <v>0</v>
      </c>
      <c r="L326">
        <v>0</v>
      </c>
      <c r="M326" t="s">
        <v>276</v>
      </c>
      <c r="N326" t="s">
        <v>277</v>
      </c>
      <c r="O326" t="s">
        <v>573</v>
      </c>
      <c r="P326" t="s">
        <v>278</v>
      </c>
      <c r="Q326" t="s">
        <v>574</v>
      </c>
      <c r="R326">
        <v>332</v>
      </c>
      <c r="S326" s="672" t="b">
        <f t="shared" si="5"/>
        <v>0</v>
      </c>
      <c r="T326" t="s">
        <v>180</v>
      </c>
    </row>
    <row r="327" spans="1:20" hidden="1">
      <c r="A327" t="s">
        <v>918</v>
      </c>
      <c r="B327" t="s">
        <v>1677</v>
      </c>
      <c r="C327">
        <v>1</v>
      </c>
      <c r="D327">
        <v>1</v>
      </c>
      <c r="E327">
        <v>11</v>
      </c>
      <c r="F327" s="8">
        <v>1</v>
      </c>
      <c r="G327" t="s">
        <v>268</v>
      </c>
      <c r="H327" s="672">
        <v>0</v>
      </c>
      <c r="I327">
        <v>28930000</v>
      </c>
      <c r="J327">
        <v>28930000</v>
      </c>
      <c r="K327">
        <v>0</v>
      </c>
      <c r="L327">
        <v>0</v>
      </c>
      <c r="M327" t="s">
        <v>276</v>
      </c>
      <c r="N327" t="s">
        <v>277</v>
      </c>
      <c r="O327" t="s">
        <v>573</v>
      </c>
      <c r="P327" t="s">
        <v>278</v>
      </c>
      <c r="Q327" t="s">
        <v>574</v>
      </c>
      <c r="R327">
        <v>333</v>
      </c>
      <c r="S327" s="672" t="b">
        <f t="shared" si="5"/>
        <v>0</v>
      </c>
      <c r="T327" t="s">
        <v>180</v>
      </c>
    </row>
    <row r="328" spans="1:20" hidden="1">
      <c r="A328" t="s">
        <v>918</v>
      </c>
      <c r="B328" t="s">
        <v>1678</v>
      </c>
      <c r="C328">
        <v>1</v>
      </c>
      <c r="D328">
        <v>1</v>
      </c>
      <c r="E328">
        <v>11</v>
      </c>
      <c r="F328" s="8">
        <v>1</v>
      </c>
      <c r="G328" t="s">
        <v>268</v>
      </c>
      <c r="H328" s="672">
        <v>0</v>
      </c>
      <c r="I328">
        <v>21670000</v>
      </c>
      <c r="J328">
        <v>21670000</v>
      </c>
      <c r="K328">
        <v>0</v>
      </c>
      <c r="L328">
        <v>0</v>
      </c>
      <c r="M328" t="s">
        <v>276</v>
      </c>
      <c r="N328" t="s">
        <v>277</v>
      </c>
      <c r="O328" t="s">
        <v>573</v>
      </c>
      <c r="P328" t="s">
        <v>278</v>
      </c>
      <c r="Q328" t="s">
        <v>574</v>
      </c>
      <c r="R328">
        <v>334</v>
      </c>
      <c r="S328" s="672" t="b">
        <f t="shared" si="5"/>
        <v>0</v>
      </c>
      <c r="T328" t="s">
        <v>180</v>
      </c>
    </row>
    <row r="329" spans="1:20" hidden="1">
      <c r="A329" t="s">
        <v>918</v>
      </c>
      <c r="B329" t="s">
        <v>1679</v>
      </c>
      <c r="C329">
        <v>1</v>
      </c>
      <c r="D329">
        <v>1</v>
      </c>
      <c r="E329">
        <v>11</v>
      </c>
      <c r="F329" s="8">
        <v>1</v>
      </c>
      <c r="G329" t="s">
        <v>268</v>
      </c>
      <c r="H329" s="672">
        <v>0</v>
      </c>
      <c r="I329">
        <v>21670000</v>
      </c>
      <c r="J329">
        <v>21670000</v>
      </c>
      <c r="K329">
        <v>0</v>
      </c>
      <c r="L329">
        <v>0</v>
      </c>
      <c r="M329" t="s">
        <v>276</v>
      </c>
      <c r="N329" t="s">
        <v>277</v>
      </c>
      <c r="O329" t="s">
        <v>573</v>
      </c>
      <c r="P329" t="s">
        <v>278</v>
      </c>
      <c r="Q329" t="s">
        <v>574</v>
      </c>
      <c r="R329">
        <v>335</v>
      </c>
      <c r="S329" s="672" t="b">
        <f t="shared" si="5"/>
        <v>0</v>
      </c>
      <c r="T329" t="s">
        <v>180</v>
      </c>
    </row>
    <row r="330" spans="1:20" hidden="1">
      <c r="A330" t="s">
        <v>918</v>
      </c>
      <c r="B330" t="s">
        <v>1680</v>
      </c>
      <c r="C330">
        <v>1</v>
      </c>
      <c r="D330">
        <v>1</v>
      </c>
      <c r="E330">
        <v>11</v>
      </c>
      <c r="F330" s="8">
        <v>1</v>
      </c>
      <c r="G330" t="s">
        <v>268</v>
      </c>
      <c r="H330" s="672">
        <v>0</v>
      </c>
      <c r="I330">
        <v>21670000</v>
      </c>
      <c r="J330">
        <v>21670000</v>
      </c>
      <c r="K330">
        <v>0</v>
      </c>
      <c r="L330">
        <v>0</v>
      </c>
      <c r="M330" t="s">
        <v>276</v>
      </c>
      <c r="N330" t="s">
        <v>277</v>
      </c>
      <c r="O330" t="s">
        <v>573</v>
      </c>
      <c r="P330" t="s">
        <v>278</v>
      </c>
      <c r="Q330" t="s">
        <v>574</v>
      </c>
      <c r="R330">
        <v>336</v>
      </c>
      <c r="S330" s="672" t="b">
        <f t="shared" si="5"/>
        <v>0</v>
      </c>
      <c r="T330" t="s">
        <v>180</v>
      </c>
    </row>
    <row r="331" spans="1:20" hidden="1">
      <c r="A331" t="s">
        <v>918</v>
      </c>
      <c r="B331" t="s">
        <v>1681</v>
      </c>
      <c r="C331">
        <v>1</v>
      </c>
      <c r="D331">
        <v>1</v>
      </c>
      <c r="E331">
        <v>11</v>
      </c>
      <c r="F331" s="8">
        <v>1</v>
      </c>
      <c r="G331" t="s">
        <v>268</v>
      </c>
      <c r="H331" s="672">
        <v>0</v>
      </c>
      <c r="I331">
        <v>21670000</v>
      </c>
      <c r="J331">
        <v>21670000</v>
      </c>
      <c r="K331">
        <v>0</v>
      </c>
      <c r="L331">
        <v>0</v>
      </c>
      <c r="M331" t="s">
        <v>276</v>
      </c>
      <c r="N331" t="s">
        <v>277</v>
      </c>
      <c r="O331" t="s">
        <v>573</v>
      </c>
      <c r="P331" t="s">
        <v>278</v>
      </c>
      <c r="Q331" t="s">
        <v>574</v>
      </c>
      <c r="R331">
        <v>337</v>
      </c>
      <c r="S331" s="672" t="b">
        <f t="shared" si="5"/>
        <v>0</v>
      </c>
      <c r="T331" t="s">
        <v>180</v>
      </c>
    </row>
    <row r="332" spans="1:20" hidden="1">
      <c r="A332" t="s">
        <v>918</v>
      </c>
      <c r="B332" t="s">
        <v>1682</v>
      </c>
      <c r="C332">
        <v>1</v>
      </c>
      <c r="D332">
        <v>1</v>
      </c>
      <c r="E332">
        <v>11</v>
      </c>
      <c r="F332" s="8">
        <v>1</v>
      </c>
      <c r="G332" t="s">
        <v>268</v>
      </c>
      <c r="H332" s="672">
        <v>0</v>
      </c>
      <c r="I332">
        <v>21670000</v>
      </c>
      <c r="J332">
        <v>21670000</v>
      </c>
      <c r="K332">
        <v>0</v>
      </c>
      <c r="L332">
        <v>0</v>
      </c>
      <c r="M332" t="s">
        <v>276</v>
      </c>
      <c r="N332" t="s">
        <v>277</v>
      </c>
      <c r="O332" t="s">
        <v>573</v>
      </c>
      <c r="P332" t="s">
        <v>278</v>
      </c>
      <c r="Q332" t="s">
        <v>574</v>
      </c>
      <c r="R332">
        <v>338</v>
      </c>
      <c r="S332" s="672" t="b">
        <f t="shared" si="5"/>
        <v>0</v>
      </c>
      <c r="T332" t="s">
        <v>180</v>
      </c>
    </row>
    <row r="333" spans="1:20" hidden="1">
      <c r="A333" t="s">
        <v>918</v>
      </c>
      <c r="B333" t="s">
        <v>1683</v>
      </c>
      <c r="C333">
        <v>1</v>
      </c>
      <c r="D333">
        <v>1</v>
      </c>
      <c r="E333">
        <v>11</v>
      </c>
      <c r="F333" s="8">
        <v>1</v>
      </c>
      <c r="G333" t="s">
        <v>268</v>
      </c>
      <c r="H333" s="672">
        <v>0</v>
      </c>
      <c r="I333">
        <v>21670000</v>
      </c>
      <c r="J333">
        <v>21670000</v>
      </c>
      <c r="K333">
        <v>0</v>
      </c>
      <c r="L333">
        <v>0</v>
      </c>
      <c r="M333" t="s">
        <v>276</v>
      </c>
      <c r="N333" t="s">
        <v>277</v>
      </c>
      <c r="O333" t="s">
        <v>573</v>
      </c>
      <c r="P333" t="s">
        <v>278</v>
      </c>
      <c r="Q333" t="s">
        <v>574</v>
      </c>
      <c r="R333">
        <v>339</v>
      </c>
      <c r="S333" s="672" t="b">
        <f t="shared" si="5"/>
        <v>0</v>
      </c>
      <c r="T333" t="s">
        <v>180</v>
      </c>
    </row>
    <row r="334" spans="1:20" hidden="1">
      <c r="A334" t="s">
        <v>918</v>
      </c>
      <c r="B334" t="s">
        <v>1684</v>
      </c>
      <c r="C334">
        <v>1</v>
      </c>
      <c r="D334">
        <v>1</v>
      </c>
      <c r="E334">
        <v>11</v>
      </c>
      <c r="F334" s="8">
        <v>1</v>
      </c>
      <c r="G334" t="s">
        <v>268</v>
      </c>
      <c r="H334" s="672">
        <v>0</v>
      </c>
      <c r="I334">
        <v>21670000</v>
      </c>
      <c r="J334">
        <v>21670000</v>
      </c>
      <c r="K334">
        <v>0</v>
      </c>
      <c r="L334">
        <v>0</v>
      </c>
      <c r="M334" t="s">
        <v>276</v>
      </c>
      <c r="N334" t="s">
        <v>277</v>
      </c>
      <c r="O334" t="s">
        <v>573</v>
      </c>
      <c r="P334" t="s">
        <v>278</v>
      </c>
      <c r="Q334" t="s">
        <v>574</v>
      </c>
      <c r="R334">
        <v>340</v>
      </c>
      <c r="S334" s="672" t="b">
        <f t="shared" si="5"/>
        <v>0</v>
      </c>
      <c r="T334" t="s">
        <v>180</v>
      </c>
    </row>
    <row r="335" spans="1:20" hidden="1">
      <c r="A335" t="s">
        <v>921</v>
      </c>
      <c r="B335" t="s">
        <v>1685</v>
      </c>
      <c r="C335">
        <v>1</v>
      </c>
      <c r="D335">
        <v>1</v>
      </c>
      <c r="E335">
        <v>11</v>
      </c>
      <c r="F335" s="8">
        <v>1</v>
      </c>
      <c r="G335" t="s">
        <v>268</v>
      </c>
      <c r="H335" s="672">
        <v>0</v>
      </c>
      <c r="I335">
        <v>53020000</v>
      </c>
      <c r="J335">
        <v>53020000</v>
      </c>
      <c r="K335">
        <v>0</v>
      </c>
      <c r="L335">
        <v>0</v>
      </c>
      <c r="M335" t="s">
        <v>276</v>
      </c>
      <c r="N335" t="s">
        <v>277</v>
      </c>
      <c r="O335" t="s">
        <v>573</v>
      </c>
      <c r="P335" t="s">
        <v>278</v>
      </c>
      <c r="Q335" t="s">
        <v>574</v>
      </c>
      <c r="R335">
        <v>341</v>
      </c>
      <c r="S335" s="672" t="b">
        <f t="shared" si="5"/>
        <v>0</v>
      </c>
      <c r="T335" t="s">
        <v>180</v>
      </c>
    </row>
    <row r="336" spans="1:20" hidden="1">
      <c r="A336" t="s">
        <v>923</v>
      </c>
      <c r="B336" t="s">
        <v>1686</v>
      </c>
      <c r="C336">
        <v>1</v>
      </c>
      <c r="D336">
        <v>1</v>
      </c>
      <c r="E336">
        <v>11</v>
      </c>
      <c r="F336" s="8">
        <v>1</v>
      </c>
      <c r="G336" t="s">
        <v>268</v>
      </c>
      <c r="H336" s="672">
        <v>0</v>
      </c>
      <c r="I336">
        <v>59180000</v>
      </c>
      <c r="J336">
        <v>59180000</v>
      </c>
      <c r="K336">
        <v>0</v>
      </c>
      <c r="L336">
        <v>0</v>
      </c>
      <c r="M336" t="s">
        <v>276</v>
      </c>
      <c r="N336" t="s">
        <v>277</v>
      </c>
      <c r="O336" t="s">
        <v>573</v>
      </c>
      <c r="P336" t="s">
        <v>278</v>
      </c>
      <c r="Q336" t="s">
        <v>574</v>
      </c>
      <c r="R336">
        <v>342</v>
      </c>
      <c r="S336" s="672" t="b">
        <f t="shared" si="5"/>
        <v>0</v>
      </c>
      <c r="T336" t="s">
        <v>180</v>
      </c>
    </row>
    <row r="337" spans="1:20" hidden="1">
      <c r="A337" t="s">
        <v>914</v>
      </c>
      <c r="B337" t="s">
        <v>1687</v>
      </c>
      <c r="C337">
        <v>1</v>
      </c>
      <c r="D337">
        <v>1</v>
      </c>
      <c r="E337">
        <v>11</v>
      </c>
      <c r="F337" s="8">
        <v>1</v>
      </c>
      <c r="G337" t="s">
        <v>268</v>
      </c>
      <c r="H337" s="672">
        <v>0</v>
      </c>
      <c r="I337">
        <v>52800000</v>
      </c>
      <c r="J337">
        <v>52800000</v>
      </c>
      <c r="K337">
        <v>0</v>
      </c>
      <c r="L337">
        <v>0</v>
      </c>
      <c r="M337" t="s">
        <v>276</v>
      </c>
      <c r="N337" t="s">
        <v>277</v>
      </c>
      <c r="O337" t="s">
        <v>573</v>
      </c>
      <c r="P337" t="s">
        <v>278</v>
      </c>
      <c r="Q337" t="s">
        <v>574</v>
      </c>
      <c r="R337">
        <v>343</v>
      </c>
      <c r="S337" s="672" t="b">
        <f t="shared" si="5"/>
        <v>0</v>
      </c>
      <c r="T337" t="s">
        <v>180</v>
      </c>
    </row>
    <row r="338" spans="1:20" hidden="1">
      <c r="A338" t="s">
        <v>926</v>
      </c>
      <c r="B338" t="s">
        <v>1688</v>
      </c>
      <c r="C338">
        <v>1</v>
      </c>
      <c r="D338">
        <v>1</v>
      </c>
      <c r="E338">
        <v>11</v>
      </c>
      <c r="F338" s="8">
        <v>1</v>
      </c>
      <c r="G338" t="s">
        <v>268</v>
      </c>
      <c r="H338" s="672">
        <v>0</v>
      </c>
      <c r="I338">
        <v>49830000</v>
      </c>
      <c r="J338">
        <v>49830000</v>
      </c>
      <c r="K338">
        <v>0</v>
      </c>
      <c r="L338">
        <v>0</v>
      </c>
      <c r="M338" t="s">
        <v>276</v>
      </c>
      <c r="N338" t="s">
        <v>277</v>
      </c>
      <c r="O338" t="s">
        <v>573</v>
      </c>
      <c r="P338" t="s">
        <v>278</v>
      </c>
      <c r="Q338" t="s">
        <v>574</v>
      </c>
      <c r="R338">
        <v>344</v>
      </c>
      <c r="S338" s="672" t="b">
        <f t="shared" si="5"/>
        <v>0</v>
      </c>
      <c r="T338" t="s">
        <v>180</v>
      </c>
    </row>
    <row r="339" spans="1:20" hidden="1">
      <c r="A339" t="s">
        <v>923</v>
      </c>
      <c r="B339" t="s">
        <v>1689</v>
      </c>
      <c r="C339">
        <v>1</v>
      </c>
      <c r="D339">
        <v>1</v>
      </c>
      <c r="E339">
        <v>11</v>
      </c>
      <c r="F339" s="8">
        <v>1</v>
      </c>
      <c r="G339" t="s">
        <v>268</v>
      </c>
      <c r="H339" s="672">
        <v>0</v>
      </c>
      <c r="I339">
        <v>49830000</v>
      </c>
      <c r="J339">
        <v>49830000</v>
      </c>
      <c r="K339">
        <v>0</v>
      </c>
      <c r="L339">
        <v>0</v>
      </c>
      <c r="M339" t="s">
        <v>276</v>
      </c>
      <c r="N339" t="s">
        <v>277</v>
      </c>
      <c r="O339" t="s">
        <v>573</v>
      </c>
      <c r="P339" t="s">
        <v>278</v>
      </c>
      <c r="Q339" t="s">
        <v>574</v>
      </c>
      <c r="R339">
        <v>345</v>
      </c>
      <c r="S339" s="672" t="b">
        <f t="shared" si="5"/>
        <v>0</v>
      </c>
      <c r="T339" t="s">
        <v>180</v>
      </c>
    </row>
    <row r="340" spans="1:20" hidden="1">
      <c r="A340" t="s">
        <v>923</v>
      </c>
      <c r="B340" t="s">
        <v>1690</v>
      </c>
      <c r="C340">
        <v>1</v>
      </c>
      <c r="D340">
        <v>1</v>
      </c>
      <c r="E340">
        <v>11</v>
      </c>
      <c r="F340" s="8">
        <v>1</v>
      </c>
      <c r="G340" t="s">
        <v>268</v>
      </c>
      <c r="H340" s="672">
        <v>0</v>
      </c>
      <c r="I340">
        <v>72600000</v>
      </c>
      <c r="J340">
        <v>72600000</v>
      </c>
      <c r="K340">
        <v>0</v>
      </c>
      <c r="L340">
        <v>0</v>
      </c>
      <c r="M340" t="s">
        <v>276</v>
      </c>
      <c r="N340" t="s">
        <v>277</v>
      </c>
      <c r="O340" t="s">
        <v>573</v>
      </c>
      <c r="P340" t="s">
        <v>278</v>
      </c>
      <c r="Q340" t="s">
        <v>574</v>
      </c>
      <c r="R340">
        <v>346</v>
      </c>
      <c r="S340" s="672" t="b">
        <f t="shared" si="5"/>
        <v>0</v>
      </c>
      <c r="T340" t="s">
        <v>180</v>
      </c>
    </row>
    <row r="341" spans="1:20" hidden="1">
      <c r="A341" t="s">
        <v>923</v>
      </c>
      <c r="B341" t="s">
        <v>1691</v>
      </c>
      <c r="C341">
        <v>1</v>
      </c>
      <c r="D341">
        <v>1</v>
      </c>
      <c r="E341">
        <v>11</v>
      </c>
      <c r="F341" s="8">
        <v>1</v>
      </c>
      <c r="G341" t="s">
        <v>268</v>
      </c>
      <c r="H341" s="672">
        <v>0</v>
      </c>
      <c r="I341">
        <v>44550000</v>
      </c>
      <c r="J341">
        <v>44550000</v>
      </c>
      <c r="K341">
        <v>0</v>
      </c>
      <c r="L341">
        <v>0</v>
      </c>
      <c r="M341" t="s">
        <v>276</v>
      </c>
      <c r="N341" t="s">
        <v>277</v>
      </c>
      <c r="O341" t="s">
        <v>573</v>
      </c>
      <c r="P341" t="s">
        <v>278</v>
      </c>
      <c r="Q341" t="s">
        <v>574</v>
      </c>
      <c r="R341">
        <v>347</v>
      </c>
      <c r="S341" s="672" t="b">
        <f t="shared" si="5"/>
        <v>0</v>
      </c>
      <c r="T341" t="s">
        <v>180</v>
      </c>
    </row>
    <row r="342" spans="1:20" hidden="1">
      <c r="A342" t="s">
        <v>923</v>
      </c>
      <c r="B342" t="s">
        <v>1692</v>
      </c>
      <c r="C342">
        <v>1</v>
      </c>
      <c r="D342">
        <v>1</v>
      </c>
      <c r="E342">
        <v>11</v>
      </c>
      <c r="F342" s="8">
        <v>1</v>
      </c>
      <c r="G342" t="s">
        <v>268</v>
      </c>
      <c r="H342" s="672">
        <v>0</v>
      </c>
      <c r="I342">
        <v>44550000</v>
      </c>
      <c r="J342">
        <v>44550000</v>
      </c>
      <c r="K342">
        <v>0</v>
      </c>
      <c r="L342">
        <v>0</v>
      </c>
      <c r="M342" t="s">
        <v>276</v>
      </c>
      <c r="N342" t="s">
        <v>277</v>
      </c>
      <c r="O342" t="s">
        <v>573</v>
      </c>
      <c r="P342" t="s">
        <v>278</v>
      </c>
      <c r="Q342" t="s">
        <v>574</v>
      </c>
      <c r="R342">
        <v>348</v>
      </c>
      <c r="S342" s="672" t="b">
        <f t="shared" si="5"/>
        <v>0</v>
      </c>
      <c r="T342" t="s">
        <v>180</v>
      </c>
    </row>
    <row r="343" spans="1:20" hidden="1">
      <c r="A343" t="s">
        <v>911</v>
      </c>
      <c r="B343" t="s">
        <v>1672</v>
      </c>
      <c r="C343">
        <v>2</v>
      </c>
      <c r="D343">
        <v>2</v>
      </c>
      <c r="E343">
        <v>8</v>
      </c>
      <c r="F343" s="8">
        <v>1</v>
      </c>
      <c r="G343" t="s">
        <v>265</v>
      </c>
      <c r="H343" s="672">
        <v>0</v>
      </c>
      <c r="I343">
        <v>83309800</v>
      </c>
      <c r="J343">
        <v>83309800</v>
      </c>
      <c r="K343">
        <v>0</v>
      </c>
      <c r="L343">
        <v>0</v>
      </c>
      <c r="M343" t="s">
        <v>276</v>
      </c>
      <c r="N343" t="s">
        <v>277</v>
      </c>
      <c r="O343" t="s">
        <v>573</v>
      </c>
      <c r="P343" t="s">
        <v>278</v>
      </c>
      <c r="Q343" t="s">
        <v>574</v>
      </c>
      <c r="R343">
        <v>328</v>
      </c>
      <c r="S343" s="672" t="b">
        <f t="shared" si="5"/>
        <v>0</v>
      </c>
      <c r="T343" t="s">
        <v>180</v>
      </c>
    </row>
    <row r="344" spans="1:20" hidden="1">
      <c r="A344" t="s">
        <v>913</v>
      </c>
      <c r="B344" t="s">
        <v>1673</v>
      </c>
      <c r="C344">
        <v>2</v>
      </c>
      <c r="D344">
        <v>2</v>
      </c>
      <c r="E344">
        <v>9</v>
      </c>
      <c r="F344" s="8">
        <v>1</v>
      </c>
      <c r="G344" t="s">
        <v>265</v>
      </c>
      <c r="H344" s="672">
        <v>0</v>
      </c>
      <c r="I344">
        <v>211081567</v>
      </c>
      <c r="J344">
        <v>211081567</v>
      </c>
      <c r="K344">
        <v>0</v>
      </c>
      <c r="L344">
        <v>0</v>
      </c>
      <c r="M344" t="s">
        <v>276</v>
      </c>
      <c r="N344" t="s">
        <v>277</v>
      </c>
      <c r="O344" t="s">
        <v>573</v>
      </c>
      <c r="P344" t="s">
        <v>278</v>
      </c>
      <c r="Q344" t="s">
        <v>574</v>
      </c>
      <c r="R344">
        <v>329</v>
      </c>
      <c r="S344" s="672" t="b">
        <f t="shared" si="5"/>
        <v>0</v>
      </c>
      <c r="T344" t="s">
        <v>180</v>
      </c>
    </row>
    <row r="345" spans="1:20" hidden="1">
      <c r="A345" t="s">
        <v>932</v>
      </c>
      <c r="B345" t="s">
        <v>1693</v>
      </c>
      <c r="C345">
        <v>1</v>
      </c>
      <c r="D345">
        <v>1</v>
      </c>
      <c r="E345">
        <v>10</v>
      </c>
      <c r="F345" s="8">
        <v>1</v>
      </c>
      <c r="G345" t="s">
        <v>268</v>
      </c>
      <c r="H345" s="672">
        <v>0</v>
      </c>
      <c r="I345">
        <v>26300000</v>
      </c>
      <c r="J345">
        <v>26300000</v>
      </c>
      <c r="K345">
        <v>0</v>
      </c>
      <c r="L345">
        <v>0</v>
      </c>
      <c r="M345" t="s">
        <v>276</v>
      </c>
      <c r="N345" t="s">
        <v>277</v>
      </c>
      <c r="O345" t="s">
        <v>573</v>
      </c>
      <c r="P345" t="s">
        <v>278</v>
      </c>
      <c r="Q345" t="s">
        <v>574</v>
      </c>
      <c r="R345">
        <v>349</v>
      </c>
      <c r="S345" s="672" t="b">
        <f t="shared" si="5"/>
        <v>0</v>
      </c>
      <c r="T345" t="s">
        <v>180</v>
      </c>
    </row>
    <row r="346" spans="1:20" hidden="1">
      <c r="A346" t="s">
        <v>932</v>
      </c>
      <c r="B346" t="s">
        <v>1694</v>
      </c>
      <c r="C346">
        <v>1</v>
      </c>
      <c r="D346">
        <v>1</v>
      </c>
      <c r="E346">
        <v>10</v>
      </c>
      <c r="F346" s="8">
        <v>1</v>
      </c>
      <c r="G346" t="s">
        <v>268</v>
      </c>
      <c r="H346" s="672">
        <v>0</v>
      </c>
      <c r="I346">
        <v>26300000</v>
      </c>
      <c r="J346">
        <v>26300000</v>
      </c>
      <c r="K346">
        <v>0</v>
      </c>
      <c r="L346">
        <v>0</v>
      </c>
      <c r="M346" t="s">
        <v>276</v>
      </c>
      <c r="N346" t="s">
        <v>277</v>
      </c>
      <c r="O346" t="s">
        <v>573</v>
      </c>
      <c r="P346" t="s">
        <v>278</v>
      </c>
      <c r="Q346" t="s">
        <v>574</v>
      </c>
      <c r="R346">
        <v>350</v>
      </c>
      <c r="S346" s="672" t="b">
        <f t="shared" si="5"/>
        <v>0</v>
      </c>
      <c r="T346" t="s">
        <v>180</v>
      </c>
    </row>
    <row r="347" spans="1:20" hidden="1">
      <c r="A347" t="s">
        <v>932</v>
      </c>
      <c r="B347" t="s">
        <v>1695</v>
      </c>
      <c r="C347">
        <v>1</v>
      </c>
      <c r="D347">
        <v>1</v>
      </c>
      <c r="E347">
        <v>10</v>
      </c>
      <c r="F347" s="8">
        <v>1</v>
      </c>
      <c r="G347" t="s">
        <v>268</v>
      </c>
      <c r="H347" s="672">
        <v>0</v>
      </c>
      <c r="I347">
        <v>26300000</v>
      </c>
      <c r="J347">
        <v>26300000</v>
      </c>
      <c r="K347">
        <v>0</v>
      </c>
      <c r="L347">
        <v>0</v>
      </c>
      <c r="M347" t="s">
        <v>276</v>
      </c>
      <c r="N347" t="s">
        <v>277</v>
      </c>
      <c r="O347" t="s">
        <v>573</v>
      </c>
      <c r="P347" t="s">
        <v>278</v>
      </c>
      <c r="Q347" t="s">
        <v>574</v>
      </c>
      <c r="R347">
        <v>351</v>
      </c>
      <c r="S347" s="672" t="b">
        <f t="shared" si="5"/>
        <v>0</v>
      </c>
      <c r="T347" t="s">
        <v>180</v>
      </c>
    </row>
    <row r="348" spans="1:20" hidden="1">
      <c r="A348" t="s">
        <v>932</v>
      </c>
      <c r="B348" t="s">
        <v>1696</v>
      </c>
      <c r="C348">
        <v>1</v>
      </c>
      <c r="D348">
        <v>1</v>
      </c>
      <c r="E348">
        <v>10</v>
      </c>
      <c r="F348" s="8">
        <v>1</v>
      </c>
      <c r="G348" t="s">
        <v>268</v>
      </c>
      <c r="H348" s="672">
        <v>0</v>
      </c>
      <c r="I348">
        <v>26300000</v>
      </c>
      <c r="J348">
        <v>26300000</v>
      </c>
      <c r="K348">
        <v>0</v>
      </c>
      <c r="L348">
        <v>0</v>
      </c>
      <c r="M348" t="s">
        <v>276</v>
      </c>
      <c r="N348" t="s">
        <v>277</v>
      </c>
      <c r="O348" t="s">
        <v>573</v>
      </c>
      <c r="P348" t="s">
        <v>278</v>
      </c>
      <c r="Q348" t="s">
        <v>574</v>
      </c>
      <c r="R348">
        <v>352</v>
      </c>
      <c r="S348" s="672" t="b">
        <f t="shared" si="5"/>
        <v>0</v>
      </c>
      <c r="T348" t="s">
        <v>180</v>
      </c>
    </row>
    <row r="349" spans="1:20" hidden="1">
      <c r="A349" t="s">
        <v>932</v>
      </c>
      <c r="B349" t="s">
        <v>1697</v>
      </c>
      <c r="C349">
        <v>1</v>
      </c>
      <c r="D349">
        <v>1</v>
      </c>
      <c r="E349">
        <v>10</v>
      </c>
      <c r="F349" s="8">
        <v>1</v>
      </c>
      <c r="G349" t="s">
        <v>268</v>
      </c>
      <c r="H349" s="672">
        <v>0</v>
      </c>
      <c r="I349">
        <v>26300000</v>
      </c>
      <c r="J349">
        <v>26300000</v>
      </c>
      <c r="K349">
        <v>0</v>
      </c>
      <c r="L349">
        <v>0</v>
      </c>
      <c r="M349" t="s">
        <v>276</v>
      </c>
      <c r="N349" t="s">
        <v>277</v>
      </c>
      <c r="O349" t="s">
        <v>573</v>
      </c>
      <c r="P349" t="s">
        <v>278</v>
      </c>
      <c r="Q349" t="s">
        <v>574</v>
      </c>
      <c r="R349">
        <v>353</v>
      </c>
      <c r="S349" s="672" t="b">
        <f t="shared" si="5"/>
        <v>0</v>
      </c>
      <c r="T349" t="s">
        <v>180</v>
      </c>
    </row>
    <row r="350" spans="1:20" hidden="1">
      <c r="A350" t="s">
        <v>932</v>
      </c>
      <c r="B350" t="s">
        <v>1698</v>
      </c>
      <c r="C350">
        <v>1</v>
      </c>
      <c r="D350">
        <v>1</v>
      </c>
      <c r="E350">
        <v>10</v>
      </c>
      <c r="F350" s="8">
        <v>1</v>
      </c>
      <c r="G350" t="s">
        <v>268</v>
      </c>
      <c r="H350" s="672">
        <v>0</v>
      </c>
      <c r="I350">
        <v>26300000</v>
      </c>
      <c r="J350">
        <v>26300000</v>
      </c>
      <c r="K350">
        <v>0</v>
      </c>
      <c r="L350">
        <v>0</v>
      </c>
      <c r="M350" t="s">
        <v>276</v>
      </c>
      <c r="N350" t="s">
        <v>277</v>
      </c>
      <c r="O350" t="s">
        <v>573</v>
      </c>
      <c r="P350" t="s">
        <v>278</v>
      </c>
      <c r="Q350" t="s">
        <v>574</v>
      </c>
      <c r="R350">
        <v>354</v>
      </c>
      <c r="S350" s="672" t="b">
        <f t="shared" si="5"/>
        <v>0</v>
      </c>
      <c r="T350" t="s">
        <v>180</v>
      </c>
    </row>
    <row r="351" spans="1:20" hidden="1">
      <c r="A351" t="s">
        <v>935</v>
      </c>
      <c r="B351" t="s">
        <v>1699</v>
      </c>
      <c r="C351">
        <v>1</v>
      </c>
      <c r="D351">
        <v>1</v>
      </c>
      <c r="E351">
        <v>10</v>
      </c>
      <c r="F351" s="8">
        <v>1</v>
      </c>
      <c r="G351" t="s">
        <v>268</v>
      </c>
      <c r="H351" s="672">
        <v>0</v>
      </c>
      <c r="I351">
        <v>48200000</v>
      </c>
      <c r="J351">
        <v>48200000</v>
      </c>
      <c r="K351">
        <v>0</v>
      </c>
      <c r="L351">
        <v>0</v>
      </c>
      <c r="M351" t="s">
        <v>276</v>
      </c>
      <c r="N351" t="s">
        <v>277</v>
      </c>
      <c r="O351" t="s">
        <v>573</v>
      </c>
      <c r="P351" t="s">
        <v>278</v>
      </c>
      <c r="Q351" t="s">
        <v>574</v>
      </c>
      <c r="R351">
        <v>355</v>
      </c>
      <c r="S351" s="672" t="b">
        <f t="shared" si="5"/>
        <v>0</v>
      </c>
      <c r="T351" t="s">
        <v>180</v>
      </c>
    </row>
    <row r="352" spans="1:20" hidden="1">
      <c r="A352">
        <v>93141707</v>
      </c>
      <c r="B352" t="s">
        <v>1700</v>
      </c>
      <c r="C352">
        <v>1</v>
      </c>
      <c r="D352">
        <v>1</v>
      </c>
      <c r="E352">
        <v>10</v>
      </c>
      <c r="F352" s="8">
        <v>1</v>
      </c>
      <c r="G352" t="s">
        <v>268</v>
      </c>
      <c r="H352" s="672">
        <v>0</v>
      </c>
      <c r="I352">
        <v>48200000</v>
      </c>
      <c r="J352">
        <v>48200000</v>
      </c>
      <c r="K352">
        <v>0</v>
      </c>
      <c r="L352">
        <v>0</v>
      </c>
      <c r="M352" t="s">
        <v>276</v>
      </c>
      <c r="N352" t="s">
        <v>277</v>
      </c>
      <c r="O352" t="s">
        <v>573</v>
      </c>
      <c r="P352" t="s">
        <v>278</v>
      </c>
      <c r="Q352" t="s">
        <v>574</v>
      </c>
      <c r="R352">
        <v>356</v>
      </c>
      <c r="S352" s="672" t="b">
        <f t="shared" si="5"/>
        <v>0</v>
      </c>
      <c r="T352" t="s">
        <v>180</v>
      </c>
    </row>
    <row r="353" spans="1:20" hidden="1">
      <c r="A353">
        <v>93141707</v>
      </c>
      <c r="B353" t="s">
        <v>1701</v>
      </c>
      <c r="C353">
        <v>1</v>
      </c>
      <c r="D353">
        <v>1</v>
      </c>
      <c r="E353">
        <v>10</v>
      </c>
      <c r="F353" s="8">
        <v>1</v>
      </c>
      <c r="G353" t="s">
        <v>268</v>
      </c>
      <c r="H353" s="672">
        <v>0</v>
      </c>
      <c r="I353">
        <v>48200000</v>
      </c>
      <c r="J353">
        <v>48200000</v>
      </c>
      <c r="K353">
        <v>0</v>
      </c>
      <c r="L353">
        <v>0</v>
      </c>
      <c r="M353" t="s">
        <v>276</v>
      </c>
      <c r="N353" t="s">
        <v>277</v>
      </c>
      <c r="O353" t="s">
        <v>573</v>
      </c>
      <c r="P353" t="s">
        <v>278</v>
      </c>
      <c r="Q353" t="s">
        <v>574</v>
      </c>
      <c r="R353">
        <v>357</v>
      </c>
      <c r="S353" s="672" t="b">
        <f t="shared" si="5"/>
        <v>0</v>
      </c>
      <c r="T353" t="s">
        <v>180</v>
      </c>
    </row>
    <row r="354" spans="1:20">
      <c r="A354">
        <v>93141707</v>
      </c>
      <c r="B354" t="s">
        <v>1702</v>
      </c>
      <c r="C354">
        <v>1</v>
      </c>
      <c r="D354">
        <v>1</v>
      </c>
      <c r="E354">
        <v>8</v>
      </c>
      <c r="F354" s="8">
        <v>1</v>
      </c>
      <c r="G354" t="s">
        <v>268</v>
      </c>
      <c r="H354" s="672">
        <v>0</v>
      </c>
      <c r="I354">
        <v>38560000</v>
      </c>
      <c r="J354">
        <v>38560000</v>
      </c>
      <c r="K354">
        <v>0</v>
      </c>
      <c r="L354">
        <v>0</v>
      </c>
      <c r="M354" t="s">
        <v>276</v>
      </c>
      <c r="N354" t="s">
        <v>277</v>
      </c>
      <c r="O354" t="s">
        <v>573</v>
      </c>
      <c r="P354" t="s">
        <v>278</v>
      </c>
      <c r="Q354" t="s">
        <v>574</v>
      </c>
      <c r="R354">
        <v>358</v>
      </c>
      <c r="S354" s="672" t="b">
        <f t="shared" si="5"/>
        <v>0</v>
      </c>
      <c r="T354" t="s">
        <v>180</v>
      </c>
    </row>
    <row r="355" spans="1:20" hidden="1">
      <c r="A355" t="s">
        <v>932</v>
      </c>
      <c r="B355" t="s">
        <v>1703</v>
      </c>
      <c r="C355">
        <v>1</v>
      </c>
      <c r="D355">
        <v>1</v>
      </c>
      <c r="E355">
        <v>10</v>
      </c>
      <c r="F355" s="8">
        <v>1</v>
      </c>
      <c r="G355" t="s">
        <v>268</v>
      </c>
      <c r="H355" s="672">
        <v>0</v>
      </c>
      <c r="I355">
        <v>48000000</v>
      </c>
      <c r="J355">
        <v>48000000</v>
      </c>
      <c r="K355">
        <v>0</v>
      </c>
      <c r="L355">
        <v>0</v>
      </c>
      <c r="M355" t="s">
        <v>276</v>
      </c>
      <c r="N355" t="s">
        <v>277</v>
      </c>
      <c r="O355" t="s">
        <v>573</v>
      </c>
      <c r="P355" t="s">
        <v>278</v>
      </c>
      <c r="Q355" t="s">
        <v>574</v>
      </c>
      <c r="R355">
        <v>359</v>
      </c>
      <c r="S355" s="672" t="b">
        <f t="shared" si="5"/>
        <v>0</v>
      </c>
      <c r="T355" t="s">
        <v>180</v>
      </c>
    </row>
    <row r="356" spans="1:20" hidden="1">
      <c r="A356" t="s">
        <v>935</v>
      </c>
      <c r="B356" t="s">
        <v>1704</v>
      </c>
      <c r="C356">
        <v>1</v>
      </c>
      <c r="D356">
        <v>1</v>
      </c>
      <c r="E356">
        <v>8</v>
      </c>
      <c r="F356" s="8">
        <v>1</v>
      </c>
      <c r="G356" t="s">
        <v>268</v>
      </c>
      <c r="H356" s="672">
        <v>0</v>
      </c>
      <c r="I356">
        <v>32960000</v>
      </c>
      <c r="J356">
        <v>32960000</v>
      </c>
      <c r="K356">
        <v>0</v>
      </c>
      <c r="L356">
        <v>0</v>
      </c>
      <c r="M356" t="s">
        <v>276</v>
      </c>
      <c r="N356" t="s">
        <v>277</v>
      </c>
      <c r="O356" t="s">
        <v>573</v>
      </c>
      <c r="P356" t="s">
        <v>278</v>
      </c>
      <c r="Q356" t="s">
        <v>574</v>
      </c>
      <c r="R356">
        <v>360</v>
      </c>
      <c r="S356" s="672" t="b">
        <f t="shared" si="5"/>
        <v>0</v>
      </c>
      <c r="T356" t="s">
        <v>180</v>
      </c>
    </row>
    <row r="357" spans="1:20" hidden="1">
      <c r="A357" t="s">
        <v>935</v>
      </c>
      <c r="B357" t="s">
        <v>1705</v>
      </c>
      <c r="C357">
        <v>1</v>
      </c>
      <c r="D357">
        <v>1</v>
      </c>
      <c r="E357">
        <v>11</v>
      </c>
      <c r="F357" s="8">
        <v>1</v>
      </c>
      <c r="G357" t="s">
        <v>268</v>
      </c>
      <c r="H357" s="672">
        <v>0</v>
      </c>
      <c r="I357">
        <v>96250000</v>
      </c>
      <c r="J357">
        <v>96250000</v>
      </c>
      <c r="K357">
        <v>0</v>
      </c>
      <c r="L357">
        <v>0</v>
      </c>
      <c r="M357" t="s">
        <v>276</v>
      </c>
      <c r="N357" t="s">
        <v>277</v>
      </c>
      <c r="O357" t="s">
        <v>573</v>
      </c>
      <c r="P357" t="s">
        <v>278</v>
      </c>
      <c r="Q357" t="s">
        <v>574</v>
      </c>
      <c r="R357">
        <v>361</v>
      </c>
      <c r="S357" s="672" t="b">
        <f t="shared" si="5"/>
        <v>0</v>
      </c>
      <c r="T357" t="s">
        <v>180</v>
      </c>
    </row>
    <row r="358" spans="1:20" hidden="1">
      <c r="A358" t="s">
        <v>932</v>
      </c>
      <c r="B358" t="s">
        <v>1706</v>
      </c>
      <c r="C358">
        <v>1</v>
      </c>
      <c r="D358">
        <v>1</v>
      </c>
      <c r="E358">
        <v>10</v>
      </c>
      <c r="F358" s="8">
        <v>1</v>
      </c>
      <c r="G358" t="s">
        <v>268</v>
      </c>
      <c r="H358" s="672">
        <v>0</v>
      </c>
      <c r="I358">
        <v>51500000</v>
      </c>
      <c r="J358">
        <v>51500000</v>
      </c>
      <c r="K358">
        <v>0</v>
      </c>
      <c r="L358">
        <v>0</v>
      </c>
      <c r="M358" t="s">
        <v>276</v>
      </c>
      <c r="N358" t="s">
        <v>277</v>
      </c>
      <c r="O358" t="s">
        <v>573</v>
      </c>
      <c r="P358" t="s">
        <v>278</v>
      </c>
      <c r="Q358" t="s">
        <v>574</v>
      </c>
      <c r="R358">
        <v>362</v>
      </c>
      <c r="S358" s="672" t="b">
        <f t="shared" si="5"/>
        <v>0</v>
      </c>
      <c r="T358" t="s">
        <v>180</v>
      </c>
    </row>
    <row r="359" spans="1:20" hidden="1">
      <c r="A359" t="s">
        <v>935</v>
      </c>
      <c r="B359" t="s">
        <v>1707</v>
      </c>
      <c r="C359">
        <v>1</v>
      </c>
      <c r="D359">
        <v>1</v>
      </c>
      <c r="E359">
        <v>10</v>
      </c>
      <c r="F359" s="8">
        <v>1</v>
      </c>
      <c r="G359" t="s">
        <v>268</v>
      </c>
      <c r="H359" s="672">
        <v>0</v>
      </c>
      <c r="I359">
        <v>66000000</v>
      </c>
      <c r="J359">
        <v>66000000</v>
      </c>
      <c r="K359">
        <v>0</v>
      </c>
      <c r="L359">
        <v>0</v>
      </c>
      <c r="M359" t="s">
        <v>276</v>
      </c>
      <c r="N359" t="s">
        <v>277</v>
      </c>
      <c r="O359" t="s">
        <v>573</v>
      </c>
      <c r="P359" t="s">
        <v>278</v>
      </c>
      <c r="Q359" t="s">
        <v>574</v>
      </c>
      <c r="R359">
        <v>363</v>
      </c>
      <c r="S359" s="672" t="b">
        <f t="shared" si="5"/>
        <v>0</v>
      </c>
      <c r="T359" t="s">
        <v>180</v>
      </c>
    </row>
    <row r="360" spans="1:20" hidden="1">
      <c r="A360" t="s">
        <v>943</v>
      </c>
      <c r="B360" t="s">
        <v>1708</v>
      </c>
      <c r="C360">
        <v>3</v>
      </c>
      <c r="D360">
        <v>3</v>
      </c>
      <c r="E360">
        <v>6</v>
      </c>
      <c r="F360" s="8">
        <v>1</v>
      </c>
      <c r="G360" t="s">
        <v>265</v>
      </c>
      <c r="H360" s="672">
        <v>0</v>
      </c>
      <c r="I360">
        <v>60636970</v>
      </c>
      <c r="J360">
        <v>60636970</v>
      </c>
      <c r="K360">
        <v>0</v>
      </c>
      <c r="L360">
        <v>0</v>
      </c>
      <c r="M360" t="s">
        <v>276</v>
      </c>
      <c r="N360" t="s">
        <v>277</v>
      </c>
      <c r="O360" t="s">
        <v>573</v>
      </c>
      <c r="P360" t="s">
        <v>278</v>
      </c>
      <c r="Q360" t="s">
        <v>574</v>
      </c>
      <c r="R360">
        <v>364</v>
      </c>
      <c r="S360" s="672" t="b">
        <f t="shared" si="5"/>
        <v>0</v>
      </c>
      <c r="T360" t="s">
        <v>180</v>
      </c>
    </row>
    <row r="361" spans="1:20" hidden="1">
      <c r="A361" t="s">
        <v>945</v>
      </c>
      <c r="B361" t="s">
        <v>1709</v>
      </c>
      <c r="C361">
        <v>5</v>
      </c>
      <c r="D361">
        <v>5</v>
      </c>
      <c r="E361">
        <v>5</v>
      </c>
      <c r="F361" s="8">
        <v>1</v>
      </c>
      <c r="G361" t="s">
        <v>264</v>
      </c>
      <c r="H361" s="672">
        <v>0</v>
      </c>
      <c r="I361">
        <v>140000000</v>
      </c>
      <c r="J361">
        <v>140000000</v>
      </c>
      <c r="K361">
        <v>0</v>
      </c>
      <c r="L361">
        <v>0</v>
      </c>
      <c r="M361" t="s">
        <v>276</v>
      </c>
      <c r="N361" t="s">
        <v>277</v>
      </c>
      <c r="O361" t="s">
        <v>573</v>
      </c>
      <c r="P361" t="s">
        <v>278</v>
      </c>
      <c r="Q361" t="s">
        <v>574</v>
      </c>
      <c r="R361">
        <v>365</v>
      </c>
      <c r="S361" s="672" t="b">
        <f t="shared" si="5"/>
        <v>0</v>
      </c>
      <c r="T361" t="s">
        <v>180</v>
      </c>
    </row>
    <row r="362" spans="1:20" hidden="1">
      <c r="A362" t="s">
        <v>945</v>
      </c>
      <c r="B362" t="s">
        <v>1710</v>
      </c>
      <c r="C362">
        <v>5</v>
      </c>
      <c r="D362">
        <v>5</v>
      </c>
      <c r="E362">
        <v>6</v>
      </c>
      <c r="F362" s="8">
        <v>1</v>
      </c>
      <c r="G362" t="s">
        <v>257</v>
      </c>
      <c r="H362" s="672">
        <v>0</v>
      </c>
      <c r="I362">
        <v>2000000000</v>
      </c>
      <c r="J362">
        <v>2000000000</v>
      </c>
      <c r="K362">
        <v>0</v>
      </c>
      <c r="L362">
        <v>0</v>
      </c>
      <c r="M362" t="s">
        <v>276</v>
      </c>
      <c r="N362" t="s">
        <v>277</v>
      </c>
      <c r="O362" t="s">
        <v>573</v>
      </c>
      <c r="P362" t="s">
        <v>278</v>
      </c>
      <c r="Q362" t="s">
        <v>574</v>
      </c>
      <c r="R362">
        <v>366</v>
      </c>
      <c r="S362" s="672" t="b">
        <f t="shared" si="5"/>
        <v>0</v>
      </c>
      <c r="T362" t="s">
        <v>180</v>
      </c>
    </row>
    <row r="363" spans="1:20" hidden="1">
      <c r="A363" t="s">
        <v>948</v>
      </c>
      <c r="B363" t="s">
        <v>1711</v>
      </c>
      <c r="C363">
        <v>4</v>
      </c>
      <c r="D363">
        <v>4</v>
      </c>
      <c r="E363">
        <v>3</v>
      </c>
      <c r="F363" s="8">
        <v>1</v>
      </c>
      <c r="G363" t="s">
        <v>264</v>
      </c>
      <c r="H363" s="672">
        <v>0</v>
      </c>
      <c r="I363">
        <v>100000000</v>
      </c>
      <c r="J363">
        <v>100000000</v>
      </c>
      <c r="K363">
        <v>0</v>
      </c>
      <c r="L363">
        <v>0</v>
      </c>
      <c r="M363" t="s">
        <v>276</v>
      </c>
      <c r="N363" t="s">
        <v>277</v>
      </c>
      <c r="O363" t="s">
        <v>573</v>
      </c>
      <c r="P363" t="s">
        <v>278</v>
      </c>
      <c r="Q363" t="s">
        <v>574</v>
      </c>
      <c r="R363">
        <v>367</v>
      </c>
      <c r="S363" s="672" t="b">
        <f t="shared" si="5"/>
        <v>0</v>
      </c>
      <c r="T363" t="s">
        <v>180</v>
      </c>
    </row>
    <row r="364" spans="1:20" hidden="1">
      <c r="A364" t="s">
        <v>950</v>
      </c>
      <c r="B364" t="s">
        <v>1712</v>
      </c>
      <c r="C364">
        <v>1</v>
      </c>
      <c r="D364">
        <v>1</v>
      </c>
      <c r="E364">
        <v>11</v>
      </c>
      <c r="F364" s="8">
        <v>1</v>
      </c>
      <c r="G364" t="s">
        <v>268</v>
      </c>
      <c r="H364" s="672">
        <v>0</v>
      </c>
      <c r="I364">
        <v>38280000</v>
      </c>
      <c r="J364">
        <v>38280000</v>
      </c>
      <c r="K364">
        <v>0</v>
      </c>
      <c r="L364">
        <v>0</v>
      </c>
      <c r="M364" t="s">
        <v>276</v>
      </c>
      <c r="N364" t="s">
        <v>277</v>
      </c>
      <c r="O364" t="s">
        <v>573</v>
      </c>
      <c r="P364" t="s">
        <v>278</v>
      </c>
      <c r="Q364" t="s">
        <v>574</v>
      </c>
      <c r="R364">
        <v>368</v>
      </c>
      <c r="S364" s="672" t="b">
        <f t="shared" si="5"/>
        <v>0</v>
      </c>
      <c r="T364" t="s">
        <v>180</v>
      </c>
    </row>
    <row r="365" spans="1:20" hidden="1">
      <c r="A365" t="s">
        <v>952</v>
      </c>
      <c r="B365" t="s">
        <v>1713</v>
      </c>
      <c r="C365">
        <v>1</v>
      </c>
      <c r="D365">
        <v>1</v>
      </c>
      <c r="E365">
        <v>10</v>
      </c>
      <c r="F365" s="8">
        <v>1</v>
      </c>
      <c r="G365" t="s">
        <v>268</v>
      </c>
      <c r="H365" s="672">
        <v>0</v>
      </c>
      <c r="I365">
        <v>53300000</v>
      </c>
      <c r="J365">
        <v>53300000</v>
      </c>
      <c r="K365">
        <v>0</v>
      </c>
      <c r="L365">
        <v>0</v>
      </c>
      <c r="M365" t="s">
        <v>276</v>
      </c>
      <c r="N365" t="s">
        <v>277</v>
      </c>
      <c r="O365" t="s">
        <v>573</v>
      </c>
      <c r="P365" t="s">
        <v>278</v>
      </c>
      <c r="Q365" t="s">
        <v>574</v>
      </c>
      <c r="R365">
        <v>369</v>
      </c>
      <c r="S365" s="672" t="b">
        <f t="shared" si="5"/>
        <v>0</v>
      </c>
      <c r="T365" t="s">
        <v>180</v>
      </c>
    </row>
    <row r="366" spans="1:20" hidden="1">
      <c r="A366" t="s">
        <v>954</v>
      </c>
      <c r="B366" t="s">
        <v>1714</v>
      </c>
      <c r="C366">
        <v>2</v>
      </c>
      <c r="D366">
        <v>2</v>
      </c>
      <c r="E366">
        <v>11</v>
      </c>
      <c r="F366" s="8">
        <v>1</v>
      </c>
      <c r="G366" t="s">
        <v>268</v>
      </c>
      <c r="H366" s="672">
        <v>0</v>
      </c>
      <c r="I366">
        <v>38280000</v>
      </c>
      <c r="J366">
        <v>38280000</v>
      </c>
      <c r="K366">
        <v>0</v>
      </c>
      <c r="L366">
        <v>0</v>
      </c>
      <c r="M366" t="s">
        <v>276</v>
      </c>
      <c r="N366" t="s">
        <v>277</v>
      </c>
      <c r="O366" t="s">
        <v>573</v>
      </c>
      <c r="P366" t="s">
        <v>278</v>
      </c>
      <c r="Q366" t="s">
        <v>574</v>
      </c>
      <c r="R366">
        <v>370</v>
      </c>
      <c r="S366" s="672" t="b">
        <f t="shared" si="5"/>
        <v>0</v>
      </c>
      <c r="T366" t="s">
        <v>180</v>
      </c>
    </row>
    <row r="367" spans="1:20" hidden="1">
      <c r="A367" t="s">
        <v>955</v>
      </c>
      <c r="B367" t="s">
        <v>1715</v>
      </c>
      <c r="C367">
        <v>1</v>
      </c>
      <c r="D367">
        <v>1</v>
      </c>
      <c r="E367">
        <v>11</v>
      </c>
      <c r="F367" s="8">
        <v>1</v>
      </c>
      <c r="G367" t="s">
        <v>268</v>
      </c>
      <c r="H367" s="672">
        <v>0</v>
      </c>
      <c r="I367">
        <v>34100000</v>
      </c>
      <c r="J367">
        <v>34100000</v>
      </c>
      <c r="K367">
        <v>0</v>
      </c>
      <c r="L367">
        <v>0</v>
      </c>
      <c r="M367" t="s">
        <v>276</v>
      </c>
      <c r="N367" t="s">
        <v>277</v>
      </c>
      <c r="O367" t="s">
        <v>573</v>
      </c>
      <c r="P367" t="s">
        <v>278</v>
      </c>
      <c r="Q367" t="s">
        <v>574</v>
      </c>
      <c r="R367">
        <v>371</v>
      </c>
      <c r="S367" s="672" t="b">
        <f t="shared" si="5"/>
        <v>0</v>
      </c>
      <c r="T367" t="s">
        <v>180</v>
      </c>
    </row>
    <row r="368" spans="1:20" hidden="1">
      <c r="A368" t="s">
        <v>955</v>
      </c>
      <c r="B368" t="s">
        <v>1716</v>
      </c>
      <c r="C368">
        <v>1</v>
      </c>
      <c r="D368">
        <v>1</v>
      </c>
      <c r="E368">
        <v>8</v>
      </c>
      <c r="F368" s="8">
        <v>1</v>
      </c>
      <c r="G368" t="s">
        <v>268</v>
      </c>
      <c r="H368" s="672">
        <v>0</v>
      </c>
      <c r="I368">
        <v>22800000</v>
      </c>
      <c r="J368">
        <v>22800000</v>
      </c>
      <c r="K368">
        <v>0</v>
      </c>
      <c r="L368">
        <v>0</v>
      </c>
      <c r="M368" t="s">
        <v>276</v>
      </c>
      <c r="N368" t="s">
        <v>277</v>
      </c>
      <c r="O368" t="s">
        <v>573</v>
      </c>
      <c r="P368" t="s">
        <v>278</v>
      </c>
      <c r="Q368" t="s">
        <v>574</v>
      </c>
      <c r="R368">
        <v>372</v>
      </c>
      <c r="S368" s="672" t="b">
        <f t="shared" si="5"/>
        <v>0</v>
      </c>
      <c r="T368" t="s">
        <v>180</v>
      </c>
    </row>
    <row r="369" spans="1:20" hidden="1">
      <c r="A369" t="s">
        <v>935</v>
      </c>
      <c r="B369" t="s">
        <v>1717</v>
      </c>
      <c r="C369">
        <v>1</v>
      </c>
      <c r="D369">
        <v>1</v>
      </c>
      <c r="E369">
        <v>11</v>
      </c>
      <c r="F369" s="8">
        <v>1</v>
      </c>
      <c r="G369" t="s">
        <v>268</v>
      </c>
      <c r="H369" s="672">
        <v>0</v>
      </c>
      <c r="I369">
        <v>38170000</v>
      </c>
      <c r="J369">
        <v>38170000</v>
      </c>
      <c r="K369">
        <v>0</v>
      </c>
      <c r="L369">
        <v>0</v>
      </c>
      <c r="M369" t="s">
        <v>276</v>
      </c>
      <c r="N369" t="s">
        <v>277</v>
      </c>
      <c r="O369" t="s">
        <v>573</v>
      </c>
      <c r="P369" t="s">
        <v>278</v>
      </c>
      <c r="Q369" t="s">
        <v>574</v>
      </c>
      <c r="R369">
        <v>373</v>
      </c>
      <c r="S369" s="672" t="b">
        <f t="shared" si="5"/>
        <v>0</v>
      </c>
      <c r="T369" t="s">
        <v>180</v>
      </c>
    </row>
    <row r="370" spans="1:20" hidden="1">
      <c r="A370" t="s">
        <v>959</v>
      </c>
      <c r="B370" t="s">
        <v>1718</v>
      </c>
      <c r="C370">
        <v>1</v>
      </c>
      <c r="D370">
        <v>1</v>
      </c>
      <c r="E370">
        <v>11</v>
      </c>
      <c r="F370" s="8">
        <v>1</v>
      </c>
      <c r="G370" t="s">
        <v>268</v>
      </c>
      <c r="H370" s="672">
        <v>0</v>
      </c>
      <c r="I370">
        <v>61160000</v>
      </c>
      <c r="J370">
        <v>61160000</v>
      </c>
      <c r="K370">
        <v>0</v>
      </c>
      <c r="L370">
        <v>0</v>
      </c>
      <c r="M370" t="s">
        <v>276</v>
      </c>
      <c r="N370" t="s">
        <v>277</v>
      </c>
      <c r="O370" t="s">
        <v>573</v>
      </c>
      <c r="P370" t="s">
        <v>278</v>
      </c>
      <c r="Q370" t="s">
        <v>574</v>
      </c>
      <c r="R370">
        <v>374</v>
      </c>
      <c r="S370" s="672" t="b">
        <f t="shared" si="5"/>
        <v>0</v>
      </c>
      <c r="T370" t="s">
        <v>180</v>
      </c>
    </row>
    <row r="371" spans="1:20" hidden="1">
      <c r="A371" t="s">
        <v>952</v>
      </c>
      <c r="B371" t="s">
        <v>1719</v>
      </c>
      <c r="C371">
        <v>1</v>
      </c>
      <c r="D371">
        <v>1</v>
      </c>
      <c r="E371">
        <v>9</v>
      </c>
      <c r="F371" s="8">
        <v>1</v>
      </c>
      <c r="G371" t="s">
        <v>268</v>
      </c>
      <c r="H371" s="672">
        <v>0</v>
      </c>
      <c r="I371">
        <v>59580000</v>
      </c>
      <c r="J371">
        <v>59580000</v>
      </c>
      <c r="K371">
        <v>0</v>
      </c>
      <c r="L371">
        <v>0</v>
      </c>
      <c r="M371" t="s">
        <v>276</v>
      </c>
      <c r="N371" t="s">
        <v>277</v>
      </c>
      <c r="O371" t="s">
        <v>573</v>
      </c>
      <c r="P371" t="s">
        <v>278</v>
      </c>
      <c r="Q371" t="s">
        <v>574</v>
      </c>
      <c r="R371">
        <v>375</v>
      </c>
      <c r="S371" s="672" t="b">
        <f t="shared" si="5"/>
        <v>0</v>
      </c>
      <c r="T371" t="s">
        <v>180</v>
      </c>
    </row>
    <row r="372" spans="1:20" hidden="1">
      <c r="A372" t="s">
        <v>952</v>
      </c>
      <c r="B372" t="s">
        <v>1720</v>
      </c>
      <c r="C372">
        <v>1</v>
      </c>
      <c r="D372">
        <v>1</v>
      </c>
      <c r="E372">
        <v>9</v>
      </c>
      <c r="F372" s="8">
        <v>1</v>
      </c>
      <c r="G372" t="s">
        <v>268</v>
      </c>
      <c r="H372" s="672">
        <v>0</v>
      </c>
      <c r="I372">
        <v>53010000</v>
      </c>
      <c r="J372">
        <v>53010000</v>
      </c>
      <c r="K372">
        <v>0</v>
      </c>
      <c r="L372">
        <v>0</v>
      </c>
      <c r="M372" t="s">
        <v>276</v>
      </c>
      <c r="N372" t="s">
        <v>277</v>
      </c>
      <c r="O372" t="s">
        <v>573</v>
      </c>
      <c r="P372" t="s">
        <v>278</v>
      </c>
      <c r="Q372" t="s">
        <v>574</v>
      </c>
      <c r="R372">
        <v>376</v>
      </c>
      <c r="S372" s="672" t="b">
        <f t="shared" si="5"/>
        <v>0</v>
      </c>
      <c r="T372" t="s">
        <v>180</v>
      </c>
    </row>
    <row r="373" spans="1:20" hidden="1">
      <c r="A373" t="s">
        <v>962</v>
      </c>
      <c r="B373" t="s">
        <v>1721</v>
      </c>
      <c r="C373">
        <v>1</v>
      </c>
      <c r="D373">
        <v>1</v>
      </c>
      <c r="E373">
        <v>9</v>
      </c>
      <c r="F373" s="8">
        <v>1</v>
      </c>
      <c r="G373" t="s">
        <v>268</v>
      </c>
      <c r="H373" s="672">
        <v>0</v>
      </c>
      <c r="I373">
        <v>53010000</v>
      </c>
      <c r="J373">
        <v>53010000</v>
      </c>
      <c r="K373">
        <v>0</v>
      </c>
      <c r="L373">
        <v>0</v>
      </c>
      <c r="M373" t="s">
        <v>276</v>
      </c>
      <c r="N373" t="s">
        <v>277</v>
      </c>
      <c r="O373" t="s">
        <v>573</v>
      </c>
      <c r="P373" t="s">
        <v>278</v>
      </c>
      <c r="Q373" t="s">
        <v>574</v>
      </c>
      <c r="R373">
        <v>377</v>
      </c>
      <c r="S373" s="672" t="b">
        <f t="shared" si="5"/>
        <v>0</v>
      </c>
      <c r="T373" t="s">
        <v>180</v>
      </c>
    </row>
    <row r="374" spans="1:20" hidden="1">
      <c r="A374" t="s">
        <v>963</v>
      </c>
      <c r="B374" t="s">
        <v>1722</v>
      </c>
      <c r="C374">
        <v>1</v>
      </c>
      <c r="D374">
        <v>1</v>
      </c>
      <c r="E374">
        <v>10</v>
      </c>
      <c r="F374" s="8">
        <v>1</v>
      </c>
      <c r="G374" t="s">
        <v>268</v>
      </c>
      <c r="H374" s="672">
        <v>0</v>
      </c>
      <c r="I374">
        <v>58700000</v>
      </c>
      <c r="J374">
        <v>58700000</v>
      </c>
      <c r="K374">
        <v>0</v>
      </c>
      <c r="L374">
        <v>0</v>
      </c>
      <c r="M374" t="s">
        <v>276</v>
      </c>
      <c r="N374" t="s">
        <v>277</v>
      </c>
      <c r="O374" t="s">
        <v>573</v>
      </c>
      <c r="P374" t="s">
        <v>278</v>
      </c>
      <c r="Q374" t="s">
        <v>574</v>
      </c>
      <c r="R374">
        <v>378</v>
      </c>
      <c r="S374" s="672" t="b">
        <f t="shared" si="5"/>
        <v>0</v>
      </c>
      <c r="T374" t="s">
        <v>180</v>
      </c>
    </row>
    <row r="375" spans="1:20" hidden="1">
      <c r="A375" t="s">
        <v>954</v>
      </c>
      <c r="B375" t="s">
        <v>1723</v>
      </c>
      <c r="C375">
        <v>1</v>
      </c>
      <c r="D375">
        <v>1</v>
      </c>
      <c r="E375">
        <v>11</v>
      </c>
      <c r="F375" s="8">
        <v>1</v>
      </c>
      <c r="G375" t="s">
        <v>268</v>
      </c>
      <c r="H375" s="672">
        <v>0</v>
      </c>
      <c r="I375">
        <v>54010000</v>
      </c>
      <c r="J375">
        <v>54010000</v>
      </c>
      <c r="K375">
        <v>0</v>
      </c>
      <c r="L375">
        <v>0</v>
      </c>
      <c r="M375" t="s">
        <v>276</v>
      </c>
      <c r="N375" t="s">
        <v>277</v>
      </c>
      <c r="O375" t="s">
        <v>573</v>
      </c>
      <c r="P375" t="s">
        <v>278</v>
      </c>
      <c r="Q375" t="s">
        <v>574</v>
      </c>
      <c r="R375">
        <v>379</v>
      </c>
      <c r="S375" s="672" t="b">
        <f t="shared" ref="S375:S428" si="6">+R375=R374</f>
        <v>0</v>
      </c>
      <c r="T375" t="s">
        <v>180</v>
      </c>
    </row>
    <row r="376" spans="1:20" hidden="1">
      <c r="A376" t="s">
        <v>966</v>
      </c>
      <c r="B376" t="s">
        <v>1724</v>
      </c>
      <c r="C376">
        <v>1</v>
      </c>
      <c r="D376">
        <v>1</v>
      </c>
      <c r="E376">
        <v>10</v>
      </c>
      <c r="F376" s="8">
        <v>1</v>
      </c>
      <c r="G376" t="s">
        <v>268</v>
      </c>
      <c r="H376" s="672">
        <v>0</v>
      </c>
      <c r="I376">
        <v>55000000</v>
      </c>
      <c r="J376">
        <v>55000000</v>
      </c>
      <c r="K376">
        <v>0</v>
      </c>
      <c r="L376">
        <v>0</v>
      </c>
      <c r="M376" t="s">
        <v>276</v>
      </c>
      <c r="N376" t="s">
        <v>277</v>
      </c>
      <c r="O376" t="s">
        <v>573</v>
      </c>
      <c r="P376" t="s">
        <v>278</v>
      </c>
      <c r="Q376" t="s">
        <v>574</v>
      </c>
      <c r="R376">
        <v>380</v>
      </c>
      <c r="S376" s="672" t="b">
        <f t="shared" si="6"/>
        <v>0</v>
      </c>
      <c r="T376" t="s">
        <v>180</v>
      </c>
    </row>
    <row r="377" spans="1:20" hidden="1">
      <c r="A377" t="s">
        <v>952</v>
      </c>
      <c r="B377" t="s">
        <v>1725</v>
      </c>
      <c r="C377">
        <v>1</v>
      </c>
      <c r="D377">
        <v>1</v>
      </c>
      <c r="E377">
        <v>9</v>
      </c>
      <c r="F377" s="8">
        <v>1</v>
      </c>
      <c r="G377" t="s">
        <v>268</v>
      </c>
      <c r="H377" s="672">
        <v>0</v>
      </c>
      <c r="I377">
        <v>59580000</v>
      </c>
      <c r="J377">
        <v>59580000</v>
      </c>
      <c r="K377">
        <v>0</v>
      </c>
      <c r="L377">
        <v>0</v>
      </c>
      <c r="M377" t="s">
        <v>276</v>
      </c>
      <c r="N377" t="s">
        <v>277</v>
      </c>
      <c r="O377" t="s">
        <v>573</v>
      </c>
      <c r="P377" t="s">
        <v>278</v>
      </c>
      <c r="Q377" t="s">
        <v>574</v>
      </c>
      <c r="R377">
        <v>381</v>
      </c>
      <c r="S377" s="672" t="b">
        <f t="shared" si="6"/>
        <v>0</v>
      </c>
      <c r="T377" t="s">
        <v>180</v>
      </c>
    </row>
    <row r="378" spans="1:20" hidden="1">
      <c r="A378" t="s">
        <v>969</v>
      </c>
      <c r="B378" t="s">
        <v>1726</v>
      </c>
      <c r="C378">
        <v>1</v>
      </c>
      <c r="D378">
        <v>1</v>
      </c>
      <c r="E378">
        <v>11</v>
      </c>
      <c r="F378" s="8">
        <v>1</v>
      </c>
      <c r="G378" t="s">
        <v>268</v>
      </c>
      <c r="H378" s="672">
        <v>0</v>
      </c>
      <c r="I378">
        <v>57200000</v>
      </c>
      <c r="J378">
        <v>57200000</v>
      </c>
      <c r="K378">
        <v>0</v>
      </c>
      <c r="L378">
        <v>0</v>
      </c>
      <c r="M378" t="s">
        <v>276</v>
      </c>
      <c r="N378" t="s">
        <v>277</v>
      </c>
      <c r="O378" t="s">
        <v>573</v>
      </c>
      <c r="P378" t="s">
        <v>278</v>
      </c>
      <c r="Q378" t="s">
        <v>574</v>
      </c>
      <c r="R378">
        <v>382</v>
      </c>
      <c r="S378" s="672" t="b">
        <f t="shared" si="6"/>
        <v>0</v>
      </c>
      <c r="T378" t="s">
        <v>180</v>
      </c>
    </row>
    <row r="379" spans="1:20" hidden="1">
      <c r="A379" t="s">
        <v>971</v>
      </c>
      <c r="B379" t="s">
        <v>1727</v>
      </c>
      <c r="C379">
        <v>1</v>
      </c>
      <c r="D379">
        <v>1</v>
      </c>
      <c r="E379">
        <v>11</v>
      </c>
      <c r="F379" s="8">
        <v>1</v>
      </c>
      <c r="G379" t="s">
        <v>268</v>
      </c>
      <c r="H379" s="672">
        <v>0</v>
      </c>
      <c r="I379">
        <v>90640000</v>
      </c>
      <c r="J379">
        <v>90640000</v>
      </c>
      <c r="K379">
        <v>0</v>
      </c>
      <c r="L379">
        <v>0</v>
      </c>
      <c r="M379" t="s">
        <v>276</v>
      </c>
      <c r="N379" t="s">
        <v>277</v>
      </c>
      <c r="O379" t="s">
        <v>573</v>
      </c>
      <c r="P379" t="s">
        <v>278</v>
      </c>
      <c r="Q379" t="s">
        <v>574</v>
      </c>
      <c r="R379">
        <v>383</v>
      </c>
      <c r="S379" s="672" t="b">
        <f t="shared" si="6"/>
        <v>0</v>
      </c>
      <c r="T379" t="s">
        <v>180</v>
      </c>
    </row>
    <row r="380" spans="1:20" hidden="1">
      <c r="A380" t="s">
        <v>973</v>
      </c>
      <c r="B380" t="s">
        <v>1728</v>
      </c>
      <c r="C380">
        <v>1</v>
      </c>
      <c r="D380">
        <v>1</v>
      </c>
      <c r="E380">
        <v>10</v>
      </c>
      <c r="F380" s="8">
        <v>1</v>
      </c>
      <c r="G380" t="s">
        <v>268</v>
      </c>
      <c r="H380" s="672">
        <v>0</v>
      </c>
      <c r="I380">
        <v>54900000</v>
      </c>
      <c r="J380">
        <v>54900000</v>
      </c>
      <c r="K380">
        <v>0</v>
      </c>
      <c r="L380">
        <v>0</v>
      </c>
      <c r="M380" t="s">
        <v>276</v>
      </c>
      <c r="N380" t="s">
        <v>277</v>
      </c>
      <c r="O380" t="s">
        <v>573</v>
      </c>
      <c r="P380" t="s">
        <v>278</v>
      </c>
      <c r="Q380" t="s">
        <v>574</v>
      </c>
      <c r="R380">
        <v>384</v>
      </c>
      <c r="S380" s="672" t="b">
        <f t="shared" si="6"/>
        <v>0</v>
      </c>
      <c r="T380" t="s">
        <v>180</v>
      </c>
    </row>
    <row r="381" spans="1:20" hidden="1">
      <c r="A381" t="s">
        <v>962</v>
      </c>
      <c r="B381" t="s">
        <v>1729</v>
      </c>
      <c r="C381">
        <v>1</v>
      </c>
      <c r="D381">
        <v>1</v>
      </c>
      <c r="E381">
        <v>11</v>
      </c>
      <c r="F381" s="8">
        <v>1</v>
      </c>
      <c r="G381" t="s">
        <v>268</v>
      </c>
      <c r="H381" s="672">
        <v>0</v>
      </c>
      <c r="I381">
        <v>93500000</v>
      </c>
      <c r="J381">
        <v>93500000</v>
      </c>
      <c r="K381">
        <v>0</v>
      </c>
      <c r="L381">
        <v>0</v>
      </c>
      <c r="M381" t="s">
        <v>276</v>
      </c>
      <c r="N381" t="s">
        <v>277</v>
      </c>
      <c r="O381" t="s">
        <v>573</v>
      </c>
      <c r="P381" t="s">
        <v>278</v>
      </c>
      <c r="Q381" t="s">
        <v>574</v>
      </c>
      <c r="R381">
        <v>385</v>
      </c>
      <c r="S381" s="672" t="b">
        <f t="shared" si="6"/>
        <v>0</v>
      </c>
      <c r="T381" t="s">
        <v>180</v>
      </c>
    </row>
    <row r="382" spans="1:20" hidden="1">
      <c r="A382" t="s">
        <v>976</v>
      </c>
      <c r="B382" t="s">
        <v>1730</v>
      </c>
      <c r="C382">
        <v>2</v>
      </c>
      <c r="D382">
        <v>2</v>
      </c>
      <c r="E382">
        <v>11</v>
      </c>
      <c r="F382" s="8">
        <v>1</v>
      </c>
      <c r="G382" t="s">
        <v>268</v>
      </c>
      <c r="H382" s="672">
        <v>0</v>
      </c>
      <c r="I382">
        <v>91740000</v>
      </c>
      <c r="J382">
        <v>91740000</v>
      </c>
      <c r="K382">
        <v>0</v>
      </c>
      <c r="L382">
        <v>0</v>
      </c>
      <c r="M382" t="s">
        <v>276</v>
      </c>
      <c r="N382" t="s">
        <v>277</v>
      </c>
      <c r="O382" t="s">
        <v>573</v>
      </c>
      <c r="P382" t="s">
        <v>278</v>
      </c>
      <c r="Q382" t="s">
        <v>574</v>
      </c>
      <c r="R382">
        <v>386</v>
      </c>
      <c r="S382" s="672" t="b">
        <f t="shared" si="6"/>
        <v>0</v>
      </c>
      <c r="T382" t="s">
        <v>180</v>
      </c>
    </row>
    <row r="383" spans="1:20" hidden="1">
      <c r="A383" t="s">
        <v>935</v>
      </c>
      <c r="B383" t="s">
        <v>1731</v>
      </c>
      <c r="C383">
        <v>1</v>
      </c>
      <c r="D383">
        <v>1</v>
      </c>
      <c r="E383">
        <v>11</v>
      </c>
      <c r="F383" s="8">
        <v>1</v>
      </c>
      <c r="G383" t="s">
        <v>268</v>
      </c>
      <c r="H383" s="672">
        <v>0</v>
      </c>
      <c r="I383">
        <v>88000000</v>
      </c>
      <c r="J383">
        <v>88000000</v>
      </c>
      <c r="K383">
        <v>0</v>
      </c>
      <c r="L383">
        <v>0</v>
      </c>
      <c r="M383" t="s">
        <v>276</v>
      </c>
      <c r="N383" t="s">
        <v>277</v>
      </c>
      <c r="O383" t="s">
        <v>573</v>
      </c>
      <c r="P383" t="s">
        <v>278</v>
      </c>
      <c r="Q383" t="s">
        <v>574</v>
      </c>
      <c r="R383">
        <v>387</v>
      </c>
      <c r="S383" s="672" t="b">
        <f t="shared" si="6"/>
        <v>0</v>
      </c>
      <c r="T383" t="s">
        <v>180</v>
      </c>
    </row>
    <row r="384" spans="1:20" hidden="1">
      <c r="A384" t="s">
        <v>979</v>
      </c>
      <c r="B384" t="s">
        <v>1732</v>
      </c>
      <c r="C384">
        <v>1</v>
      </c>
      <c r="D384">
        <v>1</v>
      </c>
      <c r="E384">
        <v>9</v>
      </c>
      <c r="F384" s="8">
        <v>1</v>
      </c>
      <c r="G384" t="s">
        <v>268</v>
      </c>
      <c r="H384" s="672">
        <v>0</v>
      </c>
      <c r="I384">
        <v>48960000</v>
      </c>
      <c r="J384">
        <v>48960000</v>
      </c>
      <c r="K384">
        <v>0</v>
      </c>
      <c r="L384">
        <v>0</v>
      </c>
      <c r="M384" t="s">
        <v>276</v>
      </c>
      <c r="N384" t="s">
        <v>277</v>
      </c>
      <c r="O384" t="s">
        <v>573</v>
      </c>
      <c r="P384" t="s">
        <v>278</v>
      </c>
      <c r="Q384" t="s">
        <v>574</v>
      </c>
      <c r="R384">
        <v>388</v>
      </c>
      <c r="S384" s="672" t="b">
        <f t="shared" si="6"/>
        <v>0</v>
      </c>
      <c r="T384" t="s">
        <v>180</v>
      </c>
    </row>
    <row r="385" spans="1:20" hidden="1">
      <c r="A385" t="s">
        <v>981</v>
      </c>
      <c r="B385" t="s">
        <v>1733</v>
      </c>
      <c r="C385">
        <v>1</v>
      </c>
      <c r="D385">
        <v>1</v>
      </c>
      <c r="E385">
        <v>10</v>
      </c>
      <c r="F385" s="8">
        <v>1</v>
      </c>
      <c r="G385" t="s">
        <v>268</v>
      </c>
      <c r="H385" s="672">
        <v>0</v>
      </c>
      <c r="I385">
        <v>87500000</v>
      </c>
      <c r="J385">
        <v>87500000</v>
      </c>
      <c r="K385">
        <v>0</v>
      </c>
      <c r="L385">
        <v>0</v>
      </c>
      <c r="M385" t="s">
        <v>276</v>
      </c>
      <c r="N385" t="s">
        <v>277</v>
      </c>
      <c r="O385" t="s">
        <v>573</v>
      </c>
      <c r="P385" t="s">
        <v>278</v>
      </c>
      <c r="Q385" t="s">
        <v>574</v>
      </c>
      <c r="R385">
        <v>389</v>
      </c>
      <c r="S385" s="672" t="b">
        <f t="shared" si="6"/>
        <v>0</v>
      </c>
      <c r="T385" t="s">
        <v>180</v>
      </c>
    </row>
    <row r="386" spans="1:20" hidden="1">
      <c r="A386" t="s">
        <v>983</v>
      </c>
      <c r="B386" t="s">
        <v>1734</v>
      </c>
      <c r="C386">
        <v>1</v>
      </c>
      <c r="D386">
        <v>1</v>
      </c>
      <c r="E386">
        <v>10</v>
      </c>
      <c r="F386" s="8">
        <v>1</v>
      </c>
      <c r="G386" t="s">
        <v>268</v>
      </c>
      <c r="H386" s="672">
        <v>0</v>
      </c>
      <c r="I386">
        <v>72000000</v>
      </c>
      <c r="J386">
        <v>72000000</v>
      </c>
      <c r="K386">
        <v>0</v>
      </c>
      <c r="L386">
        <v>0</v>
      </c>
      <c r="M386" t="s">
        <v>276</v>
      </c>
      <c r="N386" t="s">
        <v>277</v>
      </c>
      <c r="O386" t="s">
        <v>573</v>
      </c>
      <c r="P386" t="s">
        <v>278</v>
      </c>
      <c r="Q386" t="s">
        <v>574</v>
      </c>
      <c r="R386">
        <v>390</v>
      </c>
      <c r="S386" s="672" t="b">
        <f t="shared" si="6"/>
        <v>0</v>
      </c>
      <c r="T386" t="s">
        <v>180</v>
      </c>
    </row>
    <row r="387" spans="1:20" hidden="1">
      <c r="A387" t="s">
        <v>954</v>
      </c>
      <c r="B387" t="s">
        <v>1735</v>
      </c>
      <c r="C387">
        <v>1</v>
      </c>
      <c r="D387">
        <v>1</v>
      </c>
      <c r="E387">
        <v>11</v>
      </c>
      <c r="F387" s="8">
        <v>1</v>
      </c>
      <c r="G387" t="s">
        <v>268</v>
      </c>
      <c r="H387" s="672">
        <v>0</v>
      </c>
      <c r="I387">
        <v>45320000</v>
      </c>
      <c r="J387">
        <v>45320000</v>
      </c>
      <c r="K387">
        <v>0</v>
      </c>
      <c r="L387">
        <v>0</v>
      </c>
      <c r="M387" t="s">
        <v>276</v>
      </c>
      <c r="N387" t="s">
        <v>277</v>
      </c>
      <c r="O387" t="s">
        <v>573</v>
      </c>
      <c r="P387" t="s">
        <v>278</v>
      </c>
      <c r="Q387" t="s">
        <v>574</v>
      </c>
      <c r="R387">
        <v>391</v>
      </c>
      <c r="S387" s="672" t="b">
        <f t="shared" si="6"/>
        <v>0</v>
      </c>
      <c r="T387" t="s">
        <v>180</v>
      </c>
    </row>
    <row r="388" spans="1:20" hidden="1">
      <c r="A388" t="s">
        <v>973</v>
      </c>
      <c r="B388" t="s">
        <v>1736</v>
      </c>
      <c r="C388">
        <v>1</v>
      </c>
      <c r="D388">
        <v>1</v>
      </c>
      <c r="E388">
        <v>9</v>
      </c>
      <c r="F388" s="8">
        <v>1</v>
      </c>
      <c r="G388" t="s">
        <v>268</v>
      </c>
      <c r="H388" s="672">
        <v>0</v>
      </c>
      <c r="I388">
        <v>36450000</v>
      </c>
      <c r="J388">
        <v>36450000</v>
      </c>
      <c r="K388">
        <v>0</v>
      </c>
      <c r="L388">
        <v>0</v>
      </c>
      <c r="M388" t="s">
        <v>276</v>
      </c>
      <c r="N388" t="s">
        <v>277</v>
      </c>
      <c r="O388" t="s">
        <v>573</v>
      </c>
      <c r="P388" t="s">
        <v>278</v>
      </c>
      <c r="Q388" t="s">
        <v>574</v>
      </c>
      <c r="R388">
        <v>392</v>
      </c>
      <c r="S388" s="672" t="b">
        <f t="shared" si="6"/>
        <v>0</v>
      </c>
      <c r="T388" t="s">
        <v>180</v>
      </c>
    </row>
    <row r="389" spans="1:20" hidden="1">
      <c r="A389" t="s">
        <v>986</v>
      </c>
      <c r="B389" t="s">
        <v>1737</v>
      </c>
      <c r="C389">
        <v>1</v>
      </c>
      <c r="D389">
        <v>1</v>
      </c>
      <c r="E389">
        <v>10</v>
      </c>
      <c r="F389" s="8">
        <v>1</v>
      </c>
      <c r="G389" t="s">
        <v>268</v>
      </c>
      <c r="H389" s="672">
        <v>0</v>
      </c>
      <c r="I389">
        <v>55600000</v>
      </c>
      <c r="J389">
        <v>55600000</v>
      </c>
      <c r="K389">
        <v>0</v>
      </c>
      <c r="L389">
        <v>0</v>
      </c>
      <c r="M389" t="s">
        <v>276</v>
      </c>
      <c r="N389" t="s">
        <v>277</v>
      </c>
      <c r="O389" t="s">
        <v>573</v>
      </c>
      <c r="P389" t="s">
        <v>278</v>
      </c>
      <c r="Q389" t="s">
        <v>574</v>
      </c>
      <c r="R389">
        <v>393</v>
      </c>
      <c r="S389" s="672" t="b">
        <f t="shared" si="6"/>
        <v>0</v>
      </c>
      <c r="T389" t="s">
        <v>180</v>
      </c>
    </row>
    <row r="390" spans="1:20" hidden="1">
      <c r="A390" t="s">
        <v>986</v>
      </c>
      <c r="B390" t="s">
        <v>1738</v>
      </c>
      <c r="C390">
        <v>1</v>
      </c>
      <c r="D390">
        <v>1</v>
      </c>
      <c r="E390">
        <v>10</v>
      </c>
      <c r="F390" s="8">
        <v>1</v>
      </c>
      <c r="G390" t="s">
        <v>268</v>
      </c>
      <c r="H390" s="672">
        <v>0</v>
      </c>
      <c r="I390">
        <v>66400000</v>
      </c>
      <c r="J390">
        <v>66400000</v>
      </c>
      <c r="K390">
        <v>0</v>
      </c>
      <c r="L390">
        <v>0</v>
      </c>
      <c r="M390" t="s">
        <v>276</v>
      </c>
      <c r="N390" t="s">
        <v>277</v>
      </c>
      <c r="O390" t="s">
        <v>573</v>
      </c>
      <c r="P390" t="s">
        <v>278</v>
      </c>
      <c r="Q390" t="s">
        <v>574</v>
      </c>
      <c r="R390">
        <v>394</v>
      </c>
      <c r="S390" s="672" t="b">
        <f t="shared" si="6"/>
        <v>0</v>
      </c>
      <c r="T390" t="s">
        <v>180</v>
      </c>
    </row>
    <row r="391" spans="1:20" hidden="1">
      <c r="A391" t="s">
        <v>690</v>
      </c>
      <c r="B391" t="s">
        <v>1739</v>
      </c>
      <c r="C391">
        <v>2</v>
      </c>
      <c r="D391">
        <v>2</v>
      </c>
      <c r="E391">
        <v>10</v>
      </c>
      <c r="F391" s="8">
        <v>1</v>
      </c>
      <c r="G391" t="s">
        <v>270</v>
      </c>
      <c r="H391" s="672">
        <v>0</v>
      </c>
      <c r="I391">
        <v>120000000</v>
      </c>
      <c r="J391">
        <v>120000000</v>
      </c>
      <c r="K391">
        <v>0</v>
      </c>
      <c r="L391">
        <v>0</v>
      </c>
      <c r="M391" t="s">
        <v>276</v>
      </c>
      <c r="N391" t="s">
        <v>277</v>
      </c>
      <c r="O391" t="s">
        <v>283</v>
      </c>
      <c r="P391" t="s">
        <v>278</v>
      </c>
      <c r="Q391" t="s">
        <v>279</v>
      </c>
      <c r="R391">
        <v>395</v>
      </c>
      <c r="S391" s="672" t="b">
        <f t="shared" si="6"/>
        <v>0</v>
      </c>
      <c r="T391" t="s">
        <v>329</v>
      </c>
    </row>
    <row r="392" spans="1:20" hidden="1">
      <c r="A392">
        <v>84131501</v>
      </c>
      <c r="B392" t="s">
        <v>1740</v>
      </c>
      <c r="C392">
        <v>5</v>
      </c>
      <c r="D392">
        <v>5</v>
      </c>
      <c r="E392">
        <v>8</v>
      </c>
      <c r="F392" s="8">
        <v>1</v>
      </c>
      <c r="G392" t="s">
        <v>257</v>
      </c>
      <c r="H392" s="672">
        <v>0</v>
      </c>
      <c r="I392">
        <v>250000000</v>
      </c>
      <c r="J392">
        <v>250000000</v>
      </c>
      <c r="K392">
        <v>0</v>
      </c>
      <c r="L392">
        <v>0</v>
      </c>
      <c r="M392" t="s">
        <v>276</v>
      </c>
      <c r="N392" t="s">
        <v>277</v>
      </c>
      <c r="O392" t="s">
        <v>283</v>
      </c>
      <c r="P392" t="s">
        <v>278</v>
      </c>
      <c r="Q392" t="s">
        <v>279</v>
      </c>
      <c r="R392">
        <v>396</v>
      </c>
      <c r="S392" s="672" t="b">
        <f t="shared" si="6"/>
        <v>0</v>
      </c>
      <c r="T392" t="s">
        <v>329</v>
      </c>
    </row>
    <row r="393" spans="1:20" hidden="1">
      <c r="A393" t="s">
        <v>705</v>
      </c>
      <c r="B393" t="s">
        <v>1741</v>
      </c>
      <c r="C393">
        <v>3</v>
      </c>
      <c r="D393">
        <v>3</v>
      </c>
      <c r="E393">
        <v>7</v>
      </c>
      <c r="F393" s="8">
        <v>1</v>
      </c>
      <c r="G393" t="s">
        <v>257</v>
      </c>
      <c r="H393" s="672">
        <v>0</v>
      </c>
      <c r="I393">
        <v>193789594</v>
      </c>
      <c r="J393">
        <v>193789594</v>
      </c>
      <c r="K393">
        <v>0</v>
      </c>
      <c r="L393">
        <v>0</v>
      </c>
      <c r="M393" t="s">
        <v>276</v>
      </c>
      <c r="N393" t="s">
        <v>277</v>
      </c>
      <c r="O393" t="s">
        <v>283</v>
      </c>
      <c r="P393" t="s">
        <v>278</v>
      </c>
      <c r="Q393" t="s">
        <v>279</v>
      </c>
      <c r="R393">
        <v>397</v>
      </c>
      <c r="S393" s="672" t="b">
        <f t="shared" si="6"/>
        <v>0</v>
      </c>
      <c r="T393" t="s">
        <v>329</v>
      </c>
    </row>
    <row r="394" spans="1:20" hidden="1">
      <c r="A394" t="s">
        <v>705</v>
      </c>
      <c r="B394" t="s">
        <v>1742</v>
      </c>
      <c r="C394">
        <v>1</v>
      </c>
      <c r="D394">
        <v>1</v>
      </c>
      <c r="E394" s="672">
        <f>30*3+15</f>
        <v>105</v>
      </c>
      <c r="F394" s="708">
        <v>0</v>
      </c>
      <c r="G394" t="s">
        <v>257</v>
      </c>
      <c r="H394" s="672">
        <v>0</v>
      </c>
      <c r="I394">
        <v>206210406</v>
      </c>
      <c r="J394">
        <v>206210406</v>
      </c>
      <c r="K394">
        <v>0</v>
      </c>
      <c r="L394">
        <v>0</v>
      </c>
      <c r="M394" t="s">
        <v>276</v>
      </c>
      <c r="N394" t="s">
        <v>277</v>
      </c>
      <c r="O394" t="s">
        <v>283</v>
      </c>
      <c r="P394" t="s">
        <v>278</v>
      </c>
      <c r="Q394" t="s">
        <v>279</v>
      </c>
      <c r="R394">
        <v>398</v>
      </c>
      <c r="S394" s="672" t="b">
        <f t="shared" si="6"/>
        <v>0</v>
      </c>
      <c r="T394" t="s">
        <v>329</v>
      </c>
    </row>
    <row r="395" spans="1:20" hidden="1">
      <c r="A395" t="s">
        <v>990</v>
      </c>
      <c r="B395" t="s">
        <v>1743</v>
      </c>
      <c r="C395">
        <v>6</v>
      </c>
      <c r="D395">
        <v>6</v>
      </c>
      <c r="E395">
        <v>1</v>
      </c>
      <c r="F395" s="8">
        <v>2</v>
      </c>
      <c r="G395" t="s">
        <v>257</v>
      </c>
      <c r="H395" s="672">
        <v>0</v>
      </c>
      <c r="I395">
        <v>100000000</v>
      </c>
      <c r="J395">
        <v>100000000</v>
      </c>
      <c r="K395">
        <v>0</v>
      </c>
      <c r="L395">
        <v>0</v>
      </c>
      <c r="M395" t="s">
        <v>276</v>
      </c>
      <c r="N395" t="s">
        <v>277</v>
      </c>
      <c r="O395" t="s">
        <v>283</v>
      </c>
      <c r="P395" t="s">
        <v>278</v>
      </c>
      <c r="Q395" t="s">
        <v>279</v>
      </c>
      <c r="R395">
        <v>399</v>
      </c>
      <c r="S395" s="672" t="b">
        <f t="shared" si="6"/>
        <v>0</v>
      </c>
      <c r="T395" t="s">
        <v>329</v>
      </c>
    </row>
    <row r="396" spans="1:20" hidden="1">
      <c r="A396" t="s">
        <v>798</v>
      </c>
      <c r="B396" t="s">
        <v>1744</v>
      </c>
      <c r="C396">
        <v>3</v>
      </c>
      <c r="D396">
        <v>3</v>
      </c>
      <c r="E396">
        <v>1</v>
      </c>
      <c r="F396" s="8">
        <v>1</v>
      </c>
      <c r="G396" t="s">
        <v>265</v>
      </c>
      <c r="H396" s="672">
        <v>0</v>
      </c>
      <c r="I396">
        <v>18000000</v>
      </c>
      <c r="J396">
        <v>18000000</v>
      </c>
      <c r="K396">
        <v>0</v>
      </c>
      <c r="L396">
        <v>0</v>
      </c>
      <c r="M396" t="s">
        <v>276</v>
      </c>
      <c r="N396" t="s">
        <v>277</v>
      </c>
      <c r="O396" t="s">
        <v>283</v>
      </c>
      <c r="P396" t="s">
        <v>278</v>
      </c>
      <c r="Q396" t="s">
        <v>279</v>
      </c>
      <c r="R396">
        <v>400</v>
      </c>
      <c r="S396" s="672" t="b">
        <f t="shared" si="6"/>
        <v>0</v>
      </c>
      <c r="T396" t="s">
        <v>329</v>
      </c>
    </row>
    <row r="397" spans="1:20" hidden="1">
      <c r="A397" t="s">
        <v>799</v>
      </c>
      <c r="B397" t="s">
        <v>1745</v>
      </c>
      <c r="C397">
        <v>3</v>
      </c>
      <c r="D397">
        <v>3</v>
      </c>
      <c r="E397">
        <v>7</v>
      </c>
      <c r="F397" s="8">
        <v>1</v>
      </c>
      <c r="G397" t="s">
        <v>270</v>
      </c>
      <c r="H397" s="672">
        <v>0</v>
      </c>
      <c r="I397">
        <v>40000000</v>
      </c>
      <c r="J397">
        <v>40000000</v>
      </c>
      <c r="K397">
        <v>0</v>
      </c>
      <c r="L397">
        <v>0</v>
      </c>
      <c r="M397" t="s">
        <v>276</v>
      </c>
      <c r="N397" t="s">
        <v>277</v>
      </c>
      <c r="O397" t="s">
        <v>283</v>
      </c>
      <c r="P397" t="s">
        <v>278</v>
      </c>
      <c r="Q397" t="s">
        <v>279</v>
      </c>
      <c r="R397">
        <v>401</v>
      </c>
      <c r="S397" s="672" t="b">
        <f t="shared" si="6"/>
        <v>0</v>
      </c>
      <c r="T397" t="s">
        <v>329</v>
      </c>
    </row>
    <row r="398" spans="1:20" hidden="1">
      <c r="A398" t="s">
        <v>802</v>
      </c>
      <c r="B398" t="s">
        <v>1746</v>
      </c>
      <c r="C398">
        <v>2</v>
      </c>
      <c r="D398">
        <v>2</v>
      </c>
      <c r="E398">
        <v>10</v>
      </c>
      <c r="F398" s="8">
        <v>1</v>
      </c>
      <c r="G398" t="s">
        <v>264</v>
      </c>
      <c r="H398" s="672">
        <v>0</v>
      </c>
      <c r="I398">
        <v>32000000</v>
      </c>
      <c r="J398">
        <v>32000000</v>
      </c>
      <c r="K398">
        <v>0</v>
      </c>
      <c r="L398">
        <v>0</v>
      </c>
      <c r="M398" t="s">
        <v>276</v>
      </c>
      <c r="N398" t="s">
        <v>277</v>
      </c>
      <c r="O398" t="s">
        <v>283</v>
      </c>
      <c r="P398" t="s">
        <v>278</v>
      </c>
      <c r="Q398" t="s">
        <v>279</v>
      </c>
      <c r="R398">
        <v>402</v>
      </c>
      <c r="S398" s="672" t="b">
        <f t="shared" si="6"/>
        <v>0</v>
      </c>
      <c r="T398" t="s">
        <v>329</v>
      </c>
    </row>
    <row r="399" spans="1:20" hidden="1">
      <c r="A399" t="s">
        <v>651</v>
      </c>
      <c r="B399" t="s">
        <v>1747</v>
      </c>
      <c r="C399">
        <v>2</v>
      </c>
      <c r="D399">
        <v>2</v>
      </c>
      <c r="E399">
        <v>9</v>
      </c>
      <c r="F399" s="8">
        <v>1</v>
      </c>
      <c r="G399" t="s">
        <v>265</v>
      </c>
      <c r="H399" s="672">
        <v>0</v>
      </c>
      <c r="I399">
        <v>32000000</v>
      </c>
      <c r="J399">
        <v>32000000</v>
      </c>
      <c r="K399">
        <v>0</v>
      </c>
      <c r="L399">
        <v>0</v>
      </c>
      <c r="M399" t="s">
        <v>276</v>
      </c>
      <c r="N399" t="s">
        <v>277</v>
      </c>
      <c r="O399" t="s">
        <v>283</v>
      </c>
      <c r="P399" t="s">
        <v>278</v>
      </c>
      <c r="Q399" t="s">
        <v>279</v>
      </c>
      <c r="R399">
        <v>403</v>
      </c>
      <c r="S399" s="672" t="b">
        <f t="shared" si="6"/>
        <v>0</v>
      </c>
      <c r="T399" t="s">
        <v>329</v>
      </c>
    </row>
    <row r="400" spans="1:20" hidden="1">
      <c r="A400" t="s">
        <v>672</v>
      </c>
      <c r="B400" t="s">
        <v>1748</v>
      </c>
      <c r="C400">
        <v>2</v>
      </c>
      <c r="D400">
        <v>2</v>
      </c>
      <c r="E400">
        <v>1</v>
      </c>
      <c r="F400" s="8">
        <v>2</v>
      </c>
      <c r="G400" t="s">
        <v>268</v>
      </c>
      <c r="H400" s="672">
        <v>0</v>
      </c>
      <c r="I400">
        <v>15000000</v>
      </c>
      <c r="J400">
        <v>15000000</v>
      </c>
      <c r="K400">
        <v>0</v>
      </c>
      <c r="L400">
        <v>0</v>
      </c>
      <c r="M400" t="s">
        <v>276</v>
      </c>
      <c r="N400" t="s">
        <v>277</v>
      </c>
      <c r="O400" t="s">
        <v>283</v>
      </c>
      <c r="P400" t="s">
        <v>278</v>
      </c>
      <c r="Q400" t="s">
        <v>279</v>
      </c>
      <c r="R400">
        <v>404</v>
      </c>
      <c r="S400" s="672" t="b">
        <f t="shared" si="6"/>
        <v>0</v>
      </c>
      <c r="T400" t="s">
        <v>329</v>
      </c>
    </row>
    <row r="401" spans="1:20" hidden="1">
      <c r="A401" t="s">
        <v>994</v>
      </c>
      <c r="B401" t="s">
        <v>1749</v>
      </c>
      <c r="C401">
        <v>2</v>
      </c>
      <c r="D401">
        <v>2</v>
      </c>
      <c r="E401">
        <v>1</v>
      </c>
      <c r="F401" s="8">
        <v>2</v>
      </c>
      <c r="G401" t="s">
        <v>266</v>
      </c>
      <c r="H401" s="672">
        <v>0</v>
      </c>
      <c r="I401">
        <v>13000000</v>
      </c>
      <c r="J401">
        <v>13000000</v>
      </c>
      <c r="K401">
        <v>0</v>
      </c>
      <c r="L401">
        <v>0</v>
      </c>
      <c r="M401" t="s">
        <v>276</v>
      </c>
      <c r="N401" t="s">
        <v>277</v>
      </c>
      <c r="O401" t="s">
        <v>283</v>
      </c>
      <c r="P401" t="s">
        <v>278</v>
      </c>
      <c r="Q401" t="s">
        <v>279</v>
      </c>
      <c r="R401">
        <v>405</v>
      </c>
      <c r="S401" s="672" t="b">
        <f t="shared" si="6"/>
        <v>0</v>
      </c>
      <c r="T401" t="s">
        <v>329</v>
      </c>
    </row>
    <row r="402" spans="1:20" hidden="1">
      <c r="A402" t="s">
        <v>804</v>
      </c>
      <c r="B402" t="s">
        <v>1750</v>
      </c>
      <c r="C402">
        <v>3</v>
      </c>
      <c r="D402">
        <v>3</v>
      </c>
      <c r="E402">
        <v>1</v>
      </c>
      <c r="F402" s="8">
        <v>2</v>
      </c>
      <c r="G402" t="s">
        <v>264</v>
      </c>
      <c r="H402" s="672">
        <v>0</v>
      </c>
      <c r="I402">
        <v>35000000</v>
      </c>
      <c r="J402">
        <v>35000000</v>
      </c>
      <c r="K402">
        <v>0</v>
      </c>
      <c r="L402">
        <v>0</v>
      </c>
      <c r="M402" t="s">
        <v>276</v>
      </c>
      <c r="N402" t="s">
        <v>277</v>
      </c>
      <c r="O402" t="s">
        <v>283</v>
      </c>
      <c r="P402" t="s">
        <v>278</v>
      </c>
      <c r="Q402" t="s">
        <v>279</v>
      </c>
      <c r="R402">
        <v>406</v>
      </c>
      <c r="S402" s="672" t="b">
        <f t="shared" si="6"/>
        <v>0</v>
      </c>
      <c r="T402" t="s">
        <v>329</v>
      </c>
    </row>
    <row r="403" spans="1:20" hidden="1">
      <c r="A403" t="s">
        <v>996</v>
      </c>
      <c r="B403" t="s">
        <v>1751</v>
      </c>
      <c r="C403">
        <v>4</v>
      </c>
      <c r="D403">
        <v>4</v>
      </c>
      <c r="E403">
        <v>10</v>
      </c>
      <c r="F403" s="8">
        <v>1</v>
      </c>
      <c r="G403" t="s">
        <v>266</v>
      </c>
      <c r="H403" s="672">
        <v>0</v>
      </c>
      <c r="I403">
        <v>20000000</v>
      </c>
      <c r="J403">
        <v>20000000</v>
      </c>
      <c r="K403">
        <v>0</v>
      </c>
      <c r="L403">
        <v>0</v>
      </c>
      <c r="M403" t="s">
        <v>276</v>
      </c>
      <c r="N403" t="s">
        <v>277</v>
      </c>
      <c r="O403" t="s">
        <v>283</v>
      </c>
      <c r="P403" t="s">
        <v>278</v>
      </c>
      <c r="Q403" t="s">
        <v>279</v>
      </c>
      <c r="R403">
        <v>407</v>
      </c>
      <c r="S403" s="672" t="b">
        <f t="shared" si="6"/>
        <v>0</v>
      </c>
      <c r="T403" t="s">
        <v>329</v>
      </c>
    </row>
    <row r="404" spans="1:20" hidden="1">
      <c r="A404" t="s">
        <v>672</v>
      </c>
      <c r="B404" t="s">
        <v>1752</v>
      </c>
      <c r="C404">
        <v>5</v>
      </c>
      <c r="D404">
        <v>5</v>
      </c>
      <c r="E404">
        <v>1</v>
      </c>
      <c r="F404" s="8">
        <v>2</v>
      </c>
      <c r="G404" t="s">
        <v>262</v>
      </c>
      <c r="H404" s="672">
        <v>0</v>
      </c>
      <c r="I404">
        <v>6000000</v>
      </c>
      <c r="J404">
        <v>6000000</v>
      </c>
      <c r="K404">
        <v>0</v>
      </c>
      <c r="L404">
        <v>0</v>
      </c>
      <c r="M404" t="s">
        <v>276</v>
      </c>
      <c r="N404" t="s">
        <v>277</v>
      </c>
      <c r="O404" t="s">
        <v>283</v>
      </c>
      <c r="P404" t="s">
        <v>278</v>
      </c>
      <c r="Q404" t="s">
        <v>279</v>
      </c>
      <c r="R404">
        <v>408</v>
      </c>
      <c r="S404" s="672" t="b">
        <f t="shared" si="6"/>
        <v>0</v>
      </c>
      <c r="T404" t="s">
        <v>329</v>
      </c>
    </row>
    <row r="405" spans="1:20" hidden="1">
      <c r="A405" t="s">
        <v>999</v>
      </c>
      <c r="B405" t="s">
        <v>1753</v>
      </c>
      <c r="C405">
        <v>2</v>
      </c>
      <c r="D405">
        <v>2</v>
      </c>
      <c r="E405">
        <v>10</v>
      </c>
      <c r="F405" s="8">
        <v>1</v>
      </c>
      <c r="G405" t="s">
        <v>266</v>
      </c>
      <c r="H405" s="672">
        <v>0</v>
      </c>
      <c r="I405">
        <v>9000000</v>
      </c>
      <c r="J405">
        <v>9000000</v>
      </c>
      <c r="K405">
        <v>0</v>
      </c>
      <c r="L405">
        <v>0</v>
      </c>
      <c r="M405" t="s">
        <v>276</v>
      </c>
      <c r="N405" t="s">
        <v>277</v>
      </c>
      <c r="O405" t="s">
        <v>283</v>
      </c>
      <c r="P405" t="s">
        <v>278</v>
      </c>
      <c r="Q405" t="s">
        <v>279</v>
      </c>
      <c r="R405">
        <v>409</v>
      </c>
      <c r="S405" s="672" t="b">
        <f t="shared" si="6"/>
        <v>0</v>
      </c>
      <c r="T405" t="s">
        <v>329</v>
      </c>
    </row>
    <row r="406" spans="1:20" hidden="1">
      <c r="A406" t="s">
        <v>999</v>
      </c>
      <c r="B406" t="s">
        <v>1754</v>
      </c>
      <c r="C406">
        <v>3</v>
      </c>
      <c r="D406">
        <v>3</v>
      </c>
      <c r="E406">
        <v>10</v>
      </c>
      <c r="F406" s="8">
        <v>1</v>
      </c>
      <c r="G406" t="s">
        <v>266</v>
      </c>
      <c r="H406" s="672">
        <v>0</v>
      </c>
      <c r="I406">
        <v>5500000</v>
      </c>
      <c r="J406">
        <v>5500000</v>
      </c>
      <c r="K406">
        <v>0</v>
      </c>
      <c r="L406">
        <v>0</v>
      </c>
      <c r="M406" t="s">
        <v>276</v>
      </c>
      <c r="N406" t="s">
        <v>277</v>
      </c>
      <c r="O406" t="s">
        <v>283</v>
      </c>
      <c r="P406" t="s">
        <v>278</v>
      </c>
      <c r="Q406" t="s">
        <v>279</v>
      </c>
      <c r="R406">
        <v>410</v>
      </c>
      <c r="S406" s="672" t="b">
        <f t="shared" si="6"/>
        <v>0</v>
      </c>
      <c r="T406" t="s">
        <v>329</v>
      </c>
    </row>
    <row r="407" spans="1:20" hidden="1">
      <c r="A407" t="s">
        <v>999</v>
      </c>
      <c r="B407" t="s">
        <v>1755</v>
      </c>
      <c r="C407">
        <v>3</v>
      </c>
      <c r="D407">
        <v>3</v>
      </c>
      <c r="E407">
        <v>8</v>
      </c>
      <c r="F407" s="8">
        <v>1</v>
      </c>
      <c r="G407" t="s">
        <v>266</v>
      </c>
      <c r="H407" s="672">
        <v>0</v>
      </c>
      <c r="I407">
        <v>5000000</v>
      </c>
      <c r="J407">
        <v>5000000</v>
      </c>
      <c r="K407">
        <v>0</v>
      </c>
      <c r="L407">
        <v>0</v>
      </c>
      <c r="M407" t="s">
        <v>276</v>
      </c>
      <c r="N407" t="s">
        <v>277</v>
      </c>
      <c r="O407" t="s">
        <v>283</v>
      </c>
      <c r="P407" t="s">
        <v>278</v>
      </c>
      <c r="Q407" t="s">
        <v>279</v>
      </c>
      <c r="R407">
        <v>411</v>
      </c>
      <c r="S407" s="672" t="b">
        <f t="shared" si="6"/>
        <v>0</v>
      </c>
      <c r="T407" t="s">
        <v>329</v>
      </c>
    </row>
    <row r="408" spans="1:20" hidden="1">
      <c r="A408" t="s">
        <v>1003</v>
      </c>
      <c r="B408" t="s">
        <v>1756</v>
      </c>
      <c r="C408">
        <v>2</v>
      </c>
      <c r="D408">
        <v>2</v>
      </c>
      <c r="E408">
        <v>10</v>
      </c>
      <c r="F408" s="8">
        <v>1</v>
      </c>
      <c r="G408" t="s">
        <v>266</v>
      </c>
      <c r="H408" s="672">
        <v>0</v>
      </c>
      <c r="I408">
        <v>21000000</v>
      </c>
      <c r="J408">
        <v>21000000</v>
      </c>
      <c r="K408">
        <v>0</v>
      </c>
      <c r="L408">
        <v>0</v>
      </c>
      <c r="M408" t="s">
        <v>276</v>
      </c>
      <c r="N408" t="s">
        <v>277</v>
      </c>
      <c r="O408" t="s">
        <v>283</v>
      </c>
      <c r="P408" t="s">
        <v>278</v>
      </c>
      <c r="Q408" t="s">
        <v>279</v>
      </c>
      <c r="R408">
        <v>412</v>
      </c>
      <c r="S408" s="672" t="b">
        <f t="shared" si="6"/>
        <v>0</v>
      </c>
      <c r="T408" t="s">
        <v>329</v>
      </c>
    </row>
    <row r="409" spans="1:20" hidden="1">
      <c r="A409" t="s">
        <v>1005</v>
      </c>
      <c r="B409" t="s">
        <v>1757</v>
      </c>
      <c r="C409">
        <v>5</v>
      </c>
      <c r="D409">
        <v>5</v>
      </c>
      <c r="E409">
        <v>1</v>
      </c>
      <c r="F409" s="8">
        <v>2</v>
      </c>
      <c r="G409" t="s">
        <v>266</v>
      </c>
      <c r="H409" s="672">
        <v>0</v>
      </c>
      <c r="I409">
        <v>1300000</v>
      </c>
      <c r="J409">
        <v>1300000</v>
      </c>
      <c r="K409">
        <v>0</v>
      </c>
      <c r="L409">
        <v>0</v>
      </c>
      <c r="M409" t="s">
        <v>276</v>
      </c>
      <c r="N409" t="s">
        <v>277</v>
      </c>
      <c r="O409" t="s">
        <v>283</v>
      </c>
      <c r="P409" t="s">
        <v>278</v>
      </c>
      <c r="Q409" t="s">
        <v>279</v>
      </c>
      <c r="R409">
        <v>413</v>
      </c>
      <c r="S409" s="672" t="b">
        <f t="shared" si="6"/>
        <v>0</v>
      </c>
      <c r="T409" t="s">
        <v>329</v>
      </c>
    </row>
    <row r="410" spans="1:20" hidden="1">
      <c r="A410" t="s">
        <v>1007</v>
      </c>
      <c r="B410" t="s">
        <v>1758</v>
      </c>
      <c r="C410">
        <v>5</v>
      </c>
      <c r="D410">
        <v>5</v>
      </c>
      <c r="E410">
        <v>1</v>
      </c>
      <c r="F410" s="8">
        <v>1</v>
      </c>
      <c r="G410" t="s">
        <v>270</v>
      </c>
      <c r="H410" s="672">
        <v>0</v>
      </c>
      <c r="I410">
        <v>3000000</v>
      </c>
      <c r="J410">
        <v>3000000</v>
      </c>
      <c r="K410">
        <v>0</v>
      </c>
      <c r="L410">
        <v>0</v>
      </c>
      <c r="M410" t="s">
        <v>276</v>
      </c>
      <c r="N410" t="s">
        <v>277</v>
      </c>
      <c r="O410" t="s">
        <v>283</v>
      </c>
      <c r="P410" t="s">
        <v>278</v>
      </c>
      <c r="Q410" t="s">
        <v>279</v>
      </c>
      <c r="R410">
        <v>414</v>
      </c>
      <c r="S410" s="672" t="b">
        <f t="shared" si="6"/>
        <v>0</v>
      </c>
      <c r="T410" t="s">
        <v>329</v>
      </c>
    </row>
    <row r="411" spans="1:20" hidden="1">
      <c r="A411" t="s">
        <v>1009</v>
      </c>
      <c r="B411" t="s">
        <v>1759</v>
      </c>
      <c r="C411">
        <v>9</v>
      </c>
      <c r="D411">
        <v>9</v>
      </c>
      <c r="E411">
        <v>4</v>
      </c>
      <c r="F411" s="8">
        <v>1</v>
      </c>
      <c r="G411" t="s">
        <v>270</v>
      </c>
      <c r="H411" s="672">
        <v>0</v>
      </c>
      <c r="I411">
        <v>6000000</v>
      </c>
      <c r="J411">
        <v>6000000</v>
      </c>
      <c r="K411">
        <v>0</v>
      </c>
      <c r="L411">
        <v>0</v>
      </c>
      <c r="M411" t="s">
        <v>276</v>
      </c>
      <c r="N411" t="s">
        <v>277</v>
      </c>
      <c r="O411" t="s">
        <v>283</v>
      </c>
      <c r="P411" t="s">
        <v>278</v>
      </c>
      <c r="Q411" t="s">
        <v>279</v>
      </c>
      <c r="R411">
        <v>415</v>
      </c>
      <c r="S411" s="672" t="b">
        <f t="shared" si="6"/>
        <v>0</v>
      </c>
      <c r="T411" t="s">
        <v>329</v>
      </c>
    </row>
    <row r="412" spans="1:20" hidden="1">
      <c r="A412" t="s">
        <v>1011</v>
      </c>
      <c r="B412" t="s">
        <v>1760</v>
      </c>
      <c r="C412">
        <v>2</v>
      </c>
      <c r="D412">
        <v>2</v>
      </c>
      <c r="E412">
        <v>10</v>
      </c>
      <c r="F412" s="8">
        <v>1</v>
      </c>
      <c r="G412" t="s">
        <v>266</v>
      </c>
      <c r="H412" s="672">
        <v>0</v>
      </c>
      <c r="I412">
        <v>15000000</v>
      </c>
      <c r="J412">
        <v>15000000</v>
      </c>
      <c r="K412">
        <v>0</v>
      </c>
      <c r="L412">
        <v>0</v>
      </c>
      <c r="M412" t="s">
        <v>276</v>
      </c>
      <c r="N412" t="s">
        <v>277</v>
      </c>
      <c r="O412" t="s">
        <v>283</v>
      </c>
      <c r="P412" t="s">
        <v>278</v>
      </c>
      <c r="Q412" t="s">
        <v>279</v>
      </c>
      <c r="R412">
        <v>416</v>
      </c>
      <c r="S412" s="672" t="b">
        <f t="shared" si="6"/>
        <v>0</v>
      </c>
      <c r="T412" t="s">
        <v>329</v>
      </c>
    </row>
    <row r="413" spans="1:20" hidden="1">
      <c r="A413" t="s">
        <v>1013</v>
      </c>
      <c r="B413" t="s">
        <v>1761</v>
      </c>
      <c r="C413">
        <v>4</v>
      </c>
      <c r="D413">
        <v>4</v>
      </c>
      <c r="E413">
        <v>10</v>
      </c>
      <c r="F413" s="8">
        <v>1</v>
      </c>
      <c r="G413" t="s">
        <v>266</v>
      </c>
      <c r="H413" s="672">
        <v>0</v>
      </c>
      <c r="I413">
        <v>15000000</v>
      </c>
      <c r="J413">
        <v>15000000</v>
      </c>
      <c r="K413">
        <v>0</v>
      </c>
      <c r="L413">
        <v>0</v>
      </c>
      <c r="M413" t="s">
        <v>276</v>
      </c>
      <c r="N413" t="s">
        <v>277</v>
      </c>
      <c r="O413" t="s">
        <v>283</v>
      </c>
      <c r="P413" t="s">
        <v>278</v>
      </c>
      <c r="Q413" t="s">
        <v>279</v>
      </c>
      <c r="R413">
        <v>417</v>
      </c>
      <c r="S413" s="672" t="b">
        <f t="shared" si="6"/>
        <v>0</v>
      </c>
      <c r="T413" t="s">
        <v>329</v>
      </c>
    </row>
    <row r="414" spans="1:20" hidden="1">
      <c r="A414" t="s">
        <v>1015</v>
      </c>
      <c r="B414" t="s">
        <v>1762</v>
      </c>
      <c r="C414">
        <v>4</v>
      </c>
      <c r="D414">
        <v>4</v>
      </c>
      <c r="E414">
        <v>1</v>
      </c>
      <c r="F414" s="8">
        <v>2</v>
      </c>
      <c r="G414" t="s">
        <v>270</v>
      </c>
      <c r="H414" s="672">
        <v>0</v>
      </c>
      <c r="I414">
        <v>100000000</v>
      </c>
      <c r="J414">
        <v>100000000</v>
      </c>
      <c r="K414">
        <v>0</v>
      </c>
      <c r="L414">
        <v>0</v>
      </c>
      <c r="M414" t="s">
        <v>276</v>
      </c>
      <c r="N414" t="s">
        <v>277</v>
      </c>
      <c r="O414" t="s">
        <v>283</v>
      </c>
      <c r="P414" t="s">
        <v>278</v>
      </c>
      <c r="Q414" t="s">
        <v>279</v>
      </c>
      <c r="R414">
        <v>418</v>
      </c>
      <c r="S414" s="672" t="b">
        <f t="shared" si="6"/>
        <v>0</v>
      </c>
      <c r="T414" t="s">
        <v>329</v>
      </c>
    </row>
    <row r="415" spans="1:20" hidden="1">
      <c r="A415" t="s">
        <v>1017</v>
      </c>
      <c r="B415" t="s">
        <v>1763</v>
      </c>
      <c r="C415">
        <v>1</v>
      </c>
      <c r="D415">
        <v>1</v>
      </c>
      <c r="E415">
        <v>1</v>
      </c>
      <c r="F415" s="8">
        <v>2</v>
      </c>
      <c r="G415" t="s">
        <v>262</v>
      </c>
      <c r="H415" s="672">
        <v>0</v>
      </c>
      <c r="I415">
        <v>1000000</v>
      </c>
      <c r="J415">
        <v>1000000</v>
      </c>
      <c r="K415">
        <v>0</v>
      </c>
      <c r="L415">
        <v>0</v>
      </c>
      <c r="M415" t="s">
        <v>276</v>
      </c>
      <c r="N415" t="s">
        <v>277</v>
      </c>
      <c r="O415" t="s">
        <v>283</v>
      </c>
      <c r="P415" t="s">
        <v>278</v>
      </c>
      <c r="Q415" t="s">
        <v>279</v>
      </c>
      <c r="R415">
        <v>419</v>
      </c>
      <c r="S415" s="672" t="b">
        <f t="shared" si="6"/>
        <v>0</v>
      </c>
      <c r="T415" t="s">
        <v>329</v>
      </c>
    </row>
    <row r="416" spans="1:20" hidden="1">
      <c r="A416" t="s">
        <v>1019</v>
      </c>
      <c r="B416" t="s">
        <v>1764</v>
      </c>
      <c r="C416">
        <v>3</v>
      </c>
      <c r="D416">
        <v>3</v>
      </c>
      <c r="E416">
        <v>10</v>
      </c>
      <c r="F416" s="8">
        <v>1</v>
      </c>
      <c r="G416" t="s">
        <v>266</v>
      </c>
      <c r="H416" s="672">
        <v>0</v>
      </c>
      <c r="I416">
        <v>23000000</v>
      </c>
      <c r="J416">
        <v>23000000</v>
      </c>
      <c r="K416">
        <v>0</v>
      </c>
      <c r="L416">
        <v>0</v>
      </c>
      <c r="M416" t="s">
        <v>276</v>
      </c>
      <c r="N416" t="s">
        <v>277</v>
      </c>
      <c r="O416" t="s">
        <v>283</v>
      </c>
      <c r="P416" t="s">
        <v>278</v>
      </c>
      <c r="Q416" t="s">
        <v>279</v>
      </c>
      <c r="R416">
        <v>420</v>
      </c>
      <c r="S416" s="672" t="b">
        <f t="shared" si="6"/>
        <v>0</v>
      </c>
      <c r="T416" t="s">
        <v>329</v>
      </c>
    </row>
    <row r="417" spans="1:20" hidden="1">
      <c r="A417" t="s">
        <v>1021</v>
      </c>
      <c r="B417" t="s">
        <v>1765</v>
      </c>
      <c r="C417">
        <v>7</v>
      </c>
      <c r="D417">
        <v>7</v>
      </c>
      <c r="E417">
        <v>1</v>
      </c>
      <c r="F417" s="8">
        <v>1</v>
      </c>
      <c r="G417" t="s">
        <v>266</v>
      </c>
      <c r="H417" s="672">
        <v>0</v>
      </c>
      <c r="I417">
        <v>5000000</v>
      </c>
      <c r="J417">
        <v>5000000</v>
      </c>
      <c r="K417">
        <v>0</v>
      </c>
      <c r="L417">
        <v>0</v>
      </c>
      <c r="M417" t="s">
        <v>276</v>
      </c>
      <c r="N417" t="s">
        <v>277</v>
      </c>
      <c r="O417" t="s">
        <v>283</v>
      </c>
      <c r="P417" t="s">
        <v>278</v>
      </c>
      <c r="Q417" t="s">
        <v>279</v>
      </c>
      <c r="R417">
        <v>421</v>
      </c>
      <c r="S417" s="672" t="b">
        <f t="shared" si="6"/>
        <v>0</v>
      </c>
      <c r="T417" t="s">
        <v>329</v>
      </c>
    </row>
    <row r="418" spans="1:20" hidden="1">
      <c r="A418" t="s">
        <v>1023</v>
      </c>
      <c r="B418" t="s">
        <v>1766</v>
      </c>
      <c r="C418">
        <v>3</v>
      </c>
      <c r="D418">
        <v>3</v>
      </c>
      <c r="E418">
        <v>10</v>
      </c>
      <c r="F418" s="8">
        <v>1</v>
      </c>
      <c r="G418" t="s">
        <v>266</v>
      </c>
      <c r="H418" s="672">
        <v>0</v>
      </c>
      <c r="I418">
        <v>20000000</v>
      </c>
      <c r="J418">
        <v>20000000</v>
      </c>
      <c r="K418">
        <v>0</v>
      </c>
      <c r="L418">
        <v>0</v>
      </c>
      <c r="M418" t="s">
        <v>276</v>
      </c>
      <c r="N418" t="s">
        <v>277</v>
      </c>
      <c r="O418" t="s">
        <v>283</v>
      </c>
      <c r="P418" t="s">
        <v>278</v>
      </c>
      <c r="Q418" t="s">
        <v>279</v>
      </c>
      <c r="R418">
        <v>422</v>
      </c>
      <c r="S418" s="672" t="b">
        <f t="shared" si="6"/>
        <v>0</v>
      </c>
      <c r="T418" t="s">
        <v>329</v>
      </c>
    </row>
    <row r="419" spans="1:20" hidden="1">
      <c r="A419">
        <v>80141607</v>
      </c>
      <c r="B419" t="s">
        <v>1767</v>
      </c>
      <c r="C419">
        <v>3</v>
      </c>
      <c r="D419">
        <v>3</v>
      </c>
      <c r="E419">
        <v>7</v>
      </c>
      <c r="F419" s="8">
        <v>1</v>
      </c>
      <c r="G419" t="s">
        <v>266</v>
      </c>
      <c r="H419" s="672">
        <v>0</v>
      </c>
      <c r="I419">
        <v>8000000</v>
      </c>
      <c r="J419">
        <v>8000000</v>
      </c>
      <c r="K419">
        <v>0</v>
      </c>
      <c r="L419">
        <v>0</v>
      </c>
      <c r="M419" t="s">
        <v>276</v>
      </c>
      <c r="N419" t="s">
        <v>277</v>
      </c>
      <c r="O419" t="s">
        <v>283</v>
      </c>
      <c r="P419" t="s">
        <v>278</v>
      </c>
      <c r="Q419" t="s">
        <v>279</v>
      </c>
      <c r="R419">
        <v>423</v>
      </c>
      <c r="S419" s="672" t="b">
        <f t="shared" si="6"/>
        <v>0</v>
      </c>
      <c r="T419" t="s">
        <v>329</v>
      </c>
    </row>
    <row r="420" spans="1:20" hidden="1">
      <c r="A420" t="s">
        <v>1026</v>
      </c>
      <c r="B420" t="s">
        <v>1768</v>
      </c>
      <c r="C420">
        <v>3</v>
      </c>
      <c r="D420">
        <v>3</v>
      </c>
      <c r="E420">
        <v>8</v>
      </c>
      <c r="F420" s="8">
        <v>1</v>
      </c>
      <c r="G420" t="s">
        <v>266</v>
      </c>
      <c r="H420" s="672">
        <v>0</v>
      </c>
      <c r="I420">
        <v>3000000</v>
      </c>
      <c r="J420">
        <v>3000000</v>
      </c>
      <c r="K420">
        <v>0</v>
      </c>
      <c r="L420">
        <v>0</v>
      </c>
      <c r="M420" t="s">
        <v>276</v>
      </c>
      <c r="N420" t="s">
        <v>277</v>
      </c>
      <c r="O420" t="s">
        <v>283</v>
      </c>
      <c r="P420" t="s">
        <v>278</v>
      </c>
      <c r="Q420" t="s">
        <v>279</v>
      </c>
      <c r="R420">
        <v>424</v>
      </c>
      <c r="S420" s="672" t="b">
        <f t="shared" si="6"/>
        <v>0</v>
      </c>
      <c r="T420" t="s">
        <v>329</v>
      </c>
    </row>
    <row r="421" spans="1:20" hidden="1">
      <c r="A421" t="s">
        <v>1028</v>
      </c>
      <c r="B421" t="s">
        <v>1769</v>
      </c>
      <c r="C421">
        <v>3</v>
      </c>
      <c r="D421">
        <v>3</v>
      </c>
      <c r="E421">
        <v>1</v>
      </c>
      <c r="F421" s="8">
        <v>1</v>
      </c>
      <c r="G421" t="s">
        <v>262</v>
      </c>
      <c r="H421" s="672">
        <v>0</v>
      </c>
      <c r="I421">
        <v>45000000</v>
      </c>
      <c r="J421">
        <v>45000000</v>
      </c>
      <c r="K421">
        <v>0</v>
      </c>
      <c r="L421">
        <v>0</v>
      </c>
      <c r="M421" t="s">
        <v>276</v>
      </c>
      <c r="N421" t="s">
        <v>277</v>
      </c>
      <c r="O421" t="s">
        <v>283</v>
      </c>
      <c r="P421" t="s">
        <v>278</v>
      </c>
      <c r="Q421" t="s">
        <v>279</v>
      </c>
      <c r="R421">
        <v>425</v>
      </c>
      <c r="S421" s="672" t="b">
        <f t="shared" si="6"/>
        <v>0</v>
      </c>
      <c r="T421" t="s">
        <v>329</v>
      </c>
    </row>
    <row r="422" spans="1:20" hidden="1">
      <c r="A422" t="s">
        <v>610</v>
      </c>
      <c r="B422" t="s">
        <v>1770</v>
      </c>
      <c r="C422">
        <v>3</v>
      </c>
      <c r="D422">
        <v>3</v>
      </c>
      <c r="E422">
        <v>10</v>
      </c>
      <c r="F422" s="8">
        <v>1</v>
      </c>
      <c r="G422" t="s">
        <v>265</v>
      </c>
      <c r="H422" s="672">
        <v>0</v>
      </c>
      <c r="I422">
        <v>35000000</v>
      </c>
      <c r="J422">
        <v>35000000</v>
      </c>
      <c r="K422">
        <v>0</v>
      </c>
      <c r="L422">
        <v>0</v>
      </c>
      <c r="M422" t="s">
        <v>276</v>
      </c>
      <c r="N422" t="s">
        <v>277</v>
      </c>
      <c r="O422" t="s">
        <v>283</v>
      </c>
      <c r="P422" t="s">
        <v>278</v>
      </c>
      <c r="Q422" t="s">
        <v>279</v>
      </c>
      <c r="R422">
        <v>426</v>
      </c>
      <c r="S422" s="672" t="b">
        <f t="shared" si="6"/>
        <v>0</v>
      </c>
      <c r="T422" t="s">
        <v>329</v>
      </c>
    </row>
    <row r="423" spans="1:20" hidden="1">
      <c r="A423" t="s">
        <v>1031</v>
      </c>
      <c r="B423" t="s">
        <v>1771</v>
      </c>
      <c r="C423">
        <v>2</v>
      </c>
      <c r="D423">
        <v>2</v>
      </c>
      <c r="E423">
        <v>10</v>
      </c>
      <c r="F423" s="8">
        <v>1</v>
      </c>
      <c r="G423" t="s">
        <v>265</v>
      </c>
      <c r="H423" s="672">
        <v>0</v>
      </c>
      <c r="I423">
        <v>49000000</v>
      </c>
      <c r="J423">
        <v>49000000</v>
      </c>
      <c r="K423">
        <v>0</v>
      </c>
      <c r="L423">
        <v>0</v>
      </c>
      <c r="M423" t="s">
        <v>276</v>
      </c>
      <c r="N423" t="s">
        <v>277</v>
      </c>
      <c r="O423" t="s">
        <v>283</v>
      </c>
      <c r="P423" t="s">
        <v>278</v>
      </c>
      <c r="Q423" t="s">
        <v>279</v>
      </c>
      <c r="R423">
        <v>427</v>
      </c>
      <c r="S423" s="672" t="b">
        <f t="shared" si="6"/>
        <v>0</v>
      </c>
      <c r="T423" t="s">
        <v>329</v>
      </c>
    </row>
    <row r="424" spans="1:20" hidden="1">
      <c r="A424">
        <v>80111600</v>
      </c>
      <c r="B424" t="s">
        <v>1772</v>
      </c>
      <c r="C424">
        <v>1</v>
      </c>
      <c r="D424">
        <v>1</v>
      </c>
      <c r="E424">
        <v>11</v>
      </c>
      <c r="F424" s="8">
        <v>1</v>
      </c>
      <c r="G424" t="s">
        <v>268</v>
      </c>
      <c r="H424" s="672">
        <v>0</v>
      </c>
      <c r="I424">
        <v>17600000</v>
      </c>
      <c r="J424">
        <v>17600000</v>
      </c>
      <c r="K424">
        <v>0</v>
      </c>
      <c r="L424">
        <v>0</v>
      </c>
      <c r="M424" t="s">
        <v>276</v>
      </c>
      <c r="N424" t="s">
        <v>277</v>
      </c>
      <c r="O424" t="s">
        <v>283</v>
      </c>
      <c r="P424" t="s">
        <v>278</v>
      </c>
      <c r="Q424" t="s">
        <v>279</v>
      </c>
      <c r="R424">
        <v>428</v>
      </c>
      <c r="S424" s="672" t="b">
        <f t="shared" si="6"/>
        <v>0</v>
      </c>
      <c r="T424" t="s">
        <v>597</v>
      </c>
    </row>
    <row r="425" spans="1:20" hidden="1">
      <c r="A425">
        <v>80111600</v>
      </c>
      <c r="B425" t="s">
        <v>1773</v>
      </c>
      <c r="C425">
        <v>4</v>
      </c>
      <c r="D425">
        <v>4</v>
      </c>
      <c r="E425">
        <v>7</v>
      </c>
      <c r="F425" s="8">
        <v>1</v>
      </c>
      <c r="G425" t="s">
        <v>268</v>
      </c>
      <c r="H425" s="672">
        <v>0</v>
      </c>
      <c r="I425">
        <v>16240000</v>
      </c>
      <c r="J425">
        <v>16240000</v>
      </c>
      <c r="K425">
        <v>0</v>
      </c>
      <c r="L425">
        <v>0</v>
      </c>
      <c r="M425" t="s">
        <v>276</v>
      </c>
      <c r="N425" t="s">
        <v>277</v>
      </c>
      <c r="O425" t="s">
        <v>283</v>
      </c>
      <c r="P425" t="s">
        <v>278</v>
      </c>
      <c r="Q425" t="s">
        <v>279</v>
      </c>
      <c r="R425">
        <v>429</v>
      </c>
      <c r="S425" s="672" t="b">
        <f t="shared" si="6"/>
        <v>0</v>
      </c>
      <c r="T425" t="s">
        <v>597</v>
      </c>
    </row>
    <row r="426" spans="1:20" hidden="1">
      <c r="A426">
        <v>80111600</v>
      </c>
      <c r="B426" t="s">
        <v>1774</v>
      </c>
      <c r="C426">
        <v>1</v>
      </c>
      <c r="D426">
        <v>1</v>
      </c>
      <c r="E426">
        <v>11</v>
      </c>
      <c r="F426" s="8">
        <v>1</v>
      </c>
      <c r="G426" t="s">
        <v>268</v>
      </c>
      <c r="H426" s="672">
        <v>0</v>
      </c>
      <c r="I426">
        <v>25520000</v>
      </c>
      <c r="J426">
        <v>25520000</v>
      </c>
      <c r="K426">
        <v>0</v>
      </c>
      <c r="L426">
        <v>0</v>
      </c>
      <c r="M426" t="s">
        <v>276</v>
      </c>
      <c r="N426" t="s">
        <v>277</v>
      </c>
      <c r="O426" t="s">
        <v>283</v>
      </c>
      <c r="P426" t="s">
        <v>278</v>
      </c>
      <c r="Q426" t="s">
        <v>279</v>
      </c>
      <c r="R426">
        <v>430</v>
      </c>
      <c r="S426" s="672" t="b">
        <f t="shared" si="6"/>
        <v>0</v>
      </c>
      <c r="T426" t="s">
        <v>597</v>
      </c>
    </row>
    <row r="427" spans="1:20" hidden="1">
      <c r="A427">
        <v>80111600</v>
      </c>
      <c r="B427" t="s">
        <v>1775</v>
      </c>
      <c r="C427">
        <v>1</v>
      </c>
      <c r="D427">
        <v>1</v>
      </c>
      <c r="E427">
        <v>11</v>
      </c>
      <c r="F427" s="8">
        <v>1</v>
      </c>
      <c r="G427" t="s">
        <v>268</v>
      </c>
      <c r="H427" s="672">
        <v>0</v>
      </c>
      <c r="I427">
        <v>17600000</v>
      </c>
      <c r="J427">
        <v>17600000</v>
      </c>
      <c r="K427">
        <v>0</v>
      </c>
      <c r="L427">
        <v>0</v>
      </c>
      <c r="M427" t="s">
        <v>276</v>
      </c>
      <c r="N427" t="s">
        <v>277</v>
      </c>
      <c r="O427" t="s">
        <v>283</v>
      </c>
      <c r="P427" t="s">
        <v>278</v>
      </c>
      <c r="Q427" t="s">
        <v>279</v>
      </c>
      <c r="R427">
        <v>431</v>
      </c>
      <c r="S427" s="672" t="b">
        <f t="shared" si="6"/>
        <v>0</v>
      </c>
      <c r="T427" t="s">
        <v>597</v>
      </c>
    </row>
    <row r="428" spans="1:20" hidden="1">
      <c r="A428" t="s">
        <v>618</v>
      </c>
      <c r="B428" t="s">
        <v>1776</v>
      </c>
      <c r="C428">
        <v>1</v>
      </c>
      <c r="D428">
        <v>1</v>
      </c>
      <c r="E428">
        <v>11</v>
      </c>
      <c r="F428" s="8">
        <v>1</v>
      </c>
      <c r="G428" t="s">
        <v>268</v>
      </c>
      <c r="H428" s="672">
        <v>0</v>
      </c>
      <c r="I428">
        <v>109230000</v>
      </c>
      <c r="J428">
        <v>109230000</v>
      </c>
      <c r="K428">
        <v>0</v>
      </c>
      <c r="L428">
        <v>0</v>
      </c>
      <c r="M428" t="s">
        <v>276</v>
      </c>
      <c r="N428" t="s">
        <v>277</v>
      </c>
      <c r="O428" t="s">
        <v>1040</v>
      </c>
      <c r="P428" t="s">
        <v>278</v>
      </c>
      <c r="Q428" t="s">
        <v>279</v>
      </c>
      <c r="R428">
        <v>432</v>
      </c>
      <c r="S428" s="672" t="b">
        <f t="shared" si="6"/>
        <v>0</v>
      </c>
      <c r="T428" t="s">
        <v>597</v>
      </c>
    </row>
  </sheetData>
  <autoFilter xmlns:x14="http://schemas.microsoft.com/office/spreadsheetml/2009/9/main" ref="A4:V428">
    <filterColumn colId="1">
      <filters>
        <mc:AlternateContent xmlns:mc="http://schemas.openxmlformats.org/markup-compatibility/2006">
          <mc:Choice Requires="x14">
            <x14:filter val="(Cód. 158) Prestar servicios de apoyo a la gestión al Instituto Distrital de Patrimonio Cultural para acompañar a la Asesoría Jurídica o quien haga sus veces, en temas judiciales y de cartera de la entidad."/>
            <x14:filter val="(Cód. 315) Ejecutar bajo la modalidad de precios unitarios fijos las obras requeridas para el inmueble ubicado en la Calle 12B No. 2-58, denominado Casa Genoveva en la ciudad de Bogotá, D. C."/>
            <x14:filter val="(Cód. 316) Realizar la interventoría integral de la obra cuyo objeto es: &quot;Ejecutar bajo la modalidad de precios unitarios fijos las obras requeridas para el inmueble ubicado en la Calle 12B No. 2-58, denominado Casa Genoveva en la ciudad de Bogotá, D. C.&quot;"/>
            <x14:filter val="(Cód. 358) Prestar servicios profesionales al Instituto Distrital de Patrimonio Cultural para apoyar el seguimiento desde la disciplina de conservación - restauración a las actividades de mantenimiento, administración y conservación de los bienes muebles - inmuebles en el espacio público de Bogotá D.C."/>
            <x14:filter val="(Cód. 58) Contratar la iluminación museográfica requerida para las salas de exposición del Museo de Bogotá del Instituto Distrital de Patrimonio Cultural."/>
          </mc:Choice>
          <mc:Fallback>
            <filter val="(Cód. 158) Prestar servicios de apoyo a la gestión al Instituto Distrital de Patrimonio Cultural para acompañar a la Asesoría Jurídica o quien haga sus veces, en temas judiciales y de cartera de la entidad."/>
            <filter val="(Cód. 315) Ejecutar bajo la modalidad de precios unitarios fijos las obras requeridas para el inmueble ubicado en la Calle 12B No. 2-58, denominado Casa Genoveva en la ciudad de Bogotá, D. C."/>
            <filter val="(Cód. 316) Realizar la interventoría integral de la obra cuyo objeto es: &quot;Ejecutar bajo la modalidad de precios unitarios fijos las obras requeridas para el inmueble ubicado en la Calle 12B No. 2-58, denominado Casa Genoveva en la ciudad de Bogotá, D. C.&quot;"/>
            <filter val="(Cód. 58) Contratar la iluminación museográfica requerida para las salas de exposición del Museo de Bogotá del Instituto Distrital de Patrimonio Cultural."/>
          </mc:Fallback>
        </mc:AlternateContent>
      </filters>
    </filterColumn>
  </autoFilter>
  <sortState ref="A5:V283">
    <sortCondition ref="R5:R283"/>
    <sortCondition ref="T5:T283"/>
  </sortState>
  <mergeCells count="1">
    <mergeCell ref="A1:Q3"/>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49</vt:i4>
      </vt:variant>
    </vt:vector>
  </HeadingPairs>
  <TitlesOfParts>
    <vt:vector size="61" baseType="lpstr">
      <vt:lpstr>1024</vt:lpstr>
      <vt:lpstr>1107</vt:lpstr>
      <vt:lpstr>1110</vt:lpstr>
      <vt:lpstr>1112</vt:lpstr>
      <vt:lpstr>1114</vt:lpstr>
      <vt:lpstr>Listas</vt:lpstr>
      <vt:lpstr>Hoja1</vt:lpstr>
      <vt:lpstr>Seguimiento_PAA</vt:lpstr>
      <vt:lpstr>SECOP II</vt:lpstr>
      <vt:lpstr>Validación_Conceptos</vt:lpstr>
      <vt:lpstr>Validación_Componentes</vt:lpstr>
      <vt:lpstr>Estimación CRP</vt:lpstr>
      <vt:lpstr>_CPI1024</vt:lpstr>
      <vt:lpstr>_CPI1107</vt:lpstr>
      <vt:lpstr>_CPI1110</vt:lpstr>
      <vt:lpstr>_CPI1112</vt:lpstr>
      <vt:lpstr>_CPI1114</vt:lpstr>
      <vt:lpstr>'1024'!Área_de_impresión</vt:lpstr>
      <vt:lpstr>'1107'!Área_de_impresión</vt:lpstr>
      <vt:lpstr>'1110'!Área_de_impresión</vt:lpstr>
      <vt:lpstr>'1112'!Área_de_impresión</vt:lpstr>
      <vt:lpstr>'1114'!Área_de_impresión</vt:lpstr>
      <vt:lpstr>COMP1024</vt:lpstr>
      <vt:lpstr>COMP1107</vt:lpstr>
      <vt:lpstr>COMP1110</vt:lpstr>
      <vt:lpstr>COMP1112</vt:lpstr>
      <vt:lpstr>COMP1114</vt:lpstr>
      <vt:lpstr>CONC1024</vt:lpstr>
      <vt:lpstr>CONC1107</vt:lpstr>
      <vt:lpstr>CONC1110</vt:lpstr>
      <vt:lpstr>CONC1112</vt:lpstr>
      <vt:lpstr>CONC1114</vt:lpstr>
      <vt:lpstr>CONCEP_PREDIS1024</vt:lpstr>
      <vt:lpstr>CONCEP_PREDIS1107</vt:lpstr>
      <vt:lpstr>CONCEP_PREDIS1110</vt:lpstr>
      <vt:lpstr>CONCEP_PREDIS1112</vt:lpstr>
      <vt:lpstr>CONCEP_PREDIS1114</vt:lpstr>
      <vt:lpstr>FONT1024</vt:lpstr>
      <vt:lpstr>FONT1107</vt:lpstr>
      <vt:lpstr>FONT1110</vt:lpstr>
      <vt:lpstr>FONT1112</vt:lpstr>
      <vt:lpstr>FONT1114</vt:lpstr>
      <vt:lpstr>fuentes</vt:lpstr>
      <vt:lpstr>ME20181024</vt:lpstr>
      <vt:lpstr>ME20181107</vt:lpstr>
      <vt:lpstr>ME20181110</vt:lpstr>
      <vt:lpstr>ME20181112</vt:lpstr>
      <vt:lpstr>ME20181114</vt:lpstr>
      <vt:lpstr>modalidad_desc</vt:lpstr>
      <vt:lpstr>MPDD1024</vt:lpstr>
      <vt:lpstr>MPDD1107</vt:lpstr>
      <vt:lpstr>MPDD1110</vt:lpstr>
      <vt:lpstr>MPDD1112</vt:lpstr>
      <vt:lpstr>MPDD1114</vt:lpstr>
      <vt:lpstr>MPPDD1024</vt:lpstr>
      <vt:lpstr>MPPDD1107</vt:lpstr>
      <vt:lpstr>MPPDD1110</vt:lpstr>
      <vt:lpstr>MPPDD1112</vt:lpstr>
      <vt:lpstr>MPPDD1114</vt:lpstr>
      <vt:lpstr>proyecto_inv</vt:lpstr>
      <vt:lpstr>Responsable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Planeacion1</dc:creator>
  <cp:lastModifiedBy>JCTR</cp:lastModifiedBy>
  <cp:lastPrinted>2018-03-13T21:45:34Z</cp:lastPrinted>
  <dcterms:created xsi:type="dcterms:W3CDTF">2012-06-12T13:47:24Z</dcterms:created>
  <dcterms:modified xsi:type="dcterms:W3CDTF">2019-01-09T15:27:39Z</dcterms:modified>
</cp:coreProperties>
</file>